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6.xml"/>
  <Override ContentType="application/vnd.openxmlformats-officedocument.spreadsheetml.pivotCacheDefinition+xml" PartName="/xl/pivotCache/pivotCacheDefinition5.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4.xml"/>
  <Override ContentType="application/vnd.openxmlformats-officedocument.spreadsheetml.pivotCacheDefinition+xml" PartName="/xl/pivotCache/pivotCacheDefinition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pivotTable+xml" PartName="/xl/pivotTables/pivotTable6.xml"/>
  <Override ContentType="application/vnd.openxmlformats-officedocument.spreadsheetml.pivotTable+xml" PartName="/xl/pivotTables/pivotTable4.xml"/>
  <Override ContentType="application/vnd.openxmlformats-officedocument.spreadsheetml.pivotTable+xml" PartName="/xl/pivotTables/pivotTable17.xml"/>
  <Override ContentType="application/vnd.openxmlformats-officedocument.spreadsheetml.pivotTable+xml" PartName="/xl/pivotTables/pivotTable1.xml"/>
  <Override ContentType="application/vnd.openxmlformats-officedocument.spreadsheetml.pivotTable+xml" PartName="/xl/pivotTables/pivotTable15.xml"/>
  <Override ContentType="application/vnd.openxmlformats-officedocument.spreadsheetml.pivotTable+xml" PartName="/xl/pivotTables/pivotTable7.xml"/>
  <Override ContentType="application/vnd.openxmlformats-officedocument.spreadsheetml.pivotTable+xml" PartName="/xl/pivotTables/pivotTable9.xml"/>
  <Override ContentType="application/vnd.openxmlformats-officedocument.spreadsheetml.pivotTable+xml" PartName="/xl/pivotTables/pivotTable11.xml"/>
  <Override ContentType="application/vnd.openxmlformats-officedocument.spreadsheetml.pivotTable+xml" PartName="/xl/pivotTables/pivotTable13.xml"/>
  <Override ContentType="application/vnd.openxmlformats-officedocument.spreadsheetml.pivotTable+xml" PartName="/xl/pivotTables/pivotTable5.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pivotTable+xml" PartName="/xl/pivotTables/pivotTable8.xml"/>
  <Override ContentType="application/vnd.openxmlformats-officedocument.spreadsheetml.pivotTable+xml" PartName="/xl/pivotTables/pivotTable10.xml"/>
  <Override ContentType="application/vnd.openxmlformats-officedocument.spreadsheetml.pivotTable+xml" PartName="/xl/pivotTables/pivotTable16.xml"/>
  <Override ContentType="application/vnd.openxmlformats-officedocument.spreadsheetml.pivotTable+xml" PartName="/xl/pivotTables/pivotTable14.xml"/>
  <Override ContentType="application/vnd.openxmlformats-officedocument.spreadsheetml.pivotTable+xml" PartName="/xl/pivotTables/pivotTable12.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drawingml.chart+xml" PartName="/xl/charts/chart16.xml"/>
  <Override ContentType="application/vnd.openxmlformats-officedocument.drawingml.chart+xml" PartName="/xl/charts/chart11.xml"/>
  <Override ContentType="application/vnd.openxmlformats-officedocument.drawingml.chart+xml" PartName="/xl/charts/chart7.xml"/>
  <Override ContentType="application/vnd.openxmlformats-officedocument.drawingml.chart+xml" PartName="/xl/charts/chart14.xml"/>
  <Override ContentType="application/vnd.openxmlformats-officedocument.drawingml.chart+xml" PartName="/xl/charts/chart13.xml"/>
  <Override ContentType="application/vnd.openxmlformats-officedocument.drawingml.chart+xml" PartName="/xl/charts/chart4.xml"/>
  <Override ContentType="application/vnd.openxmlformats-officedocument.drawingml.chart+xml" PartName="/xl/charts/chart2.xml"/>
  <Override ContentType="application/vnd.openxmlformats-officedocument.drawingml.chart+xml" PartName="/xl/charts/chart1.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8.xml"/>
  <Override ContentType="application/vnd.openxmlformats-officedocument.drawingml.chart+xml" PartName="/xl/charts/chart15.xml"/>
  <Override ContentType="application/vnd.openxmlformats-officedocument.drawingml.chart+xml" PartName="/xl/charts/chart9.xml"/>
  <Override ContentType="application/vnd.openxmlformats-officedocument.drawingml.chart+xml" PartName="/xl/charts/chart12.xml"/>
  <Override ContentType="application/vnd.openxmlformats-officedocument.drawingml.chart+xml" PartName="/xl/charts/chart5.xml"/>
  <Override ContentType="application/vnd.openxmlformats-officedocument.drawingml.chart+xml" PartName="/xl/charts/chart3.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alance Sheet" sheetId="1" r:id="rId4"/>
    <sheet state="visible" name="Income Statement" sheetId="2" r:id="rId5"/>
    <sheet state="visible" name="Parity Data" sheetId="3" r:id="rId6"/>
    <sheet state="visible" name="Aggregated" sheetId="4" r:id="rId7"/>
    <sheet state="visible" name="Aggregated Pivots" sheetId="5" r:id="rId8"/>
    <sheet state="visible" name="Referenda" sheetId="6" r:id="rId9"/>
    <sheet state="visible" name="Referenda Pivot" sheetId="7" r:id="rId10"/>
    <sheet state="visible" name="Referenda Pivot Statistics" sheetId="8" r:id="rId11"/>
    <sheet state="visible" name="Bounties" sheetId="9" r:id="rId12"/>
    <sheet state="visible" name="Child Bounties" sheetId="10" r:id="rId13"/>
    <sheet state="visible" name="Child Bounties Pivot" sheetId="11" r:id="rId14"/>
  </sheets>
  <definedNames>
    <definedName hidden="1" localSheetId="5" name="_xlnm._FilterDatabase">Referenda!$A$1:$W$1199</definedName>
    <definedName hidden="1" localSheetId="8" name="_xlnm._FilterDatabase">Bounties!$A$1:$E$25</definedName>
    <definedName hidden="1" localSheetId="9" name="_xlnm._FilterDatabase">'Child Bounties'!$A$1:$X$2166</definedName>
  </definedNames>
  <calcPr/>
  <pivotCaches>
    <pivotCache cacheId="0" r:id="rId15"/>
    <pivotCache cacheId="1" r:id="rId16"/>
    <pivotCache cacheId="2" r:id="rId17"/>
    <pivotCache cacheId="3" r:id="rId18"/>
    <pivotCache cacheId="4" r:id="rId19"/>
    <pivotCache cacheId="5" r:id="rId20"/>
  </pivotCaches>
</workbook>
</file>

<file path=xl/sharedStrings.xml><?xml version="1.0" encoding="utf-8"?>
<sst xmlns="http://schemas.openxmlformats.org/spreadsheetml/2006/main" count="23323" uniqueCount="3809">
  <si>
    <t>OpenGov.Watch Polkadot Treasury - Balance Sheet - 2024-09-30</t>
  </si>
  <si>
    <t>DOTUSD rate</t>
  </si>
  <si>
    <t>Assets</t>
  </si>
  <si>
    <t>DOT</t>
  </si>
  <si>
    <t>USD</t>
  </si>
  <si>
    <t>TOKENS</t>
  </si>
  <si>
    <t>Current Assets</t>
  </si>
  <si>
    <t>Cash and cash equivalents</t>
  </si>
  <si>
    <t>Relay Chain</t>
  </si>
  <si>
    <t>Treasury - Main Account</t>
  </si>
  <si>
    <t>AssetHub</t>
  </si>
  <si>
    <t>Treasury - AssetHub</t>
  </si>
  <si>
    <t>USDT</t>
  </si>
  <si>
    <t>USDC</t>
  </si>
  <si>
    <t>Hydration</t>
  </si>
  <si>
    <r>
      <rPr>
        <rFont val="Calibri"/>
        <color rgb="FF1155CC"/>
        <sz val="11.0"/>
        <u/>
      </rPr>
      <t>Treasury stablecoin acquisition</t>
    </r>
    <r>
      <rPr>
        <rFont val="Calibri"/>
        <sz val="11.0"/>
      </rPr>
      <t xml:space="preserve"> #2</t>
    </r>
  </si>
  <si>
    <t>https://polkadot.subsquare.io/referenda/1104</t>
  </si>
  <si>
    <r>
      <rPr>
        <rFont val="Calibri"/>
        <color rgb="FF000000"/>
        <sz val="11.0"/>
      </rPr>
      <t>Hydration</t>
    </r>
  </si>
  <si>
    <t>Treasury stablecoin acquisition #2</t>
  </si>
  <si>
    <r>
      <rPr>
        <rFont val="Calibri"/>
        <color rgb="FF000000"/>
        <sz val="11.0"/>
      </rPr>
      <t>Hydration</t>
    </r>
  </si>
  <si>
    <r>
      <rPr>
        <rFont val="Calibri"/>
        <color rgb="FF1155CC"/>
        <sz val="11.0"/>
        <u/>
      </rPr>
      <t>Treasury stablecoin acquisition</t>
    </r>
    <r>
      <rPr>
        <rFont val="Calibri"/>
        <sz val="11.0"/>
      </rPr>
      <t xml:space="preserve"> #1</t>
    </r>
  </si>
  <si>
    <t>https://polkadot.subsquare.io/referenda/457</t>
  </si>
  <si>
    <r>
      <rPr>
        <rFont val="Calibri"/>
        <color rgb="FF000000"/>
        <sz val="11.0"/>
      </rPr>
      <t>Hydration</t>
    </r>
  </si>
  <si>
    <t>Treasury stablecoin acquisition #1</t>
  </si>
  <si>
    <r>
      <rPr>
        <rFont val="Calibri"/>
        <color rgb="FF000000"/>
        <sz val="11.0"/>
      </rPr>
      <t>Hydration</t>
    </r>
  </si>
  <si>
    <t>Total cash and cash equivalents</t>
  </si>
  <si>
    <t>Designated assets</t>
  </si>
  <si>
    <t>Bounties</t>
  </si>
  <si>
    <t>Collectives</t>
  </si>
  <si>
    <t>Fellowship Spending Account</t>
  </si>
  <si>
    <t>Fellowship Salary Treasury</t>
  </si>
  <si>
    <t>Fellowship Salary Treasury stablecoin acquisition</t>
  </si>
  <si>
    <t>MYTH</t>
  </si>
  <si>
    <t>Myth Airdrop Multisig</t>
  </si>
  <si>
    <t>https://polkadot.subsquare.io/referenda/643</t>
  </si>
  <si>
    <t>Myth Distribution Multisig</t>
  </si>
  <si>
    <t>Total designated assets</t>
  </si>
  <si>
    <t>Non-custodial liquidity provision</t>
  </si>
  <si>
    <t>Omnipool</t>
  </si>
  <si>
    <t>https://polkadot.subsquare.io/referenda/560</t>
  </si>
  <si>
    <t>Total non-custodial liquidity provision</t>
  </si>
  <si>
    <t>Loans receivable</t>
  </si>
  <si>
    <t>Centrifuge</t>
  </si>
  <si>
    <t>Centrifuge RWA Yield Pool</t>
  </si>
  <si>
    <t>https://polkadot.subsquare.io/referenda/1122</t>
  </si>
  <si>
    <t>half of the loan was repayed 2 days after the new quarter started</t>
  </si>
  <si>
    <t>Bifrost</t>
  </si>
  <si>
    <t>Bifrost Liquidity</t>
  </si>
  <si>
    <t>vDOT APR</t>
  </si>
  <si>
    <t>https://polkadot.subsquare.io/referenda/432</t>
  </si>
  <si>
    <t>vDOT APR was 16.51% on 2024-09-30, and 17.24% on 2024-06-28; so we take the average to guesstimate</t>
  </si>
  <si>
    <t>Pendulum</t>
  </si>
  <si>
    <t>Pendulum Bridge Vaults</t>
  </si>
  <si>
    <t>https://polkadot.subsquare.io/referenda/748</t>
  </si>
  <si>
    <t>Total loans receivable</t>
  </si>
  <si>
    <t>Total current assets</t>
  </si>
  <si>
    <t>Total assets</t>
  </si>
  <si>
    <t>Liabilities and Treasury Balance</t>
  </si>
  <si>
    <t>Current Liabilities</t>
  </si>
  <si>
    <t>Wages payable</t>
  </si>
  <si>
    <t>Fellowship salaries</t>
  </si>
  <si>
    <t>Commitments</t>
  </si>
  <si>
    <t>MYTH Airdrop</t>
  </si>
  <si>
    <t>Total current liabilities</t>
  </si>
  <si>
    <t>Total liabilities</t>
  </si>
  <si>
    <t>Treasury Balance</t>
  </si>
  <si>
    <t>Surplus</t>
  </si>
  <si>
    <t>Total Treasury Balance</t>
  </si>
  <si>
    <t>SUM of DOT</t>
  </si>
  <si>
    <t>SUM of USD</t>
  </si>
  <si>
    <t xml:space="preserve">SUM of </t>
  </si>
  <si>
    <t>Grand Total</t>
  </si>
  <si>
    <t>OpenGov.Watch Polkadot Treasury Income Statement</t>
  </si>
  <si>
    <t>2024 Q1</t>
  </si>
  <si>
    <t>2024 Q2</t>
  </si>
  <si>
    <t>2024 Q3</t>
  </si>
  <si>
    <t>Revenue:</t>
  </si>
  <si>
    <t>Fees</t>
  </si>
  <si>
    <t>Other (Slashes, Dust, OpenGov Returns)</t>
  </si>
  <si>
    <t>Total Revenues</t>
  </si>
  <si>
    <t>Expenses</t>
  </si>
  <si>
    <t>Development</t>
  </si>
  <si>
    <t>Talent &amp; Education</t>
  </si>
  <si>
    <t>Economy</t>
  </si>
  <si>
    <t>Operations</t>
  </si>
  <si>
    <t>Research</t>
  </si>
  <si>
    <t>Total Expenses</t>
  </si>
  <si>
    <t>Operating Loss / Earnings before Inflation and Burn (EBIB)</t>
  </si>
  <si>
    <t>Other Income/Expenses:</t>
  </si>
  <si>
    <t>Inflation</t>
  </si>
  <si>
    <t>Burn</t>
  </si>
  <si>
    <t>Total Other Income/Expenses</t>
  </si>
  <si>
    <t>Net Earnings</t>
  </si>
  <si>
    <t>Polkadot Treasury Expenses</t>
  </si>
  <si>
    <t>month</t>
  </si>
  <si>
    <t>flow_type</t>
  </si>
  <si>
    <t>amount</t>
  </si>
  <si>
    <t>amount_usd</t>
  </si>
  <si>
    <t>quarter</t>
  </si>
  <si>
    <t>Inflows</t>
  </si>
  <si>
    <t>AH_relay_treasury_inflows</t>
  </si>
  <si>
    <t>SUM of amount</t>
  </si>
  <si>
    <t>AH_relay_treasury_outflows</t>
  </si>
  <si>
    <t>AH_fellowship_sub_treasury_inflows</t>
  </si>
  <si>
    <t>fees</t>
  </si>
  <si>
    <t>inflation</t>
  </si>
  <si>
    <t>other</t>
  </si>
  <si>
    <t>transfers</t>
  </si>
  <si>
    <t>Non-Fees and non-inflation</t>
  </si>
  <si>
    <t>proposals</t>
  </si>
  <si>
    <t>2023-Q2</t>
  </si>
  <si>
    <t>2023-Q3</t>
  </si>
  <si>
    <t>bounties</t>
  </si>
  <si>
    <t>2023-Q4</t>
  </si>
  <si>
    <t>2024-Q1</t>
  </si>
  <si>
    <t>2024-Q2</t>
  </si>
  <si>
    <t>burnt</t>
  </si>
  <si>
    <t>2024-Q3</t>
  </si>
  <si>
    <t>Outflows</t>
  </si>
  <si>
    <t>AH_fellowship_sub_treasury_outflows</t>
  </si>
  <si>
    <t>tips</t>
  </si>
  <si>
    <t>Non Burn</t>
  </si>
  <si>
    <t>SUM of amount_usd</t>
  </si>
  <si>
    <t>DONT CHANGE; INCOME STATEMENT DEPENDS ON IT</t>
  </si>
  <si>
    <t>Referenda</t>
  </si>
  <si>
    <t>Type</t>
  </si>
  <si>
    <t>ID</t>
  </si>
  <si>
    <t>Last Update</t>
  </si>
  <si>
    <t>Category</t>
  </si>
  <si>
    <t>Subcategory</t>
  </si>
  <si>
    <t>year</t>
  </si>
  <si>
    <t>year-month</t>
  </si>
  <si>
    <t>half-years</t>
  </si>
  <si>
    <t>Ref</t>
  </si>
  <si>
    <t>USD Last Update</t>
  </si>
  <si>
    <t>Title</t>
  </si>
  <si>
    <t>Direct Spend</t>
  </si>
  <si>
    <t>Outreach</t>
  </si>
  <si>
    <t>Media</t>
  </si>
  <si>
    <t>PolkaWorld Ops and Maintenance proposal：2023.6 - 2023.8</t>
  </si>
  <si>
    <t>Protocol Subsidies</t>
  </si>
  <si>
    <t>KILT Decentralized Identity Provider (DIP) - Polkadot Medium Spender Proposal</t>
  </si>
  <si>
    <t>Multisig</t>
  </si>
  <si>
    <t>Saturn Gateway - A Multichain Multisig Application for the Polkadot Ecosystem</t>
  </si>
  <si>
    <t>Other</t>
  </si>
  <si>
    <t>Nomination Pool Incentives - Fixing an issue with Motion 339</t>
  </si>
  <si>
    <t>Wallets</t>
  </si>
  <si>
    <t>Nova Wallet 4th Proposal: Multistaking dashboard, Staking Nomination Pools, WalletConnect v2, New Assets tab UI, Community Requested Features, Reimbursement for delivered features</t>
  </si>
  <si>
    <t>Governance</t>
  </si>
  <si>
    <t>Subsquare and dotreasury new features development plan including governance statistics, dotreasury dark mode, etc</t>
  </si>
  <si>
    <t>Trainings &amp; Hackathon</t>
  </si>
  <si>
    <t>Encode Club Tranches 2 and 3</t>
  </si>
  <si>
    <t>Data Services &amp; Indexing</t>
  </si>
  <si>
    <t>Subsquid - Public data indexing Infrastructure for Polkadot and Kusama (Q1 2023)</t>
  </si>
  <si>
    <t>Explorers</t>
  </si>
  <si>
    <t>Subscan | Infrastructure Costs of Subscan for Polkadot &amp; Westend &amp; Rococo &amp; Statemint &amp; Rockmine  Networks (from July to December 2022)</t>
  </si>
  <si>
    <t>Ledger Apps Maintenance Proposal (Polkadot, Kusama, Statemine, Statemint)</t>
  </si>
  <si>
    <t>Genesis DAO Ecosystem Integration</t>
  </si>
  <si>
    <t>Smart Contracts</t>
  </si>
  <si>
    <t>Proposal: ink! design security review by OpenZeppelin (treasury proposal 2/2)</t>
  </si>
  <si>
    <t>Requesting a return of the submission deposit related to Motion #406.</t>
  </si>
  <si>
    <t>[OpenGov] Return of the bond for the rejection of (Gov1) Treasury Proposal #244 (MVP Workshop)</t>
  </si>
  <si>
    <t>Requesting a return of the submission deposit related to Motion #405.</t>
  </si>
  <si>
    <t>Returning submission deposit for Anagolay proposal, related to rejecting proposal #256 (more info in the desc.)</t>
  </si>
  <si>
    <t>Requesting a return of the submission deposit</t>
  </si>
  <si>
    <t>Milestone 2: Polkadot Hackathon Global Series 2023: Europe Edition</t>
  </si>
  <si>
    <t>Polkadotters – retroactive and future funding of community powered media for Polkadot &amp; Kusama ecosystem in 2022-2024</t>
  </si>
  <si>
    <t>OneBlock The 2023 Polkadot Summer Hackathon proposal</t>
  </si>
  <si>
    <t>(Big Tipper) Small Funding for KryptosChain Media</t>
  </si>
  <si>
    <t>Polkadot Relayers Incubator 2023</t>
  </si>
  <si>
    <t>Treasury proposal for New Product Development &amp; OpenGov Deployment</t>
  </si>
  <si>
    <t>RPCs and Nodes</t>
  </si>
  <si>
    <t>Funded High Performance Public Infrastructure for the entire Polkadot Ecosystem (OnFinality)</t>
  </si>
  <si>
    <t>Part 1 of 2 request for 1100 DOT deposit reimbursement</t>
  </si>
  <si>
    <t>Part 2 of 2 request for 1100 DOT deposit reimbursement</t>
  </si>
  <si>
    <t>25-minute contextual primer on Polkadot 2.0</t>
  </si>
  <si>
    <t>Education</t>
  </si>
  <si>
    <t>Rust, Substrate, ink! technical content for rust developers.</t>
  </si>
  <si>
    <t>Metadata for offline signers</t>
  </si>
  <si>
    <t>Software Development</t>
  </si>
  <si>
    <t>UI &amp; Front-end for Asset Conversion pallet (referenda68) - Project Status Update - Delivery Completed</t>
  </si>
  <si>
    <t>A Polkadot Ecosystem App Store</t>
  </si>
  <si>
    <t>Rejecting Gov1.0 Treasury Proposals and Facilitating Bond Reimbursement where applicable</t>
  </si>
  <si>
    <t>Light Clients</t>
  </si>
  <si>
    <t>Smoldot development financing Q3/2023</t>
  </si>
  <si>
    <t>Polkadot Protocol &amp; SDK</t>
  </si>
  <si>
    <t>SmallTipper</t>
  </si>
  <si>
    <t>OnFinality High Performance Public Infrastructure (Q2 2023)</t>
  </si>
  <si>
    <t>DOT holders 🤝 &amp; The Kusamarian 🤖❤️</t>
  </si>
  <si>
    <t>Gosemble Phase 2 - a Framework for building Substrate-compatible Runtimes in Go (Parachains &amp; Solochains)</t>
  </si>
  <si>
    <t>Infrastructure Funding for Polkadot Asset Hub - Migration of Kusama NFTs</t>
  </si>
  <si>
    <t>Community Building</t>
  </si>
  <si>
    <t>Small tip for Polkadot community activation in Finland</t>
  </si>
  <si>
    <t>Milestone 2 and 3 Payment Request – YieldBay: Polkadot’s yield farming dashboard</t>
  </si>
  <si>
    <t>POLKADOT INSIDER - 28 WEEKS OPERATION &amp; GROWTH FUNDING (AUGUST 2023 - FEBRUARY 2024)</t>
  </si>
  <si>
    <t>A small tip for a staking rewards calculator</t>
  </si>
  <si>
    <t>Milestone 3: Polkadot Hackathon Global Series 2023</t>
  </si>
  <si>
    <t>Proposal: OpenZeppelin x Polkadot Ecosystem Growth</t>
  </si>
  <si>
    <t>Refunding Pink Node's GOV1 Treasury Spend Deposit</t>
  </si>
  <si>
    <t>Refunding MIDL.DEV's GOV1 Treasury Spend Deposit</t>
  </si>
  <si>
    <t>Refunding Radium Block's GOV1 Treasury Spend Deposit</t>
  </si>
  <si>
    <t>Refunding CCTF's GOV1 Treasury Spend Deposit</t>
  </si>
  <si>
    <t>SDKs</t>
  </si>
  <si>
    <t>Maintenance for the substrate-api-client Sep-23 to Dec-23</t>
  </si>
  <si>
    <t>An Open Communication Layer For Polkadot</t>
  </si>
  <si>
    <t>Multix - Further development and Cypress Dapp testing plugin</t>
  </si>
  <si>
    <t>Recognising Paradox's Contributions to Reject Gov 1 Proposals and Release Bonds</t>
  </si>
  <si>
    <t>Magnet Proposal: Polkadot’s Smart Contract Docking Station using DOT as Gas Based on the PAYG Model</t>
  </si>
  <si>
    <t>Nova Spektr Milestone 3 Proposal: Dynamic Derivations, WalletConnect v2, Proxy accounts, Cross-chain transfers, Fiat values, EVM addresses &amp; more</t>
  </si>
  <si>
    <t>Proposal: Building a better understanding of blockchain across mainstream global media</t>
  </si>
  <si>
    <t>Create &amp; implement RFC14 - Improve locking mechanism for parachains</t>
  </si>
  <si>
    <t xml:space="preserve">ink!Hub Treasury Proposal </t>
  </si>
  <si>
    <t xml:space="preserve">(VOTE NAY!!) Polkadot Parachain Assets Onramp Bounty Program </t>
  </si>
  <si>
    <t>Recruiting</t>
  </si>
  <si>
    <t>Increasing Hiring Success in Polkadot by Missing Link</t>
  </si>
  <si>
    <t>Subsquid - Public data indexing Infrastructure for Polkadot and Kusama (Q2 2023)</t>
  </si>
  <si>
    <t>KryptosChain Media Support (Continuation) - Big Tipper Request</t>
  </si>
  <si>
    <t>ink! OpenBrush 8-9, 11 milestone delivery</t>
  </si>
  <si>
    <t>Polkadot &amp; Teddy DAO: A New Way to Leverage Charitable Giving in Web3</t>
  </si>
  <si>
    <t>Polkadot System Parachain Collators - Tips - Referenda #151 failed to execute</t>
  </si>
  <si>
    <t>PolkaWorld Ops and Maintenance proposal：2023.10 - 2024.3</t>
  </si>
  <si>
    <t>AIWeb3 Chinese Unit proposal (爱Web3 中文社区提案) - September, 2023 - March, 2024</t>
  </si>
  <si>
    <t>Apillon Platform Milestone 1 Proposal</t>
  </si>
  <si>
    <t>Polkadot Live: Proposal for funding community driven development to initial release.</t>
  </si>
  <si>
    <t>Polkadot Nominator Insight Hub. Spreading the Best Nominator Strategies through TOP Nomination Leaderboards</t>
  </si>
  <si>
    <t>Maintenance &amp; Support Python Libraries (April to September 2023)</t>
  </si>
  <si>
    <t>A French content hub for Polkadot Ecosystem</t>
  </si>
  <si>
    <t>Coinsider Media Campaign for Polkadot</t>
  </si>
  <si>
    <t>Get tip for substrate PR</t>
  </si>
  <si>
    <t>OpenSquare infrastructure products maintenance(2023 Q2 and Q3) and a new batch of features development</t>
  </si>
  <si>
    <t>SubQuery &lt;&gt; Nova Wallet Common API:  Maintenance Cost For Q1-Q2 2023</t>
  </si>
  <si>
    <t>Games</t>
  </si>
  <si>
    <t>Polkadot Unity SDK proposal to become a Verified Solution (Part 1)</t>
  </si>
  <si>
    <t>Dot Leap 2: Let's grow!</t>
  </si>
  <si>
    <t>Polkadot Blockchain Academy - retroactive funding for wave 3 of the Academy held at UC Berkeley this Summer.</t>
  </si>
  <si>
    <t>Polkawatch, Decentralization Analytics, Continued Operation and Development</t>
  </si>
  <si>
    <t>Polkassembly Social Contract | Maintenance proposal Q3 &amp; Q4’23</t>
  </si>
  <si>
    <t>Cryptozilla - retroactive and continuation of video content production. (Big Tipper)</t>
  </si>
  <si>
    <t>Proposal：Polkadot Hackathon 2023 Winter in HongKong</t>
  </si>
  <si>
    <t>Encode latest tranche request</t>
  </si>
  <si>
    <t>Recognizing Alice und Bob and #stakedot</t>
  </si>
  <si>
    <t xml:space="preserve">Polkadot RPC services Dwellir Q3 2023 (retroactive) </t>
  </si>
  <si>
    <t>DOTCAST - Pursuing quality improvement by spreading honest and true awareness.</t>
  </si>
  <si>
    <t>Business Development</t>
  </si>
  <si>
    <t>[TrackingChain] Bring Adoption for Companies: Building Infrastructure for Web2 Integration (Big Tipper Discussion)</t>
  </si>
  <si>
    <t>Educational content maintenance proposal by Cryptonitas</t>
  </si>
  <si>
    <t>Polkadot Weigher</t>
  </si>
  <si>
    <t>Big Tips for Content in Portuguese - Verbo da Sabedoria Channel</t>
  </si>
  <si>
    <t>Incubation</t>
  </si>
  <si>
    <t>Polkadot Relayers 2023 Milestone 2</t>
  </si>
  <si>
    <t>KAGOME – the C++ implementation of Polkadot Host milestone 2</t>
  </si>
  <si>
    <t>Proposal: The operating cost for the research organization Polkadot Ecology Research Institute for 2023/10-2024/3</t>
  </si>
  <si>
    <t>Go-Substrate-Rpc-Client - Retroactive Maintenance Grant (Sept 2021 to Dec 2023)</t>
  </si>
  <si>
    <t>[Retroactive Funding] Dotinsights - A Research Hub &amp; Data Platform for Polkadot &amp; Kusama Ecosystem</t>
  </si>
  <si>
    <t>Advertising/Digital Ads</t>
  </si>
  <si>
    <t>[PRE-IMAGE FIX + RESUBMISSION] Polkadot Ecosystem App Store - Dynamic App Pages &amp; Project Reputation System - dotappstore.com</t>
  </si>
  <si>
    <t>Smoldot development financing Q4/2023</t>
  </si>
  <si>
    <t>Milestone 3 Proposal: Polkadot x EasyA Hackathons at Harvard and in London (#60DaysOfPolkadot)</t>
  </si>
  <si>
    <t>Long Overdue Tip for Leemo's Contributions to the Polkadot Ecosystem</t>
  </si>
  <si>
    <t>KryptosChain en Español (Polkadot ecosystem video content in Spanish) - 12 weeks funding</t>
  </si>
  <si>
    <t>BlockchainBrad Educational &amp; Journalist Content - 6 Months funding</t>
  </si>
  <si>
    <t>PolkaTube: Empowering the Spanish-Speaking Polkadot Ecosystem with RUST Programming, Substrate, and Marketing Content</t>
  </si>
  <si>
    <t>Markedot: Marketplace and marketing with profits for the Polkadot and Kusama  community.</t>
  </si>
  <si>
    <t>Polkadot Pulse 1.0 &amp; Polkadot Networking Night @ IBW, ETHIndia Week</t>
  </si>
  <si>
    <t>Retroactive funding for 73videos about Polkadot ecosystem(波卡梦龙)</t>
  </si>
  <si>
    <t>AfterSide Crypto in Italian (Polkadot ecosystem video content in Italian) - 2 Videos</t>
  </si>
  <si>
    <t>Events/Conference Attendance &amp; Side Events</t>
  </si>
  <si>
    <t>Retroactive tip for Polkadot booth at Hacktivity Security Festival 2023</t>
  </si>
  <si>
    <t>Polkadot Sanctuary: A Journey of Achievements and Innovations in Bali - Retroactive funding</t>
  </si>
  <si>
    <t>Chain Cohort Event Sponsorship - Opportunity to tap more than 1000 developers community and technology university in Vietnam.</t>
  </si>
  <si>
    <t>Title: Polkadot @CoindeskConsensus 2023, April 26-28, 2023 in Austin, Texas</t>
  </si>
  <si>
    <t>Retroactive Funding - Polkasafe Revised Proposal</t>
  </si>
  <si>
    <t>Crafting a Users &amp; Developers Onboarding Funnel</t>
  </si>
  <si>
    <t>Retroactive &amp; Ongoing Funding Rationale: Republik Rupiah - Turning Indonesia into the Polkadot Island's With Education and Community</t>
  </si>
  <si>
    <t>BRA_16-D! Quality improvement of content for the Spanish Comunity by BRA_16-D</t>
  </si>
  <si>
    <t>PROPOSAL FOR ADVANCING DECENTRALIZED FINANCE EDUCATION IN LATIN AMERICA WITH THE POLKADOT ECOSYSTEM</t>
  </si>
  <si>
    <t xml:space="preserve"> Milestone 4: Polkadot Hackathon Global Series 2023 APAC Edition</t>
  </si>
  <si>
    <t>PR</t>
  </si>
  <si>
    <t>PR, Content marketing, Social amplifications proposal</t>
  </si>
  <si>
    <t>substrate-etl Retroactive funding: Q3+Q4 2022-Q1+Q2 2023</t>
  </si>
  <si>
    <t>Cryptor. Polkadot AMAs for 2 largest Russian speaking crypto communities.</t>
  </si>
  <si>
    <t>Altcoin Daily - High impact Polkadot media promotion</t>
  </si>
  <si>
    <t>DECENTRALISEDCHAIN - Low impact Polkadot media promotion</t>
  </si>
  <si>
    <t>Big Tips for Subtitling and Promoting Kusamarian's Gavin Wood Interview</t>
  </si>
  <si>
    <t>6 months Educational Campaign in India - Crypto India</t>
  </si>
  <si>
    <t>AllInCrypto's Strategic Content and Community Engagement Proposal</t>
  </si>
  <si>
    <t>Tip for Adam Steeber's participation in Dot Take</t>
  </si>
  <si>
    <t>TuPrimerBitcoin: Creation of quality content on Youtube to make the Spanish-speaking Polkadot ecosystem more visible.</t>
  </si>
  <si>
    <t xml:space="preserve">Revised Tip Proposal After Community Feedback - Dotgraphic </t>
  </si>
  <si>
    <t>Maria Andersen Crypto | Youtube Media Package Funding</t>
  </si>
  <si>
    <t>Proposal to Fund educational content for MAD CRIPTO MX YouTube Channel and twitter account</t>
  </si>
  <si>
    <t>dApp Marvels 💎 - Ink! Ecosystem growth tool</t>
  </si>
  <si>
    <t>Polkadot System Parachain Collators - Tips Q4/2023</t>
  </si>
  <si>
    <t>Maintenance for the substrate-api-client Jan-24 to Jun-24</t>
  </si>
  <si>
    <t>Holder-targeted Audience Growth w/  Addressable.io &amp; The Kusamarian</t>
  </si>
  <si>
    <t>Nova Wallet 5th Proposal: Cloud backups, Push Notifications, Proxies, Deeplinks, OpenGov improvements, Network management, Reimbursement</t>
  </si>
  <si>
    <t>Advertising/Influencers</t>
  </si>
  <si>
    <t>Supercharge Polkadot's Brand: Collaborative Partnership with (Mario Nawfal) IBC Ventures</t>
  </si>
  <si>
    <t>YouTube Polkadot Round Table Discussion</t>
  </si>
  <si>
    <t>Talisman Wallet - Retroactive Proposal #1</t>
  </si>
  <si>
    <t>Subscan | Infrastructure Costs of Subscan for Polkadot &amp; Westend &amp; Rococo &amp; Statemint &amp; Rockmine  Networks (from January to September 2023)</t>
  </si>
  <si>
    <t>Oracle Ecosystem Initiative</t>
  </si>
  <si>
    <t>https://github.com/paritytech/polkadot-api/pull/200</t>
  </si>
  <si>
    <t>Increase Awareness of Polkadot On-Brand Narratives via Twitter Ads</t>
  </si>
  <si>
    <t>Bitskwela - Bringing Polkadot to the Thriving Philippine Web 3.0 Community</t>
  </si>
  <si>
    <t>Polkadot Brand Awareness Partnership with Real Vision (Raoul Pal)</t>
  </si>
  <si>
    <t>Alpha Airdrop - Polkadot Education Content Creation Proposal (6 months)</t>
  </si>
  <si>
    <t>Corespace Weigher</t>
  </si>
  <si>
    <t>OG Tracker</t>
  </si>
  <si>
    <t>Polkadot Sponsorship @Token 2049, Singapore on September 13th - 14th 2023</t>
  </si>
  <si>
    <t>Polkadot Ecosystem Growth with Key Opinion Leaders</t>
  </si>
  <si>
    <t>Business Expansion with Fintech, Corporate and Institutions in Spain and Andorra</t>
  </si>
  <si>
    <t>Funding for 6 months of Polkadot brand promotion</t>
  </si>
  <si>
    <t>Scholarship for Polkadot Blockchain Academy Founder's Track</t>
  </si>
  <si>
    <t>Polkadot Workshop @ UPR Mayaguez</t>
  </si>
  <si>
    <t>Events/Conference Hosting</t>
  </si>
  <si>
    <t>sub0 Asia 2024 - pre-funding request</t>
  </si>
  <si>
    <t>Staking</t>
  </si>
  <si>
    <t>Polkadot Staking Dashboard: Maintenance and Growth of Polkadot UX Proposal</t>
  </si>
  <si>
    <t>Amplification of important ecosystem posts on X</t>
  </si>
  <si>
    <t xml:space="preserve"> Polkadot Unity SDK proposal to become a Verified Solution (Part 2)</t>
  </si>
  <si>
    <t>Treasury Proposal: An expansive course on Substrate and Polkadot</t>
  </si>
  <si>
    <t>Magnet Milestone 2 Proposal: Polkadot’s Smart Contract Docking Station using DOT as Gas Based on On-demand Coretime Model</t>
  </si>
  <si>
    <t>Events/Meetups</t>
  </si>
  <si>
    <t>Retroactive Funding to Pepe Araucano for the Polkadot Meetup Buenos Aires</t>
  </si>
  <si>
    <t>Bagpipes - Powerful No-code Cross-Chain XCM Dapp and Workflow Builder for the Polkadot Ecosystem 🪄</t>
  </si>
  <si>
    <t>[Retroactive] Funding Development Costs for Dot Code School PoC - An Interactive Coding School to Build Meaningful Web3 Applications using the Polkadot SDK</t>
  </si>
  <si>
    <t>WagMedia - Collective Content Creation for 26 Weeks</t>
  </si>
  <si>
    <t>substrate-etl 2.0: Polkadot + Kusama Data on Dune (12 months, 3/15/24-3/14/25)</t>
  </si>
  <si>
    <t xml:space="preserve">Big Tipper Proposal : Retroactive fund - Meetup Multi Chain 2023 - Curitiba, Brazil </t>
  </si>
  <si>
    <t>2nd installment for the referendum #196 already approved (2/3)</t>
  </si>
  <si>
    <t>Software Services</t>
  </si>
  <si>
    <t>Kalatori — non-custodial Polkadot/AssetHub payment gateway for eCommerce</t>
  </si>
  <si>
    <t>Milestone 4 Report: Polkadot x EasyA Hackathons at Harvard and in London (#60DaysOfPolkadot)</t>
  </si>
  <si>
    <t>Subsquid - Public data indexing Infrastructure for Polkadot and Kusama (Q3 2023)</t>
  </si>
  <si>
    <t xml:space="preserve"> Proposal for retroactive funding of Fellowship product development.</t>
  </si>
  <si>
    <t>Ignite Polkadot | Campaign #1</t>
  </si>
  <si>
    <t>Polkadot Blockchain Academy - funding and reimbursement for costs associated with Wave 4 in Hong Kong.</t>
  </si>
  <si>
    <t xml:space="preserve">Unchained (by Laura Shin) X Polkadot - Sponsorship Proposal </t>
  </si>
  <si>
    <t>Infrastructure funding for Polkadot Asset Hub #2 -  Components</t>
  </si>
  <si>
    <t>Reimburse AssetHub HRMP channel deposit</t>
  </si>
  <si>
    <t>NFT XCM</t>
  </si>
  <si>
    <t>Continuous Coverage on Ivan on Tech for a FULL YEAR</t>
  </si>
  <si>
    <t>Community Memecoin launch marketing campaign</t>
  </si>
  <si>
    <t>Polkadot Decoded 2023, final tranche (June, Copenhagen, DK)</t>
  </si>
  <si>
    <t>A Chain of Blocks - ACOBJason - 6 Months Continual Polkadot EcoSystem News &amp; Explanations</t>
  </si>
  <si>
    <t>Marketing Support NoSpec</t>
  </si>
  <si>
    <t>Finding and fixing a vulnerability in broker-pallet</t>
  </si>
  <si>
    <t>Chopsticks Web for dry run governance proposals and more</t>
  </si>
  <si>
    <t>Maintenance &amp; Support Substrate Python API (Oct-Dec 2023)</t>
  </si>
  <si>
    <t>Representing Polkadot on Radio Intereconomía &amp; BDZ, the Main Spanish Web3 Event</t>
  </si>
  <si>
    <t>ink! + Ethereum RPC = ethink!. Proposal-01: PoC and Prototype.</t>
  </si>
  <si>
    <t>Polkadot Southeast Asia Developer Community Expansion for 1 Year Operation</t>
  </si>
  <si>
    <t>Polkadot Developers Conference // sub0 September 19-20, 2023 in Lisbon, Portugal - Final tranche</t>
  </si>
  <si>
    <t>Polkadot in Finance: A Strategic Partnership Development Proposal</t>
  </si>
  <si>
    <t xml:space="preserve">Behind the Code II' - A Web Documentary series - OpenGov proposal </t>
  </si>
  <si>
    <t>Marketing Support NoSpec Tipper 2</t>
  </si>
  <si>
    <t>PolkaWarriors - Cultivate a robust &amp; collaborative community of Polkadot in Vietnam</t>
  </si>
  <si>
    <t>Big Tip for Content in Portuguese - Verbo DotSama</t>
  </si>
  <si>
    <t>Retroactive tip for Polkadot hackathon brunch in Dubai and Budapest</t>
  </si>
  <si>
    <t>DOT Experts Tip for Hector Bulgarini for Proposal #379: NFT XCM</t>
  </si>
  <si>
    <t>Treasury Proposal: Marketing and media proposal for Polkadot in China</t>
  </si>
  <si>
    <t>Privacy</t>
  </si>
  <si>
    <t>Private Transfers of DOT</t>
  </si>
  <si>
    <t>Retroactive reimburesement for para upgrade fees contributions</t>
  </si>
  <si>
    <t>Retroactive Funding for ORML, Chopsticks, and Subway</t>
  </si>
  <si>
    <t>DOT Experts Tip for OnlyDeFiGuy for Proposal #432 | Bifrost vDOT liquidity loan</t>
  </si>
  <si>
    <t>OpenZeppelin x Polkadot Ecosystem Growth Phase M2</t>
  </si>
  <si>
    <t>Advertising/Physical Ads</t>
  </si>
  <si>
    <t>POLKADOT IRL CAMPAIGN #2 - BERLIN TAXIS</t>
  </si>
  <si>
    <t>Polkadot Branding and Differentiation Partnership with Cointelegraph</t>
  </si>
  <si>
    <t>[Retroactive] SubWallet 14 Months Development</t>
  </si>
  <si>
    <t>Project Glove: Introducing Capital Efficiency and Pseudo-Anonymity on top of OpenGov</t>
  </si>
  <si>
    <t>Redot #1: Polkadot Restaking and Enabling Polkadot DA Capabilities</t>
  </si>
  <si>
    <t>Tip for 2023 Treasury Budget Analysis</t>
  </si>
  <si>
    <t>Tip for Educational Content: OpenGov Thought Leadership</t>
  </si>
  <si>
    <t>3nd installment for the referendum #196 already approved (3/3)</t>
  </si>
  <si>
    <t>Retroactive Funding for Mimir - A Powerful Multisig Management Application For Polkadot Ecosystem</t>
  </si>
  <si>
    <t>Polkadot Hackathon Global Series 2024: North America Edition</t>
  </si>
  <si>
    <t>Polkadot-API: development financing</t>
  </si>
  <si>
    <t>Project Proposal: Integration &amp; Support for  Moonbeam</t>
  </si>
  <si>
    <t>Setup of two Swiss Foundations for DED and Mythos</t>
  </si>
  <si>
    <t>Big Tip for a Portuguese/English educational channel</t>
  </si>
  <si>
    <t>Big Tip For Market Mobster Polkadot Content Since 2020</t>
  </si>
  <si>
    <t xml:space="preserve">NoSpec Content Creator Support. </t>
  </si>
  <si>
    <t>Polkadot Decoded 2024 treasury spend tranche 1/2</t>
  </si>
  <si>
    <t>Small Tips for Retroactive Content</t>
  </si>
  <si>
    <t>Retroactive tip for work done on exchanging a member in the ranked collective</t>
  </si>
  <si>
    <t>Polkassembly Social Contract 2024</t>
  </si>
  <si>
    <t>Polkadot Ecosystem Discord Risk Mitigation</t>
  </si>
  <si>
    <t>Retroactive Tip For Independent Content Creation</t>
  </si>
  <si>
    <t>Funding Development Costs to Expand Dot Code School – Bridging the Gap Between Online Learning and Real-World Web3 Development with Local Coding Environments</t>
  </si>
  <si>
    <t>Polkadot Greece (Retroactive)</t>
  </si>
  <si>
    <t>Proposal: 2024 Polkadot Decoded Asia (Singapore) September 16 -17 (During the Singapore Token 2049 week)</t>
  </si>
  <si>
    <t>LiteSend - remittance service secured by Polkadot</t>
  </si>
  <si>
    <t>Implementing a Polkadot-native system parachain for data storage: Phase 1/3</t>
  </si>
  <si>
    <t>Veles project proposal - Carbon credits pallet</t>
  </si>
  <si>
    <t xml:space="preserve">Swissborg Proposal - A One Month Polkadot Awareness Campaign </t>
  </si>
  <si>
    <t>Treasury Proposal: Futarchy, a New Signal Generating Tech for Polkadot Governance</t>
  </si>
  <si>
    <t>Milestone 1: EasyA x Polkadot Developer Growth via In-Person Hackathons and Crash Courses (#180DaysOfPolkadot)</t>
  </si>
  <si>
    <t>Retroactive funding for developing the RFCs Referenda Bot</t>
  </si>
  <si>
    <t>[Medium Spender] Referendum #506</t>
  </si>
  <si>
    <t>Polkadot sponsorship for LIFT Learning - A Fenasbac + Central Bank of Brazil initiative</t>
  </si>
  <si>
    <t xml:space="preserve">Big Tipper Proposal: ETHDenver Official Afterparty (Bash) Polkadot Airdrop </t>
  </si>
  <si>
    <t>Parachain Runtime Builder - Treasury</t>
  </si>
  <si>
    <t>Representation of Polkadot at the NERDCONF 6th Edition event in Mexico City at the BBVA Tower.</t>
  </si>
  <si>
    <t>Reimbursement for lost pool rewards</t>
  </si>
  <si>
    <t xml:space="preserve"> Polkadot Developer Community in China Expansion for 1 Year Operation</t>
  </si>
  <si>
    <t>Universal Hybrid Substrate Faucet</t>
  </si>
  <si>
    <t>OpenGov Discord Voting Bot Development</t>
  </si>
  <si>
    <t>Talisman Unified Retroactive Proposal #2</t>
  </si>
  <si>
    <t>Token Terminal x Polkadot data partnership - Polkadot ecosystem on Token Terminal and their partner platforms (Bloomberg, MarketVector)</t>
  </si>
  <si>
    <t>Polkadot Pulse Dubai Edition &amp; Networking Night @ Token2049, Dubai</t>
  </si>
  <si>
    <t>{bash} Events (the PMEI team) - a music and technology sandbox | onboarding users into Polkadot through music</t>
  </si>
  <si>
    <t>Tip for maintenance of the ORML pallets</t>
  </si>
  <si>
    <t>Polkadot Hydration: Liquidity Incentives</t>
  </si>
  <si>
    <t>Pinkdrop: Powering User Engagement and Ecosystem Growth</t>
  </si>
  <si>
    <t>Proposal: Codigo Brazuca + Polkadot Brazil - Tech Academy - from Basic to Advanced  -  8 Months Track</t>
  </si>
  <si>
    <t>Retroactive Tip For Solo Content Creation</t>
  </si>
  <si>
    <t>PolkaWorld Ops and Maintenance proposal：2024.4 - 2025.4</t>
  </si>
  <si>
    <t>Continuation of work through Messari Protocol Services</t>
  </si>
  <si>
    <t>StellaSwap Incentive Program</t>
  </si>
  <si>
    <t>RegionX | Coretime Marketplace for Polkadot</t>
  </si>
  <si>
    <t>Polkadot Blockchain Academy - Wave 5 in person and remote - Singapore 20th May to 20th June 2024</t>
  </si>
  <si>
    <t>Polkadot @ Coindesk Consensus</t>
  </si>
  <si>
    <t xml:space="preserve">Polkadot Advertising Campaign on Brave Browser - Top-Up Request </t>
  </si>
  <si>
    <t>Polkadot P2P Network Health Weekly Reports</t>
  </si>
  <si>
    <t>Funding for Decentralized Social Media Editorial Board</t>
  </si>
  <si>
    <t>Polkadot Agents Program - Phase 1</t>
  </si>
  <si>
    <t>Telenova: Polkadot Wallet built into Telegram. Retroactive Funding for 6 months</t>
  </si>
  <si>
    <t>Polkadot x The Tie Partnership to Increase Institutional Exposure and Access</t>
  </si>
  <si>
    <t>Advertising/Sponsorships</t>
  </si>
  <si>
    <t>Conor Daly Indy500 Replacement Ref</t>
  </si>
  <si>
    <t xml:space="preserve">PolkaBot.AI - Decentralized AI education hub on Polkadot </t>
  </si>
  <si>
    <t>Subsquid Migration to ArrowSquid &amp; Indexing Upgrades</t>
  </si>
  <si>
    <t>ink! Analyzer: Retroactive funding for ink! v5 support</t>
  </si>
  <si>
    <t>Discord Governance Bot Self Tip Request - 0xTaylor</t>
  </si>
  <si>
    <t>Proposal for Polkadot OpenGov Funding: WEB3DEV Bootcamp for Rust and Pallets Learning</t>
  </si>
  <si>
    <t>Tip for Adam Steeber + Kusamarian concerning #514 Conor Daly - 2024 Indianapolis 500 Sponsorship</t>
  </si>
  <si>
    <t>Subsquare polkadot fellowship support milestone 1</t>
  </si>
  <si>
    <t>TEACHMEDEFI - Growing Polkadot’s Mindshare in the Crypto Space</t>
  </si>
  <si>
    <t>DOTCAST /This_is_the_DOT</t>
  </si>
  <si>
    <t>OG Tracker 2.0</t>
  </si>
  <si>
    <t>Polkadot in Spanish X account and Marketing Decentralization</t>
  </si>
  <si>
    <t>Maintenance &amp; Support Substrate Python API (Jan-Mar 2024)</t>
  </si>
  <si>
    <t>#644 Polkadot - Sports Sponsorship Fund</t>
  </si>
  <si>
    <t>The Block x Polkadot</t>
  </si>
  <si>
    <t>Magnet Milestone 3 Proposal: An Appchain Tech Stack leverages the Coretime Model to enhance DOT use cases and facilitate Polkadot's growth</t>
  </si>
  <si>
    <t>POLKADOT IRL CAMPAIGN #5 - POLKADOT X LYFT NYC</t>
  </si>
  <si>
    <t>PolkaBiz  - Where founders forge investment-ready innovations.</t>
  </si>
  <si>
    <t>Tip for Polkadot Presentation at Vienna Crypto Meetup</t>
  </si>
  <si>
    <t>Tip Request for @OnlyDeFiGuy for the Expert Report on Referendum #561</t>
  </si>
  <si>
    <t>Polkadot Beam Sponsorship at ETHPrague 2024</t>
  </si>
  <si>
    <t>⧓ Apillon Platform - Milestone 2 Proposal</t>
  </si>
  <si>
    <t>Retroactive Tip for Portuguese Content Creation</t>
  </si>
  <si>
    <t>52 Weeks of Kus Coverage ❤️🤖</t>
  </si>
  <si>
    <t>Retrospective Funding Proposal of the Polkadot HK Event</t>
  </si>
  <si>
    <t>Infinity Wallet - A unique native desktop Wallet &amp; Web3 Browser - Milestone 1</t>
  </si>
  <si>
    <t>Retroactive self-tip Request for Maintenance and Ongoing Development Validator Dashboard and Services</t>
  </si>
  <si>
    <t>Retroactive Polkadot Event in Guadalajara Mexico - Talent Land 2024</t>
  </si>
  <si>
    <t>Improving Polkadot’s Presence In the U.S. With The Texas Blockchain Council</t>
  </si>
  <si>
    <t>Nova Spektr Milestone 4 Proposal: OpenGov voting and delegation, Support for complex account structures, Flexible multisigs, Operation basket, Assets Portfolio view, Fellowship voting, Web-hosted app</t>
  </si>
  <si>
    <t>Polkadot Aligned Sponsorship at Proto Layers @ Prague [cancelled]</t>
  </si>
  <si>
    <t>Pop Network | Enabling simple and powerful smart contract development, with DOT</t>
  </si>
  <si>
    <t xml:space="preserve">Polkadot Q2 Marketing Campaigns by Distractive </t>
  </si>
  <si>
    <t xml:space="preserve"> Integration of Avata with the Polkadot Ecosystem</t>
  </si>
  <si>
    <t>G6 Networks: Polkadot Ecosystem Expansion with Institutions</t>
  </si>
  <si>
    <t>Polkadot-API: Apr-Jul development financing</t>
  </si>
  <si>
    <t>Sponsorship and Side Event: Merge Madrid</t>
  </si>
  <si>
    <t>The operating cost for the research organization Polkadot Ecology Research Institute for 2024/4-2025/3</t>
  </si>
  <si>
    <t>Ecosystem Services</t>
  </si>
  <si>
    <t>BlockDeep Labs: Ecosystem Services Proposal for Polkadot Treasury</t>
  </si>
  <si>
    <t xml:space="preserve">Elevating the Polkadot Ecosystem: Encode x Polkadot Programme 2024 </t>
  </si>
  <si>
    <t>Ongoing Development of Gossamer (16 months)</t>
  </si>
  <si>
    <t>Retroactive Funding Request for PolkadotPrague 2023 Marketing Costs</t>
  </si>
  <si>
    <t>Tip Request for Fardeen Haque for Awesome Dot</t>
  </si>
  <si>
    <t xml:space="preserve">Top Up for Polkadot at Consensus </t>
  </si>
  <si>
    <t>Polkadot @ Coinfest Asia 2024</t>
  </si>
  <si>
    <t>TIP: Gamer Streaming Reimbursement</t>
  </si>
  <si>
    <t>ink! + Ethereum RPC = ethink!. Proposal-02: Getting Testnet-Ready.</t>
  </si>
  <si>
    <t>The Gray Paper Interview' Retrospective Funding for Post-Production</t>
  </si>
  <si>
    <t>Polkadot Insider 52 weeks Operation (May 2024 - May 2025)</t>
  </si>
  <si>
    <t>Tip Ajay Dhore for transferring the polkadot_api npm package</t>
  </si>
  <si>
    <t>Proposal: Establish the Polkadot Community Foundation to represent DOT holders IRL</t>
  </si>
  <si>
    <t>Decoded 2024 Sponsorship for active community members</t>
  </si>
  <si>
    <t>Reimbursement - Polkadot Pulse Dubai Edition &amp; Polkamix w/ Afrojack @ Token2049, Dubai</t>
  </si>
  <si>
    <t>Onboarding Established Generative Artists to Polkadot Asset Hub and driving user engagement</t>
  </si>
  <si>
    <t>Polkadot Blockchain Academy Wave 5 Singapore - Demo day seed prize fund proposal</t>
  </si>
  <si>
    <t>CoinMarketCap x Polkadot 6 months integration (Renewable)</t>
  </si>
  <si>
    <t>Runtime Verification: Advanced Rust Property Test Verification for Polkadot Ecosystem</t>
  </si>
  <si>
    <t>Polkadot @ Blockchain Rio 2024</t>
  </si>
  <si>
    <t>Learn Polkadot Tip for Polkadot Brand Being Elevated by Conor Daly and Inter Miami</t>
  </si>
  <si>
    <t>Test the brand-new spend() extrinsic (resubmission of 708)</t>
  </si>
  <si>
    <t>Open source alternative to centralized polkadot API gateways and node as a service</t>
  </si>
  <si>
    <t>POLKADOT IRL CAMPAIGN #6 - THE CITY &amp; CANARY WHARF, LONDON UK</t>
  </si>
  <si>
    <t>Retroactive Payments for {bash} + adding Zebu Live Official Closing Party</t>
  </si>
  <si>
    <t>HEROIC x Polkadot sponsorship</t>
  </si>
  <si>
    <t>The JAM Spring Time Tour &amp; Top Up - The Kus x Key Pictures</t>
  </si>
  <si>
    <t>Retroactive Tip - Reimbursement for Miami trip wrt Polkadot x Inter Miami proposal</t>
  </si>
  <si>
    <t>OG Tracker 2.0 Top Up</t>
  </si>
  <si>
    <t>Recovering lost funds for local initiative</t>
  </si>
  <si>
    <t>2nd Milestone Request for Rewards and Fees for Polkadot Prodigy Hackathon 2024</t>
  </si>
  <si>
    <t>AIWeb3 Chinese Unit(爱Web3 中文社区) operation June. 2024 - Dec. 2024</t>
  </si>
  <si>
    <t>DOTphin Event Multipass by Sovereign Nature with WalletConnect integration &amp; upgradeable, dynamic NFTs by Unique Network</t>
  </si>
  <si>
    <t>Proposal: Funding for Design and Development of XCQ, the Cross-Consensus Query Language</t>
  </si>
  <si>
    <t>ink! Analyzer: Retroactive funding for ink! 4.x to 5.0 migration features, and other major improvements (56,750 USDT)</t>
  </si>
  <si>
    <t>Developer tools for Polkadot-API</t>
  </si>
  <si>
    <t>Top-up of Proposal 657 due to DOT price change.</t>
  </si>
  <si>
    <t>Maintenance for the substrate-api-client Jul-24 to Dec-24</t>
  </si>
  <si>
    <t>Untitled</t>
  </si>
  <si>
    <t>[Retroactive] RegionX Corehub | Parachain management</t>
  </si>
  <si>
    <t>Security</t>
  </si>
  <si>
    <t>Polkadot Ecosystem vCISO Program w/Spearbit</t>
  </si>
  <si>
    <t>DOTCAST /This_is_the_DOT Top Up</t>
  </si>
  <si>
    <t>Presentation on Augmented Reality Advertising for Polkadot by Overthereality</t>
  </si>
  <si>
    <t xml:space="preserve">Polkadot in Spanish Editorial Board and Marketing Top Up </t>
  </si>
  <si>
    <t>Open-Source Registrar Development Continuity</t>
  </si>
  <si>
    <t>A reactive library for building Substrate front-end</t>
  </si>
  <si>
    <t>Polkadot Business Development in Brazil - Continuation of Operations</t>
  </si>
  <si>
    <t xml:space="preserve"> Free Beer Stand &amp; BD/Networking Space at Polkadot Decoded</t>
  </si>
  <si>
    <t>Polkadot.js UI Bug When Initiating A Parathread for Parachain Auction</t>
  </si>
  <si>
    <t>StorageHub’s Codebase Audit</t>
  </si>
  <si>
    <t>Referendum 631 top up due to DOT price change</t>
  </si>
  <si>
    <t>Advertising</t>
  </si>
  <si>
    <t>VIRTUNE AB X POLKADOT - ETP CAMPAIGN, SWEDEN &amp; THE NORDICS</t>
  </si>
  <si>
    <t>Retroactive Sponsorship Reimbursement for Polkadot CCTF Yacht event at Token 2049, Dubai</t>
  </si>
  <si>
    <t xml:space="preserve">BD &amp; Marketing Proposal. Polkadot as the preferred network of chains for digitizing financial assets and similar real world assets </t>
  </si>
  <si>
    <t>Polkadot Education - Polkadot Onboarding for Business</t>
  </si>
  <si>
    <t>Treasury proposal for renewal of API licenses for Blockexplorers</t>
  </si>
  <si>
    <t>Big Tips for Content in Portuguese - JOÃO HAZIM - 440 DOT</t>
  </si>
  <si>
    <t>RE-SUBMISSION OF REF #734 - BERLIN TAXI REFILL</t>
  </si>
  <si>
    <t>Decoded 2024:  PopUp Hub for the community</t>
  </si>
  <si>
    <t>Volatility adjustment for REF651 and REF742</t>
  </si>
  <si>
    <t>Kudos: Unlocking the Full Potential of Polkadot’s Developer Community</t>
  </si>
  <si>
    <t>Retroactive - Participation of Polkadot in Unlock summit 2024 Mexico, Puebla Talk + Workshop</t>
  </si>
  <si>
    <t>JUST Retroactive Compensation for Contributions to the Polkadot Ecosystem</t>
  </si>
  <si>
    <t xml:space="preserve">Polkadot London Event - Dawn of RWAs </t>
  </si>
  <si>
    <t>Advertising/Platform Integrations</t>
  </si>
  <si>
    <t>Verified Organization Badges on Twitter/X for Parachains, Top Wallets &amp; Comms Channels</t>
  </si>
  <si>
    <t>Kampela Productizing Proposal, Redux</t>
  </si>
  <si>
    <t>Proposal: OpenZeppelin x Polkadot Ecosystem Growth Phase M3</t>
  </si>
  <si>
    <t>Asia Blockchain Summit 2024 Sponsorship</t>
  </si>
  <si>
    <t>Requesting "Top Up" of Approved Ref #644 due to DOT price change</t>
  </si>
  <si>
    <t>2024 Polkadot Hackathons (September 2024 in Singapore and November 2024 in Bangkok)</t>
  </si>
  <si>
    <t xml:space="preserve"> Top Up request: Universal Hybrid Substrate Faucet</t>
  </si>
  <si>
    <t>"Reward Mode" - Unlocking Gaming Rewards with Polkadot.  TapNation is introducing 734,366 new users to the Polkadot ecosystem, adding 73,437 new wallets every month throughout the partnership period.</t>
  </si>
  <si>
    <t>Treasury Proposal: Polkadot Bounty Manager UI Development</t>
  </si>
  <si>
    <t>Ecosystem Agent Tip for Adam Steeber's bounty &amp; multisig tutorial</t>
  </si>
  <si>
    <t>Top Up | RegionX Coretime Marketplace for Polkadot</t>
  </si>
  <si>
    <t>PROPOSAL -  FHE-WASM Research and Development for the Polkadot Ecosystem</t>
  </si>
  <si>
    <t xml:space="preserve">Polkadot User Segments &amp; Conversions 👨‍👩‍👧‍👦 for Ink!, Pallets &amp; XCM </t>
  </si>
  <si>
    <t>KAGOME – the C++ implementation of Polkadot Host milestone 3</t>
  </si>
  <si>
    <t>Top up | HEROIC x Polkadot sponsorship due to DOT price drop</t>
  </si>
  <si>
    <t>Polkasafe - The 360° multisig solution for Polkadot | Last Retroactive Funding Proposal</t>
  </si>
  <si>
    <t>Continuation and Salary Request for Editorial Board in Spanish Members</t>
  </si>
  <si>
    <t xml:space="preserve">Phink – ink! fuzzer for security and robustness  </t>
  </si>
  <si>
    <t>Top-up of Proposal 751 due to DOT price change</t>
  </si>
  <si>
    <t>Bridge</t>
  </si>
  <si>
    <t>Snowbridge Launch and Treasury Proposal</t>
  </si>
  <si>
    <t>Small Tip Proposal: We live in a society</t>
  </si>
  <si>
    <t>Reactive DOT: funding request for continuation of development</t>
  </si>
  <si>
    <t>Proposal to Tip Art Curators and a Polkadot Candidate Ambassador in the UAE.</t>
  </si>
  <si>
    <t>Proposal: Request for DOT Top-Up to Cover Price Difference</t>
  </si>
  <si>
    <t>Retroactive Tip for the development of LiteScan - A lightweight indexer for Polkadot Chains</t>
  </si>
  <si>
    <t xml:space="preserve">dAppForge - AI powered plug-in for Polkadot developers that reduces development time. </t>
  </si>
  <si>
    <t>Subsquid - Public data indexing Infrastructure for Polkadot and Kusama (Q4 2023)</t>
  </si>
  <si>
    <t>Incognitee: Privacy Sidechain on Paseo (Retroactive)</t>
  </si>
  <si>
    <t>Subsquare polkadot collectives support milestone 2</t>
  </si>
  <si>
    <t>Refunding Polkadot Ecology Research Institute GOV1 Treasury Spend Deposit</t>
  </si>
  <si>
    <t>[Small Tipper] Referendum #1025 - Creating a new vision for Polkadot Ambassador Program</t>
  </si>
  <si>
    <t>AssetPortal (Milestone 1)</t>
  </si>
  <si>
    <t>Behind the Code II: Additional Funding for more episodes of Web3 Thinkers/Builders and Top-up on treasury #604 payout</t>
  </si>
  <si>
    <t>Creating a standardized interview for Head Ambassadors</t>
  </si>
  <si>
    <t>ink! 5.0 Codebase Security Audit</t>
  </si>
  <si>
    <t>Polkadot OpenGov TOP-UP KILLER: utility.batch treasury.spends with USDC + USDT</t>
  </si>
  <si>
    <t>50 Polkadot Ecosystem PR campaigns in the most influential media</t>
  </si>
  <si>
    <t>Subscan | Infrastructure Costs of Subscan for Polkadot &amp; Westend &amp; Rococo &amp; Statemint &amp; Rockmine  Networks (from October 2023 to June 2024)</t>
  </si>
  <si>
    <t>Make the next Polkadot Hub official in Budapest, Hungary</t>
  </si>
  <si>
    <t>Polkadot Live: Milestone 2 Development Proposal</t>
  </si>
  <si>
    <t>[Small Tipper] Referendum #1061</t>
  </si>
  <si>
    <t>Tip for exposing Michiko Watanabe</t>
  </si>
  <si>
    <t>Deposit DOT into parachain child accounts to accelerate opening XCM channels</t>
  </si>
  <si>
    <t>PlutoWallet 1st proposal: Account abstraction, Full featured NFT support, Transaction Analyzer</t>
  </si>
  <si>
    <t>Retroactive tip request for retro posters</t>
  </si>
  <si>
    <t>Legal</t>
  </si>
  <si>
    <t>Polkadot App - PCF IP Rights &amp; Funding for publishing the app</t>
  </si>
  <si>
    <t>Tip Sourav for PSVM Merge Request #23</t>
  </si>
  <si>
    <t xml:space="preserve">The Dots Magazine - 2nd proposal </t>
  </si>
  <si>
    <t>(Already passed as 1072, but didn't execute) Solidity smart contract tooling - research for AssetHub/Plaza</t>
  </si>
  <si>
    <t>[Small Tipper] Referendum #1100 - Creation of Head Ambassador pages in PolkadotJS apps</t>
  </si>
  <si>
    <t>Kheopswap retroactive funding</t>
  </si>
  <si>
    <t>Polkadot-API: Aug 2024 - Jan 2025 development financing</t>
  </si>
  <si>
    <t>"sub0 RESET" @Devcon Bangkok - back to the roots</t>
  </si>
  <si>
    <t>Cyborg Network: Unlocking the Web 2.5 potential of Polkadot with Blockchain powered Edge Computing</t>
  </si>
  <si>
    <t>[Retroactive] SubWallet 08 Months Development</t>
  </si>
  <si>
    <t>[Small Tip] NFT Portal update and ownership adquisition</t>
  </si>
  <si>
    <t>Polkadot Blockchain Academy; PBA-X production and launch, Wave 6 production and execution. September 2024 to the end of March 2025.</t>
  </si>
  <si>
    <t>Polkawatch, Decentralization Analytics, Retroactive Infrastructure and Maintenance Q1-Q3 2024</t>
  </si>
  <si>
    <t>EasyA x Polkadot - Developer Growth via In-Person Hackathons and Crash Courses (#180DaysOfPolkadot): Milestones 1 &amp; 2 Report</t>
  </si>
  <si>
    <t>Bitskwela - Expanding Polkadot to the Thriving Philippine Web 3.0 Community</t>
  </si>
  <si>
    <t>[Small Tipper] Tip for Creating a UI for the Substrate Kitties Tutorial</t>
  </si>
  <si>
    <t>Only Retroactive Funding Proposal: Completed Remarker Development</t>
  </si>
  <si>
    <t>Tip for 4+ Years of Phunky Polkadot Activism</t>
  </si>
  <si>
    <t>Child Bounties</t>
  </si>
  <si>
    <t>#</t>
  </si>
  <si>
    <t>last_status_change</t>
  </si>
  <si>
    <t>USD latest</t>
  </si>
  <si>
    <t>evaluated Category</t>
  </si>
  <si>
    <t>evaluated Subcategory</t>
  </si>
  <si>
    <t>description</t>
  </si>
  <si>
    <t>Bounty</t>
  </si>
  <si>
    <t>Anti-Scam</t>
  </si>
  <si>
    <t>Child Bounty 1 - March 2022 - Dubstard</t>
  </si>
  <si>
    <t>Child Bounty 1 - March 2022 - pastaMan</t>
  </si>
  <si>
    <t>Child Bounty 1 - March 2022 - frankywild</t>
  </si>
  <si>
    <t>Child Bounty 10 - March and April reward for General Curator Mark Crince</t>
  </si>
  <si>
    <t>Child Bounty 10 - March and April reward for General Curator Abdulbee</t>
  </si>
  <si>
    <t>Child Bounty 1 - April 2022 - Dubstard</t>
  </si>
  <si>
    <t>Child Bounty 1 - April 2022 - pastaMan</t>
  </si>
  <si>
    <t>Child Bounty 1 - April 2022 - frankywild</t>
  </si>
  <si>
    <t>Child Bounty 1 - April 2022 - Vegas_life</t>
  </si>
  <si>
    <t>Child Bounty 11 - April 2022 - Vegas life</t>
  </si>
  <si>
    <t>Child Bounty 11 - April 2022 - Dubstard</t>
  </si>
  <si>
    <t>Child Bounty 11 - April 2022 - Frankywild</t>
  </si>
  <si>
    <t>Child Bounty 11 - April 2022 - pastaMan</t>
  </si>
  <si>
    <t>Task 10 - May 2022 - Mark Crince Dot Control</t>
  </si>
  <si>
    <t>Task 10 - May 2022 - Abdulbee</t>
  </si>
  <si>
    <t>Task 1 - May 2022 - franky wild</t>
  </si>
  <si>
    <t>Task1- May 2022 - pastaman</t>
  </si>
  <si>
    <t>Task 11 - May 2022 - frankywild</t>
  </si>
  <si>
    <t>Task 11 - May 2022 - pastaman</t>
  </si>
  <si>
    <t>Task 2b - Database for sites takedown - pastaMan</t>
  </si>
  <si>
    <t>Task 10 - June 2022 - Mark Crince</t>
  </si>
  <si>
    <t>Task 11 - June 2022 - Frankywild</t>
  </si>
  <si>
    <t>Task 11 - June 2022 - PastaMan</t>
  </si>
  <si>
    <t>Task 10 - June 2022 - Abdulbee</t>
  </si>
  <si>
    <t>Task 1 - June 2022 - Frankywild</t>
  </si>
  <si>
    <t>Task 1 - June 2022 - PastaMan</t>
  </si>
  <si>
    <t>Task 1 - June 2022 - Tim Janssen</t>
  </si>
  <si>
    <t>Task 2b - July 2022 - Tim Janssen</t>
  </si>
  <si>
    <t>July 2022 - Task 10 - Abdulbee</t>
  </si>
  <si>
    <t>July 2022 - Task 11 - Frankywild</t>
  </si>
  <si>
    <t>July 2022 - Task 11 - pastaMan</t>
  </si>
  <si>
    <t>July 2022 - Task 11 - Tim Janssen</t>
  </si>
  <si>
    <t>https://github.com/paritytech/frontier/security/advisories/GHSA-hc8w-mx86-9fcj</t>
  </si>
  <si>
    <t>Typeform yearly subscription</t>
  </si>
  <si>
    <t>Task 11 - July 2022 - PastaMan</t>
  </si>
  <si>
    <t>Task 11 - July 2022 - Frankywild</t>
  </si>
  <si>
    <t>Task 11 - July 2022 - Tim Jansen</t>
  </si>
  <si>
    <t>Task 1 - August 2022 - PastaMan</t>
  </si>
  <si>
    <t>Task 1 - August 2022 - Frankywild</t>
  </si>
  <si>
    <t>Task 1 - August 2022 - Tim Janssen</t>
  </si>
  <si>
    <t>Task 11 - August 2022 - frankywild</t>
  </si>
  <si>
    <t>Task 11 - August 2022 - pastaMan</t>
  </si>
  <si>
    <t>Task 11 - August 2022 - Tim Janssen</t>
  </si>
  <si>
    <t>Task 10 - August 2022 - Abdulbee</t>
  </si>
  <si>
    <t>Task 10 - August 2022 - BERRYZ</t>
  </si>
  <si>
    <t>Task 2c - Educational material on how to detect scam sites and submit them for takedown - frankywild</t>
  </si>
  <si>
    <t>Polkadot Metaverse Olympics - Budapest - Six</t>
  </si>
  <si>
    <t>Polkadot World conference - Madrid - Albert Burgos</t>
  </si>
  <si>
    <t>April Event in Paris; "Polkadot Ecosystem Talks; Parachains and Beyond" Zoe Meckbach</t>
  </si>
  <si>
    <t>Polkadot Event in Berlin (May) - Polkadot Ecosystem talks - Building Metaverse and NFT Infrastructure- Zoe Meckbach</t>
  </si>
  <si>
    <t>September Event in Berlin; "UI/UX in Web3 and Beyond" Zoe Meckbach</t>
  </si>
  <si>
    <t>Vietnam Blockchain Summit side event - October'22 - SubWallet + ecosystem partners</t>
  </si>
  <si>
    <t>Task 1 - September 2022 - PastaMan</t>
  </si>
  <si>
    <t>Task 1 - September 2022 - Frankywild</t>
  </si>
  <si>
    <t>Task 1 - September 2022 - Tim Janssen</t>
  </si>
  <si>
    <t>Task 10 - Septebmer 2022 - BERRYZ</t>
  </si>
  <si>
    <t>Task 10 General curator reward- Abdulbee</t>
  </si>
  <si>
    <t xml:space="preserve">Task 11: Maintenance of phishing repo- frankywild </t>
  </si>
  <si>
    <t>Task 11: Maintenance of phishing repo- pastaMan</t>
  </si>
  <si>
    <t>Task 11: Maintenance of phishing repo- Tim Janssen</t>
  </si>
  <si>
    <t>Task 2b - October 2022 - Tim Janssen</t>
  </si>
  <si>
    <t>Polkadot meetups in Dodoma - Nicholaus Ngailo</t>
  </si>
  <si>
    <t>DOTBrno - Damsky - November 10 2022</t>
  </si>
  <si>
    <t>Sub0 side events: Breakfasts - November 28-29 - Alexandra Heller</t>
  </si>
  <si>
    <t>Sub0 Dinner - Appilon - Phala - Lisbon Nov. 29</t>
  </si>
  <si>
    <t>Task 5 - October 2022 - Frankywild</t>
  </si>
  <si>
    <t>Task 5 - October 2022 - Tim Janssen</t>
  </si>
  <si>
    <t>Task 11 - October 2022 - Frankywild</t>
  </si>
  <si>
    <t>Task 11 - October 2022 - PastaMan</t>
  </si>
  <si>
    <t>Task 11 - October 2022 - Tim Janssen</t>
  </si>
  <si>
    <t>Task 10 - October 2022 - BerryZ</t>
  </si>
  <si>
    <t>Task 1: Detection and takedown of scam/phishing sites- pastaMan</t>
  </si>
  <si>
    <t>Task 1: Detection and takedown of scam/phishing sites- frankywild</t>
  </si>
  <si>
    <t>Task 1: Detection and takedown of scam/phishing sites- Tim Janssen</t>
  </si>
  <si>
    <t>Task 10 - October 2022 - Abdulbee</t>
  </si>
  <si>
    <t>Task 2b: Database for DNS registrars- Tim Janssen</t>
  </si>
  <si>
    <t>Polkadot Meetups in Munich - September and October - Saro Posa</t>
  </si>
  <si>
    <t>Task 7 - Milestone 1 - Themanwithoutaname</t>
  </si>
  <si>
    <t>Task 7 - Milestone 1 - Tim Janssen</t>
  </si>
  <si>
    <t>Task 7 - Milestone 1 - Maarmapa</t>
  </si>
  <si>
    <t>Polkadot Meetup at the Nile University in Abuja on May 12 by Maimunat Ibrahim</t>
  </si>
  <si>
    <t>Polkadot Meetups in Kampala - From March 31 to October 28, 2022 - Kamala Immaculate</t>
  </si>
  <si>
    <t>Introduction to Polkadot for developers - with the Macedonia Blockchain Group - October 12 - Dimche Risteski</t>
  </si>
  <si>
    <t xml:space="preserve">Vietnam Blockchain Summit side event - Second distribution - October'22 - SubWallet + ecosystem partners </t>
  </si>
  <si>
    <t>Polkadot Meetup in Brno - May 16, 2022 - Petr Mensik</t>
  </si>
  <si>
    <t>Polkadot Community Meetup in Berlin - Nov 7, 2022 - Carina Hahn</t>
  </si>
  <si>
    <t>Polkadot meetups in Kigali - From January 26 to September 30, 2022 - Joab Niwagaba</t>
  </si>
  <si>
    <t>Polkameetup Latam in Santiago - January 14, 2022 - Maarmapa Maldonado</t>
  </si>
  <si>
    <t>Task 4: Discord Tools-Milestone1-Bread</t>
  </si>
  <si>
    <t>The Sub0 Well-Being Retreat - Nov. 27-29, 2022 - Yip Ta</t>
  </si>
  <si>
    <t>Sub0 Opening Event - Lisbon - 27th November 2022</t>
  </si>
  <si>
    <t>ParisDotComm - July 29-21, 2022 - Team rewards</t>
  </si>
  <si>
    <t>ParisDotComm - July 29-21, 2022 - Team rewards (part 2 - issue with plancks on child bounty 93)</t>
  </si>
  <si>
    <t>Polkadot LATAM Day - December 15 - Mario Maldonado</t>
  </si>
  <si>
    <t>Polkadot Meetup in Mexico - December 17 - Polkadot Mexico</t>
  </si>
  <si>
    <t>Polkadot Meetups in Madrid - July 18 and Sept 1 - Guillermo and Rossmarie</t>
  </si>
  <si>
    <t>reimbursement of funds for setting up anti-scam executive team accounts - Frankywild</t>
  </si>
  <si>
    <t>Task 1 - November 2022 - Pastaman</t>
  </si>
  <si>
    <t>Task 1 - November 2022 - Frankywild</t>
  </si>
  <si>
    <t>Task 1 - November 2022 - Tim Janssen</t>
  </si>
  <si>
    <t>Task 10 (General curator reward) - November 2022 - Mims4life</t>
  </si>
  <si>
    <t>Task 11: Maintenance of phishing repo- frankywild</t>
  </si>
  <si>
    <t>Polkadot Unbounded in BKK - Demember 10th - Phala and Polkadot Ambassadors</t>
  </si>
  <si>
    <t>Task 10 (General curator reward) - November 2022 - Kamala Immaculate</t>
  </si>
  <si>
    <t>Task 5 - Fixed child curator reward - November 2022 - Mims4life</t>
  </si>
  <si>
    <t>Task 10 (General curator reward) - November 2022 - Abdulbee</t>
  </si>
  <si>
    <t>Task 2b (Database for DNS registrars) - November 2022 - Tim Janssen</t>
  </si>
  <si>
    <t>3 side events during the Polkadot Blockchain Academy in BA</t>
  </si>
  <si>
    <t>Polkadot Metaverse Olympics - Budapest - Six - second payout</t>
  </si>
  <si>
    <t>Polkadot World - Madrid - Albert - 2nd payout</t>
  </si>
  <si>
    <t>Task 2b- Database of DNS registrars- Tim Janssen- December 2022</t>
  </si>
  <si>
    <t>Task 11 - December 2022 - frankywild</t>
  </si>
  <si>
    <t>Task 11 - December 2022 - PastaMan</t>
  </si>
  <si>
    <t>Task 11 - December 2022 - Tim Janssen</t>
  </si>
  <si>
    <t>Task 1: Detection and takedown of scam/phishing sites -December 2022 - pastaMan</t>
  </si>
  <si>
    <t>Task 1: Detection and takedown of scam/phishing sites -December 2022 -frankywild</t>
  </si>
  <si>
    <t>Task 1: Detection and takedown of scam/phishing sites -December 2022 - Tim Janssen</t>
  </si>
  <si>
    <t>Task 5 - December 2022 - Frankywild</t>
  </si>
  <si>
    <t>Task 5 - December 2022 - Tim Janssen</t>
  </si>
  <si>
    <t>Bond for Anti-Scam bounty top-up</t>
  </si>
  <si>
    <t>Polkadot Meetups in Gulu - Brian Ahimbisibwe - Jan.30 - April 3 - June 12 2022</t>
  </si>
  <si>
    <t>Polkadot Meetups in Goma - Abraham Mugisha - Jan.30 -&gt; Sept 31 2022</t>
  </si>
  <si>
    <t>Academy Open Nights - Jose Belossi (Pepe) - Jan 19th, 25th, and Feb 1st, 2023</t>
  </si>
  <si>
    <t>Polkadot Event Mexico City - Cesar Garcia Escobedo - Aug 20-22, 2022</t>
  </si>
  <si>
    <t>Polkadot in USe - EthDenver side event - by WebZero</t>
  </si>
  <si>
    <t>Polkadot meetup in Soroti - Sept. 17, 2022 - Okot Joshua</t>
  </si>
  <si>
    <t>Bounty Curator Fee: September - December 2022 - Zoe Meckbach</t>
  </si>
  <si>
    <t>Bounty Curator Fee: September - December 2022 - Mark Ryan</t>
  </si>
  <si>
    <t>Polkadot World 2nd Edition - Feb. 24 in Madrid - Rossmarie and Georgi</t>
  </si>
  <si>
    <t>The Future of Polkadot event - Sub0 - November 30, 2022</t>
  </si>
  <si>
    <t>Polkadot Meetup Feb. 11, 2023 - Central Asia - Alex PromoTeam</t>
  </si>
  <si>
    <t>MetTel Innovation Summit 2023: Polkadot Sponsorship - April 25 - Alan Vey</t>
  </si>
  <si>
    <t>Paris Blockchain Week: Women in Web3 Dinner - March 23 - Lea Narzis</t>
  </si>
  <si>
    <t>Task 1 (sites takedown) - January and February 2023 - Pastaman</t>
  </si>
  <si>
    <t>Task 1 (sites takedown) - January and February 2023 - Frankywild</t>
  </si>
  <si>
    <t>Task 1 (sites takedown) - January and February 2023 - Tim Janssen</t>
  </si>
  <si>
    <t>Rewards for 2 Meetups in Colombia - Simon Leon</t>
  </si>
  <si>
    <t>Rewards for Introduction of Polkadot in Kigali City - Joab Niwagaba</t>
  </si>
  <si>
    <t>13th Polkadot Meetup in Hungary - Vktrometer#8040</t>
  </si>
  <si>
    <t>Rewards for 2 Polkadot Meetups in Munich - Saro Posa</t>
  </si>
  <si>
    <t>1st Meetup at the Polkadot Hub in Bali - Gabor</t>
  </si>
  <si>
    <t>Rewards for Central Asia Polkadot Days - Alex Promoteam</t>
  </si>
  <si>
    <t>14th Polkadot Hungary Meetup in Budapest - Vktrometer#8040</t>
  </si>
  <si>
    <t>Rewards for Polkadot World meetup in Madrid - Georgi Ivanov</t>
  </si>
  <si>
    <t>Task 10 (General curator reward) - December 2022, January/February 2023 - Mims4life</t>
  </si>
  <si>
    <t>Task 10 (General curator reward) - Second half of February 2022 - Cappex</t>
  </si>
  <si>
    <t>Task 11- Maintenance of phishing repo (January and February reward)- frankywild</t>
  </si>
  <si>
    <t xml:space="preserve">Task 11-Maintenance of phishing repo (January and February reward)- pastaMan </t>
  </si>
  <si>
    <t xml:space="preserve">Task 11-Maintenance of phishing repo (January and February reward) - Tim Janssen </t>
  </si>
  <si>
    <t>Task 10 General Curator reward (December, January and February)- KANDY</t>
  </si>
  <si>
    <t>Task 10- GC- Abdulbee- December, February, January</t>
  </si>
  <si>
    <t>Polkadot Side Event during Web3 festival in Hong Kong - Hao Ding - April 11, 2023</t>
  </si>
  <si>
    <t>Lightning Boat - Dam Sky - December 5, 2022</t>
  </si>
  <si>
    <t>EU Ambassador Gathering - Barcelona - Mimi and Albert</t>
  </si>
  <si>
    <t>Polkasunset - Feb 6th, 2023, Jose Belossi</t>
  </si>
  <si>
    <t>Task 5- Taking down sites- Tim Janssen- January and Febuary</t>
  </si>
  <si>
    <t>Task 5- Taking down sites- frankywild-January February</t>
  </si>
  <si>
    <t xml:space="preserve">Task 2b- Database of DNS Registrars(January and February rewards)- Tim Janssen </t>
  </si>
  <si>
    <t xml:space="preserve">ZK Hackathon - Lisbon - Hector </t>
  </si>
  <si>
    <t>Beyond The Chain Vietnam: Stepping Into Web3 With Polkadot - April 8, 2023 - Mabel Nguyen</t>
  </si>
  <si>
    <t>2 Polkadot Meetups in Dubai - Angela K. - January 26 and March 4, 2023</t>
  </si>
  <si>
    <t>Meetup rewards - Polkadot Meetup in Dubai - January 26, 2023 - Angela K.</t>
  </si>
  <si>
    <t>Meetup rewards - 3 Polkadot Meetups in Ljubljana - October - February 2023 - Patrik K.</t>
  </si>
  <si>
    <t>Meetup rewards - Polkadot Meetup in Zagreb - February 16 2023 - Patrik K.</t>
  </si>
  <si>
    <t>Blockchain Week - Rome - May - Marco</t>
  </si>
  <si>
    <t>3 side events during the Polkadot Blockchain Academy in BA - payout difference minus leftover budget</t>
  </si>
  <si>
    <t>Zprize collab winners 1</t>
  </si>
  <si>
    <t>Zprize collab winners 2</t>
  </si>
  <si>
    <t>Zprize collab winners 3</t>
  </si>
  <si>
    <t>Task 5 - March 2023 - Frankywild</t>
  </si>
  <si>
    <t>Task 5 - March 2023 - Tim Janssen</t>
  </si>
  <si>
    <t>Task 10 (GC Reward) - March 2023 - Cappex</t>
  </si>
  <si>
    <t xml:space="preserve">Task 1-Detection and takedown of scam/phishing sites march 2023 reward-pastaMan </t>
  </si>
  <si>
    <t>Task 1-Detection and takedown of scam/phishing sites march 2023 reward- frankywild</t>
  </si>
  <si>
    <t>Task 1-Detection and takedown of scam/phishing sites march 2023 reward- Tim Janssen</t>
  </si>
  <si>
    <t>Task 10- General curator reward march 2023- Abdulbee</t>
  </si>
  <si>
    <t>Task 2b- Databases for DNS Registrars March 2023 reward- Tim Janssen</t>
  </si>
  <si>
    <t>Task 10 - March 2023 - General Curator rewards - Mims4life</t>
  </si>
  <si>
    <t>Berlin Blockchain Week - WebZero - second payout</t>
  </si>
  <si>
    <t>Academy Open Nights - Jose Belossi (Pepe) - second payout</t>
  </si>
  <si>
    <t>Task 10 - March 2023 - General Curator rewards - Kamala</t>
  </si>
  <si>
    <t>Task 7 - Milestone 2+3 - Paradox</t>
  </si>
  <si>
    <t>Task 7 - Milestone 2+3 - cmalize</t>
  </si>
  <si>
    <t>Task 7 - Milestone 2+3 - themanwithoutaame</t>
  </si>
  <si>
    <t>Task 7 Milestone 2+3 - Tim Janssen</t>
  </si>
  <si>
    <t xml:space="preserve">Task 7 Milestone 2+3 - Maarmapa </t>
  </si>
  <si>
    <t>Task 11 - March 2023 - Frankywild</t>
  </si>
  <si>
    <t>Task 11 - March 2023 - Pastaman</t>
  </si>
  <si>
    <t>Task 11 - March 2023 - Tim Janssen</t>
  </si>
  <si>
    <t xml:space="preserve">Task 6- Have different entities add the GH phishing repo to their databases (one-off) milestones 1 +2  rewards -Maarmapa </t>
  </si>
  <si>
    <t>Paris Blockchain Week: Women in Web3 Dinner - Lea Narzis - Outstanding Reward</t>
  </si>
  <si>
    <t>6 to 8 Polkadot Meetups in the Adriatic region - Patrik K - From April to August, 2023</t>
  </si>
  <si>
    <t>PolkadotBled Mini-Conference - Damsky  - April 29, 2023</t>
  </si>
  <si>
    <t>Polkadot Side event - Austin Consensus - WebZero</t>
  </si>
  <si>
    <t>Polkadot in USe - Denver - 2nd payout - WebZero</t>
  </si>
  <si>
    <t>https://github.com/paritytech/frontier/security/advisories/GHSA-fcmm-54jp-7vf6</t>
  </si>
  <si>
    <t>Polkadot at BlockSplit: sponsorship and side event - May 22-24 - Xylo Drone</t>
  </si>
  <si>
    <t>Polkadot Workshop in Spanish (Rust, Ink! and Substrate courses) in Mexico City - June 7-9 - Polkadot Hub</t>
  </si>
  <si>
    <t>6 Polkadot Meetups in San Francisco with Ecosystem Teams - from April 24 - Yuvia Mendoza</t>
  </si>
  <si>
    <t>HackaDOT 2023 - June 9-11 - Soyoun(Raf)Jung</t>
  </si>
  <si>
    <t>Task 1 (sites takedown) - April 2023 - Pastaman</t>
  </si>
  <si>
    <t>Task 1 (sites takedown) - April 2023 - Frankywild</t>
  </si>
  <si>
    <t>Task 1 (sites takedown) - April 2023 - Tim Janssen</t>
  </si>
  <si>
    <t>General curator reward - Cappex - April 2023</t>
  </si>
  <si>
    <t>General Curator Reward -  Abdulbee - April 2023</t>
  </si>
  <si>
    <t>General Adminstration task reward - Abdulbee - April 2023</t>
  </si>
  <si>
    <t>General Adminstration task reward - FrankyWild - April 2023</t>
  </si>
  <si>
    <t>General Adminstration task reward - Paradox - April 2023</t>
  </si>
  <si>
    <t>General Adminstration task reward - Tim Janssen - April 2023</t>
  </si>
  <si>
    <t>Task 11 - April 2023 - Frankywild</t>
  </si>
  <si>
    <t>Task 11 - April 2023 - Pastaman</t>
  </si>
  <si>
    <t>Task 11 - April 2023 - Tim Janssen</t>
  </si>
  <si>
    <t>General Curator reward-April 2023- Kamala Immaculate</t>
  </si>
  <si>
    <t>General Administration reward-Cmalize-April 2023</t>
  </si>
  <si>
    <t>Task 2b (Database for DNS registrars) - April 2023 - Tim Janssen</t>
  </si>
  <si>
    <t>Task 7 (Education) - Milestone 4 - Tim Janssen</t>
  </si>
  <si>
    <t>Task 7 (Education) - Milestone 4 - cmalize</t>
  </si>
  <si>
    <t>Task 7 (Education) - Milestone 4 - Maarmapa</t>
  </si>
  <si>
    <t>Task 7 (Education) - Milestone 4 - Javier</t>
  </si>
  <si>
    <t>General administration task - April 2023 - Pastaman</t>
  </si>
  <si>
    <t>Online event: Polkadot Blockchain Academy Q&amp;A - Dimche R - April 3</t>
  </si>
  <si>
    <t>Polkadot Meetup Ljubljana - Patrik K. - April 12</t>
  </si>
  <si>
    <t>Polkadot Meetup Zagreb - Patrik K. - April 25</t>
  </si>
  <si>
    <t>Polkadot Hub Meetup oin Bali - Kresna S. - February 16</t>
  </si>
  <si>
    <t>Introduction to Polkadot's interoperability protocol: XCMP - Viktor V. - March 31</t>
  </si>
  <si>
    <t>Polkadot Meetup in Medellin - Donatello L. - February 23</t>
  </si>
  <si>
    <t>6 Polkadot Meetups in Arusha - Danson T. February - November 2022</t>
  </si>
  <si>
    <t>Limechain - Polkadot Java Host</t>
  </si>
  <si>
    <t>Decoded Viewing Party - Maracaibo, Venezuela - Arlette S.</t>
  </si>
  <si>
    <t>Decoded Viewing Party - Hanoi, Vietnam - DJ Ha Trang</t>
  </si>
  <si>
    <t>Decoded Viewing Party - Bogota, Colombia - Santiago G.</t>
  </si>
  <si>
    <t>NFTs in Prague - KodaCon - June</t>
  </si>
  <si>
    <t>Polkadot Prague - June 5 - KodaCon team</t>
  </si>
  <si>
    <t>Polkadot sponsorship UTXO.23 Prague - June 3 - KodaCon</t>
  </si>
  <si>
    <t>Primavera Pro Madrid - PolkaHaus - May 2023</t>
  </si>
  <si>
    <t>Web3 Foundation - Messari Mainnet - 22 September, 2022</t>
  </si>
  <si>
    <t>Web3 Foundation - BarCamp - 30 November and 1 December 2022</t>
  </si>
  <si>
    <t>Task 1 - May 2023 - Pastaman</t>
  </si>
  <si>
    <t>Task 1 - May 2023 - Frankywild</t>
  </si>
  <si>
    <t>Task 1 - May 2023 - Tim Janssen</t>
  </si>
  <si>
    <t>General administration reward - May 2023 - Frankywild</t>
  </si>
  <si>
    <t>General Curator Reward -  Abdulbee - May 2023</t>
  </si>
  <si>
    <t>General Adminstration task reward - Abdulbee - May 2023</t>
  </si>
  <si>
    <t>General Curator Reward- May 2023-Kamala</t>
  </si>
  <si>
    <t>General Admin Reward-May 2023- Pastaman</t>
  </si>
  <si>
    <t>General Admin Reward-May 2023-Cmalize</t>
  </si>
  <si>
    <t>ParisDotComm - July - Polkadot Francophonie</t>
  </si>
  <si>
    <t>Polkadot Blockchain Academy - Buenos Aires - PolkaSunset 2nd payout</t>
  </si>
  <si>
    <t>General Adminstration task reward - Paradox - May 2023</t>
  </si>
  <si>
    <t>General Adminstration task reward - Tim Janssen - May 2023</t>
  </si>
  <si>
    <t>GC reward - May 2023 - Cappex</t>
  </si>
  <si>
    <t>General Curator Reward - Grizzly - May 2023</t>
  </si>
  <si>
    <t>Task 11 - May 2023 - Frankywild</t>
  </si>
  <si>
    <t>Task 11 - May 2023 - Pastaman</t>
  </si>
  <si>
    <t>Task 11 - May 2023 - Tim Janssen</t>
  </si>
  <si>
    <t>Task 5 May 2023 - Tim</t>
  </si>
  <si>
    <t>POLKADOT JAPAN TOUR 2023 - June 28 - July 26 - Shunsuke Yoshioka</t>
  </si>
  <si>
    <t>Polkadot @ NFT Biarritz - August 21 - G'</t>
  </si>
  <si>
    <t>Polkadot Meetup @ BUIDL Vietnam 2023 - Cris Nguyen - June 26, 2023</t>
  </si>
  <si>
    <t>sub0 Side event Closing Party - t3rn - November 28, 2022</t>
  </si>
  <si>
    <t>Polkadot Blockchain Academy: Side Event in San Francisco - March 29, 2023</t>
  </si>
  <si>
    <t>Polkadot Decoded Satellite Event in Hanoi - July 2023 - Trang Nguyen Subwallet Team</t>
  </si>
  <si>
    <t>Polkadot Decoded Satellite Event in Buenos Aires - July 6 - Polkadot Hub LATAM</t>
  </si>
  <si>
    <t>Decoded 2023 - Viewing Party in Helsinki, Finland</t>
  </si>
  <si>
    <t>Decoded 2023 - Viewing Party in Buenos Aires, Argentina</t>
  </si>
  <si>
    <t>Decoded 2023 - Viewing Party in Guadalajara, Mexico</t>
  </si>
  <si>
    <t>Decoded 2023 - Viewing Party in Monterrey, Mexico</t>
  </si>
  <si>
    <t>Decoded 2023 - Viewing Party in Lima, Peru</t>
  </si>
  <si>
    <t>Decoded 2023 - Viewing Party in Curitiba, Brazil</t>
  </si>
  <si>
    <t>Decoded 2023 - Viewing Party in Omaha, Nebraska, USA</t>
  </si>
  <si>
    <t>Decoded 2023 - Viewing Party in Patagonia, Argentina</t>
  </si>
  <si>
    <t>Decoded 2023 - Viewing Party in Arusha, Tanzania</t>
  </si>
  <si>
    <t>Decoded 2023 - Viewing Party in Mexico City, Mexico</t>
  </si>
  <si>
    <t>Decoded 2023 - Viewing Party in Kigali, Rwanda</t>
  </si>
  <si>
    <t>Decoded 2023 - Viewing Party in Kampala, Uganda</t>
  </si>
  <si>
    <t>Decoded 2023 - Viewing Party in New York City, USA</t>
  </si>
  <si>
    <t>Decoded 2023 - Viewing Party in Colombo, Sri Lanka</t>
  </si>
  <si>
    <t>Decoded 2023 - Viewing Party in Indianapolis, USA</t>
  </si>
  <si>
    <t>Decoded 2023 - Viewing Party in Coimbatore, India</t>
  </si>
  <si>
    <t>Decoded 2023 - Viewing Party in Tampa, USA</t>
  </si>
  <si>
    <t>Decoded 2023 - Viewing Party in Taipei, Taiwan</t>
  </si>
  <si>
    <t>Decoded 2023 - Viewing Party in Rio Grande, Argentina</t>
  </si>
  <si>
    <t>Decoded 2023 - Viewing Party in Bangalore, India</t>
  </si>
  <si>
    <t>Decoded 2023 - Viewing Party in Makati City, Metro Manila, Philippines</t>
  </si>
  <si>
    <t>Decoded 2023 - Viewing Party in Dallas, USA</t>
  </si>
  <si>
    <t>Decoded 2023 Viewing Party in Madrid, Spain</t>
  </si>
  <si>
    <t>Decoded 2023 Viewing Party in Goma, DRC</t>
  </si>
  <si>
    <t>Decoded 2023 Viewing Party in Singapore</t>
  </si>
  <si>
    <t>Decoded 2023 Viewing Party in Bali, Indonesia</t>
  </si>
  <si>
    <t>Polkadot Decoded extraordinary Side Event 2023 - Dubai - Hatem</t>
  </si>
  <si>
    <t>Decoded Viewing Party - Aba Nigeria - Malize fred</t>
  </si>
  <si>
    <t>Decoded Viewing Party - Rio de Janeiro - Raphael Kling</t>
  </si>
  <si>
    <t>Decoded Viewing Party - Tashkent, Uzbekistan - Alex PromoTeam</t>
  </si>
  <si>
    <t>Decoded Viewing Party - Ashley Wright - Toronto Canada</t>
  </si>
  <si>
    <t>Decoded 2023 Viewing Party in Montreal, Quebec, Canada</t>
  </si>
  <si>
    <t>Decoded 2023 Viewing Party in Belgrade, Serbia</t>
  </si>
  <si>
    <t>Decoded 2023 Viewing Party in Budapest, Hungary</t>
  </si>
  <si>
    <t>Decoded 2023 Viewing Party in Stamford Connecticut, USA</t>
  </si>
  <si>
    <t>Decoded 2023 Viewing Party in Sao Paulo, Brazil</t>
  </si>
  <si>
    <t>Polkadot in Blockchain Sao Paulo - Eduardo Cardoso, Maarapa, and Lui5 - June 2023</t>
  </si>
  <si>
    <t>Panel and Networking Event for the Polkadot Ecosystem - Polkadot Decoded Side Event - June 29 - WebZero</t>
  </si>
  <si>
    <t>Social Hour @ Polkadot Decoded 2023 - June 27 - Zoe Meckbach</t>
  </si>
  <si>
    <t>ParisDotComm 2023 - 2nd allocation - July 18-20</t>
  </si>
  <si>
    <t>Task 1 - June 2023 - Pastaman</t>
  </si>
  <si>
    <t>Task 1 - June 2023 - Frankywild</t>
  </si>
  <si>
    <t>Task 1 - June 2023 - Tim Janssen</t>
  </si>
  <si>
    <t>Task 2b - June 2023 - Tim Janssen</t>
  </si>
  <si>
    <t>Task 10 - June 2023 - Cappex</t>
  </si>
  <si>
    <t>General Administration Task Reward- Kamala- June 2023</t>
  </si>
  <si>
    <t>General Administration Task Reward- CMalize- June 2023</t>
  </si>
  <si>
    <t>General Administration Task Reward- Pastaman- June 2023</t>
  </si>
  <si>
    <t>General Adminstration task reward - Paradox - June 2023</t>
  </si>
  <si>
    <t>General Adminstration task reward - Tim Janssen - June 2023</t>
  </si>
  <si>
    <t>General Curator Reward - Grizzly - June 2023</t>
  </si>
  <si>
    <t>Task 10 - June 2023 - Abdulbee</t>
  </si>
  <si>
    <t>General Adminstartion Task - Abdulbee</t>
  </si>
  <si>
    <t>General Adminstartion Task - frankywild</t>
  </si>
  <si>
    <t>Task 5 June 2023 - Tim</t>
  </si>
  <si>
    <t>Task 5 June 2023 - FrankyWild</t>
  </si>
  <si>
    <t>Task 11 - June 2023 - Frankywild</t>
  </si>
  <si>
    <t>Task 11 - June 2023 - Pastaman</t>
  </si>
  <si>
    <t>Task 11 - June 2023 - Tim Janssen</t>
  </si>
  <si>
    <t>PBA Opening Pary - Nodle and PolkaHaus - San Fransisco, CA</t>
  </si>
  <si>
    <t>sub0 side event closing party - 2nd allocation - November 28, 2022</t>
  </si>
  <si>
    <t>Polkadot Meetup in Zug - May 31 - David Bakk</t>
  </si>
  <si>
    <t>Polkadot Meetup in Munich #5 - June 2nd - Saro Posa</t>
  </si>
  <si>
    <t>Polkadot Meetup in Bulgaria - June 17 - Kristiyan G</t>
  </si>
  <si>
    <t>Performance Improvements for Reed Solomon Erasure Coding - M1</t>
  </si>
  <si>
    <t>Polkadot Meetup in Montevideo - February 23 - Mario Maldonado</t>
  </si>
  <si>
    <t xml:space="preserve">Web3 Weekends Tashkent - March 2023 - Alex Morozov </t>
  </si>
  <si>
    <t xml:space="preserve">Polkadot Meetup Ljubljana - June 15 - Patrik Kogoj </t>
  </si>
  <si>
    <t>Web3 Hackfest 2023 - Ho Chi Minh, Vietnam - Subwallet Team</t>
  </si>
  <si>
    <t xml:space="preserve">Protocol Berg, 2023 - Kreuzberg, Berlin -Raul Romanutti </t>
  </si>
  <si>
    <t>Blockchain Futurist Conf. Side Event with PizzaDAO - Toronto, Canada - AJ Recana</t>
  </si>
  <si>
    <t>PBA Closing Party - San Fransisco, USA - Oak Network</t>
  </si>
  <si>
    <t>GC reward - July 2023 - Grizzly</t>
  </si>
  <si>
    <t>Task 2b - July 2023 - Tim Janssen</t>
  </si>
  <si>
    <t>Task 7 - Milestone 5 (Quiz) - Tim janssen</t>
  </si>
  <si>
    <t>Task 7 - Milestone 5 (infographic) - cmalize</t>
  </si>
  <si>
    <t>Task 7 - milestone 5 - Video + task management - maarmaapa</t>
  </si>
  <si>
    <t>Task 7 - milestone 5 (article) - Javier</t>
  </si>
  <si>
    <t>Task 7 - milestone 5 (slides) - Paradox</t>
  </si>
  <si>
    <t>Task 7 - Milestone 5 (Editing/proofreading) - Michelle</t>
  </si>
  <si>
    <t>General Adminstration task reward - Abdulbee - July 2023</t>
  </si>
  <si>
    <t>General Adminstration task reward - Franky - July 2023</t>
  </si>
  <si>
    <t>General Curator Reward - Abdulbee - July 2023</t>
  </si>
  <si>
    <t>General Curator reward -July 2023 - Cappex</t>
  </si>
  <si>
    <t>General Admin Task - July 2023 - Paradox</t>
  </si>
  <si>
    <t>General Admin Task -July 2023 - Tim</t>
  </si>
  <si>
    <t>Task 11 - July 2023 - Frankywild</t>
  </si>
  <si>
    <t>Task 11 - July 2023 - Pastaman</t>
  </si>
  <si>
    <t>Task 11 - July 2023 - Tim Janssen</t>
  </si>
  <si>
    <t>Task 5- Taking down sites - Jully 2023  reward - Tim</t>
  </si>
  <si>
    <t>Task 5 - Taking down sites - July 2023 reward - FrankyWild</t>
  </si>
  <si>
    <t>Task 1 rewards- July 2023- Pastaman</t>
  </si>
  <si>
    <t>Task 1 rewards- July 2023- FrankyWild</t>
  </si>
  <si>
    <t>Task 1 rewards- July 2023- Tim Janssen</t>
  </si>
  <si>
    <t>General Curator Rewards- July 2023- Kamala</t>
  </si>
  <si>
    <t>General Curator Rewards- July 2023- Pastaman</t>
  </si>
  <si>
    <t xml:space="preserve">General Curator Rewards- July 2023- Cmalize </t>
  </si>
  <si>
    <t>Polkadot @ Bali Blockchain Week SOULBOUND - Kresna Sucandra - August 22-23</t>
  </si>
  <si>
    <t>Web3Foundation - Wanxiang Blockchain Week - September 2022</t>
  </si>
  <si>
    <t>Polkadot Prodigy Hackathon - Georgi Ivanov - September 2023</t>
  </si>
  <si>
    <t>Events Bounty Curator Reward - Zoe Mechbach - Jan-April 2023</t>
  </si>
  <si>
    <t>Events Bounty Curator Reward - Mark Ryan - Jan-April 2023</t>
  </si>
  <si>
    <t>Polkadot @ Blockchain Rio 2023 - Sept 12-14, 2023 - John Rhodel</t>
  </si>
  <si>
    <t>House of Chaos - Berlin Blockchain Week - WebZero</t>
  </si>
  <si>
    <t>General Administration - August 2023 - Pastaman</t>
  </si>
  <si>
    <t>General Administration - August 2023 - Tim Janssen</t>
  </si>
  <si>
    <t>General Curation - August 2023 - Grizzly</t>
  </si>
  <si>
    <t>General administration abdulbee - august 2023</t>
  </si>
  <si>
    <t>General administration frankywild - august 2023</t>
  </si>
  <si>
    <t>General administration cmalize - august 2023</t>
  </si>
  <si>
    <t>General curation abdulbee - august 2023</t>
  </si>
  <si>
    <t>General Curation- Kamala Immaculate#5476- August 2023</t>
  </si>
  <si>
    <t>Maintenance of phishing repo- Tim Janssen (Won't DM)#8682- August 2023</t>
  </si>
  <si>
    <t>Maintenance of phishing repo- frankywild#8573- August 2023</t>
  </si>
  <si>
    <t xml:space="preserve">Maintenance of phishing repo- pastaMan#9738- August 2023 </t>
  </si>
  <si>
    <t>General Curator Reward- Cappex-August 2023</t>
  </si>
  <si>
    <t>Task 2b (DNS registrars) - August 2023 - Tim Janssen</t>
  </si>
  <si>
    <t>Task 1 FrankyWild- August 2023</t>
  </si>
  <si>
    <t>Task 1 Reward- PastaMan</t>
  </si>
  <si>
    <t>Task 1 Reward- Tim Janssen</t>
  </si>
  <si>
    <t>Task 5 Reward-FrankyWild- August 2023</t>
  </si>
  <si>
    <t>Task 5 Reward- Tim Janssen- August 2023</t>
  </si>
  <si>
    <t>Mainnet New York - Polkadot and Frens Dinner - AJ and Dillon</t>
  </si>
  <si>
    <t xml:space="preserve"> Sub0 breakfast - Lisbon - Aurora KodaDot</t>
  </si>
  <si>
    <t>Sub0 opening party - Lisbon - WebZero</t>
  </si>
  <si>
    <t>EthRome sponsorship and hackathon - Rome- Pepe Senior Ambassador</t>
  </si>
  <si>
    <t xml:space="preserve"> Cosmoverse sponsorship - Istanbul - Composable finance</t>
  </si>
  <si>
    <t>Sub0 Closing Party - WebZero - Lisbon</t>
  </si>
  <si>
    <t>DOT HK Day - Vincent Chan - Honk Kong</t>
  </si>
  <si>
    <t>Polkadot @Messari Mainnet - W3F - New York City</t>
  </si>
  <si>
    <t>General Adminstration task reward - Abdulbee - September 2023</t>
  </si>
  <si>
    <t>General Adminstration task reward - Tim - September 2023</t>
  </si>
  <si>
    <t>General Curator Reward - Abdulbee - September 2023</t>
  </si>
  <si>
    <t>General Admin bounty - September 2023 - Paradox</t>
  </si>
  <si>
    <t>General Curator reward - September 2023 - Cappex</t>
  </si>
  <si>
    <t>Maintenance of Phishing repo - September 2023 - Frankywild</t>
  </si>
  <si>
    <t>Maintenance of Phishing repo - September 2023 - Pastaman</t>
  </si>
  <si>
    <t>Maintenance of Phishing repo - September 2023 - Tim Janssen</t>
  </si>
  <si>
    <t>General Admin Task - September 2023 - PastaMan</t>
  </si>
  <si>
    <t xml:space="preserve">General Adim Task - September 2023 - FrankyWild </t>
  </si>
  <si>
    <t>General Curator Rewad - September 2023 - Grizzly</t>
  </si>
  <si>
    <t>General Administration-September 2023- CMalize</t>
  </si>
  <si>
    <t xml:space="preserve">General Curation- September 2023- Kamala </t>
  </si>
  <si>
    <t>Task 2b (DNS registrars) - September 2023 - Tim Janssen</t>
  </si>
  <si>
    <t>Task 1 rewards- September 2023- Pastaman</t>
  </si>
  <si>
    <t>Task 1 rewards- September 2023- Frankywild</t>
  </si>
  <si>
    <t>Task 1 rewards- September 2023- TimJanssen</t>
  </si>
  <si>
    <t>Test transaction to Facilitator address</t>
  </si>
  <si>
    <t>Task 5 - Social Media Takedown - September 2023- Tim Janssen</t>
  </si>
  <si>
    <t>Task 5 - Social Media Takedown - September 2023- FrankyWild</t>
  </si>
  <si>
    <t>Payment to MuFi for achitecture milestone</t>
  </si>
  <si>
    <t>Payment to OpenZeppelin for OpenBrush security review</t>
  </si>
  <si>
    <t>Hackadot 2023 -  Sang-Hyun Rhee - South Korea</t>
  </si>
  <si>
    <t>Polkadot Championship 2023 - David Pethes - Budapest</t>
  </si>
  <si>
    <t>Cryto Expo Milan - Patrizia De Bella - Milan</t>
  </si>
  <si>
    <t>Fintech Summit Online Sponsorship - Petr Mensik - Czech Republic</t>
  </si>
  <si>
    <t>Moderation team bounty - 1/2August + September - Frankywild</t>
  </si>
  <si>
    <t>Moderation team bounty - 1/2August + September - LV</t>
  </si>
  <si>
    <t>Moderation team bounty - 1/2August + September - MC</t>
  </si>
  <si>
    <t>Moderation team bounty - 1/2August + September - Mudlebee</t>
  </si>
  <si>
    <t>Moderation team bounty - 1/2August + September - PastaMan</t>
  </si>
  <si>
    <t>Moderation team bounty/curation - 1/2August + September - Abdulbee</t>
  </si>
  <si>
    <t>Moderation team bounty/curation - 1/2August + September - GrizzlyAdams</t>
  </si>
  <si>
    <t>Moderation team bounty - 1/2August + September - Cappex</t>
  </si>
  <si>
    <t>Moderation team bounty - 1/2August + September - Gr33n</t>
  </si>
  <si>
    <t>Moderation team bounty - 1/2August + September - Maarmapa</t>
  </si>
  <si>
    <t>Moderation team bounty - 1/2August + September - MisterCole</t>
  </si>
  <si>
    <t>Moderation team bounty - 1/2August + September - Paradox</t>
  </si>
  <si>
    <t>Moderation team bounty - 1/2August + September - Tim Janssen</t>
  </si>
  <si>
    <t>The second tranche of the Fruhzin/Limechain</t>
  </si>
  <si>
    <t>Payment to Bright Inventions for Milestone 1</t>
  </si>
  <si>
    <t>Payment to Protofire for Milestone 1</t>
  </si>
  <si>
    <t>Payment to Starlay Finance for Milestone 1-1 and 1-2</t>
  </si>
  <si>
    <t>Payment to ChainIDE + Polkaholic for Milestone 1</t>
  </si>
  <si>
    <t>Moderation team bounty - october 2023 - Gr33n</t>
  </si>
  <si>
    <t>Moderation team bounty - october 2023 - Maarmapa</t>
  </si>
  <si>
    <t>Moderation team bounty - october 2023 - MC</t>
  </si>
  <si>
    <t>Moderation team bounty - october 2023 - Mudlebee</t>
  </si>
  <si>
    <t>Moderation team bounty - october 2023 - Paradox</t>
  </si>
  <si>
    <t>Moderation Team reward - October 2023 - Bounty Curator abdulbee</t>
  </si>
  <si>
    <t>Moderation Team reward - October 2023 - Bounty Curator GrizzlyAdams</t>
  </si>
  <si>
    <t>Moderation team bounty- Oct 2023- Cappex</t>
  </si>
  <si>
    <t>Moderation team bounty- Oct 2023- FrankyWild</t>
  </si>
  <si>
    <t>Moderation team bounty- Oct 2023- LV</t>
  </si>
  <si>
    <t>Moderation team bounty- Oct 2023- Mister_Cole</t>
  </si>
  <si>
    <t>Moderation team bounty- Oct 2023- PastaMan</t>
  </si>
  <si>
    <t>Moderation team bounty- Oct 2023- Tim Janssen</t>
  </si>
  <si>
    <t>General curation - Cappex - October 2023</t>
  </si>
  <si>
    <t>Educational track management - Maarmapa - September and October 2023</t>
  </si>
  <si>
    <t>Payment to Archisinal for Milestone 1</t>
  </si>
  <si>
    <t>General administration October 2023 abdulbee</t>
  </si>
  <si>
    <t>General administration October 2023 Tim Janssen</t>
  </si>
  <si>
    <t>General curation October 2023 abdulbee</t>
  </si>
  <si>
    <t>Website hosting October 2023 frankywild</t>
  </si>
  <si>
    <t>Payment to Oak Security for Starlay Finance Security Audit</t>
  </si>
  <si>
    <t>General administration Task- Pastaman - October 2023</t>
  </si>
  <si>
    <t>General administration Task- FrankyWild- October 2023</t>
  </si>
  <si>
    <t>General Curator- Grizzly- October 2023</t>
  </si>
  <si>
    <t>one-time-task- Maarmapa- October 2023</t>
  </si>
  <si>
    <t>General Administration- Oct 2023- Cmalize</t>
  </si>
  <si>
    <t>General Curation- Oct 2023- Kamala</t>
  </si>
  <si>
    <t>Task 1 - October 2023 - Pastaman</t>
  </si>
  <si>
    <t>Task 1 - October 2023 - Tim Janssen</t>
  </si>
  <si>
    <t>Task 1 - October 2023 - Frankywild</t>
  </si>
  <si>
    <t>Task 5 - October 2023 Tim Janssen</t>
  </si>
  <si>
    <t>Task 2b (DNS registrars) - October 2023 - Tim Janssen</t>
  </si>
  <si>
    <t>Maintenance of repo- October 2023- Pastaman</t>
  </si>
  <si>
    <t>Maintenance of repo- October 2023- Frankywild</t>
  </si>
  <si>
    <t>Maintenance of repo- October 2023- TimJanssen</t>
  </si>
  <si>
    <t>Payment to Decentralized Oracles - Milestone 1 - VRF</t>
  </si>
  <si>
    <t>Payment to Starlay Finance for Milestone 2</t>
  </si>
  <si>
    <t>abdulbee#4681 - Curator Reward - November 2023</t>
  </si>
  <si>
    <t>GrizzlyAdams[3/75]#4892 - Curator Reward - November 2023</t>
  </si>
  <si>
    <t>Moderation bounty- November 2023- Gr33nHatt3r</t>
  </si>
  <si>
    <t>Moderation bounty- November 2023- Maarmapa</t>
  </si>
  <si>
    <t>Moderation bounty- November 2023- MC</t>
  </si>
  <si>
    <t>Moderation bounty- November 2023- Muddlebee</t>
  </si>
  <si>
    <t>Moderation bounty- November 2023- Paradox</t>
  </si>
  <si>
    <t>Moderation team bounty - November 2023 - Cappex</t>
  </si>
  <si>
    <t>Moderation team bounty - November 2023 - LV</t>
  </si>
  <si>
    <t>Moderation team bounty - November 2023 - Mister_cole</t>
  </si>
  <si>
    <t>Moderation team bounty - November 2023 - Pastaman</t>
  </si>
  <si>
    <t>Moderation team bounty - November 2023 - Frankywild</t>
  </si>
  <si>
    <t>Moderation team bounty - November 2023 - Tim Janssen</t>
  </si>
  <si>
    <t>Java Host (Fruzhin) Phase 2 child bounty 1st tranche</t>
  </si>
  <si>
    <t>General Administration Task - Paradox - November 2023</t>
  </si>
  <si>
    <t>General Curator - Cappex - November 2023</t>
  </si>
  <si>
    <t>General Admin reward - Pastaman - November 2023</t>
  </si>
  <si>
    <t>General Admin reward - Cmalize - November 2023</t>
  </si>
  <si>
    <t>General curation reward - Grizzly - November 2023</t>
  </si>
  <si>
    <t>Maintenance of phishing repo - November 2023 - Tim Janssen</t>
  </si>
  <si>
    <t>Maintenance of phishing repo - November 2023 - Frankywild</t>
  </si>
  <si>
    <t>Maintenance of phishing repo - November 2023 - Pastaman</t>
  </si>
  <si>
    <t>General curation November 2023 Abdulbee</t>
  </si>
  <si>
    <t>Admin-Op track November 2023 Abdulbee</t>
  </si>
  <si>
    <t>Educational track October 2023 Maarmapa</t>
  </si>
  <si>
    <t>Outreach track November 2023 Grizzlyadams</t>
  </si>
  <si>
    <t>General curation- November 2023- KamalaImmaculate</t>
  </si>
  <si>
    <t>Proactive track Management-November 2023- FrankyWild</t>
  </si>
  <si>
    <t>Reactive track management- November 2023- TimJanssen</t>
  </si>
  <si>
    <t>Task 1 - November 2023 - Frankywild</t>
  </si>
  <si>
    <t>Task 1 - November 2023 - Pastaman</t>
  </si>
  <si>
    <t>Task 1 - November 2023 - Tim Janssen</t>
  </si>
  <si>
    <t>curator expenses</t>
  </si>
  <si>
    <t>Task 5- Social media take down rewards- November 2023- TimJanssen</t>
  </si>
  <si>
    <t>Soulbound Bali - Kreshna Sucandra - August 2023</t>
  </si>
  <si>
    <t>Polkadot Now India - Rish Kumar - April 2023</t>
  </si>
  <si>
    <t>Events Bounty Curator Reward - Zoe Mechbach - May-August 2023</t>
  </si>
  <si>
    <t>Events Bounty Curator Reward - Mark Ryan - May-August 2023</t>
  </si>
  <si>
    <t>Polkadot Bled Mini conf - KodaDot - April 2023</t>
  </si>
  <si>
    <t>The Future of Polkadot - KodaDot - November 2022</t>
  </si>
  <si>
    <t>NFTs In Prague - KodaDot - June 2023</t>
  </si>
  <si>
    <t>KODA. Onchain Exhibition - KodaDot - September 2023</t>
  </si>
  <si>
    <t>Sub0 closing Party - WebZero - September 2023</t>
  </si>
  <si>
    <t>Berlin House of Chaos - WebZero - September 2023</t>
  </si>
  <si>
    <t>Monetvideo Meetup Difference - Mario Maarmapa - February 2023</t>
  </si>
  <si>
    <t>Blockchain Sao Paolo difference - Mario Maarmapa - June 2023</t>
  </si>
  <si>
    <t>Payment to Bright Inventions for Milestone 2</t>
  </si>
  <si>
    <t>Mod team bounty - December 2023 - Mister_cole</t>
  </si>
  <si>
    <t>Mod team bounty - December 2023 - Paradox</t>
  </si>
  <si>
    <t>Mod team bounty - December 2023 - Frankywild</t>
  </si>
  <si>
    <t>Mod team bounty - December 2023 - MC</t>
  </si>
  <si>
    <t>Mod team bounty - December 2023 - Tim</t>
  </si>
  <si>
    <t>Mod team bounty - December 2023 - Gr33n</t>
  </si>
  <si>
    <t>Mod team bounty + curator fees - December 2023 - Grizzly</t>
  </si>
  <si>
    <t>Mod team bounty + curator fees - December 2023 - Abdulbee</t>
  </si>
  <si>
    <t>Mod team bounty - December 2023 - Cappex</t>
  </si>
  <si>
    <t>Mod team bounty - December 2023 - Maarmapa</t>
  </si>
  <si>
    <t>Mod team bounty - December 2023 - Pastaman</t>
  </si>
  <si>
    <t>Mod team bounty - December 2023 - Muddlebee</t>
  </si>
  <si>
    <t>Mod team bounty - December 2023 - LV</t>
  </si>
  <si>
    <t>phala-c4-2401</t>
  </si>
  <si>
    <t>acala-c4-2401</t>
  </si>
  <si>
    <t>Reactive track management - December 2023 - Tim Janssen</t>
  </si>
  <si>
    <t>General Administration - December 2023 - Pastaman</t>
  </si>
  <si>
    <t>General Administration - December 2023 - Cmalize</t>
  </si>
  <si>
    <t>General curation - Decembe 2023 - Cappex</t>
  </si>
  <si>
    <t>General Curator - Abdulbee - December 2023</t>
  </si>
  <si>
    <t>Admin-Op track - December 2023 - Abdulbee</t>
  </si>
  <si>
    <t>Admin-Op track - December 2023 - FrankyWild</t>
  </si>
  <si>
    <t>General Adiminstation -December 2023- Paradox</t>
  </si>
  <si>
    <t>One-Time-Task - December 2023 - Grizzly</t>
  </si>
  <si>
    <t>Outreach Track December - Grizzly</t>
  </si>
  <si>
    <t>General Curation December - Grizzly</t>
  </si>
  <si>
    <t>Task 1 December - Franky</t>
  </si>
  <si>
    <t>Task 1 December - PastaMan</t>
  </si>
  <si>
    <t>Task 1 December - Tim</t>
  </si>
  <si>
    <t>Repo Maintenance- December 2023- Franky</t>
  </si>
  <si>
    <t>Repo Maintenance- December 2023- TimJanssen</t>
  </si>
  <si>
    <t>Repo Maintenance- December 2023- Pastaman</t>
  </si>
  <si>
    <t>Track management- Dec 2023- Maarmapa</t>
  </si>
  <si>
    <t xml:space="preserve">General curation- Dec 2023- Kamala </t>
  </si>
  <si>
    <t>t3rn-srl-2401</t>
  </si>
  <si>
    <t>Payment to Lucky Team for Milestone 2</t>
  </si>
  <si>
    <t>hydradx-c4-2401</t>
  </si>
  <si>
    <t>Exiled Racers Trackmeet - Exiled Racers - NYC, NY</t>
  </si>
  <si>
    <t>PolkadotDevs: MeetUp Series - Vasiliki Tani - Athens/Vienna</t>
  </si>
  <si>
    <t>Polkadot at ETHDenver 2024 - Distractive - Denver, CO</t>
  </si>
  <si>
    <t>4 Meetups in LATAM - Simonn Leon - Various Countries</t>
  </si>
  <si>
    <t>5 Meetups in Bali - Kresna Sucandra - Bali</t>
  </si>
  <si>
    <t>9 Meetups in Hungary - Viktor / Polkadot Hungary - Budapest, Hungary</t>
  </si>
  <si>
    <t>Polkadot Munchen Meetup - Saro Posa - Munchen, Germany</t>
  </si>
  <si>
    <t>Task 5 - December 2023 - frankywild</t>
  </si>
  <si>
    <t>task 5 - December 2023 - Tim janssen</t>
  </si>
  <si>
    <t>Task 5 - December 2023 - Tramymsa</t>
  </si>
  <si>
    <t>bifrost-oak-2401</t>
  </si>
  <si>
    <t>astar-srl-2312</t>
  </si>
  <si>
    <t>Moderation team bounty - Jan 2024 - Cappex</t>
  </si>
  <si>
    <t>Moderation team bounty - Jan 2024 - frankywild</t>
  </si>
  <si>
    <t>Moderation team bounty - Jan 2024 - Grizzly</t>
  </si>
  <si>
    <t>Moderation team bounty - Jan 2024 - LV</t>
  </si>
  <si>
    <t>Moderation team bounty - Jan 2024 - Mister_Cole</t>
  </si>
  <si>
    <t>Moderation team bounty - Jan 2024 - Pastaman</t>
  </si>
  <si>
    <t>Moderation team bounty - Jan 2024 - Tim Janssen</t>
  </si>
  <si>
    <t>Moderation team bounty-January 2024- Abdulbee</t>
  </si>
  <si>
    <t>Moderation team bounty- January 2024- Gr33nHatt3R</t>
  </si>
  <si>
    <t>Moderation team bounty- January 2024- Maarmapa</t>
  </si>
  <si>
    <t>Moderation team bounty- January 2024- MC</t>
  </si>
  <si>
    <t>Moderation team bounty- January 2024- Muddlebee</t>
  </si>
  <si>
    <t xml:space="preserve">Moderation team bounty-January 2024- Paradox </t>
  </si>
  <si>
    <t>The Blockspace at ETHDenver - WebZero - Denver, CO</t>
  </si>
  <si>
    <t>PMEI ETHDenver Closing Party - PMEI - Denver CO</t>
  </si>
  <si>
    <t>Typefully reimbursement - Grizz</t>
  </si>
  <si>
    <t>Proactive track management - January 2024 - Frankywild</t>
  </si>
  <si>
    <t>Outreach track management - January 2024 - GrizzlyAdams</t>
  </si>
  <si>
    <t>General curation - January 2024 - GrizzlyAdams</t>
  </si>
  <si>
    <t>General Curator- Capppex - January 2024</t>
  </si>
  <si>
    <t>Task 2b-Database for DNS registrars - Tim Janssen - January 2024</t>
  </si>
  <si>
    <t>abdulbee admin/op track January 24</t>
  </si>
  <si>
    <t>Maarmapa educational track January 24</t>
  </si>
  <si>
    <t>pastaMan General administration January 24</t>
  </si>
  <si>
    <t>cmalize General administration January 24</t>
  </si>
  <si>
    <t>abdulbee General curation January 24</t>
  </si>
  <si>
    <t>Repo Mainetenance- January 2024- FrankyWild</t>
  </si>
  <si>
    <t>Repo Mainetenance- January 2024- Pastaman</t>
  </si>
  <si>
    <t>Repo Mainetenance- January 2024- TimJanssen</t>
  </si>
  <si>
    <t>frankywild for email set-up</t>
  </si>
  <si>
    <t>alina for email set-up</t>
  </si>
  <si>
    <t>Reactive Track Management-January 2024- TimJanssen</t>
  </si>
  <si>
    <t>General Administration- January 2024- Paradox</t>
  </si>
  <si>
    <t>General Curation-January 2024- Kamala</t>
  </si>
  <si>
    <t>Payment to Archisinal for Milestone 2 + Base Payment for Four Curators</t>
  </si>
  <si>
    <t>astar-zellic-2401</t>
  </si>
  <si>
    <t>Task 5 - January 2024 - Frankywild</t>
  </si>
  <si>
    <t>Task 5 - Janaury 2024 - Michelle</t>
  </si>
  <si>
    <t>Task 5 - January 2024 - ShakurHarun</t>
  </si>
  <si>
    <t>Task 5 - January 2024 - Sirjey</t>
  </si>
  <si>
    <t>Task 1 - jan 2024 - Frankywild</t>
  </si>
  <si>
    <t>Task 1 - jan 2024 - Pastaman</t>
  </si>
  <si>
    <t>Task 1 - jan 2024 - Tim</t>
  </si>
  <si>
    <t>Polkadot Prague second award- KodaDot - Prague, Czech Republic</t>
  </si>
  <si>
    <t>Polkadot @ Blockchain Rio 2023 second award - Lui5 and Parachain Boy - Rio de Janeiro</t>
  </si>
  <si>
    <t>Korea Blockchain Week Reimbursement - Web3 Foundation - Seoul Korea</t>
  </si>
  <si>
    <t>Polkadot Connect Thailand Reimbursement- Polkadot Insider - Bangkok, Thailand</t>
  </si>
  <si>
    <t xml:space="preserve">Polkadot Singapore Meetup Reimbursement - Nick Lee - Singapore </t>
  </si>
  <si>
    <t xml:space="preserve">Bangkok KOLs Meet Reimbursement - Nickole Lucas - Bangkok, Thailand </t>
  </si>
  <si>
    <t>Meetup: Blockchain for Beginners Rewards - Torsten Schenk - Berlin, Germany</t>
  </si>
  <si>
    <t xml:space="preserve"> 2 Budapest Meetups Reimbursement - Viktor - Budpest, Hungary </t>
  </si>
  <si>
    <t>PMEI ETHDenver Closing Party - PMEI - Denver CO (pt II)</t>
  </si>
  <si>
    <t>Lunar Strategy Invoice 2024-02-09 (Binance EMA 7 days = 7.052 USDT)</t>
  </si>
  <si>
    <t>ParaNodes.io produced 16469/16490 blocks; SR: 15.2574, CR: 44.0291</t>
  </si>
  <si>
    <t>Staker Space produced 16447/16490 blocks; SR: 15.2370, CR: 43.9703</t>
  </si>
  <si>
    <t>LuckyFriday.io produced 16478/16490 blocks; SR: 15.2658, CR: 44.0532</t>
  </si>
  <si>
    <t>Mile produced 16487/16490 blocks; SR: 15.2741, CR: 44.0772</t>
  </si>
  <si>
    <t>YellowFin Tuna produced 16480/16490 blocks; SR: 15.2676, CR: 44.0585</t>
  </si>
  <si>
    <t>turboflakes.io produced 16373/16490 blocks; SR: 15.1685, CR: 43.7724</t>
  </si>
  <si>
    <t>Chris-Staking produced 16458/16490 blocks; SR: 15.2472, CR: 43.9997</t>
  </si>
  <si>
    <t>Polkadotters produced 16461/16490 blocks; SR: Invul:0, CR: 44.0077</t>
  </si>
  <si>
    <t>Stakeworld.io produced 16483/16490 blocks; SR: Invul:0, CR: 44.0665</t>
  </si>
  <si>
    <t xml:space="preserve"> Iceberg Nodes  produced 16464/16490 blocks; SR: Invul:0, CR: 44.0157</t>
  </si>
  <si>
    <t>openbitlab produced 16490/16490 blocks; SR: Invul:0, CR: 44.0852</t>
  </si>
  <si>
    <t>Reward for curator (frankywild) as a portion from total 638.5667</t>
  </si>
  <si>
    <t>Reward for curator (pastaMan) as a portion from total 638.5667</t>
  </si>
  <si>
    <t>Reward for curator (Tim Janssen) as a portion from total 638.5667</t>
  </si>
  <si>
    <t>Hosting fee for Curator RPC instance @ $25.0000</t>
  </si>
  <si>
    <t>Sik | crifferent.de produced 16473/16490 blocks; SR: Invul:0, CR: 44.0398</t>
  </si>
  <si>
    <t>turboflakes.io produced 16345/16496 blocks; SR: Invul:0, CR: 43.6817</t>
  </si>
  <si>
    <t xml:space="preserve"> Iceberg Nodes  produced 16458/16496 blocks; SR: 15.2417, CR: 43.9837</t>
  </si>
  <si>
    <t>Polkadotters produced 16479/16496 blocks; SR: 15.2611, CR: 44.0398</t>
  </si>
  <si>
    <t>YellowFin Tuna produced 16479/16496 blocks; SR: 15.2611, CR: 44.0398</t>
  </si>
  <si>
    <t>Mile produced 16492/16496 blocks; SR: 15.2732, CR: 44.0745</t>
  </si>
  <si>
    <t>Stakeworld.io produced 16455/16496 blocks; SR: 15.2389, CR: 43.9757</t>
  </si>
  <si>
    <t>Sik | crifferent.de produced 16486/16496 blocks; SR: 15.2676, CR: 44.0585</t>
  </si>
  <si>
    <t>STKD.IO produced 16443/16496 blocks; SR: 15.2278, CR: 43.9436</t>
  </si>
  <si>
    <t>ParaNodes.io produced 16473/16496 blocks; SR: Invul:0, CR: 44.0238</t>
  </si>
  <si>
    <t>Staker Space produced 16458/16496 blocks; SR: Invul:0, CR: 43.9837</t>
  </si>
  <si>
    <t>DPSTK produced 16461/16496 blocks; SR: Invul:0, CR: 43.9917</t>
  </si>
  <si>
    <t>LuckyFriday.io produced 16496/16496 blocks; SR: Invul:0, CR: 44.0852</t>
  </si>
  <si>
    <t>Reward for curator (frankywild) as a portion from total 638.3268</t>
  </si>
  <si>
    <t>Reward for curator (pastaMan) as a portion from total 638.3268</t>
  </si>
  <si>
    <t>Reward for curator (Tim Janssen) as a portion from total 638.3268</t>
  </si>
  <si>
    <t>ExtraCoin produced 15745/15804 blocks; SR: Invul:0, CR: 43.9207</t>
  </si>
  <si>
    <t>YellowFin Tuna produced 15776/15804 blocks; SR: Invul:0, CR: 44.0071</t>
  </si>
  <si>
    <t>Stake Plus produced 15794/15804 blocks; SR: Invul:0, CR: 44.0573</t>
  </si>
  <si>
    <t>Mile produced 15788/15804 blocks; SR: Invul:0, CR: 44.0406</t>
  </si>
  <si>
    <t>BESTVALIDATOR | ZURICH produced 15770/15804 blocks; SR: Invul:0, CR: 43.9904</t>
  </si>
  <si>
    <t>LuckyFriday.io produced 15760/15804 blocks; SR: 15.2343, CR: 43.9625</t>
  </si>
  <si>
    <t>ParaNodes.io produced 15804/15804 blocks; SR: 15.2769, CR: 44.0852</t>
  </si>
  <si>
    <t xml:space="preserve"> Iceberg Nodes  produced 15776/15804 blocks; SR: 15.2498, CR: 44.0071</t>
  </si>
  <si>
    <t>Staker Space produced 15742/15804 blocks; SR: 15.2169, CR: 43.9123</t>
  </si>
  <si>
    <t>Coinstudio produced 15766/15804 blocks; SR: 15.2401, CR: 43.9792</t>
  </si>
  <si>
    <t>MathCrypto produced 15798/15804 blocks; SR: 15.2711, CR: 44.0685</t>
  </si>
  <si>
    <t>Polkadotters produced 15763/15804 blocks; SR: 15.2372, CR: 43.9709</t>
  </si>
  <si>
    <t>Reward for curator (frankywild) as a portion from total 638.4020</t>
  </si>
  <si>
    <t>Reward for curator (pastaMan) as a portion from total 638.4020</t>
  </si>
  <si>
    <t>Reward for curator (Tim Janssen) as a portion from total 638.4020</t>
  </si>
  <si>
    <t>Fund of multisig and pure proxy account</t>
  </si>
  <si>
    <t>Portion of un-budgeted VMs for Curators and Relay-chains: $60.00</t>
  </si>
  <si>
    <t>Reimbursement For Marketing Bounty Prev Expenses (Binance EMA 7 days = 7.052 USDT)</t>
  </si>
  <si>
    <t>Bounty 11 data gathering - Abujulaibib</t>
  </si>
  <si>
    <t>Bounty 11 data gathering - Maccala</t>
  </si>
  <si>
    <t>EVOX Invoice Receipt-12 (Binance EMA 7 days = 7.275 USDT)</t>
  </si>
  <si>
    <t>invarch-srl-2402</t>
  </si>
  <si>
    <t>moonbeam-srl-2401</t>
  </si>
  <si>
    <t>Smart City 2024 - Parachainboy and Gabekoin - Curitiba, Brazil</t>
  </si>
  <si>
    <t>Build on Polkadot: W3transfer - Apillon and ecosystem teams - Europe</t>
  </si>
  <si>
    <t>Meetup Ljubljana: 50 Shades of NFTs - w3n:patrik - Ljubljana, Slovenia</t>
  </si>
  <si>
    <t>Berlin Satellite event Refund &amp; Rewards - Simon Leon - Berlin, Germany</t>
  </si>
  <si>
    <t>Meetup Polkadot Munchen Refund - Saro Posa - Munchen, Germany</t>
  </si>
  <si>
    <t>Meetup Polkadot Nigeria - Chidi Olisa - Nigeria</t>
  </si>
  <si>
    <t>Meetup Blockchain for Beginners Refund - Torsten Schenk - Berlin, Germany</t>
  </si>
  <si>
    <t>2023 Q4 Curator Awards - ChaosDAO</t>
  </si>
  <si>
    <t>2023 Q4 Curator Awards - WebZero</t>
  </si>
  <si>
    <t>2023 Q4 Curator Awards - Hutch</t>
  </si>
  <si>
    <t>2023 Q4 Curator Awards - Zoe</t>
  </si>
  <si>
    <t>2023 Q4 Curator Awards - Mark</t>
  </si>
  <si>
    <t>DOT Hong Kong Day, Volitility Reimbursement - Vincent Chan - Hong Kong</t>
  </si>
  <si>
    <t>NFT Biarritz - G'Expect Chaos - Biarritz, France</t>
  </si>
  <si>
    <t>Base payment for six Curators</t>
  </si>
  <si>
    <t>CultureDot - Polkadot IRL Campaign #3 - Zurich Airport (Binance MA 25 days = 7.2 USDT - excess DOT due to change in price must be returned)</t>
  </si>
  <si>
    <t>peaq-srl-2402</t>
  </si>
  <si>
    <t>ETHTaipei - James Shih - Taiwan</t>
  </si>
  <si>
    <t>CryptoVendimia - Marmaapa and Matt Santo - Mendoza</t>
  </si>
  <si>
    <t>Meetup Beyond ETFs: Navigating the Digital Asset Management space with Scytale Digital Rewards - Patrik Kogaj - Ljubljana, Slovenia</t>
  </si>
  <si>
    <t>Moderation bounty- February 2024- Abdulbee</t>
  </si>
  <si>
    <t>Moderation Bounty- February 2024- Gr33Hatt3R</t>
  </si>
  <si>
    <t>Moderation Bounty- February 2024-Maarmapa</t>
  </si>
  <si>
    <t>Moderation Bounty- February 2024- MC</t>
  </si>
  <si>
    <t>Moderation Bounty- February 2024- Muddlebee</t>
  </si>
  <si>
    <t>Moderation bounty- February 2024- Paradox</t>
  </si>
  <si>
    <t>Moderation team bounty - February 2024 - Cappex</t>
  </si>
  <si>
    <t>Moderation team bounty - February 2024 - Frankywild</t>
  </si>
  <si>
    <t>Moderation team bounty - February 2024 - Grizzly</t>
  </si>
  <si>
    <t>Moderation team bounty - February 2024 - LV</t>
  </si>
  <si>
    <t>Moderation team bounty - February 2024 - Mister_cole</t>
  </si>
  <si>
    <t>Moderation team bounty - February 2024 - Pastaman</t>
  </si>
  <si>
    <t>Moderation team bounty - February 2024 - Tim Janssen</t>
  </si>
  <si>
    <t>Legal and compliance check for Batch 1</t>
  </si>
  <si>
    <t>Integration for INTR, BNC, ACA, KILT, ASTR, HDX, Total: 47250 USD</t>
  </si>
  <si>
    <t>Management Overhead for Interlay Team</t>
  </si>
  <si>
    <t>Administrative Operation track - Febuary 2024 - FrankyWild</t>
  </si>
  <si>
    <t>Administrative Operation track - Febuary 2024 - Grizzly</t>
  </si>
  <si>
    <t xml:space="preserve">General Curator Reward - Febuary 2024 - Grizzly </t>
  </si>
  <si>
    <t>Reactive track management - February 2024 - Tim Janssen</t>
  </si>
  <si>
    <t>general administration - February 2024 - Paradox</t>
  </si>
  <si>
    <t>General curation - February 2024 - Kamala</t>
  </si>
  <si>
    <t>Logo brand kit - Ecardo</t>
  </si>
  <si>
    <t>Track management of admin/op track Abdulbee February 2024</t>
  </si>
  <si>
    <t>General administration PastaMan Februray 2024</t>
  </si>
  <si>
    <t>General curation Abdulbee February 2024</t>
  </si>
  <si>
    <t>maintenance of phishing repo frankywild Februray 2024</t>
  </si>
  <si>
    <t>maintenance of phishing repo PastaMan Februray 2024</t>
  </si>
  <si>
    <t>maintenance of phishing repo Tim Janssen Februray 2024</t>
  </si>
  <si>
    <t>Educational Track Management- February 2024- Maarmapa</t>
  </si>
  <si>
    <t>General Admin- February 2024- Cmalize</t>
  </si>
  <si>
    <t>General Curation- February 2024- Cappex</t>
  </si>
  <si>
    <t>Detection/Takedown of phishing sites-February 2024-Frankywild</t>
  </si>
  <si>
    <t>Detection/Takedown of phishing sites-February 2024- Pastaman</t>
  </si>
  <si>
    <t>Detection/Takedown of phishing sites-February 2024- TimJanssen</t>
  </si>
  <si>
    <t>Outreach track(social media)- February 2024- _ecardo5o</t>
  </si>
  <si>
    <t>Outreach track(social media)- February 2024- Maarmapa</t>
  </si>
  <si>
    <t>Outreach track(Biz dev)- February 2024- Kamala</t>
  </si>
  <si>
    <t>Outreach track(content creation)- February 2024- _ecardo5o</t>
  </si>
  <si>
    <t>Outreach track(content creation)- February 2024- Maarmapa</t>
  </si>
  <si>
    <t>Outreach track (Account Manager) grizzlyadams</t>
  </si>
  <si>
    <t>Outreach track (Content creation) grizzlyadams</t>
  </si>
  <si>
    <t>One time task - February 2024 - LV555</t>
  </si>
  <si>
    <t>Task 5 - Febraury 2024 - Michelle</t>
  </si>
  <si>
    <t>Task 5 - Febraury 2024 - Sirjey</t>
  </si>
  <si>
    <t>Task 5 - Febraury 2024 - ShakurHarun</t>
  </si>
  <si>
    <t>EVOX Invoice INV041 (Binance EMA 7 days = 9.28 USDT) - excess DOT due to change in price must be returned</t>
  </si>
  <si>
    <t>Lunar Strategy Invoice 2024/03/07 (Binance EMA 7 days = 10.388 USDT) - excess DOT due to increase in price must be returned</t>
  </si>
  <si>
    <t>Payment to Protofire for Multisig Milestone 2</t>
  </si>
  <si>
    <t>STKD.IO produced 14997/15073 blocks; SR: 14.1370, CR: 30.2853</t>
  </si>
  <si>
    <t>ParaNodes.io produced 15058/15073 blocks; SR: Invul:0, CR: 30.4085</t>
  </si>
  <si>
    <t>Staker Space produced 14826/15073 blocks; SR: Invul:0, CR: 29.9400</t>
  </si>
  <si>
    <t>DPSTK produced 14950/15073 blocks; SR: Invul:0, CR: 30.1904</t>
  </si>
  <si>
    <t>LuckyFriday.io produced 15007/15073 blocks; SR: Invul:0, CR: 30.3055</t>
  </si>
  <si>
    <t>turboflakes.io produced 15073/15073 blocks; SR: Invul:0, CR: 30.4388</t>
  </si>
  <si>
    <t xml:space="preserve"> Iceberg Nodes  produced 15033/15073 blocks; SR: 14.1709, CR: 30.3580</t>
  </si>
  <si>
    <t>Polkadotters produced 15024/15073 blocks; SR: 14.1625, CR: 30.3398</t>
  </si>
  <si>
    <t>YellowFin Tuna produced 15040/15073 blocks; SR: 14.1775, CR: 30.3721</t>
  </si>
  <si>
    <t>Mile produced 15053/15073 blocks; SR: 14.1898, CR: 30.3984</t>
  </si>
  <si>
    <t>Stakeworld.io produced 15032/15073 blocks; SR: 14.1700, CR: 30.3560</t>
  </si>
  <si>
    <t>Sik | crifferent.de produced 15062/15073 blocks; SR: 14.1983, CR: 30.4165</t>
  </si>
  <si>
    <t>Reward for curator (frankywild) as a portion from total 467.1751</t>
  </si>
  <si>
    <t>Reward for curator (pastaMan) as a portion from total 467.1751</t>
  </si>
  <si>
    <t>Reward for curator (Tim Janssen) as a portion from total 467.1751</t>
  </si>
  <si>
    <t>1/5 hosting fee for supporting relay chain RPC instances and for curator instance @ $40.0000</t>
  </si>
  <si>
    <t>2/5 hosting fee for supporting relay chain RPC instances and for curator instance @ $40.0000</t>
  </si>
  <si>
    <t>Chris-Staking produced 15043/15067 blocks; SR: 14.1860, CR: 30.3903</t>
  </si>
  <si>
    <t>Polkadotters produced 15021/15067 blocks; SR: Invul:0, CR: 30.3458</t>
  </si>
  <si>
    <t>Stakeworld.io produced 15051/15067 blocks; SR: Invul:0, CR: 30.4064</t>
  </si>
  <si>
    <t xml:space="preserve"> Iceberg Nodes  produced 15052/15067 blocks; SR: Invul:0, CR: 30.4085</t>
  </si>
  <si>
    <t>openbitlab produced 15045/15067 blocks; SR: Invul:0, CR: 30.3943</t>
  </si>
  <si>
    <t>Sik | crifferent.de produced 15057/15067 blocks; SR: Invul:0, CR: 30.4186</t>
  </si>
  <si>
    <t>ParaNodes.io produced 14988/15067 blocks; SR: 14.1341, CR: 30.2792</t>
  </si>
  <si>
    <t>Staker Space produced 14841/15067 blocks; SR: 13.9955, CR: 29.9822</t>
  </si>
  <si>
    <t>LuckyFriday.io produced 14948/15067 blocks; SR: 14.0964, CR: 30.1984</t>
  </si>
  <si>
    <t>Mile produced 15067/15067 blocks; SR: 14.2086, CR: 30.4388</t>
  </si>
  <si>
    <t>YellowFin Tuna produced 15032/15067 blocks; SR: 14.1756, CR: 30.3681</t>
  </si>
  <si>
    <t>turboflakes.io produced 15051/15067 blocks; SR: 14.1936, CR: 30.4064</t>
  </si>
  <si>
    <t>Reward for curator (frankywild) as a portion from total 467.1867</t>
  </si>
  <si>
    <t>Reward for curator (pastaMan) as a portion from total 467.1867</t>
  </si>
  <si>
    <t>Reward for curator (Tim Janssen) as a portion from total 467.1867</t>
  </si>
  <si>
    <t>Polkadotters produced 15007/15064 blocks; SR: 14.1549, CR: 30.3236</t>
  </si>
  <si>
    <t>ExtraCoin produced 15027/15064 blocks; SR: Invul:0, CR: 30.3640</t>
  </si>
  <si>
    <t>YellowFin Tuna produced 15064/15064 blocks; SR: Invul:0, CR: 30.4388</t>
  </si>
  <si>
    <t>Stake Plus produced 15061/15064 blocks; SR: Invul:0, CR: 30.4327</t>
  </si>
  <si>
    <t>Mile produced 15057/15064 blocks; SR: Invul:0, CR: 30.4246</t>
  </si>
  <si>
    <t>BESTVALIDATOR | ZURICH produced 15044/15064 blocks; SR: Invul:0, CR: 30.3983</t>
  </si>
  <si>
    <t>LuckyFriday.io produced 14972/15064 blocks; SR: 14.1219, CR: 30.2529</t>
  </si>
  <si>
    <t>ParaNodes.io produced 15018/15064 blocks; SR: 14.1653, CR: 30.3458</t>
  </si>
  <si>
    <t xml:space="preserve"> Iceberg Nodes  produced 15029/15064 blocks; SR: 14.1756, CR: 30.3680</t>
  </si>
  <si>
    <t>Staker Space produced 14810/15064 blocks; SR: 13.9691, CR: 29.9255</t>
  </si>
  <si>
    <t>Coinstudio produced 15040/15064 blocks; SR: 14.1860, CR: 30.3903</t>
  </si>
  <si>
    <t>MathCrypto produced 15052/15064 blocks; SR: 14.1973, CR: 30.4145</t>
  </si>
  <si>
    <t>Reward for curator (frankywild) as a portion from total 467.2090</t>
  </si>
  <si>
    <t>Reward for curator (pastaMan) as a portion from total 467.2090</t>
  </si>
  <si>
    <t>Reward for curator (Tim Janssen) as a portion from total 467.2090</t>
  </si>
  <si>
    <t>Chris Malize (infographics) 6th milestone of Task 7</t>
  </si>
  <si>
    <t>Paradox (slideshow) 6th milestone of Task 7</t>
  </si>
  <si>
    <t>Maarmapa (video) 6th milestone of Task 7</t>
  </si>
  <si>
    <t>Tim Janssen (quiz) 6th milestone of Task 7</t>
  </si>
  <si>
    <t>Javier (article) 6th milestone of Task 7</t>
  </si>
  <si>
    <t>EVOX Invoice INV041 (Binance EMA 7 days = 10.74 USDT) - In case of any surplus on fund reception's day, the exceeding part must be returned to bounty address, in case of deficit another child bounty request must be issued to cover the difference</t>
  </si>
  <si>
    <t>WizardAmigos Code Camp - Nina Breznik - Portugal</t>
  </si>
  <si>
    <t>BlackXP Game Jam - Lui5 - Brazil</t>
  </si>
  <si>
    <t>Polkadot @ Web3Fest - Polkaport East - Hong Kong</t>
  </si>
  <si>
    <t>Polkadot @ Southeast Asia BW - Patricia Arro - Thailand</t>
  </si>
  <si>
    <t>PBA Graduation and DOTGov Workshop - Pauline Cohen Vorms, PBA - Hong Kong</t>
  </si>
  <si>
    <t>4 Hong Kong Meetups - Max Rebol - Hong Kong</t>
  </si>
  <si>
    <t>Women of Polkadot: Brunch in Bangkok - Linda Luuu - Thailand</t>
  </si>
  <si>
    <t>Beyond Beats: Web3's Disruption of the Music Landscape - Patrik Kogoj - Slovenia</t>
  </si>
  <si>
    <t>3 Brazil Meetups - Modular Crypto - Brazil</t>
  </si>
  <si>
    <t>CultureDot - Singapore, Changi Airport - Binance EMA 99 days = 8.15 USDT - excess DOT due to change in price must be returned</t>
  </si>
  <si>
    <t>EVOX - INV044 - Binance EMA 7 days = 9.54 USDT - excess DOT due to change in price must be returned</t>
  </si>
  <si>
    <t>ChainWire via MarketAccross- Invoice 58813 - Binance EMA 7 days = 9.53 USDT - excess DOT due to change in price must be returned</t>
  </si>
  <si>
    <t>Lunar Strategy - Invoice 2024/03/27 - Binance EMA 7 days = 9.535 USDT - excess DOT due to change in price must be returned</t>
  </si>
  <si>
    <t>Moderation team bounty- March 2024- Abdulbee</t>
  </si>
  <si>
    <t>Moderation team bounty- March 2024- Gr33nhatt3r</t>
  </si>
  <si>
    <t>Moderation team bounty- March 2024- MC</t>
  </si>
  <si>
    <t>Moderation team bounty- March 2024- Mister_Cole</t>
  </si>
  <si>
    <t>Moderation team bounty- March 2024- Pastaman</t>
  </si>
  <si>
    <t>Moderation bounty - March 2024 - Frankywild</t>
  </si>
  <si>
    <t>Mod + curator bounty - March 2024 - Grizzly</t>
  </si>
  <si>
    <t>Moderation team bounty - March 2024 - Tramysa</t>
  </si>
  <si>
    <t>Moderation team  bounty - March 2023 - Maarmapa</t>
  </si>
  <si>
    <t>ModerationTeamBounty-March2024-Cappex</t>
  </si>
  <si>
    <t>ModerationTeamBounty-March2024-muddlebee</t>
  </si>
  <si>
    <t>ModerationTeamBounty-March2024-paradox</t>
  </si>
  <si>
    <t>ModerationTeamBounty-March2024-timjanssen</t>
  </si>
  <si>
    <t>TeamZ AI Summit - DFG - Tokyo, Japan</t>
  </si>
  <si>
    <t>Metaverse Championship Second award - CryptoCTF - Budapest, Hungary</t>
  </si>
  <si>
    <t>Polkadot LATAM Day Reimbursement and rewards - LATAM Ambassadors - Online</t>
  </si>
  <si>
    <t>Decoded 2023 Satellite event - Subwallet - Ho Chi Minh, Vietnam</t>
  </si>
  <si>
    <t>Polkadot day Belgrade Reimbursement - Aleksandar Dimitrijevic - Belgrade, Serbia</t>
  </si>
  <si>
    <t>2023 Decoded Viewing Party Rewards - Erick Alonso Ramos Jimenez - Guadalajara, Jalisco, Mexico</t>
  </si>
  <si>
    <t>2023 Decoded Viewing Party Rewards - Robin - Monterrey, Mexico</t>
  </si>
  <si>
    <t>2023 Decoded Viewing Party Rewards - John Rhodel Bartolome - Curitiba, Brazil</t>
  </si>
  <si>
    <t>2023 Decoded Viewing Party Rewards - Guido - Villa La Angostura (Patagonia), Argentina</t>
  </si>
  <si>
    <t>2023 Decoded Viewing Party Rewards - Max Cripto - Rio Grande, Argentina</t>
  </si>
  <si>
    <t>2023 Decoded Viewing Party Rewards - Danson Twesigomwe - Arusha,Tanzania</t>
  </si>
  <si>
    <t>2023 Decoded Viewing Party Rewards - Oscar (Donatello) - Ciudad de Mexico (CDMX), Mexico</t>
  </si>
  <si>
    <t>2023 Decoded Viewing Party Rewards - Joab Niwagaba - Kigali, Rwanda</t>
  </si>
  <si>
    <t>2023 Decoded Viewing Party Rewards - Kamala Immaculate - Kampala City, Uganda</t>
  </si>
  <si>
    <t>2023 Decoded Viewing Party Rewards - Dillon Hanson - NYC, New York</t>
  </si>
  <si>
    <t>2023 Decoded Viewing Party Rewards - Santiago Guzman-Roberto Heredia - Bogota-colombia</t>
  </si>
  <si>
    <t>2023 Decoded Viewing Party Rewards - The Phynky One - Tampa, Florida, USA</t>
  </si>
  <si>
    <t>2023 Decoded Viewing Party Rewards - Rish - Bangalore, India</t>
  </si>
  <si>
    <t>2023 Decoded Viewing Party Rewards - Nikhole Lucas - Makati City, Metro Manila, Philippines</t>
  </si>
  <si>
    <t>2023 Decoded Viewing Party Rewards - Bamidele Owoseni - Dallas, Texas USA</t>
  </si>
  <si>
    <t>2023 Decoded Viewing Party Rewards - Rossmarie - Madrid, Espana</t>
  </si>
  <si>
    <t>2023 Decoded Viewing Party Rewards - Mugisha Abraham Shidi - Goma-Democratic Republic of Congo</t>
  </si>
  <si>
    <t>2023 Decoded Viewing Party Rewards - DJ Trang - Hanoi, Vietnam</t>
  </si>
  <si>
    <t>2023 Decoded Viewing Party Rewards - Arlette Salas - Maracaibo, Venezuela</t>
  </si>
  <si>
    <t>2023 Decoded Viewing Party Rewards - Fred Malize - Aba, Nigeria</t>
  </si>
  <si>
    <t>Moderation team curation - March 2024 - AJ</t>
  </si>
  <si>
    <t>ChainWire via MarketAccross - Invoice 14637 - Binance EMA 99 days = 8.329 USDT - excess DOT due to change in price must be returned</t>
  </si>
  <si>
    <t>Phishing repo maintenance- March 2024- Frankywild</t>
  </si>
  <si>
    <t>Phishing repo maintenance- March 2024- Pastaman</t>
  </si>
  <si>
    <t>Phishing repo maintenance- March 2024- TimJanssen</t>
  </si>
  <si>
    <t>Track Management/OP Track  - March 2024 -  Abdulbee</t>
  </si>
  <si>
    <t>General Curator - March 2024 - Abdulbee</t>
  </si>
  <si>
    <t>Adminstrative/Operational Track - March 2024 - Paradox</t>
  </si>
  <si>
    <t>General administration pastaMan March</t>
  </si>
  <si>
    <t>General curation Kamala Immaculate March</t>
  </si>
  <si>
    <t>Social media management Kamala Immaculate March</t>
  </si>
  <si>
    <t>1/5 hosting fee for supporting relay chain RPC instances @ $80.0000</t>
  </si>
  <si>
    <t>LuckyFriday.io produced 14428/16574 blocks; SR: Invul:0, CR: 27.5772</t>
  </si>
  <si>
    <t>turboflakes.io produced 14808/16574 blocks; SR: Invul:0, CR: 28.3035</t>
  </si>
  <si>
    <t xml:space="preserve"> Iceberg Nodes  produced 16387/16574 blocks; SR: 15.0816, CR: 31.3216</t>
  </si>
  <si>
    <t>Polkadotters produced 14691/16574 blocks; SR: 13.5207, CR: 28.0799</t>
  </si>
  <si>
    <t>YellowFin Tuna produced 16574/16574 blocks; SR: 15.2537, CR: 31.6790</t>
  </si>
  <si>
    <t>Mile produced 15717/16574 blocks; SR: 14.4649, CR: 30.0409</t>
  </si>
  <si>
    <t>Stakeworld.io produced 14843/16574 blocks; SR: 13.6606, CR: 28.3704</t>
  </si>
  <si>
    <t>Sik | crifferent.de produced 14699/16574 blocks; SR: 13.5280, CR: 28.0952</t>
  </si>
  <si>
    <t>STKD.IO produced 14382/16574 blocks; SR: 13.2363, CR: 27.4893</t>
  </si>
  <si>
    <t>ParaNodes.io produced 15556/16574 blocks; SR: Invul:0, CR: 29.7332</t>
  </si>
  <si>
    <t>Staker Space produced 14465/16574 blocks; SR: Invul:0, CR: 27.6479</t>
  </si>
  <si>
    <t>DPSTK produced 14461/16574 blocks; SR: Invul:0, CR: 27.6403</t>
  </si>
  <si>
    <t>Reward for curator (frankywild) as a portion from total 449.8982</t>
  </si>
  <si>
    <t>Reward for curator (pastaMan) as a portion from total 449.8982</t>
  </si>
  <si>
    <t>Reward for curator (Tim Janssen) as a portion from total 449.8982</t>
  </si>
  <si>
    <t>2/5 hosting fee for supporting relay chain RPC instances @ $80.0000 and for curator instance @ $40.0000</t>
  </si>
  <si>
    <t>openbitlab produced 15195/16498 blocks; SR: Invul:0, CR: 29.1770</t>
  </si>
  <si>
    <t>Sik | crifferent.de produced 14555/16498 blocks; SR: Invul:0, CR: 27.9481</t>
  </si>
  <si>
    <t>ParaNodes.io produced 15464/16498 blocks; SR: 14.2976, CR: 29.6935</t>
  </si>
  <si>
    <t>LuckyFriday.io produced 14362/16498 blocks; SR: 13.2788, CR: 27.5775</t>
  </si>
  <si>
    <t>Mile produced 15961/16498 blocks; SR: 14.7572, CR: 30.6479</t>
  </si>
  <si>
    <t>YellowFin Tuna produced 16498/16498 blocks; SR: 15.2537, CR: 31.6790</t>
  </si>
  <si>
    <t>turboflakes.io produced 14775/16498 blocks; SR: 13.6606, CR: 28.3705</t>
  </si>
  <si>
    <t>Chris-Staking produced 14819/16498 blocks; SR: 13.7013, CR: 28.4550</t>
  </si>
  <si>
    <t>Polkadotters produced 14270/16498 blocks; SR: Invul:0, CR: 27.4008</t>
  </si>
  <si>
    <t>Stakeworld.io produced 14742/16498 blocks; SR: Invul:0, CR: 28.3072</t>
  </si>
  <si>
    <t xml:space="preserve"> Iceberg Nodes  produced 16160/16498 blocks; SR: Invul:0, CR: 31.0300</t>
  </si>
  <si>
    <t>Staker Space produced 14478/16498 blocks; SR: 13.3860, CR: 27.8002</t>
  </si>
  <si>
    <t>Reward for curator (frankywild) as a portion from total 451.5961</t>
  </si>
  <si>
    <t>Reward for curator (pastaMan) as a portion from total 451.5961</t>
  </si>
  <si>
    <t>Reward for curator (Tim Janssen) as a portion from total 451.5961</t>
  </si>
  <si>
    <t>Stake Plus produced 13997/16405 blocks; SR: Invul:0, CR: 27.0290</t>
  </si>
  <si>
    <t>Mile produced 15830/16405 blocks; SR: Invul:0, CR: 30.5686</t>
  </si>
  <si>
    <t>BESTVALIDATOR | ZURICH produced 15053/16405 blocks; SR: Invul:0, CR: 29.0682</t>
  </si>
  <si>
    <t>LuckyFriday.io produced 14247/16405 blocks; SR: 13.2471, CR: 27.5118</t>
  </si>
  <si>
    <t xml:space="preserve"> Iceberg Nodes  produced 16222/16405 blocks; SR: 15.0835, CR: 31.3256</t>
  </si>
  <si>
    <t>Staker Space produced 14226/16405 blocks; SR: 13.2276, CR: 27.4712</t>
  </si>
  <si>
    <t>Coinstudio produced 14839/16405 blocks; SR: 13.7976, CR: 28.6550</t>
  </si>
  <si>
    <t>MathCrypto produced 16405/16405 blocks; SR: 15.2537, CR: 31.6790</t>
  </si>
  <si>
    <t>Polkadotters produced 14227/16405 blocks; SR: 13.2285, CR: 27.4731</t>
  </si>
  <si>
    <t>ExtraCoin produced 14451/16405 blocks; SR: Invul:0, CR: 27.9057</t>
  </si>
  <si>
    <t>YellowFin Tuna produced 16396/16405 blocks; SR: Invul:0, CR: 31.6616</t>
  </si>
  <si>
    <t>ParaNodes.io produced 15342/16405 blocks; SR: 14.2653, CR: 29.6263</t>
  </si>
  <si>
    <t>Reward for curator (frankywild) as a portion from total 453.2525</t>
  </si>
  <si>
    <t>Reward for curator (pastaMan) as a portion from total 453.2525</t>
  </si>
  <si>
    <t>Reward for curator (Tim Janssen) as a portion from total 453.2525</t>
  </si>
  <si>
    <t>Reward for curator (Tim Janssen) for signing fees over 3 months</t>
  </si>
  <si>
    <t>Outreach -sub manager &amp; content creator payout - March - Ecardo</t>
  </si>
  <si>
    <t>Outreach - sub manager &amp; content creator payout - March - Maarmapa</t>
  </si>
  <si>
    <t>Outreach - Account manager - March - Grizzly</t>
  </si>
  <si>
    <t>Outreach - Content creation - March - Grizzly</t>
  </si>
  <si>
    <t>Content Creation- March 2024- Cappex</t>
  </si>
  <si>
    <t>Reactive track management- March 2024- TimJanssen</t>
  </si>
  <si>
    <t>Proactive track management- March 2024- FrankyWild</t>
  </si>
  <si>
    <t>General Administration- March 2024- Cmalize</t>
  </si>
  <si>
    <t>Outreach track account manager- March 2024-Cmalize</t>
  </si>
  <si>
    <t>Outreach track management - March 2024 - Grizzly</t>
  </si>
  <si>
    <t>Educational track management - March 2024 - Maarmapa</t>
  </si>
  <si>
    <t>For Twitter Org verification</t>
  </si>
  <si>
    <t>General curation - March 2024 -Grizzly</t>
  </si>
  <si>
    <t>Polkadot @ ArtsDAO Fest - Irina Karagyaur - Dubai, UAE</t>
  </si>
  <si>
    <t>Polkadot @ RomeBW - Marco Romano - Rome, Italy</t>
  </si>
  <si>
    <t>General curator reward - March 2024 - Cappex</t>
  </si>
  <si>
    <t>Social media takedown - March 2024 - Michelle</t>
  </si>
  <si>
    <t>Social media takedown - March 2024 - ShakurHarun</t>
  </si>
  <si>
    <t>Social media takedown - March 2024 - Sirjey</t>
  </si>
  <si>
    <t>Database of DNS registrars - March 2024 - Tim Janssen</t>
  </si>
  <si>
    <t>Website Management lv555 + curator abdulbee</t>
  </si>
  <si>
    <t>Task1 pastaMan March 2024</t>
  </si>
  <si>
    <t>Task1 Tim March 2024</t>
  </si>
  <si>
    <t>Task1 frankywild March 2024</t>
  </si>
  <si>
    <t>astar-srl-2403</t>
  </si>
  <si>
    <t>Chainwire via MarketAccross - DOT top up for child bounty #895 - DOT Price = 8.25 USDT</t>
  </si>
  <si>
    <t>Reimbursement for Luca Poggi as Technical Curator - EMA Binance DOT 60 days = 8.87 USDT - https://docs.google.com/document/d/1FjSsefrDaIVF6xaojRd7AYeUM4P4KSWOncbLl7xiKcM</t>
  </si>
  <si>
    <t>Lunar Strategy - Invoice 2024/04/06 - Subscan EMA 7 days = 8.7 USDT - excess DOT due to change in price must be returned</t>
  </si>
  <si>
    <t>EVOX - INV048 - Binance EMA 7 days = 8.706 USDT - excess DOT due to change in price must be returned</t>
  </si>
  <si>
    <t>NGUYEN QUANG TRUONG / CRIS NGUYEN - Invoice #9 - Binance EMA 7 days = 8.716 USDT - excess DOT due to change in price must be returned</t>
  </si>
  <si>
    <t>Payment to Oak Security for Archisinal Review</t>
  </si>
  <si>
    <t>Payment to Bright Inventions for Milestone 3</t>
  </si>
  <si>
    <t>Crane - Invoice #1 - DOT = 6.70 USDT - excess DOT due to change in price must be returned</t>
  </si>
  <si>
    <t>Infrastructure</t>
  </si>
  <si>
    <t>q1 rogue payout</t>
  </si>
  <si>
    <t>Q1&amp;Q2 Portico payout</t>
  </si>
  <si>
    <t>Q2 Rogue Payout</t>
  </si>
  <si>
    <t>Q1&amp;Q2 Zondax Payout</t>
  </si>
  <si>
    <t>Q1 Metaspan Payout https://github.com/paseo-network/payouts/issues/1</t>
  </si>
  <si>
    <t>EVOX - INV050 - DOT Price at the time of the invoice = 6.60 USDT - excess DOT due to change in price must be returned</t>
  </si>
  <si>
    <t>[APPLICATION] exam play game M1</t>
  </si>
  <si>
    <t>Blockops Apr 24</t>
  </si>
  <si>
    <t>Dwellir Apr 24</t>
  </si>
  <si>
    <t>OnFinality Apr 24</t>
  </si>
  <si>
    <t>Lucky Friday Apr 24</t>
  </si>
  <si>
    <t>Stakeworld Apr 24</t>
  </si>
  <si>
    <t>RadiumBlock Apr 24</t>
  </si>
  <si>
    <t>Crane - Invoice #2 - [DOT = 6.885 USDT - 10% = 6.1965 USDT] - excess DOT due to change in price must be returned</t>
  </si>
  <si>
    <t>{Bash} EthDenver second award</t>
  </si>
  <si>
    <t>WizardAmigos slippage reimbursement</t>
  </si>
  <si>
    <t>Smart City Expo Brazil second award</t>
  </si>
  <si>
    <t>ArtsDAO slippage reimbursement</t>
  </si>
  <si>
    <t>RomeBW second tranche (VAT)</t>
  </si>
  <si>
    <t>Distractive @ ETHDenver second award</t>
  </si>
  <si>
    <t>Memecoin MeetUp at W3.hub - Web3Rdy - Berlin, Germany</t>
  </si>
  <si>
    <t>Polkadot Monthly Meetup - Max Rebol - Hong Kong</t>
  </si>
  <si>
    <t>Polkadot Networking Eve - Nicholas Joshua - Northern Nigeria</t>
  </si>
  <si>
    <t>Budapest Meetups slippage and scaling award - Viktor - Budapest, Hungary</t>
  </si>
  <si>
    <t>BlackXP Game Jam reimbusrement</t>
  </si>
  <si>
    <t>3 Brazil Meetups slippage</t>
  </si>
  <si>
    <t>CoinStudio Q1 https://github.com/paseo-network/payouts/issues/2</t>
  </si>
  <si>
    <t>Coinstudio Q2 https://github.com/paseo-network/payouts/issues/3</t>
  </si>
  <si>
    <t>Valid Orange Q1 https://github.com/paseo-network/payouts/issues/4</t>
  </si>
  <si>
    <t>Valid orange Q2 https://github.com/paseo-network/payouts/issues/5</t>
  </si>
  <si>
    <t>Curator bounty - April 2024 - AJ</t>
  </si>
  <si>
    <t>Moderation bounty - Aprill 2024 - Gr33n</t>
  </si>
  <si>
    <t>Moderation bounty - April 2024 - MC</t>
  </si>
  <si>
    <t>Moderation bounty - April 2024 - Mister_Cole</t>
  </si>
  <si>
    <t>Moderation bounty - April 2024 - muddlebee</t>
  </si>
  <si>
    <t>Moderation Team Bounty- April 2024- Abdulbee</t>
  </si>
  <si>
    <t>Moderation Team Bounty- April 2024- LV</t>
  </si>
  <si>
    <t>Moderation Team Bounty- April 2024- Maarmapa</t>
  </si>
  <si>
    <t>Moderation Team Bounty- April 2024- Paradox</t>
  </si>
  <si>
    <t>Moderation Team Bounty-April 2024-TimJanssen</t>
  </si>
  <si>
    <t>Moderation Team Bounty April 2024 Cappex</t>
  </si>
  <si>
    <t>Moderation Team Bounty April 2024 Franky</t>
  </si>
  <si>
    <t>Moderation Team Bounty April 2024 Grizzly</t>
  </si>
  <si>
    <t>Moderation Team Bounty April 2024 pastaman</t>
  </si>
  <si>
    <t xml:space="preserve">MetaSpan Q2 - https://github.com/paseo-network/payouts/issues/6 </t>
  </si>
  <si>
    <t>Gatotech q1 - https://github.com/paseo-network/payouts/issues/10</t>
  </si>
  <si>
    <t>Gatotech Q2 - https://github.com/paseo-network/payouts/issues/11</t>
  </si>
  <si>
    <t xml:space="preserve">Anti-Scam Victim Support- Retroactive payments for Feb-Mar + April 2024- Alina </t>
  </si>
  <si>
    <t xml:space="preserve">Anti-Scam Forensics Support- Retroactive payments for Feb-Mar + April 2024- Alina </t>
  </si>
  <si>
    <t>Night-Hawk extension</t>
  </si>
  <si>
    <t>General Admin - Paradox - April 2024</t>
  </si>
  <si>
    <t>General Admin - Pastaman - April 2024</t>
  </si>
  <si>
    <t>General Admin - Cmalize - April 2024</t>
  </si>
  <si>
    <t>General Curation - Cappex - April 2024</t>
  </si>
  <si>
    <t>Track Management of Admin/Operation - April 2024 - Adbulbee</t>
  </si>
  <si>
    <t>General curator - April 2024 - Abdulbee</t>
  </si>
  <si>
    <t xml:space="preserve">Track Management of Education track - April 2024 - Maarmapa </t>
  </si>
  <si>
    <t>Track management of reactive track - Tim</t>
  </si>
  <si>
    <t>Track management of proactive track - frankywild</t>
  </si>
  <si>
    <t>track management of outreach track - grizzlyadams</t>
  </si>
  <si>
    <t>General curation - grizzlyadams</t>
  </si>
  <si>
    <t>Sub manager and Content creator - ecardo5o</t>
  </si>
  <si>
    <t>Sub manager and Content creator - Maarmapa</t>
  </si>
  <si>
    <t>Account Manager - grizzlyadams</t>
  </si>
  <si>
    <t>Content creation - grizzlyadams</t>
  </si>
  <si>
    <t>General curation-April 2024- KammalaImmaculate</t>
  </si>
  <si>
    <t>Maintenance of Phishing Repo/Proactive Track-April 2024- Frankywild</t>
  </si>
  <si>
    <t>Maintenance of Phishing Repo/Proactive Track-April 2024- Pastaman</t>
  </si>
  <si>
    <t xml:space="preserve">Maintenance of Phishing Repo/Proactive Track-April 2024- TimJanssen </t>
  </si>
  <si>
    <t>Account management/Outreach Track-April 2024- KammalaImmaculate</t>
  </si>
  <si>
    <t>Social Media Takedown Task - Michelle - April 2024</t>
  </si>
  <si>
    <t>Social Media Takedown Task - ShakurHarun - April 2024</t>
  </si>
  <si>
    <t>Social Media Takedown Task - Sirjey - April 2024</t>
  </si>
  <si>
    <t>Website Management - Adim/Op - IV555 - April 2024</t>
  </si>
  <si>
    <t>set up multisig spanish bounty</t>
  </si>
  <si>
    <t>Task 1 - April 2024 - Frankywild</t>
  </si>
  <si>
    <t>Task 1 - April 2024 - Pastaman</t>
  </si>
  <si>
    <t>Task 1 - April 2024 - Tim Janssen</t>
  </si>
  <si>
    <t>Brew sponsorship - Berlin Blockchain Week - May 2024</t>
  </si>
  <si>
    <t xml:space="preserve">Retroactive Funds - Sub0 Side Events - WebZero </t>
  </si>
  <si>
    <t xml:space="preserve">ParisDotComm 2023 - Team Rewards </t>
  </si>
  <si>
    <t xml:space="preserve">Polkadot at TeamZ Web3 AI Summit 2024 - Top up </t>
  </si>
  <si>
    <t>Ops Admin System Fees - Jan to May 2024 - Zoe</t>
  </si>
  <si>
    <t>Q1 2024 Curator awards - WebZero</t>
  </si>
  <si>
    <t>Q1 2024 Curator awards - Hutch</t>
  </si>
  <si>
    <t>Q1 2024 Curator awards - ChaosDAO</t>
  </si>
  <si>
    <t>Q1 2024 Curator Awards - Mark</t>
  </si>
  <si>
    <t>Q1 2024 Curator Awards - Zoe</t>
  </si>
  <si>
    <t>Q1 2024 SubCurator Awards - Saimon</t>
  </si>
  <si>
    <t>Q1 2024 SubCurator Awards - Chris</t>
  </si>
  <si>
    <t>Q1 2024 SubCurator Awards - Mario</t>
  </si>
  <si>
    <t>CEE Wealth Summit - Harbor Industrial Captial - Vienna, Austria</t>
  </si>
  <si>
    <t>Polkadot Day Budapest - Vikk - Budapest, Hungary</t>
  </si>
  <si>
    <t>Viasoft Connect 2024 - Parachainboy and Lui5 - Curitiba, Brazil</t>
  </si>
  <si>
    <t>Consensus Hackathon Sponsorship - WebZero - Austin, TX</t>
  </si>
  <si>
    <t>Outreach track content editor- Retroactive Feb-March+April 2024- Michelle</t>
  </si>
  <si>
    <t>Outreach track account management- April 2024- Maarmapa</t>
  </si>
  <si>
    <t>Payment to MuFi for Milestone 2</t>
  </si>
  <si>
    <t>Hosting fee for Curator RPC instance @ $25.0000 + 1/6 hosting fee for supporting relay chain RPC instances @ $80.0000 + 1/6 hosting fee for curator instance @ $40.0000</t>
  </si>
  <si>
    <t>Staker Space\Statemint produced 13660/15665 blocks; SR: 0 (Invulnerable), CR: 37.1172</t>
  </si>
  <si>
    <t>DPSTK produced 14057/15665 blocks; SR: 0 (Invulnerable), CR: 38.1960</t>
  </si>
  <si>
    <t>LuckyFriday.io produced 14015/15665 blocks; SR: 0 (Invulnerable), CR: 38.0819</t>
  </si>
  <si>
    <t>turboflakes.io\MINT produced 14395/15665 blocks; SR: 0 (Invulnerable), CR: 39.1144</t>
  </si>
  <si>
    <t>0x506f6c6b61646f74746572735ce29b93434f52452070726f64756365642031343332392f313536363520626c6f636b733b2053523a2031332e353235352c2043523a2033382e39333531</t>
  </si>
  <si>
    <t>0xf09f909f59656c6c6f7746696e2054756e61f09f909f5cf09fa59753616c6164f09fa5972070726f64756365642031353636352f313536363520626c6f636b733b2053523a2031342e373836362c2043523a2034322e35363533</t>
  </si>
  <si>
    <t>0x4d696c65f09f8c8d5c5379732070726f64756365642031343935312f313536363520626c6f636b733b2053523a2031342e313132362c2043523a2034302e36323532</t>
  </si>
  <si>
    <t>Sik | crifferent.de produced 14057/15665 blocks; SR: 13.2688, CR: 38.1960</t>
  </si>
  <si>
    <t>STKD.IO\AssetHub produced 9472/15665 blocks; SR: 8.9409, CR: 25.7375</t>
  </si>
  <si>
    <t>ParaNodes.io produced 14471/15665 blocks; SR: 0 (Invulnerable), CR: 39.3209</t>
  </si>
  <si>
    <t>0xf09fa78a2049636562657267204e6f64657320f09fa78a2070726f64756365642031343131332f313536363520626c6f636b733b2053523a2031332e333231362c2043523a2033382e33343831</t>
  </si>
  <si>
    <t>Stakeworld.io produced 14167/15665 blocks; SR: 13.3726, CR: 38.4949</t>
  </si>
  <si>
    <t>Chris-Staking\bridgehub produced 4428/15665 blocks; SR: 4.1797, CR: 12.0319</t>
  </si>
  <si>
    <t>Reward for curator (frankywild) as a portion from total 568.6573</t>
  </si>
  <si>
    <t>Reward for curator (pastaMan) as a portion from total 568.6573</t>
  </si>
  <si>
    <t>Reward for curator (Tim Janssen) as a portion from total 568.6573</t>
  </si>
  <si>
    <t>Stakeworld.io produced 14277/15672 blocks; SR: 0 (Invulnerable), CR: 38.7764</t>
  </si>
  <si>
    <t>Iceberg Nodes  produced 14063/15672 blocks; SR: 0 (Invulnerable), CR: 38.1952</t>
  </si>
  <si>
    <t>openbitlab\bridgehub produced 14113/15672 blocks; SR: 0 (Invulnerable), CR: 38.3310</t>
  </si>
  <si>
    <t>Sik | crifferent.de produced 14156/15672 blocks; SR: 0 (Invulnerable), CR: 38.4478</t>
  </si>
  <si>
    <t>ParaNodes.io produced 14464/15672 blocks; SR: 13.6468, CR: 39.2843</t>
  </si>
  <si>
    <t>Staker Space\bridgehub produced 8526/15672 blocks; SR: 8.0443, CR: 23.1567</t>
  </si>
  <si>
    <t>LuckyFriday.io produced 14147/15672 blocks; SR: 13.3478, CR: 38.4234</t>
  </si>
  <si>
    <t>Mile\Sys produced 14996/15672 blocks; SR: 14.1488, CR: 40.7292</t>
  </si>
  <si>
    <t>YellowFin Tuna\Salad produced 15672/15672 blocks; SR: 14.7866, CR: 42.5653</t>
  </si>
  <si>
    <t>turboflakes.io\MINT produced 14393/15672 blocks; SR: 13.5799, CR: 39.0915</t>
  </si>
  <si>
    <t>Chris-Staking\bridgehub produced 4149/15672 blocks; SR: 3.9146, CR: 11.2687</t>
  </si>
  <si>
    <t>Polkadotters\CORE produced 14361/15672 blocks; SR: 0 (Invulnerable), CR: 39.0046</t>
  </si>
  <si>
    <t>COINSTUDIO produced 9668/15672 blocks; SR: 9.1218, CR: 26.2584</t>
  </si>
  <si>
    <t>STKD.IO produced 4810/15672 blocks; SR: 4.5383, CR: 13.0640</t>
  </si>
  <si>
    <t>Reward for curator (frankywild) as a portion from total 568.1101</t>
  </si>
  <si>
    <t>Reward for curator (pastaMan) as a portion from total 568.1101</t>
  </si>
  <si>
    <t>Reward for curator (Tim Janssen) as a portion from total 568.1101</t>
  </si>
  <si>
    <t>YellowFin Tuna\Salad produced 15774/16245 blocks; SR: 0 (Invulnerable), CR: 41.3311</t>
  </si>
  <si>
    <t>Stake Plus\COLLECTIVES01 produced 14060/16245 blocks; SR: 0 (Invulnerable), CR: 36.8401</t>
  </si>
  <si>
    <t>Mile\Sys produced 15163/16245 blocks; SR: 0 (Invulnerable), CR: 39.7302</t>
  </si>
  <si>
    <t>BESTVALIDATOR | ZURICH\collectives produced 13935/16245 blocks; SR: 0 (Invulnerable), CR: 36.5126</t>
  </si>
  <si>
    <t>ParaNodes.io produced 14596/16245 blocks; SR: 13.2856, CR: 38.2445</t>
  </si>
  <si>
    <t>Staker Space\collectives produced 3871/16245 blocks; SR: 3.5235, CR: 10.1428</t>
  </si>
  <si>
    <t>MathCrypto\collectives produced 16245/16245 blocks; SR: 14.7866, CR: 42.5653</t>
  </si>
  <si>
    <t>Polkadotters\CORE produced 11130/16245 blocks; SR: 10.1308, CR: 29.1629</t>
  </si>
  <si>
    <t>ExtraCoin produced 14290/16245 blocks; SR: 0 (Invulnerable), CR: 37.4428</t>
  </si>
  <si>
    <t>Iceberg Nodes  produced 14296/16245 blocks; SR: 13.0126, CR: 37.4585</t>
  </si>
  <si>
    <t>Coinstudio\COLLECTIVES produced 14017/16245 blocks; SR: 12.7586, CR: 36.7274</t>
  </si>
  <si>
    <t>LuckyFriday.io produced 14224/16245 blocks; SR: 12.9470, CR: 37.2698</t>
  </si>
  <si>
    <t>Stakeworld.io produced 9943/16245 blocks; SR: 9.0504, CR: 26.0527</t>
  </si>
  <si>
    <t>Reward for curator (frankywild) as a portion from total 545.3607</t>
  </si>
  <si>
    <t>Reward for curator (pastaMan) as a portion from total 545.3607</t>
  </si>
  <si>
    <t>Reward for curator (Tim Janssen) as a portion from total 545.3607</t>
  </si>
  <si>
    <t>MediaFuse.org - Invoice 14782 - DOT price -10% = 6.19 USDT - excess DOT due to higher DOT market price when claim is made available must be returned</t>
  </si>
  <si>
    <t>ChainWire - Invoice 59105 - DOT price -10% = 6.19 USDT - excess DOT due to higher DOT market price when claim is made available must be returned</t>
  </si>
  <si>
    <t>Lunar Strategy - Invoice 59105 - DOT price -10% = 6.093 USDT - excess DOT due to higher DOT market price when claim is made available must be returned</t>
  </si>
  <si>
    <t>MarketAccross - Invoice 14790 - DOT price -10% = 6.057 USDT - excess DOT due to higher DOT market price when claim is made available must be returned</t>
  </si>
  <si>
    <t>EVOX - INV0505 - DOT price = 6.786 USDT - excess DOT due to higher DOT market price when claim is made available must be returned</t>
  </si>
  <si>
    <t xml:space="preserve">Spanish bounty - content creation </t>
  </si>
  <si>
    <t>Meetup Venezuela</t>
  </si>
  <si>
    <t>VDS Event</t>
  </si>
  <si>
    <t>Blockops May 24</t>
  </si>
  <si>
    <t>Dwellir May 24</t>
  </si>
  <si>
    <t>OnFinality May 24</t>
  </si>
  <si>
    <t>Lucky Friday May 24</t>
  </si>
  <si>
    <t>Stakeworld May 24</t>
  </si>
  <si>
    <t>RadiumBlock May 24</t>
  </si>
  <si>
    <t>Content creation CE_1</t>
  </si>
  <si>
    <t>Content Creation CE_2</t>
  </si>
  <si>
    <t>Content Creation CE_03</t>
  </si>
  <si>
    <t>Google Drive ($54) + Adam Steeber's work in technical configurations ($200)</t>
  </si>
  <si>
    <t>Translations TT 4 &amp; 5</t>
  </si>
  <si>
    <t>Polkaport East second award</t>
  </si>
  <si>
    <t>La Cusathon - Polkadot Peru - Lima, Peru</t>
  </si>
  <si>
    <t>HIC PBA Investor Dinner - Harbor Industrial Capital - Hong Kong</t>
  </si>
  <si>
    <t>Spanish bounty - content creation</t>
  </si>
  <si>
    <t>Spanish Bounty Translations</t>
  </si>
  <si>
    <t>Spanish Bounty C4_C10</t>
  </si>
  <si>
    <t>Spanish Bounty C5_C13</t>
  </si>
  <si>
    <t>Spanish Bounty C6</t>
  </si>
  <si>
    <t>Spanish Bounty C9</t>
  </si>
  <si>
    <t>Spanish Bounty C11</t>
  </si>
  <si>
    <t>Spanish Bounty C12</t>
  </si>
  <si>
    <t>Curator fee Ezio</t>
  </si>
  <si>
    <t>Curator fee Lengo</t>
  </si>
  <si>
    <t>Curator fee Ernih</t>
  </si>
  <si>
    <t>Admin fee Amaury</t>
  </si>
  <si>
    <t>Curator Fee - Albert</t>
  </si>
  <si>
    <t>Curator Fee - Blockya</t>
  </si>
  <si>
    <t>Curator Fee - Gerardo</t>
  </si>
  <si>
    <t>Curator Fee - Nachito</t>
  </si>
  <si>
    <t>The Innovation Village Kampala Uganda</t>
  </si>
  <si>
    <t>EVOX - INV0507 - DOT price = 7.142 USDT - excess DOT due to higher DOT market price when claim is made available must be returned</t>
  </si>
  <si>
    <t>Crane - Invoice #3 - DOT price = 7.19 USDT - excess DOT due to higher DOT market price when claim is made available must be returned</t>
  </si>
  <si>
    <t>MarketAcross - Invoice 14827 - DOT price - 10% = 6.534 USDT - excess DOT due to higher DOT market price when claim is made available must be returned</t>
  </si>
  <si>
    <t>Moderation curator bounty - May 2024 - AJ</t>
  </si>
  <si>
    <t>Moderation team bounty - May 2024 - Gr33nHatt3R</t>
  </si>
  <si>
    <t>Moderation team bounty - May 2024 - MC</t>
  </si>
  <si>
    <t>Moderation team bounty - May 2024 - Mister_Cole</t>
  </si>
  <si>
    <t>Moderation team bounty - May 2024 - Muddlebee</t>
  </si>
  <si>
    <t>Moderation Bounty - May 2024 - Cappex</t>
  </si>
  <si>
    <t>Moderation Bounty - May 2024 - frankywild</t>
  </si>
  <si>
    <t>Moderation Bounty - May 2024 - Grizzly</t>
  </si>
  <si>
    <t>Moderation Bounty - May 2024 - pastaMan</t>
  </si>
  <si>
    <t>Bridgehub related staking rewards due to bug</t>
  </si>
  <si>
    <t>Assethub related staking rewards due to bug</t>
  </si>
  <si>
    <t>Reward for curator (frankywild) as a portion from total 126.2464</t>
  </si>
  <si>
    <t>Reward for curator (pastaMan) as a portion from total 126.2464</t>
  </si>
  <si>
    <t>Reward for curator (Tim Janssen) as a portion from total 126.2464</t>
  </si>
  <si>
    <t>ETHRome second payout</t>
  </si>
  <si>
    <t>Proof of Talk 2024 - Scytale Digital - Paris, France</t>
  </si>
  <si>
    <t>Moderation team bounty- May 2024- Abdulbee</t>
  </si>
  <si>
    <t>Moderation team bounty- May 2024- LV</t>
  </si>
  <si>
    <t>Moderation team bounty-May 2024- Maarmapa</t>
  </si>
  <si>
    <t>Moderation team bounty-May 2024- Paradox</t>
  </si>
  <si>
    <t xml:space="preserve">Moderation team bounty- May 2024-Tim Janssen </t>
  </si>
  <si>
    <t>Free Web3 Workshop: Blockchain, Rust, and Career Paths to Polkadot | May 31st, 2024 | Cebu, Philippines</t>
  </si>
  <si>
    <t>Payment to Band Protocol for Milestone 1</t>
  </si>
  <si>
    <t>Jim Farley's refund of program deposits. 20.041 DOT for creation of pure proxy + 18.5 DOT contribution toward parent bounty curator deposit + 1.233 DOT for enlivening the pure proxy.</t>
  </si>
  <si>
    <t>Spanish Bounty - Content curator</t>
  </si>
  <si>
    <t>written content CE 8</t>
  </si>
  <si>
    <t>written content CE 14</t>
  </si>
  <si>
    <t>written content CE 15.17.20</t>
  </si>
  <si>
    <t>written content CE 19</t>
  </si>
  <si>
    <t>written content CE 22</t>
  </si>
  <si>
    <t>written content CE 23</t>
  </si>
  <si>
    <t>written content CE 24</t>
  </si>
  <si>
    <t>Translation TT 8</t>
  </si>
  <si>
    <t>Translation TT 9.12</t>
  </si>
  <si>
    <t>Translation TT 13</t>
  </si>
  <si>
    <t xml:space="preserve">Polkadot Meet-up Bounty Northern Nigeria by Polkadot Ambassdor </t>
  </si>
  <si>
    <t>Track management of reactive track May - Tim Janssen</t>
  </si>
  <si>
    <t>Track management of admin/op track May - abdulbee</t>
  </si>
  <si>
    <t>General administration May - Paradox</t>
  </si>
  <si>
    <t>General curation May - abdulbee</t>
  </si>
  <si>
    <t>Maintenance of phishing repo May - frankywild</t>
  </si>
  <si>
    <t>Maintenance of phishing repo May - pastaMan</t>
  </si>
  <si>
    <t>Maintenance of phishing repo May - Tim Janssen</t>
  </si>
  <si>
    <t>Content creation May - H3ct0r4lph4</t>
  </si>
  <si>
    <t>Editor payout May - tramymisa</t>
  </si>
  <si>
    <t>Educational track management - May 2024 - Maarmapa</t>
  </si>
  <si>
    <t>General admin - May 2024 - cmalize</t>
  </si>
  <si>
    <t>General curation - May 2024 - kamala</t>
  </si>
  <si>
    <t>Anti-scam collective document - Machala</t>
  </si>
  <si>
    <t>Anti-scam collective document - sirjay</t>
  </si>
  <si>
    <t>Anti-scam collective document - Shakurharun</t>
  </si>
  <si>
    <t>Anti-scam collective document - Tramysa</t>
  </si>
  <si>
    <t>Track Management/ Admin-Operation - Grizilly - May 2024</t>
  </si>
  <si>
    <t>General Curator - Grizzly - May 2024</t>
  </si>
  <si>
    <t>DART/Education Task - Abujulaibib - May 2024</t>
  </si>
  <si>
    <t>DART/Education Task - Macchalafortune - May 2024</t>
  </si>
  <si>
    <t>DART/Education Task - Ecardo5o - May 2024</t>
  </si>
  <si>
    <t>Proactive track management-May 2024- Frankywild</t>
  </si>
  <si>
    <t>General Administration- May 2024- Pastaman</t>
  </si>
  <si>
    <t>General curation- May 2024- Cappex</t>
  </si>
  <si>
    <t>Database upkeep- May 2024-TimJanssen</t>
  </si>
  <si>
    <t>Social Media content creation - May 2024 - Cappex</t>
  </si>
  <si>
    <t>Takedown of Phishing websites/Proactive track-May 2024- Frankywild</t>
  </si>
  <si>
    <t>Takedown of Phishing websites/Proactive track-May 2024-Pastaman</t>
  </si>
  <si>
    <t>Takedown of Phishing websites/Proactive track-May 2024- TimJanssen</t>
  </si>
  <si>
    <t>Subscribtion service to Merkel Science/Forensics Track-May</t>
  </si>
  <si>
    <t>Social Media account management - May 2024 - Kamala</t>
  </si>
  <si>
    <t>Outreach-Sub manager payout &amp; Content creation - ecardo5o - May 2024</t>
  </si>
  <si>
    <t>Outreach-Sub Manager payout - Maarmapa - May 2024</t>
  </si>
  <si>
    <t>Outreach-Account Management -  Grizzly - May 2024</t>
  </si>
  <si>
    <t>Outreach-Content Creation - Grizzly - May 2024</t>
  </si>
  <si>
    <t>Max Rebol's parent bounty curator sign-on bonus.</t>
  </si>
  <si>
    <t>Luke Schoen's parent bounty curator sign-on bonus.</t>
  </si>
  <si>
    <t>Stiwar Lopez's parent bounty curator sign-on bonus.</t>
  </si>
  <si>
    <t>Ezio Rojas' parent bounty curator sign-on bonus.</t>
  </si>
  <si>
    <t>Janko Ranghi's parent bounty curator sign-on bonus.</t>
  </si>
  <si>
    <t>Rafael Yahlomi's parent bounty curator sign-on bonus.</t>
  </si>
  <si>
    <t>Clinton Swan's parent bounty curator sign on bonus.</t>
  </si>
  <si>
    <t>Eduardo Cardoso's parent bounty curator sign-on bonus.</t>
  </si>
  <si>
    <t>Jimmy Tudeski's parent bounty curator sign-on bonus.</t>
  </si>
  <si>
    <t>Adam Steeber's parent bounty curator sign-on bonus.</t>
  </si>
  <si>
    <t>ANEMOIA Proposal: Coffee Talk Sponsored by Polkadot: How #Web3 is Impacting GenZ?</t>
  </si>
  <si>
    <t>April/May Curator Awards WebZero</t>
  </si>
  <si>
    <t>April/May Curator Awards ChaosDAO</t>
  </si>
  <si>
    <t>April/May Curator Awards Hutch</t>
  </si>
  <si>
    <t>April/May Curator Awards Zoe</t>
  </si>
  <si>
    <t>April/May Curator Awards Mark</t>
  </si>
  <si>
    <t xml:space="preserve">Polkadotters - Q1 &amp; Q2: https://github.com/paseo-network/payouts/issues/14 &amp; https://github.com/paseo-network/payouts/issues/15 </t>
  </si>
  <si>
    <t>Dwellier Q1 &amp;Q2 https://github.com/paseo-network/payouts/issues/17 &amp; https://github.com/paseo-network/payouts/issues/16</t>
  </si>
  <si>
    <t>Radium Block Q1 &amp; Q2 https://github.com/paseo-network/payouts/issues/19 &amp; https://github.com/paseo-network/payouts/issues/18</t>
  </si>
  <si>
    <t>Bright Disputes Milestone 4 Payout</t>
  </si>
  <si>
    <t>Social Media takedowns - May 2024 - Tramysa</t>
  </si>
  <si>
    <t>Social Media takedowns - May 2024 - ShakurHarun</t>
  </si>
  <si>
    <t>Social Media takedowns - May 2024 - SirJey</t>
  </si>
  <si>
    <t>Victim Support Track- May 2024- Alina</t>
  </si>
  <si>
    <t>Forensics Support Track- May 2024- Alina</t>
  </si>
  <si>
    <t>hydradx-srl-2405</t>
  </si>
  <si>
    <t>hyperbridge-srl-2405</t>
  </si>
  <si>
    <t>Stake Plus Bounty 50 payouts https://github.com/ibp-network/ChildBounties</t>
  </si>
  <si>
    <t>Metaspan Bounty 50 payouts https://github.com/ibp-network/ChildBounties</t>
  </si>
  <si>
    <t>Helikon Bounty 50 payouts https://github.com/ibp-network/ChildBounties</t>
  </si>
  <si>
    <t>Gatotech Bounty 50 payouts https://github.com/ibp-network/ChildBounties</t>
  </si>
  <si>
    <t>Amforc Bounty 50 payouts https://github.com/ibp-network/ChildBounties</t>
  </si>
  <si>
    <t>CoinStudio Bounty 50 payouts https://github.com/ibp-network/ChildBounties</t>
  </si>
  <si>
    <t>Turboflakes Bounty 50 payouts https://github.com/ibp-network/ChildBounties</t>
  </si>
  <si>
    <t>Dwellir Bounty 50 payouts https://github.com/ibp-network/ChildBounties</t>
  </si>
  <si>
    <t>RadiumBlock Bounty 50 payouts https://github.com/ibp-network/ChildBounties</t>
  </si>
  <si>
    <t>Rotko Bounty 50 payouts https://github.com/ibp-network/ChildBounties</t>
  </si>
  <si>
    <t>Polkadotters Bounty 50 payouts https://github.com/ibp-network/ChildBounties</t>
  </si>
  <si>
    <t>Lucky Friday Bounty 50 payouts https://github.com/ibp-network/ChildBounties</t>
  </si>
  <si>
    <t>Task 2b Curator reward-May 2024- Frankywild</t>
  </si>
  <si>
    <t>Hosting fee for Curator RPC instance @ $25.0000 + 1/7 hosting fee for supporting relay chain RPC instances @ $80.0000 + 1/7 hosting fee for curator instance @ $40.0000</t>
  </si>
  <si>
    <t>0x4d696c65f09f8c8d5c5379732070726f64756365642031363134372f313631373620626c6f636b733b2053523a2031342e393832342c2043523a2034322e30383838</t>
  </si>
  <si>
    <t>0xf09f909f59656c6c6f7746696e2054756e61f09f909f5cf09fa59753616c6164f09fa5972070726f64756365642031363133392f313631373620626c6f636b733b2053523a2031342e393735302c2043523a2034322e30363830</t>
  </si>
  <si>
    <t>Sik | crifferent.de produced 14212/16176 blocks; SR: 13.1870, CR: 37.0451</t>
  </si>
  <si>
    <t>Chris-Staking\bridgehub produced 16176/16176 blocks; SR: 15.0093, CR: 42.1644</t>
  </si>
  <si>
    <t>ParaNodes.io produced 16130/16176 blocks; SR: 0 (Invulnerable), CR: 42.0445</t>
  </si>
  <si>
    <t>Staker Space\Statemint produced 14796/16176 blocks; SR: 0 (Invulnerable), CR: 38.5673</t>
  </si>
  <si>
    <t>DPSTK produced 15818/16176 blocks; SR: 0 (Invulnerable), CR: 41.2313</t>
  </si>
  <si>
    <t>LuckyFriday.io produced 16112/16176 blocks; SR: 0 (Invulnerable), CR: 41.9976</t>
  </si>
  <si>
    <t>turboflakes.io\MINT produced 16065/16176 blocks; SR: 0 (Invulnerable), CR: 41.8751</t>
  </si>
  <si>
    <t>0x506f6c6b61646f74746572735ce29b93434f52452070726f64756365642031353830382f313631373620626c6f636b733b2053523a2031342e363637382c2043523a2034312e32303532</t>
  </si>
  <si>
    <t>Stakeworld.io produced 16097/16176 blocks; SR: 14.9360, CR: 41.9585</t>
  </si>
  <si>
    <t>0xf09fa78a2049636562657267204e6f64657320f09fa78a2070726f64756365642031343138322f313631373620626c6f636b733b2053523a2031332e313539312c2043523a2033362e39363639</t>
  </si>
  <si>
    <t>Reward for curator (frankywild) as a portion from total 596.0525</t>
  </si>
  <si>
    <t>Reward for curator (pastaMan) as a portion from total 596.0525</t>
  </si>
  <si>
    <t>Reward for curator (Tim Janssen) as a portion from total 596.0525</t>
  </si>
  <si>
    <t>MILE produced 14113/15665 blocks; SR: 13.3216, CR: 38.3481</t>
  </si>
  <si>
    <t>ParaNodes.io produced 16245/16297 blocks; SR: 14.9614, CR: 42.0299</t>
  </si>
  <si>
    <t>LuckyFriday.io produced 16226/16297 blocks; SR: 14.9439, CR: 41.9807</t>
  </si>
  <si>
    <t>turboflakes.io\MINT produced 16181/16297 blocks; SR: 14.9025, CR: 41.8643</t>
  </si>
  <si>
    <t>COINSTUDIO produced 16297/16297 blocks; SR: 15.0093, CR: 42.1644</t>
  </si>
  <si>
    <t>Polkadotters\CORE produced 16030/16297 blocks; SR: 0 (Invulnerable), CR: 41.4736</t>
  </si>
  <si>
    <t>Stakeworld.io produced 16262/16297 blocks; SR: 0 (Invulnerable), CR: 42.0739</t>
  </si>
  <si>
    <t>Iceberg Nodes produced 14190/16297 blocks; SR: 0 (Invulnerable), CR: 36.7131</t>
  </si>
  <si>
    <t>openbitlab\bridgehub produced 14419/16297 blocks; SR: 0 (Invulnerable), CR: 37.3056</t>
  </si>
  <si>
    <t>Sik | crifferent.de produced 14178/16297 blocks; SR: 0 (Invulnerable), CR: 36.6821</t>
  </si>
  <si>
    <t>Staker Space\bridgehub produced 14913/16297 blocks; SR: 13.7347, CR: 38.5837</t>
  </si>
  <si>
    <t>YellowFin Tuna\Salad produced 16268/16297 blocks; SR: 14.9826, CR: 42.0894</t>
  </si>
  <si>
    <t>Reward for curator (frankywild) as a portion from total 594.5078</t>
  </si>
  <si>
    <t>Reward for curator (pastaMan) as a portion from total 594.5078</t>
  </si>
  <si>
    <t>Reward for curator (Tim Janssen) as a portion from total 594.5078</t>
  </si>
  <si>
    <t>TT-17 to TT-20 TT-24 to TT- 27</t>
  </si>
  <si>
    <t>TT-21 to TT-23 TT-28</t>
  </si>
  <si>
    <t>TT-15 CE-32</t>
  </si>
  <si>
    <t>TT-7 CE-7 and CE-34</t>
  </si>
  <si>
    <t>CE-27</t>
  </si>
  <si>
    <t>Spanish Bounty - Content creation V_19</t>
  </si>
  <si>
    <t>Spanish Bounty - Content creation V_27</t>
  </si>
  <si>
    <t>Spanish Bounty - Content creation V_28</t>
  </si>
  <si>
    <t>Spanish Bounty - Content creation V_31</t>
  </si>
  <si>
    <t>Spanish bounty - content creation V_29</t>
  </si>
  <si>
    <t>Spanish bounty - content creation V_30</t>
  </si>
  <si>
    <t>Reward MeetUp Venezuela</t>
  </si>
  <si>
    <t>Workshop Valencia (Venezuela)</t>
  </si>
  <si>
    <t>Spanish Bounty - CE_26 / TT_14 / TT_16</t>
  </si>
  <si>
    <t>Spanish Bounty - CE_28</t>
  </si>
  <si>
    <t>Spanish Bounty - CE_35</t>
  </si>
  <si>
    <t>Spanish Bounty - CE_29</t>
  </si>
  <si>
    <t>Spanish Bounty - CE_30</t>
  </si>
  <si>
    <t>Spanish Bounty - CE_31</t>
  </si>
  <si>
    <t>Spanish Bounty - CE_33</t>
  </si>
  <si>
    <t>ExtraCoin produced 14312/16337 blocks; SR: 0 (Invulnerable), CR: 36.9381</t>
  </si>
  <si>
    <t>YellowFin Tuna\Salad produced 16313/16337 blocks; SR: 0 (Invulnerable), CR: 42.1025</t>
  </si>
  <si>
    <t>Mile\Sys produced 16298/16337 blocks; SR: 0 (Invulnerable), CR: 42.0638</t>
  </si>
  <si>
    <t>BESTVALIDATOR | ZURICH\collectives produced 16304/16337 blocks; SR: 0 (Invulnerable), CR: 42.0793</t>
  </si>
  <si>
    <t>Stakeworld.io produced 16337/16337 blocks; SR: 15.0093, CR: 42.1644</t>
  </si>
  <si>
    <t>ParaNodes.io produced 16074/16337 blocks; SR: 14.7677, CR: 41.4857</t>
  </si>
  <si>
    <t>LuckyFriday.io produced 16285/16337 blocks; SR: 14.9615, CR: 42.0302</t>
  </si>
  <si>
    <t>Iceberg Nodes produced 14341/16337 blocks; SR: 13.1755, CR: 37.0129</t>
  </si>
  <si>
    <t>Coinstudio\COLLECTIVES produced 16333/16337 blocks; SR: 15.0056, CR: 42.1541</t>
  </si>
  <si>
    <t>MathCrypto\collectives produced 16127/16337 blocks; SR: 14.8164, CR: 41.6224</t>
  </si>
  <si>
    <t>Stake Plus\COLLECTIVES01 produced 16177/16337 blocks; SR: 0 (Invulnerable), CR: 41.7515</t>
  </si>
  <si>
    <t>Polkadotters\CORE produced 12595/16337 blocks; SR: 11.5714, CR: 32.5066</t>
  </si>
  <si>
    <t>Reward for curator (frankywild) as a portion from total 589.1421</t>
  </si>
  <si>
    <t>Reward for curator (pastaMan) as a portion from total 589.1421</t>
  </si>
  <si>
    <t>Reward for curator (Tim Janssen) as a portion from total 589.1421</t>
  </si>
  <si>
    <t>Spanish Bounty - Creation Video V_24</t>
  </si>
  <si>
    <t>MarketAcross - Invoice 14871 - DOT price - 10% = 6.48 USDT - excess DOT due to higher DOT market price when claim is made available must be returned</t>
  </si>
  <si>
    <t>Christian Dirk's refund of program deposits. 20.041 for creation of pure proxy + 18.5 contribution toward parent bounty curator deposit + 2 for enlivening the pure proxy.</t>
  </si>
  <si>
    <t>Merkel science subscription top-up to account for market drop</t>
  </si>
  <si>
    <t>Bounty for 1 year of Twitter Gold subscribtion for the Anti-Scam Team</t>
  </si>
  <si>
    <t>centrifuge-cantina-2405</t>
  </si>
  <si>
    <t>Meetup Refund - Polkadot Day Arca HUB - Rio de janeiro, Brazil</t>
  </si>
  <si>
    <t>Meetup - Polkapizza Lisbon, Portugal</t>
  </si>
  <si>
    <t>Polkadot Meet-up, Lagos, Nigeria</t>
  </si>
  <si>
    <t>Java Host (Fruzhin) Phase 2 child bounty second tranche</t>
  </si>
  <si>
    <t>Amended KuCoin AssetHub Integration</t>
  </si>
  <si>
    <t>Amended Ramp Network AssetHub Integration and Parachain on-ramps</t>
  </si>
  <si>
    <t>Amended Zapper Integration for Astar, Moonbeam, Acala and HydraDX Milestone 1</t>
  </si>
  <si>
    <t>Spanish bounty - Content Creation - V_32</t>
  </si>
  <si>
    <t>Spanish bounty - Content Creation - V_35</t>
  </si>
  <si>
    <t>Spanish bounty - Content Creation - V_36</t>
  </si>
  <si>
    <t>Spanish bounty - Content Creation - V_39</t>
  </si>
  <si>
    <t>Spanish bounty - Content Creation - V_40</t>
  </si>
  <si>
    <t>Spanish Bounty - CE_36/ TT29 &amp; TT30</t>
  </si>
  <si>
    <t>Spanish Bounty CE_37</t>
  </si>
  <si>
    <t>Spanish Bounty  TT_31 &amp; TT32</t>
  </si>
  <si>
    <t>Spanish bounty - Content Creation - V_33</t>
  </si>
  <si>
    <t>Spanish bounty - Content Creation - V_38</t>
  </si>
  <si>
    <t>PolkadotxBlockchaincon2024</t>
  </si>
  <si>
    <t>Polkadot Decoded Viewing Party - Lima, Peru</t>
  </si>
  <si>
    <t>Dart and Task Management Rewards - Hector -  May 2024</t>
  </si>
  <si>
    <t>Facilitator Payment to Astar</t>
  </si>
  <si>
    <t>EVOX - INV071 - DOT price = 5.83 USDT - excess DOT due to higher DOT market price when claim is made available must be returned</t>
  </si>
  <si>
    <t>Lunar Strategy - Invoice 2024/06/19 - DOT price -10% = 5.364 USDT - excess DOT due to higher DOT market price when claim is made available must be returned</t>
  </si>
  <si>
    <t>Blockops June 24</t>
  </si>
  <si>
    <t>Dwellir June 24</t>
  </si>
  <si>
    <t>OnFinality June 24</t>
  </si>
  <si>
    <t>Lucky Friday June 24</t>
  </si>
  <si>
    <t>Stakeworld June 24</t>
  </si>
  <si>
    <t>RadiumBlock June 24</t>
  </si>
  <si>
    <t>Insular.web3 - Polkadot in Lemuy</t>
  </si>
  <si>
    <t>Crane - Invoice #4 - DOT price = 5.20 USDT - excess DOT due to higher DOT market price when claim is made available must be returned</t>
  </si>
  <si>
    <t>Curator bounty - June 2024 - Abdulbee</t>
  </si>
  <si>
    <t>Curator bounty - June 2024 - Grizzly</t>
  </si>
  <si>
    <t>Head Mod bounty - June 2024 - Mister_cole</t>
  </si>
  <si>
    <t>Moderation team bounty - June 2024 - Gr33n</t>
  </si>
  <si>
    <t>Moderation team bounty - June 2024 - MC</t>
  </si>
  <si>
    <t>Moderation team bounty - June 2024 - Muddlebee</t>
  </si>
  <si>
    <t>Moderation team bounty - June 2024 - Michelle</t>
  </si>
  <si>
    <t>Moderation team bounty - June 2024 - Mario</t>
  </si>
  <si>
    <t>Moderation team bounty - June 2024 - Paradox</t>
  </si>
  <si>
    <t>Moderation team bounty - June 2024 - Tim</t>
  </si>
  <si>
    <t>Moderation team bounty - June 2024 - Cappex</t>
  </si>
  <si>
    <t>Moderation team bounty - June 2024 - Frankywild</t>
  </si>
  <si>
    <t>Moderation team bounty - June 2024 - Pastaman</t>
  </si>
  <si>
    <t>Cooperation with Founder Institute</t>
  </si>
  <si>
    <t>Website management- May 2024- LV555</t>
  </si>
  <si>
    <t>Spanish Bounty - payment Lore</t>
  </si>
  <si>
    <t>Spanish Bounty - payment Geral</t>
  </si>
  <si>
    <t>Spanish Bounty - payment Ezio</t>
  </si>
  <si>
    <t>Spanish Bounty - payment Ernhi</t>
  </si>
  <si>
    <t>Spanish Bounty - payment Albert</t>
  </si>
  <si>
    <t>Spanish Bounty - payment Nachito</t>
  </si>
  <si>
    <t>Spanish Bounty - payment Amaury</t>
  </si>
  <si>
    <t>Spanish Bounty - payment Lengo</t>
  </si>
  <si>
    <t>Spanish bounty - Content Creation V_43</t>
  </si>
  <si>
    <t>Spanish bounty - Content Creation V_44</t>
  </si>
  <si>
    <t>Spanish bounty - Content Creation V_47</t>
  </si>
  <si>
    <t>Spanish bounty - Content Creation V_48</t>
  </si>
  <si>
    <t>Spanish Bounty - CE_40 &amp; TT_38</t>
  </si>
  <si>
    <t>Spanish Bounty - TT_33 &amp; TT34</t>
  </si>
  <si>
    <t>Spanish Bounty - TT_37 &amp; CE41</t>
  </si>
  <si>
    <t xml:space="preserve">Spanish Bounty - TT_36/TT_39/TT_40 </t>
  </si>
  <si>
    <t>Spanish Bounty - TT35 &amp; TT_41</t>
  </si>
  <si>
    <t>Spanish bounty - Content Creation V_37</t>
  </si>
  <si>
    <t>Spanish bounty - Content Creation V_41/V_42</t>
  </si>
  <si>
    <t>Spanish bounty - Content Creation V_45</t>
  </si>
  <si>
    <t>Spanish bounty - Content Creation V_46</t>
  </si>
  <si>
    <t>MarketAcross - Price differences - Invoice 14871 - DOT price - 10% = 6.75 USDT - excess DOT due to higher DOT market price when claim is made available must be returned</t>
  </si>
  <si>
    <t>EVOX - INV072 - DOT price = 5.789 USDT - excess DOT due to higher DOT market price when claim is made available must be returned</t>
  </si>
  <si>
    <t>AlchemyPay AH Integration Fee</t>
  </si>
  <si>
    <t>View Party Chiloe - Chile</t>
  </si>
  <si>
    <t>DOTGraphic: Half of milestone 1 + operational costs</t>
  </si>
  <si>
    <t>AwesomeDOT Podcast: 2 episodes + 10 reels</t>
  </si>
  <si>
    <t>Twitter strategy bootstrap- Retroactive payment from January 2024-Eduardo</t>
  </si>
  <si>
    <t>Monday software 12 months</t>
  </si>
  <si>
    <t>Reimbursement of DOT used for setting up new EB - Leemo</t>
  </si>
  <si>
    <t>Reimbursement of DOT used for setting up new EB - lolmcshizz</t>
  </si>
  <si>
    <t>Thailand Pudgy Penguin Meetup</t>
  </si>
  <si>
    <t>Michelle - Takedowns of other form of scams June 2024</t>
  </si>
  <si>
    <t>Shakurharun - Takedowns of other form of scams June 2024</t>
  </si>
  <si>
    <t>Sirjey - Takedowns of other form of scams June 2024</t>
  </si>
  <si>
    <t>frankywild - Maintenance of phishing repo June 2024</t>
  </si>
  <si>
    <t>pastaMan - Maintenance of phishing repo June 2024</t>
  </si>
  <si>
    <t>Tim Janssen - Maintenance of phishing repo June 2024</t>
  </si>
  <si>
    <t>Top up for twitter gold yearly subscription-July 2024- awarded to Grizzlyadams</t>
  </si>
  <si>
    <t>Polkadot Meetup Kumasi, Ghana</t>
  </si>
  <si>
    <t>Spanish Bounty - Content creation V_52 "NIXON"</t>
  </si>
  <si>
    <t>Spanish Bounty - Content creation V_53 + V_54 "LV"</t>
  </si>
  <si>
    <t xml:space="preserve">Spanish Bounty - CE_39 &amp; CE_42 </t>
  </si>
  <si>
    <t>Spanish Bounty - CE_43</t>
  </si>
  <si>
    <t>Spanish Bounty - TT_42 / TT_43 / TT_44 / TT_45</t>
  </si>
  <si>
    <t>Spanish Bounty - Content creation V_50</t>
  </si>
  <si>
    <t>Spanish Bounty - Content creation V_53 - V_54</t>
  </si>
  <si>
    <t>Polkadot Networking Eve Q2, Northern Nigeria</t>
  </si>
  <si>
    <t>Tim Janssen - Reactive Track Manager June 2024</t>
  </si>
  <si>
    <t>Paradox - General Administration June 2024</t>
  </si>
  <si>
    <t>_ecardo5o - Social Media Submanager June 2024</t>
  </si>
  <si>
    <t>maarmapa - Social Media Submanager June 2024</t>
  </si>
  <si>
    <t>_ecardo5o - Social Media Content Creation June 2024</t>
  </si>
  <si>
    <t>Cappex - Social Media Content Creation June 2024</t>
  </si>
  <si>
    <t>frankywild - Proactive Track Manager June 2024</t>
  </si>
  <si>
    <t>maarmapa - Educational Track Manager June 2024</t>
  </si>
  <si>
    <t>Alina - Victim Support June 2024</t>
  </si>
  <si>
    <t>Alina - Forensics June 2024</t>
  </si>
  <si>
    <t>Michelle -  Social Media Content Reviewer June 2024</t>
  </si>
  <si>
    <t>Grizzly - Social Media Content Reviewer June 2024</t>
  </si>
  <si>
    <t>Grizzly - Social Media Account Manager June 2024</t>
  </si>
  <si>
    <t>Kamala - Social Media Account Manager June 2024</t>
  </si>
  <si>
    <t>Polkadot Decoded View Party - Tierra de Fuego, Argentina</t>
  </si>
  <si>
    <t>Polkadot Decoded View Party - Bogota, Colombia</t>
  </si>
  <si>
    <t>Polkadot Decoded View Party - Valencia, Venezuela</t>
  </si>
  <si>
    <t>Polkadot Decoded View Party - La Plata, Argentina</t>
  </si>
  <si>
    <t>Grizzly - Outreach Track Manager June 2024</t>
  </si>
  <si>
    <t>cmalize - General Administration June 2024</t>
  </si>
  <si>
    <t>LV - Website Maintenance June 2024</t>
  </si>
  <si>
    <t>Abdulbee - General Curator June 2024</t>
  </si>
  <si>
    <t>Kamala - General Curator June 2024</t>
  </si>
  <si>
    <t>Cappex - General Curator June 2024</t>
  </si>
  <si>
    <t>Grizzly - General Curator June 2024</t>
  </si>
  <si>
    <t>frankywild - General Curator June 2024</t>
  </si>
  <si>
    <t>Paradox - General Curator June 2024</t>
  </si>
  <si>
    <t>frankywild - Malicious sites taken down June 2024</t>
  </si>
  <si>
    <t>pastaMan - Malicious sites taken down June 2024</t>
  </si>
  <si>
    <t>Tim Janssen - Malicious sites taken down June 2024</t>
  </si>
  <si>
    <t>Spanish Bounty V2 TT 47 &amp; TT 50</t>
  </si>
  <si>
    <t>Spanish Bounty V2 TT 49, TT 51 &amp; TT 52</t>
  </si>
  <si>
    <t>Polkadot Decoded View Party - Mendoza, Argentina</t>
  </si>
  <si>
    <t>pastaMan - General Administration June 2024</t>
  </si>
  <si>
    <t>abdulbee - Admin/Op. Track Manager June 2024</t>
  </si>
  <si>
    <t>Pineta Digital - INV073 - DOT price = 5.20 USDT - excess DOT due to higher DOT market price when claim is made available must be returned</t>
  </si>
  <si>
    <t>Reimbursement for Luca Poggi as Technical Curator - DOT price -10% = 4.725 USDT - https://docs.google.com/document/d/1x8Ahljip-BZ90Qqd30yNSXsoeeU-W6PREsx3oTM6QLg</t>
  </si>
  <si>
    <t>Lunar Strategy - Invoice 2024/07/05 - DOT price -10% = 4.788 USDT - excess DOT due to higher DOT market price when claim is made available must be returned</t>
  </si>
  <si>
    <t>Pineta Digital - INV072_difference - DOT price = 5.85 USDT - excess DOT due to higher DOT market price when claim is made available must be returned</t>
  </si>
  <si>
    <t xml:space="preserve">CMedia/Royal Agency Influencers: Milestone 1 / 3 </t>
  </si>
  <si>
    <t>Payment for the first month's salary of BD Spain Team + 2 Leads + 200 DOTs contributed to the creation of the account.</t>
  </si>
  <si>
    <t>Stakeworld.io produced 15937/15976 blocks; SR: 14.3804, CR: 49.5476</t>
  </si>
  <si>
    <t>Mile\Sys produced 15969/15976 blocks; SR: 14.4092, CR: 49.6471</t>
  </si>
  <si>
    <t>YellowFin Tuna\Salad produced 15561/15976 blocks; SR: 14.0411, CR: 48.3787</t>
  </si>
  <si>
    <t>Sik | crifferent.de produced 13586/15976 blocks; SR: 12.2590, CR: 42.2384</t>
  </si>
  <si>
    <t>Chris-Staking\bridgehub produced 15287/15976 blocks; SR: 13.7939, CR: 47.5268</t>
  </si>
  <si>
    <t>Iceberg Nodes produced 13017/15976 blocks; SR: 11.7456, CR: 40.4694</t>
  </si>
  <si>
    <t>ParaNodes.io produced 15958/15976 blocks; SR: 0 (Invulnerable), CR: 49.6129</t>
  </si>
  <si>
    <t>Staker Space\Statemint produced 15954/15976 blocks; SR: 0 (Invulnerable), CR: 49.6005</t>
  </si>
  <si>
    <t>DPSTK produced 15968/15976 blocks; SR: 0 (Invulnerable), CR: 49.6440</t>
  </si>
  <si>
    <t>LuckyFriday.io produced 15951/15976 blocks; SR: 0 (Invulnerable), CR: 49.5911</t>
  </si>
  <si>
    <t>turboflakes.io\MINT produced 15976/15976 blocks; SR: 0 (Invulnerable), CR: 49.6689</t>
  </si>
  <si>
    <t>Polkadotters/CORE produced 15954/15976 blocks; SR: 14.3957, CR: 49.6005</t>
  </si>
  <si>
    <t>STKD.IO\AssetHub produced 2951/15976 blocks; SR: 2.6628, CR: 9.1746</t>
  </si>
  <si>
    <t>Reward for curator (frankywild) as a portion from total 689.3654</t>
  </si>
  <si>
    <t>Reward for curator (pastaMan) as a portion from total 689.3654</t>
  </si>
  <si>
    <t>Reward for curator (Tim Janssen) as a portion from total 689.3654</t>
  </si>
  <si>
    <t>YellowFin Tuna\Salad produced 15545/15948 blocks; SR: 14.0513, CR: 48.4138</t>
  </si>
  <si>
    <t>COINSTUDIO produced 15942/15948 blocks; SR: 14.4101, CR: 49.6502</t>
  </si>
  <si>
    <t>Mile\Sys produced 15928/15948 blocks; SR: 14.3975, CR: 49.6066</t>
  </si>
  <si>
    <t>ParaNodes.io produced 15948/15948 blocks; SR: 14.4156, CR: 49.6689</t>
  </si>
  <si>
    <t>LuckyFriday.io produced 15919/15948 blocks; SR: 14.3893, CR: 49.5786</t>
  </si>
  <si>
    <t>turboflakes.io\MINT produced 15916/15948 blocks; SR: 14.3866, CR: 49.5692</t>
  </si>
  <si>
    <t>Polkadotters\CORE produced 15934/15948 blocks; SR: 0 (Invulnerable), CR: 49.6253</t>
  </si>
  <si>
    <t>Stakeworld.io produced 15928/15948 blocks; SR: 0 (Invulnerable), CR: 49.6066</t>
  </si>
  <si>
    <t>Iceberg Nodes produced 13995/15948 blocks; SR: 0 (Invulnerable), CR: 43.5864</t>
  </si>
  <si>
    <t>openbitlab\bridgehub produced 15943/15948 blocks; SR: 0 (Invulnerable), CR: 49.6533</t>
  </si>
  <si>
    <t>Sik | crifferent.de produced 15209/15948 blocks; SR: 0 (Invulnerable), CR: 47.3673</t>
  </si>
  <si>
    <t>Staker Space\bridgehub produced 15948/15948 blocks; SR: 14.4156, CR: 49.6689</t>
  </si>
  <si>
    <t>Reward for curator (frankywild) as a portion from total 693.4382</t>
  </si>
  <si>
    <t>Reward for curator (pastaMan) as a portion from total 693.4382</t>
  </si>
  <si>
    <t>Reward for curator (Tim Janssen) as a portion from total 693.4382</t>
  </si>
  <si>
    <t>Polkadotters\CORE produced 15643/15644 blocks; SR: 14.4146, CR: 49.6657</t>
  </si>
  <si>
    <t>ParaNodes.io produced 15644/15644 blocks; SR: 14.4156, CR: 49.6689</t>
  </si>
  <si>
    <t>LuckyFriday.io produced 15611/15644 blocks; SR: 14.3852, CR: 49.5641</t>
  </si>
  <si>
    <t>Iceberg Nodes produced 13702/15644 blocks; SR: 12.6261, CR: 43.5031</t>
  </si>
  <si>
    <t>Coinstudio\COLLECTIVES produced 15642/15644 blocks; SR: 14.4137, CR: 49.6625</t>
  </si>
  <si>
    <t>MathCrypto\collectives produced 15521/15644 blocks; SR: 14.3022, CR: 49.2784</t>
  </si>
  <si>
    <t>YellowFin Tuna\Salad produced 15328/15644 blocks; SR: 0 (Invulnerable), CR: 48.6656</t>
  </si>
  <si>
    <t>Stake Plus\COLLECTIVES01 produced 15609/15644 blocks; SR: 0 (Invulnerable), CR: 49.5578</t>
  </si>
  <si>
    <t>Mile\Sys produced 15630/15644 blocks; SR: 0 (Invulnerable), CR: 49.6244</t>
  </si>
  <si>
    <t>BESTVALIDATOR | ZURICH\collectives produced 9946/15644 blocks; SR: 0 (Invulnerable), CR: 31.5780</t>
  </si>
  <si>
    <t>Stakeworld.io produced 15640/15644 blocks; SR: 14.4119, CR: 49.6562</t>
  </si>
  <si>
    <t>ExtraCoin produced 14887/15644 blocks; SR: 0 (Invulnerable), CR: 47.2654</t>
  </si>
  <si>
    <t>Reward for curator (frankywild) as a portion from total 673.6366</t>
  </si>
  <si>
    <t>Reward for curator (pastaMan) as a portion from total 673.6366</t>
  </si>
  <si>
    <t>Reward for curator (Tim Janssen) as a portion from total 673.6366</t>
  </si>
  <si>
    <t>DART Task Manager TMWNN</t>
  </si>
  <si>
    <t>DART Implementer Malize</t>
  </si>
  <si>
    <t>DART Implementer Cypha</t>
  </si>
  <si>
    <t>DART Implementer Macchala</t>
  </si>
  <si>
    <t>Polkadot meetup Nairobi (Joab)</t>
  </si>
  <si>
    <t>Salary payments for June - July for 7 curators + 15% volatility</t>
  </si>
  <si>
    <t>Blockops July 24</t>
  </si>
  <si>
    <t>Dwellir July 24</t>
  </si>
  <si>
    <t>OnFinality July 24</t>
  </si>
  <si>
    <t>Lucky Friday July 24</t>
  </si>
  <si>
    <t>Stakeworld July 24</t>
  </si>
  <si>
    <t>RadiumBlock July 24</t>
  </si>
  <si>
    <t>Leemo Curator Fee Apr - July</t>
  </si>
  <si>
    <t>lolmcshizz Curator Fee Apr - July</t>
  </si>
  <si>
    <t>Pink Brains - Invoice #1 - DOT price = 6.25 USDT - excess DOT due to higher DOT market price when claim is made available must be returned</t>
  </si>
  <si>
    <t>Spanish Bounty - CE_44</t>
  </si>
  <si>
    <t>Spanish Bounty - CE_46</t>
  </si>
  <si>
    <t>Spanish Bounty 57/58/59/62/63/64/65</t>
  </si>
  <si>
    <t xml:space="preserve">Spanish Bounty TT 53 to 56 and TT 66 to 69 </t>
  </si>
  <si>
    <t xml:space="preserve">Spanish Bounty TT 48, 60 and 61 </t>
  </si>
  <si>
    <t>Content creation V_51 "MAX CRIPTO"</t>
  </si>
  <si>
    <t>Content creation V_60 "Javi Eli Reyes"</t>
  </si>
  <si>
    <t>Content creation V_59/ V_76  "Bra_16"</t>
  </si>
  <si>
    <t>Content creation V_63 / V_64 / V_78 / V_79 "NIXON JAVIER"</t>
  </si>
  <si>
    <t>Content creation V_68 / V_71 / V_72 "Lily Mendz"</t>
  </si>
  <si>
    <t>Content creation V_67 / "LV"</t>
  </si>
  <si>
    <t>Content creation V_75</t>
  </si>
  <si>
    <t>Content creation V_57 / V_61 theoldfather</t>
  </si>
  <si>
    <t>Content creation V_58 / V_77 BRA</t>
  </si>
  <si>
    <t>Content creation V_65 / V_78 NIXON</t>
  </si>
  <si>
    <t>Content creation V_66 LV</t>
  </si>
  <si>
    <t>Content creation V_70 Javier Eli Reyes</t>
  </si>
  <si>
    <t>Content creation V_73 / V_74 Axel Becker</t>
  </si>
  <si>
    <t>Content creation V_81 Francisco Daniel villa Gar</t>
  </si>
  <si>
    <t>View Party Polkadot Decoded - Santiago, Chile  2024</t>
  </si>
  <si>
    <t>Connect Week / Viasoft Connect 2024 - report reward</t>
  </si>
  <si>
    <t xml:space="preserve"> Proof of Talk 2024 - top up</t>
  </si>
  <si>
    <t>Sponsorship Polkadot @TOKEN2049</t>
  </si>
  <si>
    <t>Patrick Irwin 30-day sign-on bonus</t>
  </si>
  <si>
    <t>Portico Q3 https://github.com/paseo-network/payouts/issues/28</t>
  </si>
  <si>
    <t>Vietnam Meetup Web3 X - Ha Noi, Viet Nam</t>
  </si>
  <si>
    <t>laos-coinfabrik-2407</t>
  </si>
  <si>
    <t>Pineta Digital - INV074 - DOT price = 6.29 USDT - excess DOT due to higher DOT market price when claim is made available must be returned</t>
  </si>
  <si>
    <t>Polkadot Meetup at  University of Nigeria Nsukka(UNN)</t>
  </si>
  <si>
    <t>Spanish Bounty Payment - Albert</t>
  </si>
  <si>
    <t>Spanish Bounty Payment - Nachito</t>
  </si>
  <si>
    <t>Spanish Bounty Payment - Amaury</t>
  </si>
  <si>
    <t>Spanish Bounty Payment - Ezio</t>
  </si>
  <si>
    <t>Spanish Bounty Payment - Lengo</t>
  </si>
  <si>
    <t>Payment fee Gerardo</t>
  </si>
  <si>
    <t>Spanish Bounty - Ernih pay</t>
  </si>
  <si>
    <t>Content creation V_49 ''Maxcripto''</t>
  </si>
  <si>
    <t>Content creation V_69 ''Cesar_cripto''</t>
  </si>
  <si>
    <t>Content creation V_85 / V_86 ''Bra''</t>
  </si>
  <si>
    <t>Content creation V_88 V_89 ''Nixon''</t>
  </si>
  <si>
    <t>Spanish Bounty TT_ 72, 74, 78</t>
  </si>
  <si>
    <t>Spanish Bounty TT_ 80 and 82</t>
  </si>
  <si>
    <t>Spanish Bounty TT_ 70 and CE 51</t>
  </si>
  <si>
    <t>Spanish Bounty CE 47</t>
  </si>
  <si>
    <t>Ethereum Mexico Side Event</t>
  </si>
  <si>
    <t>Reward organizer Barquisimeto/ Venezuela</t>
  </si>
  <si>
    <t>S3krit Bounty 50 payouts https://github.com/ibp-network/ChildBounties</t>
  </si>
  <si>
    <t>Rogue Q3 Payment - https://github.com/paseo-network/payouts/issues/29</t>
  </si>
  <si>
    <t>zondax q3 payment - https://github.com/paseo-network/payouts/issues/38</t>
  </si>
  <si>
    <t>Subscan Q1,2,3 https://github.com/paseo-network/payouts/issues/22 &amp; 23</t>
  </si>
  <si>
    <t>Spanish Bounty - TT_71</t>
  </si>
  <si>
    <t>Spanish Bounty - TT_73 / TT_75</t>
  </si>
  <si>
    <t xml:space="preserve">Spanish Bounty - TT_77 </t>
  </si>
  <si>
    <t>Curator bounty - July 2024 - Abdulbee</t>
  </si>
  <si>
    <t>Curator bounty - July 2024 - Grizzly</t>
  </si>
  <si>
    <t>Head Mod bounty - July 2024 - Mister_cole</t>
  </si>
  <si>
    <t>Moderation team bounty - July 2024 - Gr33n</t>
  </si>
  <si>
    <t>Moderation team bounty - July 2024 - MC</t>
  </si>
  <si>
    <t>Moderation team bounty - July 2024 - Muddlebee</t>
  </si>
  <si>
    <t>Moderation team bounty - July 2024 - Michelle</t>
  </si>
  <si>
    <t>Moderation team bounty - July 2024 - Mario</t>
  </si>
  <si>
    <t>Moderation team bounty - July 2024 - Paradox</t>
  </si>
  <si>
    <t>Moderation team bounty - July 2024 - Tim</t>
  </si>
  <si>
    <t>Moderation team bounty - July 2024 - Cappex</t>
  </si>
  <si>
    <t>Moderation team bounty - July 2024 - Frankywild</t>
  </si>
  <si>
    <t>Moderation team bounty - July 2024 - Pastaman</t>
  </si>
  <si>
    <t>Beyond The Chain (London)</t>
  </si>
  <si>
    <t>Polkadot x KBW2024</t>
  </si>
  <si>
    <t>NERDCONF - Hackathon conference sponsorship</t>
  </si>
  <si>
    <t>FUTURECOM 2024</t>
  </si>
  <si>
    <t>Content creation: V_90  "Lily Mendz"</t>
  </si>
  <si>
    <t>Content creation: V_92 "Javier Eli Reyes"</t>
  </si>
  <si>
    <t>Content creation: V_94 V_95 " BRA_16"</t>
  </si>
  <si>
    <t>Content creation: V_99 "Valen Lombardo"</t>
  </si>
  <si>
    <t>Content creation: V_83/84/93/96/97  "Axel Becker"</t>
  </si>
  <si>
    <t>Content creation: V_87/98/100/101 "NIXON"</t>
  </si>
  <si>
    <t>Spanish Bounty CE-52</t>
  </si>
  <si>
    <t>Spanish Bounty CE_ 53 and CE_54</t>
  </si>
  <si>
    <t>Spanish Bounty TT_79 and TT_81</t>
  </si>
  <si>
    <t>Reward View Party Decoded Lima - Peru</t>
  </si>
  <si>
    <t>Reward View Party Decoded Valencia - Venezuela</t>
  </si>
  <si>
    <t>Reward View Party Decoded La Plata - Argentina</t>
  </si>
  <si>
    <t>Polkasama TT_83/TT_87</t>
  </si>
  <si>
    <t>Gonzalo TT_86</t>
  </si>
  <si>
    <t>Dotamina TT_84 TT_85 TT_89 TT_90</t>
  </si>
  <si>
    <t>Content creation: V_62 "Cesar''</t>
  </si>
  <si>
    <t>Tokyo Party WebX Side Event</t>
  </si>
  <si>
    <t>Polkadot Sponsorship European Blockchain Convention Barcelona 2024</t>
  </si>
  <si>
    <t>Volatility/ slippage buffer for stablecoins on EB multisig</t>
  </si>
  <si>
    <t>Crane - Invoice #5 - DOT price -15% = 3.06 EUR - excess DOT due to higher DOT market price when claim is made available must be returned</t>
  </si>
  <si>
    <t>Crane - Invoice #6 - DOT price -15% = 3.06 EUR - excess DOT due to higher DOT market price when claim is made available must be returned</t>
  </si>
  <si>
    <t>Pineta Digital - INV075 - DOT price = 3.90 USD - excess DOT due to higher DOT market price when claim is made available must be returned</t>
  </si>
  <si>
    <t>Pink Brains - Invoice #2 - DOT price = 3.85 USD - excess DOT due to higher DOT market price when claim is made available must be returned</t>
  </si>
  <si>
    <t>USDC AH KuCoin Integration (Marketing Fee)</t>
  </si>
  <si>
    <t>USDC AH KuCoin Integration (Integration Fee)</t>
  </si>
  <si>
    <t xml:space="preserve">Spanish Bounty translations TT_91, TT_92, TT_93 and TT_103 </t>
  </si>
  <si>
    <t>Spanish Bounty content creation CE-56 y translations TT 95, TT 96 and TT 98</t>
  </si>
  <si>
    <t>Spanish Bounty translations TT 94 and 97</t>
  </si>
  <si>
    <t>Content creation: V_102 / V_106 "Axel becker''</t>
  </si>
  <si>
    <t>Content creation: V_103 "Cesar''</t>
  </si>
  <si>
    <t>Content creation: V_104 "Valen Lombardo''</t>
  </si>
  <si>
    <t>Content creation: V_107 V_108 "Bra''</t>
  </si>
  <si>
    <t>Content creation: V_109 V_110 V_111 "Nixon''</t>
  </si>
  <si>
    <t>Polkasama TT_88</t>
  </si>
  <si>
    <t>BRA_16-D CE_58</t>
  </si>
  <si>
    <t>Simon CE_57</t>
  </si>
  <si>
    <t>Yovanny  TT_99 /TT_100/TT_101/TT_102</t>
  </si>
  <si>
    <t>Tour universitario de Polkadot en Bogota</t>
  </si>
  <si>
    <t>Viewing Party in Rio Grande, Argentina</t>
  </si>
  <si>
    <t>Polkadot Decoded Viewing Party 2024 Bogota, Colombia</t>
  </si>
  <si>
    <t>Side event Polkadot en Crecimiento Buenos Aires, Argentina</t>
  </si>
  <si>
    <t>_ecardo5o - Social Media Submanager July 2024</t>
  </si>
  <si>
    <t>maarmapa - Social Media Submanager July 2024</t>
  </si>
  <si>
    <t>_ecardo5o - Social Media Content Creation July 2024</t>
  </si>
  <si>
    <t>Cappex - Social Media Content Creation July 2024</t>
  </si>
  <si>
    <t>Abdulbee - General Curator July 2024</t>
  </si>
  <si>
    <t>Kamala - General Curator July 2024</t>
  </si>
  <si>
    <t>Cappex - General Curator July 2024</t>
  </si>
  <si>
    <t>Grizzly - General Curator July 2024</t>
  </si>
  <si>
    <t>frankywild - General Curator July 2024</t>
  </si>
  <si>
    <t>Paradox - General Curator July 2024</t>
  </si>
  <si>
    <t>FrankyWild - Proactive track manager - July 2024</t>
  </si>
  <si>
    <t>Maarmapa - Educational track manager - July 2024</t>
  </si>
  <si>
    <t>Michelle -  Social Media Content Reviewer July 2024</t>
  </si>
  <si>
    <t>Grizzly - Social Media Content Reviewer July 2024</t>
  </si>
  <si>
    <t>Grizzly - Social Media Account Manager July 2024</t>
  </si>
  <si>
    <t>Kamala - Social Media Account Manager July 2024</t>
  </si>
  <si>
    <t>cmalize - Social Media Account Manager July 2024</t>
  </si>
  <si>
    <t>Side Event Ethereum Uruguay</t>
  </si>
  <si>
    <t>Grizzly - Outreach Track Manager July 2024</t>
  </si>
  <si>
    <t>cmalize - General Administration July 2024</t>
  </si>
  <si>
    <t>frankywild - Malicious sites taken down July 2024</t>
  </si>
  <si>
    <t>pastaMan - Malicious sites taken down July 2024</t>
  </si>
  <si>
    <t>Tim Janssen - Malicious sites taken down July 2024</t>
  </si>
  <si>
    <t>Tim Janssen - Reactive Track Manager July 2024</t>
  </si>
  <si>
    <t>Paradox - General Administration July 2024</t>
  </si>
  <si>
    <t>TheManWithoutaName - Socail Media Content Creation - July 2024</t>
  </si>
  <si>
    <t>Grizzly - Social Media Content Creation - July 2024</t>
  </si>
  <si>
    <t>LV - Website Maintenance July 2024 + Curator Abdulbee</t>
  </si>
  <si>
    <t>Michelle - Takedowns of other form of scams July 2024</t>
  </si>
  <si>
    <t>Shakurharun - Takedowns of other form of scams July 2024</t>
  </si>
  <si>
    <t>Sirjey - Takedowns of other form of scams July 2024</t>
  </si>
  <si>
    <t>pastaMan - General Administration July 2024</t>
  </si>
  <si>
    <t>abdulbee - Admin/Op. Track Manager July 2024</t>
  </si>
  <si>
    <t>TheManWithoutaName - DART Manager July 2024</t>
  </si>
  <si>
    <t>macchala - DART ( Projects) July 2024</t>
  </si>
  <si>
    <t>Alina - Victim Support July 2024</t>
  </si>
  <si>
    <t>Alina - Forensics July 2024</t>
  </si>
  <si>
    <t>Summer Edition (Dubai)</t>
  </si>
  <si>
    <t>October Hong Kong Fintech Week</t>
  </si>
  <si>
    <t>Spanish Bounty Writing Content CE_60, 62, 63</t>
  </si>
  <si>
    <t>Spanish Bounty Writing Content CE_61</t>
  </si>
  <si>
    <t>Spanish Bounty Writing Content CE_56 and translation 106</t>
  </si>
  <si>
    <t>Spanish Bounty Writing Content difference CE_54</t>
  </si>
  <si>
    <t>Spanish Bounty Translations TT_107, 108, 109</t>
  </si>
  <si>
    <t>Spanish Bounty Translations TT_110, 111, 112 and 113</t>
  </si>
  <si>
    <t>Content creation V_122 "Cesar cripto"</t>
  </si>
  <si>
    <t>Content creation V_113/114/118 "Axel Becker"</t>
  </si>
  <si>
    <t>Content creation V_115 "Valen Lombardo"</t>
  </si>
  <si>
    <t>Content creation V_119/120/121  "Nixon cripto"</t>
  </si>
  <si>
    <t>Content creation V_122/23  "Lily Mendz"</t>
  </si>
  <si>
    <t>Reward organizers BLOCKCHAINCON LATAM 2024 in Bogota, Colombia</t>
  </si>
  <si>
    <t>Salary payments for July - August for 7 curators + 15% volatility</t>
  </si>
  <si>
    <t>Dwellir August 24</t>
  </si>
  <si>
    <t>OnFinality August 24</t>
  </si>
  <si>
    <t>Lucky Friday August 24</t>
  </si>
  <si>
    <t>Stakeworld August 24</t>
  </si>
  <si>
    <t>RadiumBlock August 24</t>
  </si>
  <si>
    <t>Leemo Curator Fee August Payout</t>
  </si>
  <si>
    <t>lolmcshizz Curator Fee August Payout</t>
  </si>
  <si>
    <t>Hosting fee for Curator RPC instance @ $25.0000 + 1/9 hosting fee for supporting relay chain RPC instances @ $80.0000 + 1/9 hosting fee for curator instance @ $40.0000</t>
  </si>
  <si>
    <t>Staker Space\Statemint produced 15911/15930 blocks; SR: 0 (Invulnerable), CR: 64.3147</t>
  </si>
  <si>
    <t>DPSTK produced 15921/15930 blocks; SR: 0 (Invulnerable), CR: 64.3551</t>
  </si>
  <si>
    <t>LuckyFriday.io produced 15900/15930 blocks; SR: 0 (Invulnerable), CR: 64.2702</t>
  </si>
  <si>
    <t>turboflakes.io\MINT produced 15906/15930 blocks; SR: 0 (Invulnerable), CR: 64.2945</t>
  </si>
  <si>
    <t>STKD.IO\AssetHub produced 15824/15930 blocks; SR: 14.6600, CR: 63.9630</t>
  </si>
  <si>
    <t>Stakeworld.io produced 15930/15930 blocks; SR: 14.7582, CR: 64.3915</t>
  </si>
  <si>
    <t>Polkadotters\CORE produced 3687/15930 blocks; SR: 3.4158, CR: 14.9034</t>
  </si>
  <si>
    <t>Mile\Sys produced 15889/15930 blocks; SR: 14.7202, CR: 64.2258</t>
  </si>
  <si>
    <t>Chris-Staking\bridgehub produced 15401/15930 blocks; SR: 14.2681, CR: 62.2532</t>
  </si>
  <si>
    <t>ParaNodes.io produced 15915/15930 blocks; SR: 0 (Invulnerable), CR: 64.3309</t>
  </si>
  <si>
    <t>YellowFin Tuna\Salad produced 14572/15930 blocks; SR: 13.5001, CR: 58.9023</t>
  </si>
  <si>
    <t>Reward for curator (frankywild) as a portion from total 869.4173</t>
  </si>
  <si>
    <t>Reward for curator (pastaMan) as a portion from total 869.4173</t>
  </si>
  <si>
    <t>Reward for curator (Tim Janssen) as a portion from total 869.4173</t>
  </si>
  <si>
    <t>Stakeworld.io produced 15900/15923 blocks; SR: 0 (Invulnerable), CR: 64.2985</t>
  </si>
  <si>
    <t>Staker Space\bridgehub produced 15914/15923 blocks; SR: 14.7499, CR: 64.3551</t>
  </si>
  <si>
    <t>YellowFin Tuna\Salad produced 15453/15923 blocks; SR: 14.3226, CR: 62.4909</t>
  </si>
  <si>
    <t>COINSTUDIO produced 15755/15923 blocks; SR: 14.6025, CR: 63.7121</t>
  </si>
  <si>
    <t>Mile\Sys produced 15923/15923 blocks; SR: 14.7582, CR: 64.3915</t>
  </si>
  <si>
    <t>ParaNodes.io produced 15876/15923 blocks; SR: 14.7146, CR: 64.2014</t>
  </si>
  <si>
    <t>LuckyFriday.io produced 15897/15923 blocks; SR: 14.7341, CR: 64.2864</t>
  </si>
  <si>
    <t>turboflakes.io\MINT produced 15870/15923 blocks; SR: 14.7091, CR: 64.1772</t>
  </si>
  <si>
    <t>Polkadotters\CORE produced 15835/15923 blocks; SR: 0 (Invulnerable), CR: 64.0356</t>
  </si>
  <si>
    <t>Reward for curator (frankywild) as a portion from total 872.1493</t>
  </si>
  <si>
    <t>Reward for curator (pastaMan) as a portion from total 872.1493</t>
  </si>
  <si>
    <t>Reward for curator (Tim Janssen) as a portion from total 872.1493</t>
  </si>
  <si>
    <t>YellowFin Tuna\Salad produced 15495/15913 blocks; SR: 0 (Invulnerable), CR: 62.7001</t>
  </si>
  <si>
    <t>Mile\Sys produced 15888/15913 blocks; SR: 0 (Invulnerable), CR: 64.2903</t>
  </si>
  <si>
    <t>BESTVALIDATOR | ZURICH\collectives produced 15912/15913 blocks; SR: 0 (Invulnerable), CR: 64.3875</t>
  </si>
  <si>
    <t>Stakeworld.io produced 15913/15913 blocks; SR: 14.7582, CR: 64.3915</t>
  </si>
  <si>
    <t>Polkadotters\CORE produced 15906/15913 blocks; SR: 14.7517, CR: 64.3632</t>
  </si>
  <si>
    <t>ParaNodes.io produced 15891/15913 blocks; SR: 14.7378, CR: 64.3025</t>
  </si>
  <si>
    <t>LuckyFriday.io produced 15880/15913 blocks; SR: 14.7276, CR: 64.2580</t>
  </si>
  <si>
    <t>Coinstudio\COLLECTIVES produced 15881/15913 blocks; SR: 14.7285, CR: 64.2620</t>
  </si>
  <si>
    <t>Reward for curator (frankywild) as a portion from total 871.4356</t>
  </si>
  <si>
    <t>Reward for curator (pastaMan) as a portion from total 871.4356</t>
  </si>
  <si>
    <t>Reward for curator (Tim Janssen) as a portion from total 871.4356</t>
  </si>
  <si>
    <t>Coinstudio\COLLECTIVES produced 14267/14304 blocks; SR: 0 (Invulnerable), CR: 64.2249</t>
  </si>
  <si>
    <t>STKD.IO produced 14272/14304 blocks; SR: 0 (Invulnerable), CR: 64.2474</t>
  </si>
  <si>
    <t>Reward for curator (frankywild) as a portion from total 394.1041</t>
  </si>
  <si>
    <t>Reward for curator (pastaMan) as a portion from total 394.1041</t>
  </si>
  <si>
    <t>Reward for curator (Tim Janssen) as a portion from total 394.1041</t>
  </si>
  <si>
    <t>Spanish Bounty Content Creation CE_66</t>
  </si>
  <si>
    <t>Spanish Bounty Content Creation CE_65 &amp; 68</t>
  </si>
  <si>
    <t>Spanish Bounty Content Creation CE_70 &amp; 71</t>
  </si>
  <si>
    <t>Spanish Bounty Content Creation CE_72</t>
  </si>
  <si>
    <t>Spanish bounty CE 67</t>
  </si>
  <si>
    <t>Spanish bounty TT 115-116-117-118</t>
  </si>
  <si>
    <t>Spanish bounty TT 114</t>
  </si>
  <si>
    <t>Spanish bounty TT 119-120-121</t>
  </si>
  <si>
    <t>Content Creation/V_124_128/Cesar_Cripto</t>
  </si>
  <si>
    <t>Content Creation/V_125_137/AxelBecker</t>
  </si>
  <si>
    <t>Content Creation/V_126/TododeCripto</t>
  </si>
  <si>
    <t>Content Creation/V_127/ValenLombardo</t>
  </si>
  <si>
    <t>Content Creation/V_129_130_131/NIXON</t>
  </si>
  <si>
    <t>Content Creation/V_135_136/BRA_16</t>
  </si>
  <si>
    <t>Content Creation/V_132_133/LilyMendz</t>
  </si>
  <si>
    <t>Albert Payment Curator - August</t>
  </si>
  <si>
    <t>Nachito Payment Curator - August</t>
  </si>
  <si>
    <t>Lorena Payment Curator - August</t>
  </si>
  <si>
    <t>Amaury Monthly Payment - August</t>
  </si>
  <si>
    <t>Ezio Monthly Payment - August</t>
  </si>
  <si>
    <t>Gerardo Monthly Payment - August</t>
  </si>
  <si>
    <t>Lengo Monthly Payment - August</t>
  </si>
  <si>
    <t>Ernih Monthly Payment - August</t>
  </si>
  <si>
    <t>Women Of Polkadot: Brunch in Brussels Meetup</t>
  </si>
  <si>
    <t>Mod lead child bounty - August 2024 - Mistercole</t>
  </si>
  <si>
    <t>Curator + mod bounty - August 2024 - abdulbee</t>
  </si>
  <si>
    <t>Curator + mod bounty - August 2024 - Grizz</t>
  </si>
  <si>
    <t>Mod team bounty - August 2024 - Paradox</t>
  </si>
  <si>
    <t>Mod team bounty - August 2024 - Franky</t>
  </si>
  <si>
    <t>Mod team bounty - August 2024 - MC</t>
  </si>
  <si>
    <t>Mod team bounty - August 2024 - Tim</t>
  </si>
  <si>
    <t>Mod team bounty - August 2024 - Gr33n</t>
  </si>
  <si>
    <t>Mod team bounty - August 2024 - Cappex</t>
  </si>
  <si>
    <t>Mod team bounty - August 2024 - Pastaman</t>
  </si>
  <si>
    <t>Mod team bounty - August 2024 - Muddlebee</t>
  </si>
  <si>
    <t>Mod team bounty - August 2024 - LV</t>
  </si>
  <si>
    <t>Ha Noi - Workshop Hanoi with PBA Graduates, Vietnam</t>
  </si>
  <si>
    <t>[REWARD] Polkadot Networking Eve Q2 Northern Nigeria</t>
  </si>
  <si>
    <t>[REWARD] Beyond the chain London</t>
  </si>
  <si>
    <t>Spanish Bounty Write content CE 73 y 74</t>
  </si>
  <si>
    <t>Spanish Bounty Write content CE 76, TT 104</t>
  </si>
  <si>
    <t>Spanish Bounty Translations TT 122, 125, 126, 127, 128</t>
  </si>
  <si>
    <t>Spanish Bounty TT_123</t>
  </si>
  <si>
    <t xml:space="preserve">Spanish Bounty TT_131/132/133/134 </t>
  </si>
  <si>
    <t>Spanish Bounty CE_69</t>
  </si>
  <si>
    <t>Spanish Bounty CE_75</t>
  </si>
  <si>
    <t>Content Creation V_138 V_140 Axel becker</t>
  </si>
  <si>
    <t>Content Creation V_141 V_147 Valen Lombardo</t>
  </si>
  <si>
    <t>Content Creation V_142 V_143  LV</t>
  </si>
  <si>
    <t>Content Creation V_144 V_145 V_146  Nixon</t>
  </si>
  <si>
    <t>Content Creation V_150  Hector&lt;B&gt;</t>
  </si>
  <si>
    <t>Sponsorship Polkadot on Blockchain Galicia, Spain</t>
  </si>
  <si>
    <t>Cripto Latin Dev 2024 - Tegucigalpa (Honduras)</t>
  </si>
  <si>
    <t>Payment for the second month's salary of BD Spain Team + 1 Lead</t>
  </si>
  <si>
    <t>Polkadot Times @ ETHSafari</t>
  </si>
  <si>
    <t>Q4/2024 - https://github.com/paseo-network/payouts/issues/46</t>
  </si>
  <si>
    <t>Valid Orange 3Q24 - https://github.com/paseo-network/payouts/issues/44</t>
  </si>
  <si>
    <t>DPSTK - Q3 / 2024 - https://github.com/paseo-network/payouts/issues/43</t>
  </si>
  <si>
    <t>DPSTK - Q2 / 2024 - https://github.com/paseo-network/payouts/issues/42</t>
  </si>
  <si>
    <t>Staker Space Q3 2024 - https://github.com/paseo-network/payouts/issues/37</t>
  </si>
  <si>
    <t>Staker Space 2024 Q1 &amp; Q2 - https://github.com/paseo-network/payouts/issues/36</t>
  </si>
  <si>
    <t>Openbitlab Q3/2024 - https://github.com/paseo-network/payouts/issues/35</t>
  </si>
  <si>
    <t>Polkadotters - Q3 2024 - https://github.com/paseo-network/payouts/issues/34</t>
  </si>
  <si>
    <t>Mile - Q1 &amp; Q2 &amp; Q3 2024 - https://github.com/paseo-network/payouts/issues/33</t>
  </si>
  <si>
    <t>STKD Q1,2,3 - https://github.com/paseo-network/payouts/issues/32</t>
  </si>
  <si>
    <t>Gatotech's Q3 2024 - https://github.com/paseo-network/payouts/issues/31</t>
  </si>
  <si>
    <t>Stakeworld - Q2 2024 - https://github.com/paseo-network/payouts/issues/30</t>
  </si>
  <si>
    <t>CoinStudio Q3/2024 - https://github.com/paseo-network/payouts/issues/27</t>
  </si>
  <si>
    <t>METASPAN 2024.Q3 - https://github.com/paseo-network/payouts/issues/26</t>
  </si>
  <si>
    <t>Stakeworld - Q3 2024 - https://github.com/paseo-network/payouts/issues/25</t>
  </si>
  <si>
    <t>DPSTK - Q1 2024 - https://github.com/paseo-network/payouts/issues/21</t>
  </si>
  <si>
    <t>frankywild - Proactive Track Manager August 2024</t>
  </si>
  <si>
    <t>Web3 Bulacan x Polkadot Meetup</t>
  </si>
  <si>
    <t>Polkadot Meet-up institute of Management and Tech Enugu, Nigeria</t>
  </si>
  <si>
    <t>Spanish Bounty TT. 129-141-142</t>
  </si>
  <si>
    <t>Spanish Bounty TT. 130-135-141</t>
  </si>
  <si>
    <t>Spanish Bounty TT. 145-146-147</t>
  </si>
  <si>
    <t>Spanish Bounty TT. 139</t>
  </si>
  <si>
    <t xml:space="preserve">Spanish Bounty CE_78/CE_84 </t>
  </si>
  <si>
    <t>Spanish Bounty CE_79</t>
  </si>
  <si>
    <t>Spanish Bounty CE_80/CE_81</t>
  </si>
  <si>
    <t xml:space="preserve">Spanish Bounty CE_82 y TT_144 </t>
  </si>
  <si>
    <t>Spanish Bounty CE_77 / CE_83</t>
  </si>
  <si>
    <t>Content creation V_149 ''Bra''</t>
  </si>
  <si>
    <t>Content creation V_151 ''Hector B''</t>
  </si>
  <si>
    <t>Content creation V_152 V_153 V_158 ''Valen Lombardo''</t>
  </si>
  <si>
    <t>Content creation V_155 ''Cesar_cripto''</t>
  </si>
  <si>
    <t>Content creation V_156 V_159 ''Axel becker''</t>
  </si>
  <si>
    <t>Content creation V_157 ''Max Crypto'</t>
  </si>
  <si>
    <t>Content creation V_161 ''Lily Mendz'</t>
  </si>
  <si>
    <t>Content creation V_162 ''Nixon''</t>
  </si>
  <si>
    <t>Content creation V_165 ''LV''</t>
  </si>
  <si>
    <t>Reward Decoded View Party Mendoza</t>
  </si>
  <si>
    <t>Michelle - Takedowns of other form of scams Aug 2024</t>
  </si>
  <si>
    <t>Shakurharun - Takedowns of other form of scams Aug 2024</t>
  </si>
  <si>
    <t>Sirjey - Takedowns of other form of scams Aug 2024</t>
  </si>
  <si>
    <t>frankywild - Maintenance of phishing repo August 2024</t>
  </si>
  <si>
    <t>pastaMan - Maintenance of phishing repo August 2024</t>
  </si>
  <si>
    <t>Tim Janssen - Maintenance of phishing repo August 2024</t>
  </si>
  <si>
    <t>Malize Fred - DART (9 Projects) August 2024</t>
  </si>
  <si>
    <t>TheManWithoutaName - DART Manager August 2024</t>
  </si>
  <si>
    <t>Tim Janssen - Reactive Track Manager August 2024</t>
  </si>
  <si>
    <t>Paradox - General Administration August 2024</t>
  </si>
  <si>
    <t>Grizzly - Social Media Content Creation August 2024</t>
  </si>
  <si>
    <t>cyphadoc - Social Media Content Creation August 2024</t>
  </si>
  <si>
    <t>Michelle -  Social Media Content Reviewer 1/2 August 2024</t>
  </si>
  <si>
    <t>Grizzly - Social Media Content Reviewer 1/2 August 2024</t>
  </si>
  <si>
    <t>LV - Website Maintenance August 2024</t>
  </si>
  <si>
    <t>Abdulbee - General Curator Aug 2024</t>
  </si>
  <si>
    <t>Kamala - General Curator Aug 2024</t>
  </si>
  <si>
    <t>Cappex - General Curator Aug 2024</t>
  </si>
  <si>
    <t>Grizzly - General Curator Aug 2024</t>
  </si>
  <si>
    <t>frankywild - General Curator Aug 2024</t>
  </si>
  <si>
    <t>Paradox - General Curator Aug 2024</t>
  </si>
  <si>
    <t>frankywild - Malicious sites taken down August 2024</t>
  </si>
  <si>
    <t>pastaMan - Malicious sites taken down August 2024</t>
  </si>
  <si>
    <t>Tim Janssen - Malicious sites taken down August 2024</t>
  </si>
  <si>
    <t>Alina - Victim Support August 2024</t>
  </si>
  <si>
    <t>Alina - Forensics August 2024</t>
  </si>
  <si>
    <t>Hosting fee for Curator RPC instance @ $40.0000 + 1/9 hosting fee for supporting relay chain RPC instances @ $120.0000 + 1/9 hosting fee for curator instance @ $60.0000</t>
  </si>
  <si>
    <t>ParaNodes.io produced 15849/15890 blocks; SR: 0 (Invulnerable), CR: 69.8310</t>
  </si>
  <si>
    <t>Staker Space\Statemint produced 15854/15890 blocks; SR: 0 (Invulnerable), CR: 69.8531</t>
  </si>
  <si>
    <t>DPSTK produced 15860/15890 blocks; SR: 0 (Invulnerable), CR: 69.8795</t>
  </si>
  <si>
    <t>LuckyFriday.io produced 15851/15890 blocks; SR: 0 (Invulnerable), CR: 69.8398</t>
  </si>
  <si>
    <t>turboflakes.io\MINT produced 15818/15890 blocks; SR: 0 (Invulnerable), CR: 69.6944</t>
  </si>
  <si>
    <t>YellowFin Tuna\Salad produced 15859/15890 blocks; SR: 14.7096, CR: 69.8751</t>
  </si>
  <si>
    <t>Mile\Sys produced 15858/15890 blocks; SR: 14.7087, CR: 69.8707</t>
  </si>
  <si>
    <t>Stakeworld.io produced 15868/15890 blocks; SR: 14.7179, CR: 69.9147</t>
  </si>
  <si>
    <t>STKD.IO\AssetHub produced 15852/15890 blocks; SR: 14.7031, CR: 69.8442</t>
  </si>
  <si>
    <t>Chris-Staking\bridgehub produced 15890/15890 blocks; SR: 14.7384, CR: 70.0117</t>
  </si>
  <si>
    <t>Reward for curator (frankywild) as a portion from total 944.6592</t>
  </si>
  <si>
    <t>Reward for curator (pastaMan) as a portion from total 944.6592</t>
  </si>
  <si>
    <t>Reward for curator (Tim Janssen) as a portion from total 944.6592</t>
  </si>
  <si>
    <t>Polkadotters\CORE produced 15856/15878 blocks; SR: 0 (Invulnerable), CR: 69.9147</t>
  </si>
  <si>
    <t>Stakeworld.io produced 15844/15878 blocks; SR: 0 (Invulnerable), CR: 69.8618</t>
  </si>
  <si>
    <t>Staker Space\bridgehub produced 15872/15878 blocks; SR: 14.7328, CR: 69.9852</t>
  </si>
  <si>
    <t>COINSTUDIO produced 15878/15878 blocks; SR: 14.7384, CR: 70.0117</t>
  </si>
  <si>
    <t>Mile\Sys produced 15878/15878 blocks; SR: 14.7384, CR: 70.0117</t>
  </si>
  <si>
    <t>YellowFin Tuna\Salad produced 15855/15878 blocks; SR: 14.7170, CR: 69.9103</t>
  </si>
  <si>
    <t>ParaNodes.io produced 15836/15878 blocks; SR: 14.6994, CR: 69.8265</t>
  </si>
  <si>
    <t>LuckyFriday.io produced 15840/15878 blocks; SR: 14.7031, CR: 69.8441</t>
  </si>
  <si>
    <t>turboflakes.io\MINT produced 15827/15878 blocks; SR: 14.6910, CR: 69.7868</t>
  </si>
  <si>
    <t>Reward for curator (frankywild) as a portion from total 947.3647</t>
  </si>
  <si>
    <t>Reward for curator (pastaMan) as a portion from total 947.3647</t>
  </si>
  <si>
    <t>Reward for curator (Tim Janssen) as a portion from total 947.3647</t>
  </si>
  <si>
    <t>YellowFin Tuna\Salad produced 15848/15881 blocks; SR: 0 (Invulnerable), CR: 69.8662</t>
  </si>
  <si>
    <t>Mile\Sys produced 15846/15881 blocks; SR: 0 (Invulnerable), CR: 69.8574</t>
  </si>
  <si>
    <t>BESTVALIDATOR | ZURICH\collectives produced 15868/15881 blocks; SR: 0 (Invulnerable), CR: 69.9544</t>
  </si>
  <si>
    <t>Stakeworld.io produced 15881/15881 blocks; SR: 14.7384, CR: 70.0117</t>
  </si>
  <si>
    <t>Polkadotters\CORE produced 15861/15881 blocks; SR: 14.7198, CR: 69.9235</t>
  </si>
  <si>
    <t>ParaNodes.io produced 15866/15881 blocks; SR: 14.7244, CR: 69.9455</t>
  </si>
  <si>
    <t>Coinstudio\COLLECTIVES produced 15855/15881 blocks; SR: 14.7142, CR: 69.8970</t>
  </si>
  <si>
    <t>LuckyFriday.io produced 15856/15881 blocks; SR: 14.7152, CR: 69.9015</t>
  </si>
  <si>
    <t>Reward for curator (frankywild) as a portion from total 945.3200</t>
  </si>
  <si>
    <t>Reward for curator (pastaMan) as a portion from total 945.3200</t>
  </si>
  <si>
    <t>Reward for curator (Tim Janssen) as a portion from total 945.3200</t>
  </si>
  <si>
    <t>Coinstudio\COLLECTIVES produced 25281/25295 blocks; SR: 0 (Invulnerable), CR: 69.9729</t>
  </si>
  <si>
    <t>STKD.IO produced 25293/25295 blocks; SR: 0 (Invulnerable), CR: 70.0061</t>
  </si>
  <si>
    <t>Mile\Sys produced 9104/25295 blocks; SR: 5.3045, CR: 25.1981</t>
  </si>
  <si>
    <t>ParaNodes.io produced 8888/25295 blocks; SR: 5.1787, CR: 24.6003</t>
  </si>
  <si>
    <t>Stakeworld.io produced 8871/25295 blocks; SR: 5.1688, CR: 24.5532</t>
  </si>
  <si>
    <t>YellowFin Tuna\Salad produced 8886/25295 blocks; SR: 5.1775, CR: 24.5947</t>
  </si>
  <si>
    <t>LuckyFriday.io produced 8720/25295 blocks; SR: 5.0808, CR: 24.1353</t>
  </si>
  <si>
    <t>turboflakes.io\MINT produced 8704/25295 blocks; SR: 5.0715, CR: 24.0910</t>
  </si>
  <si>
    <t>Reward for curator (frankywild) as a portion from total 611.6011</t>
  </si>
  <si>
    <t>Reward for curator (pastaMan) as a portion from total 611.6011</t>
  </si>
  <si>
    <t>Reward for curator (Tim Janssen) as a portion from total 611.6011</t>
  </si>
  <si>
    <t>Harbour Milestone 1 Payment</t>
  </si>
  <si>
    <t>Payment of Bounty BD Spain curators+Cost of 24 DOTs for Proxy configuration.</t>
  </si>
  <si>
    <t>Polar Path Retroactive Child Bounty</t>
  </si>
  <si>
    <t>pastaMan - General Administration August 2024</t>
  </si>
  <si>
    <t>abdulbee - Admin/Op. Track Manager August 2024</t>
  </si>
  <si>
    <t>_ecardo5o - Social Media Submanager 1/2 August 2024</t>
  </si>
  <si>
    <t>_ecardo5o - Social Media Content Creation 1/2 August 2024</t>
  </si>
  <si>
    <t>Cappex - Social Media Content Creation 1/2 August 2024</t>
  </si>
  <si>
    <t>Budapest Meetup - April 2024</t>
  </si>
  <si>
    <t>Budapest Meetup - May 2024</t>
  </si>
  <si>
    <t>Budapest Meetup - August 2024</t>
  </si>
  <si>
    <t>Polkabusiness Lisbon: A Polkadot Community event</t>
  </si>
  <si>
    <t>Spanish bounty Content Creation CE-85</t>
  </si>
  <si>
    <t>Spanish bounty Content Creation CE-86</t>
  </si>
  <si>
    <t>Spanish bounty Content Creation CE-89 &amp; 91</t>
  </si>
  <si>
    <t>Spanish bounty Content Creation CE-90 and Translation 151</t>
  </si>
  <si>
    <t>Spanish Bounty - CE_92 Alejandro (Armentsk)</t>
  </si>
  <si>
    <t>Spanish Bounty - CE_93 Thehodlfather</t>
  </si>
  <si>
    <t>Spanish Bounty - CE_94/TT_136 / TT_154 TT_155 Gonzalo</t>
  </si>
  <si>
    <t>Spanish Bounty - TT_149 DOTAMINA</t>
  </si>
  <si>
    <t>Spanish Bounty - TT_148/161/162/163 Yovanny Renaud</t>
  </si>
  <si>
    <t>Content creation V_154 V_169 V_172 ''Valen Lombardo''</t>
  </si>
  <si>
    <t>Content creation V_160 ''Lily Mendz''</t>
  </si>
  <si>
    <t>Content creation V_164 ''LV'</t>
  </si>
  <si>
    <t>Content creation V_166. ''Hector&lt;B&gt;''</t>
  </si>
  <si>
    <t>Content creation V_167 V_171. ''Bra''</t>
  </si>
  <si>
    <t>Content creation V_168 V_170. ''Axel becker''</t>
  </si>
  <si>
    <t>Content creation V_174 ''Nixon''</t>
  </si>
  <si>
    <t>Reward for Ethereum Uruguay Side Event</t>
  </si>
  <si>
    <t>Java Host (Fruzhin) Phase 3 child bounty first tranche</t>
  </si>
  <si>
    <t>Salary payments for August-September for 7 curators</t>
  </si>
  <si>
    <t xml:space="preserve">Spanish Bounty C Creation CE 94 Translations 101/176/178 Gonzalo </t>
  </si>
  <si>
    <t xml:space="preserve">Spanish Bounty Translation 169 Meadow </t>
  </si>
  <si>
    <t xml:space="preserve">Spanish Bounty C Creation CE 95 Alejandro Armentsk </t>
  </si>
  <si>
    <t xml:space="preserve">Spanish Bounty C Creation CE 96, 99 &amp; 102 Willy </t>
  </si>
  <si>
    <t>Spanish Bounty - CE_97 MacZam</t>
  </si>
  <si>
    <t>Spanish Bounty - CE_98 Domut</t>
  </si>
  <si>
    <t>Spanish Bounty - CE_103/TT_150/151/170/171/172 Lily Mendz</t>
  </si>
  <si>
    <t>Spanish Bounty - CE_104 the hodlfater</t>
  </si>
  <si>
    <t>Spanish Bounty TT_173/TT_174/TT_177/TT_178 Dotamina</t>
  </si>
  <si>
    <t>Content creation "BRA" V_175</t>
  </si>
  <si>
    <t>Contet creation "NIXON" V_189</t>
  </si>
  <si>
    <t>Content creation "Valen Lombardo" V_181/186/187</t>
  </si>
  <si>
    <t>Content creation "MAX CRIPTO" V_184/85</t>
  </si>
  <si>
    <t>Content Creation "Axel Becker" V_177/83</t>
  </si>
  <si>
    <t>Content Creation "Cesar" V_178/82</t>
  </si>
  <si>
    <t>Content creation "LV" V_179/80</t>
  </si>
  <si>
    <t>Polkadot en CumbreTech en Pereira, Colombia</t>
  </si>
  <si>
    <t>Reward organizers Tour Universitario en Bogota, Colombia</t>
  </si>
  <si>
    <t>Reward Polkadot Decoded View Party - Chiloe</t>
  </si>
  <si>
    <t>Sponsorship Polkadot AndesTech</t>
  </si>
  <si>
    <t>NFT &amp; RWA Paris</t>
  </si>
  <si>
    <t>India IIT Roorkee Workshop</t>
  </si>
  <si>
    <t>Domain Hosting for Anti-Scam website- Franky</t>
  </si>
  <si>
    <t>Dwellir September 24</t>
  </si>
  <si>
    <t>Lucky Friday September 24</t>
  </si>
  <si>
    <t>Stakeworld September 24</t>
  </si>
  <si>
    <t>RadiumBlock September 24</t>
  </si>
  <si>
    <t>Leemo Curator Fee September Payout</t>
  </si>
  <si>
    <t>lolmcshizz Curator Fee September Payout</t>
  </si>
  <si>
    <t>First Payment for Meld Integration</t>
  </si>
  <si>
    <t>Spanish Bounty Written Content CE 111 &amp; 112 Bra</t>
  </si>
  <si>
    <t>Spanish Bounty Written Content CE 113 &amp; TT 185 Gonzalo</t>
  </si>
  <si>
    <t>Spanish Bounty Written Content CE 114 The hodlfather</t>
  </si>
  <si>
    <t>Spanish Bounty Tranlations TT 183 &amp; 184 Dotamina</t>
  </si>
  <si>
    <t>Spanish Bounty Translation 187 Yovanny</t>
  </si>
  <si>
    <t>Spanish Bounty - CE_106/CE_108/115/182 Willy</t>
  </si>
  <si>
    <t>Spanish Bounty - CE_107 Tododecripto</t>
  </si>
  <si>
    <t>Spanish Bounty - CE-109/TT_179/TT_180/TT_181 Lily</t>
  </si>
  <si>
    <t>Spanish Bounty - CE_110 Alejandro (Armentsk)</t>
  </si>
  <si>
    <t>Content creation V_188 V_193 "Hector B"</t>
  </si>
  <si>
    <t xml:space="preserve"> Content creation V_190 "Nixon"</t>
  </si>
  <si>
    <t xml:space="preserve"> Content creation V_191 V_192 V_197 "Axel becker"</t>
  </si>
  <si>
    <t>Content creation V_194 V_198  "Bra"</t>
  </si>
  <si>
    <t>Content creation V_195   "Max crypto"</t>
  </si>
  <si>
    <t>Content creation V_196    "Cesar cripto"</t>
  </si>
  <si>
    <t>Content creation V_200 V_201    "Valen Lombardo"</t>
  </si>
  <si>
    <t>Content creation V_202   "LV"</t>
  </si>
  <si>
    <t>Curator Payment September / Ernih</t>
  </si>
  <si>
    <t>Curator Payment September / Nachito</t>
  </si>
  <si>
    <t>Curator Payment September / Gerardo</t>
  </si>
  <si>
    <t>Auxiliar Payment September / Amaury</t>
  </si>
  <si>
    <t>Full Bounty</t>
  </si>
  <si>
    <t>Execution Date</t>
  </si>
  <si>
    <t>USD Execution Date</t>
  </si>
  <si>
    <t>Fellowship Salaries</t>
  </si>
  <si>
    <t>maybe there was an overclaim due to a bug here</t>
  </si>
  <si>
    <t>Quarterly Spend</t>
  </si>
  <si>
    <t>Gov2 All Time by Type</t>
  </si>
  <si>
    <t>Gov2 All Time Categories</t>
  </si>
  <si>
    <t>SUM of USD latest</t>
  </si>
  <si>
    <t>Gov2 2024-Q3 Categories &amp; Subcategories</t>
  </si>
  <si>
    <t>SUM of USD Last Update</t>
  </si>
  <si>
    <t>Values</t>
  </si>
  <si>
    <t>parentBountyID</t>
  </si>
  <si>
    <t>bounty name</t>
  </si>
  <si>
    <t>2022-Q2</t>
  </si>
  <si>
    <t>2022-Q3</t>
  </si>
  <si>
    <t>2022-Q4</t>
  </si>
  <si>
    <t>2023-Q1</t>
  </si>
  <si>
    <t>Bounty LifetimeSpend</t>
  </si>
  <si>
    <t>Marketing Bounty</t>
  </si>
  <si>
    <t>Events Bounty</t>
  </si>
  <si>
    <t>Wasm Smart Contracts Bounty</t>
  </si>
  <si>
    <t>Polkadot Assurance Legion Bounty</t>
  </si>
  <si>
    <t>Polkadot Pioneers Bounty</t>
  </si>
  <si>
    <t>Anti-Scam Bounty</t>
  </si>
  <si>
    <t>Infrastructure Builders Program</t>
  </si>
  <si>
    <t>Paseo Testnet Bounty</t>
  </si>
  <si>
    <t>DeFi Infrastructure and Tooling Bounty</t>
  </si>
  <si>
    <t>Monthly spend</t>
  </si>
  <si>
    <t>Moderation Team Bounty</t>
  </si>
  <si>
    <t>Spanish Bounty</t>
  </si>
  <si>
    <t>2023-07</t>
  </si>
  <si>
    <t>Categories by Quarter</t>
  </si>
  <si>
    <t>Polkadot Parachain Assets Onramp Bounty</t>
  </si>
  <si>
    <t>2023-08</t>
  </si>
  <si>
    <t>Public RPCs for Relay and System Chains</t>
  </si>
  <si>
    <t>2023-09</t>
  </si>
  <si>
    <t>System Parachains Collator Bounty</t>
  </si>
  <si>
    <t>2023-10</t>
  </si>
  <si>
    <t>Security Bug Bounty for Open Runtime Module Library (ORML)</t>
  </si>
  <si>
    <t>Development Total</t>
  </si>
  <si>
    <t>2023-11</t>
  </si>
  <si>
    <t>AMI Bounty Program</t>
  </si>
  <si>
    <t>Outreach Total</t>
  </si>
  <si>
    <t>2023-12</t>
  </si>
  <si>
    <t>BD Bounty</t>
  </si>
  <si>
    <t>2024-01</t>
  </si>
  <si>
    <t>BD Bounty in Spain &amp; Andorra</t>
  </si>
  <si>
    <t>2024-02</t>
  </si>
  <si>
    <t>Meetups Bounty</t>
  </si>
  <si>
    <t>2024-03</t>
  </si>
  <si>
    <t>Games Bounty</t>
  </si>
  <si>
    <t>2024-04</t>
  </si>
  <si>
    <t>2024-05</t>
  </si>
  <si>
    <t>2024-06</t>
  </si>
  <si>
    <t>2024-07</t>
  </si>
  <si>
    <t>2024-08</t>
  </si>
  <si>
    <t>DONT CHANGE; DON'T MOVE; THE INCOME STATEMENT DEPENDS ON IT</t>
  </si>
  <si>
    <t>2024-09</t>
  </si>
  <si>
    <t>Gov2 By Type and Quarter</t>
  </si>
  <si>
    <t>Talent &amp; Education Total</t>
  </si>
  <si>
    <t>Economy Total</t>
  </si>
  <si>
    <t>Operations Total</t>
  </si>
  <si>
    <t>Research Total</t>
  </si>
  <si>
    <t>2024-Q3 Spending by Category</t>
  </si>
  <si>
    <t>Current Supply</t>
  </si>
  <si>
    <t xml:space="preserve"> Total</t>
  </si>
  <si>
    <t>Future Inflation</t>
  </si>
  <si>
    <t>x</t>
  </si>
  <si>
    <t>The part that goes to the Treasury</t>
  </si>
  <si>
    <t>evaluated Category Total</t>
  </si>
  <si>
    <t>Treasury Inflow per Year</t>
  </si>
  <si>
    <t>Category Total</t>
  </si>
  <si>
    <t>Treasury Inflow per Quarter</t>
  </si>
  <si>
    <t>Status</t>
  </si>
  <si>
    <t>USD Propose Date</t>
  </si>
  <si>
    <t>Track</t>
  </si>
  <si>
    <t>AYEs</t>
  </si>
  <si>
    <t>NAYs</t>
  </si>
  <si>
    <t>Propose Date</t>
  </si>
  <si>
    <t>hide from income statement (represented via child bounties and/or via the balance sheet)</t>
  </si>
  <si>
    <t>bounty-related</t>
  </si>
  <si>
    <t>recurring</t>
  </si>
  <si>
    <t>Notes</t>
  </si>
  <si>
    <t>error - please vote nay</t>
  </si>
  <si>
    <t>[Reject] Supposed to be Hello World</t>
  </si>
  <si>
    <t>Rejected</t>
  </si>
  <si>
    <t/>
  </si>
  <si>
    <t>WagMedia - Collective Content Creation for 52 Weeks</t>
  </si>
  <si>
    <t>Confirming</t>
  </si>
  <si>
    <t>BigSpender</t>
  </si>
  <si>
    <t>OpenCommunity Governance</t>
  </si>
  <si>
    <t>SmallSpender</t>
  </si>
  <si>
    <t>Proposal</t>
  </si>
  <si>
    <t>[Whitelisted Caller] Referendum #3: Upgrade Bridge Hub to v9420</t>
  </si>
  <si>
    <t>Executed</t>
  </si>
  <si>
    <t>WhitelistedCaller</t>
  </si>
  <si>
    <t>MediumSpender</t>
  </si>
  <si>
    <t>Growing the Music Vertical on Polkadot: Onboarding Billfold</t>
  </si>
  <si>
    <t>submerge.io: Open-Source Indexer, Analysis, KYT, and AML Compliance Platform for the Polkadot Ecosystem</t>
  </si>
  <si>
    <t>Fix HostConfiguration</t>
  </si>
  <si>
    <t>Root</t>
  </si>
  <si>
    <t>Polkashots.io Cloud Costs January-April 2023</t>
  </si>
  <si>
    <t>Restructuring of Polkadot Brasil</t>
  </si>
  <si>
    <t>Aibot proposal：June 2023 - August 2023</t>
  </si>
  <si>
    <t>TimedOut</t>
  </si>
  <si>
    <t>A Common Ledger App Compatible With All Polkadot And Kusama Parachains [ retroactive funding for development ]</t>
  </si>
  <si>
    <t>Privacy Sidechains for all Substrate- Based Chains</t>
  </si>
  <si>
    <t>[Whitelisted Caller] Referendum #18 Polkadot v9430</t>
  </si>
  <si>
    <t>[Small Spender] Stakeworld's polkadot RPC and bootnode infrastructure - Q2 2023</t>
  </si>
  <si>
    <t>Treasurer</t>
  </si>
  <si>
    <t>Polkassembly's Registrar Application</t>
  </si>
  <si>
    <t>GeneralAdmin</t>
  </si>
  <si>
    <t>BigTipper</t>
  </si>
  <si>
    <t>Societal - A Homebase for Decentralized Communities</t>
  </si>
  <si>
    <t>OpenGov submission of Motion 420 - Upstream funding Matrix.org Foundation</t>
  </si>
  <si>
    <t>Encointer Treasury Proposal</t>
  </si>
  <si>
    <t>RadiumBlock seeks reimbursement for Polkadot Endpoint Service (Q4 2022 and Q1 2023)</t>
  </si>
  <si>
    <t xml:space="preserve">(Small tipper) Funding for AnimatedCrypto channel </t>
  </si>
  <si>
    <t>Next revision of increasing nomination pool limits &amp; commission</t>
  </si>
  <si>
    <t>Pinknode Public Endpoint for Polkadot in Q4 2022</t>
  </si>
  <si>
    <t>Notifi Vote RE: #1767 Notifi - Communication &amp; Notification Tooling for Polkadot's Broader Ecosystem</t>
  </si>
  <si>
    <t>[Please reject] Erroneous Referendum Submission</t>
  </si>
  <si>
    <t>Polkadot Hubs - Initiative case-study, education and support for future hubs (12 months period)</t>
  </si>
  <si>
    <t>Approve Polkadot Assurance Legion Bounty</t>
  </si>
  <si>
    <t>GovernGoofed, a proposal to tackle 3 of the most challenging issues in OpenGov V1</t>
  </si>
  <si>
    <t>[Whitelisted Caller] Referendum #51: Open HRMP Channels Between System Parachains</t>
  </si>
  <si>
    <t>DAO_Terminal: Enhancing User Involvement in Polkadot Governance</t>
  </si>
  <si>
    <t>[Auction Admin] Referendum #53: Start an Auction</t>
  </si>
  <si>
    <t>AuctionAdmin</t>
  </si>
  <si>
    <t>[TAKE TWO] Next revision of increasing nomination pool limits &amp; commission</t>
  </si>
  <si>
    <t>Canceling Remaining Auctions and Introducing New Ones</t>
  </si>
  <si>
    <t>[Whitelisted Caller] Referendum #58: Increase Parachain Validators to 250</t>
  </si>
  <si>
    <t>[Reject] incorrect preimage</t>
  </si>
  <si>
    <t>A small tip for media representation</t>
  </si>
  <si>
    <t>A small chatbot for the polkadot wiki</t>
  </si>
  <si>
    <t>vote no pls , I missed preimage :(</t>
  </si>
  <si>
    <t>Treasury Proposal by 727.ventures: Polkadot Wink</t>
  </si>
  <si>
    <t>AIWeb3 Chinese Unit proposal (爱Web3 中文社区提案)  -   PLEASE REJECT THIS, the amount of KSM is not correct!</t>
  </si>
  <si>
    <t>AIWeb3 Chinese Unit proposal (爱Web3 中文社区提案)</t>
  </si>
  <si>
    <t>Security Audit of trustless Ethereum 2.0 Light Client, developed as a Substrate Pallet</t>
  </si>
  <si>
    <t>[FAULTY PREIMAGE, PLEASE REJECT] A Polkadot Ecosystem App Store</t>
  </si>
  <si>
    <t>Finsig SDK for Apple Products</t>
  </si>
  <si>
    <t>Wasm Smart Contracts Bounty #19</t>
  </si>
  <si>
    <t>Runtime Upgrade on Kusama to v9370</t>
  </si>
  <si>
    <t>canceling</t>
  </si>
  <si>
    <t>Blockops Network - Grant Proposal for the development of One-Click Parachain Deployment</t>
  </si>
  <si>
    <t>deleted</t>
  </si>
  <si>
    <t>Bounty to back Apillon Web3 development platform as a common good infrastructure</t>
  </si>
  <si>
    <t>[Staking Admin] Referendum #84: Update System Collator Sets and Configurations</t>
  </si>
  <si>
    <t>StakingAdmin</t>
  </si>
  <si>
    <t>Substrate, XCM rust technical practice videos.</t>
  </si>
  <si>
    <t>Maintenance for the substrate-api-client Feb-23 to Apr-23  -&gt; Wrong KSM PLEASE REJECT</t>
  </si>
  <si>
    <t>Top-Up Request for Previously Funded Proposal #663</t>
  </si>
  <si>
    <t>OnFinality Unified NFT API</t>
  </si>
  <si>
    <t>Proposal to use $DED to Conduct Targeted Marketing during KBW 2024</t>
  </si>
  <si>
    <t xml:space="preserve">Proposal: Artificial Intelligence for security monitoring on a network level </t>
  </si>
  <si>
    <t>Specialized Learning Path of Polkadot Ecosystem for Devs</t>
  </si>
  <si>
    <t>Wrong $DOT amount, please nay</t>
  </si>
  <si>
    <t>Patron Milestones 2-7 Development</t>
  </si>
  <si>
    <t>Top-up request for Reactive DOT and related works</t>
  </si>
  <si>
    <t>[Retroactive] Polytope Labs: ISMP Research &amp; Development</t>
  </si>
  <si>
    <t>Polkadot journal: A Marketing Proposal for Polkadot/Kusama</t>
  </si>
  <si>
    <t>Community-Centric Blockchain Education: Dacade's Commitment to Polkadot's Growth via learning through sharing</t>
  </si>
  <si>
    <t>LayerX - rollout parachain as Trustless Bridge between Polkadot and Ethereum.</t>
  </si>
  <si>
    <t>Polkasafe - Milestone 2 - Retroactive funding proposal</t>
  </si>
  <si>
    <t>[Whitelisted Caller] Referendum #110: Update Parachain Validation Config</t>
  </si>
  <si>
    <t>Propose Curator for PAL Bounty</t>
  </si>
  <si>
    <t>PolkaWorld Ops and Maintenance proposal：2023.9 - 2023.11</t>
  </si>
  <si>
    <t>Societal: Advanced Treasury, Governance and Member Management Systems for Decentralized Communities</t>
  </si>
  <si>
    <t>Crypto-Friendly Substrate Scaffold Pallets for Every Parachains</t>
  </si>
  <si>
    <t>[Whitelisted Caller] Referendum #122: Register KSM on Asset Hub</t>
  </si>
  <si>
    <t>RadiumBlock: Retroactive funding for High Performance Public Endpoint Service for Polkadot(Q4 2022 and Q1 2023)</t>
  </si>
  <si>
    <t>Void - incorrect spend submitted</t>
  </si>
  <si>
    <t>Allocate DOT Loan for Use Amongst Cross-Ecosystem DeFi within the Cosmos Ecosystem</t>
  </si>
  <si>
    <t>Encointer Treasury Proposal (budget halving)</t>
  </si>
  <si>
    <t>Cancel Old Auctions Schedule - Replaced by New Schedule After OpenGov Inclusion</t>
  </si>
  <si>
    <t>Polkadot @ SXSW 2023, Austin, Texas on March 12th-15th 2023</t>
  </si>
  <si>
    <t>Unbrick Nodle</t>
  </si>
  <si>
    <t>Election of curation team - bounty 19: Wasm Smart Contracts Bounty</t>
  </si>
  <si>
    <t>OnFinality High Performance Public Infrastructure (Q3 2023)</t>
  </si>
  <si>
    <t>Moonbeam: Swap Leases with Parachain 3342</t>
  </si>
  <si>
    <t>Increase MaxMemoryPages to 512MB</t>
  </si>
  <si>
    <t>Refunding AlexPromoTeam GOV1 Treasury Spend Deposit</t>
  </si>
  <si>
    <t>Small Tips retroactive for Content in Portuguese UPDATED (Vote Nay - if you set AYE Change your vote to NAY)</t>
  </si>
  <si>
    <t xml:space="preserve">Ignore / Nay (Duplicate Ref) </t>
  </si>
  <si>
    <t>Notifi - Communication &amp; Notification Tooling for Polkadot's Broader Ecosystem V2 Proposal</t>
  </si>
  <si>
    <t>Bounty: The Genesis Incentive Pool</t>
  </si>
  <si>
    <t>Polkadot System Parachain Collators - Tips</t>
  </si>
  <si>
    <t>Executed_err</t>
  </si>
  <si>
    <t>Retroactive and future maintenance/development of Parachains.info</t>
  </si>
  <si>
    <t>Increase DOT media visibility through media buying and airdrop campaign</t>
  </si>
  <si>
    <t>Moderation Team Bounty Curator Proposal</t>
  </si>
  <si>
    <t>Polkadot Parachain Assets Onramp Bounty Program</t>
  </si>
  <si>
    <t>Tweak Polkadot's Ideal Staking Rate</t>
  </si>
  <si>
    <t>Need to get tip which is not executed in old gov</t>
  </si>
  <si>
    <t>Dubbing Polkadot Decoded 2023 into Italian</t>
  </si>
  <si>
    <t>Proposal for USDC Sufficiency on Polkadot Asset Hub</t>
  </si>
  <si>
    <t>Beyond Raw Data: How Polkascan Transforms Subsquid Aggregates into a User-Friendly Polkadot Experience (Polkadot Treasury Proposal)</t>
  </si>
  <si>
    <t>Featured Research Proposal: Empowering the Polkadot Ecosystem [CryptoEQ]</t>
  </si>
  <si>
    <t>Public rpc services for polkadot including the common chains in Q3 2023</t>
  </si>
  <si>
    <t>ELLIPAL Self-custody Cold Wallet 1 Proposal: DOT/KSM Tokens, Staking,ASTR &amp; GLMR Parachains&amp;Tokens,DOT/KSM/ ASTR/GLMR Swap,WalletConnect v2,Polkadot Wallet Integration</t>
  </si>
  <si>
    <t>Kuma Wallet - Milestone 5</t>
  </si>
  <si>
    <t>Removed</t>
  </si>
  <si>
    <t>Please vote against</t>
  </si>
  <si>
    <t>Polkadot Ecosystem App Store - Dynamic App Pages &amp; Project Reputation System - dotappstore.com</t>
  </si>
  <si>
    <t>💎DOT Airdrop on Terra 2.0 ✅</t>
  </si>
  <si>
    <t>Killed</t>
  </si>
  <si>
    <t>Kill Referendum 203 (Scam Referendum)</t>
  </si>
  <si>
    <t>ReferendumKiller</t>
  </si>
  <si>
    <t>Treasury Proposal: Parachain Loan Financing (PLF) Kapex Parachain</t>
  </si>
  <si>
    <t>Please ignore or disapprove!</t>
  </si>
  <si>
    <t>[Root] Referendum #208</t>
  </si>
  <si>
    <t>[Whitelisted Caller] Referendum #211: Upgrade Polkadot v1,000,000</t>
  </si>
  <si>
    <t>Cancelled</t>
  </si>
  <si>
    <t>Encointer Lease2 Treasury Proposal 2/2</t>
  </si>
  <si>
    <t>ReferendumCanceller</t>
  </si>
  <si>
    <t>KryptosChain Media (The Next Level!) - 6 Months of funding</t>
  </si>
  <si>
    <t>Proof-driven Whistleblowing: Decrease in the Number of Teams in the Ecosystem. Several Posts/Research by Rita2me.</t>
  </si>
  <si>
    <t>Proposal: Funding for the Brazilian Portuguese Language Content Producers Group</t>
  </si>
  <si>
    <t>Non-custodial DOT payments integration for major eCommerce platforms</t>
  </si>
  <si>
    <t xml:space="preserve"> [VOTE NAY - RESUBMISSION IN PROCESS] Activation and retention of developers in Turkey and India for the Polkadot Ecosystem</t>
  </si>
  <si>
    <t>Polkadot Treasury USDT Acquisition</t>
  </si>
  <si>
    <t>Enhance analytics solutions for Polkadot: Chainspect's Treasury Proposal</t>
  </si>
  <si>
    <t>Invalid: Events Bounty V2 Curator Candidacy</t>
  </si>
  <si>
    <t>Events Bounty V2 Curator Candidacy</t>
  </si>
  <si>
    <t>IBC x Largest Polkadot Developer Outreach Proposal</t>
  </si>
  <si>
    <t xml:space="preserve">Cancel Referendum 211 (runtime upgrade) due to bad call </t>
  </si>
  <si>
    <t>Cancel Referendum 241 (runtime upgrade) due to XCM issue</t>
  </si>
  <si>
    <t>Bounty Proposal: Business Prospects for Polkadot in Brazil</t>
  </si>
  <si>
    <t>VOTE NAY IN THIS PROPOSAL 251</t>
  </si>
  <si>
    <t>[Small Spender] Referendum #252: Retroractive funding for Web3 Education and Investment YouTube Channel Proposal</t>
  </si>
  <si>
    <t xml:space="preserve">Vote (NAY) Revised the Tip Proposal - Dotgraphic </t>
  </si>
  <si>
    <t>[Small Spender] Referendum #254: Retroractive funding for Web3 Education and Investment YouTube Channel Proposal</t>
  </si>
  <si>
    <t>MASON VERSLUIS - Medium to High impact Polkadot media promotion</t>
  </si>
  <si>
    <t>Addressing Polkadot's Negative Image on Twitter</t>
  </si>
  <si>
    <t>EatYourCryptos: Creation of Educational Content in Spanish on Youtube</t>
  </si>
  <si>
    <t>A Pink Proposal for $PINK</t>
  </si>
  <si>
    <t>Cancel Referendum 265 - Funding 999,999 DOT for meme coin in the name of Polkadot Marketing.</t>
  </si>
  <si>
    <t>[Whitelisted Caller] Referendum #268: Polkadot v1,000,0001</t>
  </si>
  <si>
    <t>Crypto Crow | Youtube Media Package Funding</t>
  </si>
  <si>
    <t>Clockwise Crypto | Youtube Media Package Funding</t>
  </si>
  <si>
    <t>MineYourBiz  | Youtube Media Package Funding</t>
  </si>
  <si>
    <t>Advancing Decentralization:  @asteeber's Educational Video on Runtime Upgrade</t>
  </si>
  <si>
    <t>Mind The Chart | Youtube Media Package Funding</t>
  </si>
  <si>
    <t>"Mistake in preimage - please Nay"</t>
  </si>
  <si>
    <t>SIAMO TUTTI NON FUNGIBILI | Youtube &amp; Social Media Package Funding</t>
  </si>
  <si>
    <t>Open HRMP channels: AssetHub &lt;&gt; Composable Finance &amp; AssetHub &lt;&gt; Zeitgeist</t>
  </si>
  <si>
    <t>CryptoWendyO | Youtube Media Package Funding</t>
  </si>
  <si>
    <t>Discover Crypto | Youtube Media Package Funding</t>
  </si>
  <si>
    <t>Crypto Blood | Youtube Media Package Funding</t>
  </si>
  <si>
    <t>Wrong Proposal</t>
  </si>
  <si>
    <t>Decentralized Staking Support Group</t>
  </si>
  <si>
    <t xml:space="preserve">Connecting The Dots </t>
  </si>
  <si>
    <t>AfterSide Crypto | 6 MONTHS - Youtube &amp; Social Media Package Funding</t>
  </si>
  <si>
    <t>please vote nay</t>
  </si>
  <si>
    <t>Please reject</t>
  </si>
  <si>
    <t>Quality Content Creation and P2P support - The Bitcoin Army's Orinoco Campaign</t>
  </si>
  <si>
    <t>The HGA Marketing Proposal</t>
  </si>
  <si>
    <t>Wrong Preimage please vote Nay</t>
  </si>
  <si>
    <t>VOTE NAY - WE ARE REPOSTING - Polkadot Brand Awareness Partnership with Real Vision (Raoul Pal)</t>
  </si>
  <si>
    <t>ignore - UI errors</t>
  </si>
  <si>
    <t>Polkadot's Educational Campaign India: A Wise Advice Initiative</t>
  </si>
  <si>
    <t>Effective Media Proposal Evaluation System for the Polkadot Marketing Collective/s (Stage 1: Focus on Builders)</t>
  </si>
  <si>
    <t>Easybuild. Fast Path for Future Polkadot Builders committed to building.</t>
  </si>
  <si>
    <t>Reward for Content already made on Rust</t>
  </si>
  <si>
    <t xml:space="preserve">Bounty 27 Curator Committee Proposal </t>
  </si>
  <si>
    <t>Toni Ghinea - Creating Polkadot Content</t>
  </si>
  <si>
    <t>DAPP CENTRE | Youtube Media Package Funding</t>
  </si>
  <si>
    <t>KryptosChain Short Term Funding</t>
  </si>
  <si>
    <t>#ERROR PLEASE VOTE NAY</t>
  </si>
  <si>
    <t>#ERROR PLEASE VOTE NAY!</t>
  </si>
  <si>
    <t>Bring Adoption for Companies: Empowering BlockSpace with PolkadotSDK as the Core Infrastructure</t>
  </si>
  <si>
    <t>“NacionCrypto” Establishment of Study Group and Development of Technical and Non-Technical Content.</t>
  </si>
  <si>
    <t>Posted in error please vote nay</t>
  </si>
  <si>
    <t>A 12-Month Strategic Alliance proposal: Polkadot and Cheeky Crypto Partner for Decentralized Innovation</t>
  </si>
  <si>
    <t>Building Developer Ecosystems In Turkey &amp; India</t>
  </si>
  <si>
    <t xml:space="preserve"> Crypto Sj Media proposal - Educational &amp; Awareness  Campaign in India</t>
  </si>
  <si>
    <t>DOT Request - UPDATE REJECT THIS REQUEST</t>
  </si>
  <si>
    <t>Proposed Polkadot Auction Schedule 2024</t>
  </si>
  <si>
    <t>Development &amp; Maintenance for Node Red Polkadot bridge, a Client for Low Code IoT Integration</t>
  </si>
  <si>
    <t>Polkadot Colombia Ambassadors: technology education marathon through ten universities in Colombia and one in San Salvador.</t>
  </si>
  <si>
    <t>Open HRMP channels between AssetHub and Polimec</t>
  </si>
  <si>
    <t>test</t>
  </si>
  <si>
    <t>Lark Davis - Proposal for Funding Polkadot Content Creation</t>
  </si>
  <si>
    <t>Bounty Proposal for Public RPCs for Relay and System Chains</t>
  </si>
  <si>
    <t xml:space="preserve">Cancel Ref 341 - Dolpha.com seeking 150,000 DOT </t>
  </si>
  <si>
    <t>Proposal for the Deregistration of Equilibrium Parachain</t>
  </si>
  <si>
    <t>Financial Support for Polkadot Blockchain Academy (PBA).</t>
  </si>
  <si>
    <t>Polkadot IRL ADS Campaign #1 - Out of Home Digital Billboards, Toronto Canada</t>
  </si>
  <si>
    <t>Influencer Marketing Campaign for Polkadot Community Engagement</t>
  </si>
  <si>
    <t>Funding of Polkadot System Parachain Collators</t>
  </si>
  <si>
    <t>Polkadot Music Events Initiative - onboarding fans, artists and builders to Polkadot through music</t>
  </si>
  <si>
    <t>Setting the relay chain's safeXcmVersion to v3</t>
  </si>
  <si>
    <t>BLOX MEDIA GROUP - Media Package</t>
  </si>
  <si>
    <t xml:space="preserve">Executive Search for PolkaDot - Senior BD Executive Search for PolkaDot </t>
  </si>
  <si>
    <t>Boosting NFT Education in Latin America with the Polkadot Ecosystem</t>
  </si>
  <si>
    <t>Promoting the adoption of Polkadot through Gaming - The Great Escape</t>
  </si>
  <si>
    <t xml:space="preserve">THIS PROPOSAL IS AN ERROR. PLEASE IGNORE: THE AMOUNT IS NOT CORRECT. PLEASE VOTE NAY. </t>
  </si>
  <si>
    <t>(please read the important update first) To build the Sónar +D DAO by Polkadot: How blockchain can revolutionize the music industry.</t>
  </si>
  <si>
    <t>Assigning a Curator to Bounty 32 (System Parachain Collator Bounty)</t>
  </si>
  <si>
    <t>Twitter Kols Outreach</t>
  </si>
  <si>
    <t>Error in Submission and Address</t>
  </si>
  <si>
    <t>Small tip to CultureDot for their efforts to market Polkadot at Times Square.</t>
  </si>
  <si>
    <t>Approve Current Fellowship V and VI Dan Members</t>
  </si>
  <si>
    <t>FellowshipAdmin</t>
  </si>
  <si>
    <t>Proposal: Polkadot Brand Awareness Campaign with Crypto Banter - Ran Neuner / PLEASE VOTE NAY</t>
  </si>
  <si>
    <t>Re-submission: Open HRMP channels between AssetHub and Polimec</t>
  </si>
  <si>
    <t>Web3 Association 2024 Sponsorship</t>
  </si>
  <si>
    <t>Error! Please vote NAY</t>
  </si>
  <si>
    <t>Treasury Proposal for Zeeve Wrench - an open-source Parachain Automation Framework</t>
  </si>
  <si>
    <t>Curators Candidates - Bounty #28</t>
  </si>
  <si>
    <t>Building a Polkadot Hub for DevRels, Talent Pipeline and Potential Deal Flow for the Polkadot Ecosystem from the Philippines</t>
  </si>
  <si>
    <t>Open HRMP Channels Between AssetHub And InvArch</t>
  </si>
  <si>
    <t>Upgrade Polkadot v1,001,000</t>
  </si>
  <si>
    <t xml:space="preserve"> Illustrated Book: "The Sacred Coin Quest" - Create a Collective Memory</t>
  </si>
  <si>
    <t>Proposing Curators for Bounty #31</t>
  </si>
  <si>
    <t>Encode Club x Polkadot Education Programming 2023 - A Summary Report of Tranche 4 to Request Funding for Tranche 5</t>
  </si>
  <si>
    <t>Encode x Polkadot 2024 Programming</t>
  </si>
  <si>
    <t>Update Sufficient Asset Minimum Balances</t>
  </si>
  <si>
    <t>Open HRMP channels between AssetHub and Hashed Network</t>
  </si>
  <si>
    <t>Polkadot Watchdogs Governance Monthly Incentive Referendum #1 - VOTE NAY</t>
  </si>
  <si>
    <t>Treasury Proposal: DOT liquidity loan for Bifrost DOT liquid staking token (vDOT) to be returned + DOT Staking rewards to Polkadot Treasury</t>
  </si>
  <si>
    <t>Loans</t>
  </si>
  <si>
    <t>Press Kit Polkadot 2.0</t>
  </si>
  <si>
    <t>Approval of curators for Bounty 33 (marketing bounty)</t>
  </si>
  <si>
    <t>Integrating Polkadot Blockchain for Decentralized Electric Vehicle Charging Network</t>
  </si>
  <si>
    <t>Open HRMP channels between AssetHub and Unique Network</t>
  </si>
  <si>
    <t>Clean up undecodable storage entry</t>
  </si>
  <si>
    <t>Update Polkadot Asset Hub v1,001,001 and Sufficient Asset Minimum Balances</t>
  </si>
  <si>
    <t>Cancelling Referenda 416, 428, and 443 in a batch</t>
  </si>
  <si>
    <t>[PLEASE REJECT] Bridging Minds with TEACHMEDEFI: Growing Polkadot‘s Mindshare in the Crypto Space</t>
  </si>
  <si>
    <t>Mistake in pre-image - please vote NAY</t>
  </si>
  <si>
    <t>Dota: Build up an Inscription Ecosystem on Polkadot</t>
  </si>
  <si>
    <t>De-register parachain ID 2057</t>
  </si>
  <si>
    <t>CryptoRank.io Exclusive Proposal: Empowering Polkadot’s Presence in the Crypto Sphere and Attracting New Active Users</t>
  </si>
  <si>
    <t>The Polkadot Caravan Tour: Bridging the Gap in the U.S. Crypto Landscape</t>
  </si>
  <si>
    <t>USDT and USDC Acquisition for the Treasury</t>
  </si>
  <si>
    <t>Stablecoins</t>
  </si>
  <si>
    <t>Upgrade System to v1.1.2</t>
  </si>
  <si>
    <t>Paseo - Developer Testnet Funding</t>
  </si>
  <si>
    <t>Polkalator</t>
  </si>
  <si>
    <t>Games Bounty [38]</t>
  </si>
  <si>
    <t>BD Bounty [39]</t>
  </si>
  <si>
    <t>Compensate for insufficient `phragmenElection.renounce` unreserve amount</t>
  </si>
  <si>
    <t>Tutorial Media funding for KryptosChain</t>
  </si>
  <si>
    <t>ETHDenver 2024 - Polkadot - Event Recap Video Marketing - Amplify Presence at One of the Largest Blockchain Conferences</t>
  </si>
  <si>
    <t>Formation of new space. Eliminate blockage. Developed for peace!</t>
  </si>
  <si>
    <t>DeFi Infrastructure &amp; Tooling Bounty</t>
  </si>
  <si>
    <t>Polkadot Moderation Team Bounty Top-up</t>
  </si>
  <si>
    <t>Polkadot Ambassador Program</t>
  </si>
  <si>
    <t>Refill Marketing Bounty [33]</t>
  </si>
  <si>
    <t>Setting setOnDemandQueueMaxSize to 500</t>
  </si>
  <si>
    <t>The Sónar+D DAO by Polkadot</t>
  </si>
  <si>
    <t>Bounty Proposal: Business Development Polkadot in Spain &amp; Andorra - VOTE NAY</t>
  </si>
  <si>
    <t>Dot Amplify</t>
  </si>
  <si>
    <t>Unified Wallet And Dapp Interaction</t>
  </si>
  <si>
    <t>Tip for Longtime Polkadot Supporters CryptoWise</t>
  </si>
  <si>
    <t>Set `safeXcmVersion` to 3 for AssetHub, Collectives and BridgeHub</t>
  </si>
  <si>
    <t>Polkadot Community Workspace NYC by Transistor</t>
  </si>
  <si>
    <t>Approval of curators for Bounty 39 (BD bounty)</t>
  </si>
  <si>
    <t>Approval of curators for Bounty 38 (Games bounty)</t>
  </si>
  <si>
    <t>Dot Latam Day 2023 (Retroactive)</t>
  </si>
  <si>
    <t>Open HRMP Channels between AssetHub and Crust Network</t>
  </si>
  <si>
    <t>Conor Daly - 2024 Indianapolis 500 Sponsorship</t>
  </si>
  <si>
    <t>Approved</t>
  </si>
  <si>
    <t>did not properly execute</t>
  </si>
  <si>
    <t>Marketing Bounty Flex [#41] - VOTE NAY</t>
  </si>
  <si>
    <t>Bounty Cleanup Proposal</t>
  </si>
  <si>
    <t>Polkadot Desktop Wallet Tutorial by Altcoin Daily</t>
  </si>
  <si>
    <t>Tip for Common Good Referendum Deposit Clean-up and Validator Payout Bot</t>
  </si>
  <si>
    <t xml:space="preserve">Explainer video for Polkadot 2.0 - easy and understandable </t>
  </si>
  <si>
    <t>(PLEASE REJECT) Read below if you are a PolkadotJS user</t>
  </si>
  <si>
    <t>Rising Karting Star Seeks Polkadot Partnership(withdrawn)</t>
  </si>
  <si>
    <t>Transfer the Lease of Bifrost Parachain 3356 to Bifrost Parachain 2030 to avoid downtime</t>
  </si>
  <si>
    <t>LeaseAdmin</t>
  </si>
  <si>
    <t>Polkadot marketing proposal in Chinese speaking areas</t>
  </si>
  <si>
    <t>Bounty proposal: Business Development Polkadot in Spain &amp; Andorra</t>
  </si>
  <si>
    <t>Error - Vote NAY</t>
  </si>
  <si>
    <t>Refill for marketing bounty number #33 [250k]</t>
  </si>
  <si>
    <t>1TRIBE: Africa On DOT - Phase II</t>
  </si>
  <si>
    <t>Bounty Proposal: [Spanish content and event production bounty]</t>
  </si>
  <si>
    <t>Meetups Bounty [#43]</t>
  </si>
  <si>
    <t>NOTE - Vote Nay [Incorrect Preimage]</t>
  </si>
  <si>
    <t>Inscriptions generator and marketplace (tender offer)</t>
  </si>
  <si>
    <t>Vote Nay</t>
  </si>
  <si>
    <t>POLKADOT &lt;&gt; KUSAMA BRIDGE SECURITY BOUNTY</t>
  </si>
  <si>
    <t>Retroactive Small Tips for Content (February)</t>
  </si>
  <si>
    <t>Initialize Kusama GRANDPA light-client running on Polkadot BridgeHub</t>
  </si>
  <si>
    <t>Request for transferring all the DOT from the hacker's account to the Starlay's account</t>
  </si>
  <si>
    <t>Replaced by Proposal #551 Amharic Chain Polkadot Academy to Small Spender Track</t>
  </si>
  <si>
    <t xml:space="preserve">[VOTE NAY] DED Token birthing phase: "EDs" and technical proposal | On-Demand Governance for Assets on Asset Hub. </t>
  </si>
  <si>
    <t xml:space="preserve">SHITTY PROPOSAL SORRY </t>
  </si>
  <si>
    <t>PolkaMAPS, a DOTins project</t>
  </si>
  <si>
    <t>AmharicChain Polkadot Academy</t>
  </si>
  <si>
    <t>Paseo Testnet - Curator submission</t>
  </si>
  <si>
    <t>DED Bounty - VOTE NAY</t>
  </si>
  <si>
    <t>BD Bounty (retry)</t>
  </si>
  <si>
    <t>Games Bounty (retry)</t>
  </si>
  <si>
    <t>Polkadot Hydration: Treasury LP</t>
  </si>
  <si>
    <t>Market Operations</t>
  </si>
  <si>
    <t>Cancelling DED Tech Proposal, and Deferring to DED Bounty Fund</t>
  </si>
  <si>
    <t>Please vote to reject! The preimages hash is incorrect.</t>
  </si>
  <si>
    <t>Duplicate of #545 - please ignore</t>
  </si>
  <si>
    <t>Please vote to reject! The preimages hash is incorrect</t>
  </si>
  <si>
    <t>Polkadot Anti-scam Team Bounty Top-up</t>
  </si>
  <si>
    <t>Big Tip for Polkadot Brasil on X</t>
  </si>
  <si>
    <t>Increase Awareness of Polkadot On-Brand Messages via Twitter Ads (5/1/24-12/31/24)</t>
  </si>
  <si>
    <t>Polkadot Runtime Upgrade v1.1.3</t>
  </si>
  <si>
    <t>PBA referendum - vote NAY - incorrect preimage</t>
  </si>
  <si>
    <t>Request withdrawn - replaced by whitelisted caller #593</t>
  </si>
  <si>
    <t>Vote NO - Mistake in submission - New referenda coming shortly -  Polkadot @ Coindesk Consensus</t>
  </si>
  <si>
    <t>Nomination Pool: Remove max pool and max member limits</t>
  </si>
  <si>
    <t>VOTE NAY - ERROR IN PREIMAGE</t>
  </si>
  <si>
    <t>Fund system chains sovereign accounts on Polkadot BridgeHub for Polkadot&lt;&gt;Kusama bridge</t>
  </si>
  <si>
    <t>Open HRMP Channels between AssetHub and Mythos</t>
  </si>
  <si>
    <t>Error - Vote no</t>
  </si>
  <si>
    <t>Requesting a refill for marketing bounty number #33</t>
  </si>
  <si>
    <t>Proposing Curators for the DeFi Infrastructure &amp; Tooling Bounty</t>
  </si>
  <si>
    <t>VOTE NO. Mistake in submission - New referendum coming shrtly</t>
  </si>
  <si>
    <t>Lawsuit against Giotto Bounty</t>
  </si>
  <si>
    <t>Mistake vote NO</t>
  </si>
  <si>
    <t>This is a tip request for Boosting NFT Education in Latin America with the Polkadot Ecosystem</t>
  </si>
  <si>
    <t>Contribution to the Italian Polkadot Community: Funding Request</t>
  </si>
  <si>
    <t>Manta Wallet Retroactive Funding</t>
  </si>
  <si>
    <t>Setting onDemandBaseFee to 0.025 DOT</t>
  </si>
  <si>
    <t>Integration of Polkadot into ChatG (An Ai Chat Startup)</t>
  </si>
  <si>
    <t>Set BEEFY genesis (thus starting BEEFY consensus on Polkadot)</t>
  </si>
  <si>
    <t>VOTE no, wrong track</t>
  </si>
  <si>
    <t>Polkadot Growth Index 📈 and AI Insights 💡</t>
  </si>
  <si>
    <t xml:space="preserve"> Vote Nay</t>
  </si>
  <si>
    <t>Technical Support Bounty #625</t>
  </si>
  <si>
    <t>[Big Tipper] Referendum #626</t>
  </si>
  <si>
    <t>[Revision] Nomination Pool: Remove max pool and max member limits</t>
  </si>
  <si>
    <t>REJECT</t>
  </si>
  <si>
    <t>Approval of curators for Bounty 43 (Meetup bounty)</t>
  </si>
  <si>
    <t>Tip for 7 Polkadot Decentralized Voices</t>
  </si>
  <si>
    <t>Bump parachain validation timeouts</t>
  </si>
  <si>
    <t>Curators Candidates - Bounty #42</t>
  </si>
  <si>
    <t>Mythical Games and Polkadot, a proposal from Mythos Foundation Swiss</t>
  </si>
  <si>
    <t>Set Asset Rates for Treasury Assets</t>
  </si>
  <si>
    <t>CURATORS PROPOSAL FOR BOUNTY 44 - POLKADOT &lt;&gt; KUSAMA BRIDGE SECURITY BUGBOUNTY</t>
  </si>
  <si>
    <t>Polkadot.JS API UI enhancements</t>
  </si>
  <si>
    <t>Upgrade Polkadot to Release v1.2.0</t>
  </si>
  <si>
    <t>Infrastructure Builders Program Bounty</t>
  </si>
  <si>
    <t>(Vote Nay) Polkadot Ecosystem growth campaigns</t>
  </si>
  <si>
    <t>Test Proposal - Please Vote Nay</t>
  </si>
  <si>
    <t>Polkadot AmharicChain Hub: Mastering Polkadot | Empowering Learning</t>
  </si>
  <si>
    <t xml:space="preserve">Semi-Retroactive &amp; Ongoing Funding for Cryptopolitan for Media Boost, Engagement, and Reach 2024 </t>
  </si>
  <si>
    <t>Wrong amount vote nay</t>
  </si>
  <si>
    <t>Polkadot Fleet of Bikes in Paris for the Olympic &amp; Paralympic Games : A Unique &amp; Massive Marketing opportunity.</t>
  </si>
  <si>
    <t>Polkadot Drone Shows Over VELD Music Fest (100K+ Attendance) - Brand Awareness + PR Campaign</t>
  </si>
  <si>
    <t>Polkadot Dapps over Apps</t>
  </si>
  <si>
    <t>Proposal for Ensuring Continuity in Creating Content about Polkadot - VOTE NAY. THE PREIMAGE PROPOSAL IS PULLED</t>
  </si>
  <si>
    <t>Initialize Snowbridge on BridgeHub and AssetHub</t>
  </si>
  <si>
    <t>Proposal for JAM Ratification, Conformance, Performance by Polkadot Fellows</t>
  </si>
  <si>
    <t>Chainalysis analytics solutions on Polkadot Relay Network</t>
  </si>
  <si>
    <t>Proposal for Klaster Integration into the Polkadot Ecosystem</t>
  </si>
  <si>
    <t>Enable async backing on polkadot</t>
  </si>
  <si>
    <t>Curators Candidates - Bounty #40</t>
  </si>
  <si>
    <t>vote NAY</t>
  </si>
  <si>
    <t>Proposal for unlocking $PINK from Phala soverign account to sibling account</t>
  </si>
  <si>
    <t>Polkadot Bridge Hub 1.2.2 upgrade: Unstuck bridge with Kusama</t>
  </si>
  <si>
    <t>Please vote NAY</t>
  </si>
  <si>
    <t>（Wrong commit! Please vote NAY）</t>
  </si>
  <si>
    <t>error - vote NAY</t>
  </si>
  <si>
    <t>Restrict delegations on root and treasurer tracks</t>
  </si>
  <si>
    <t>WishForChange</t>
  </si>
  <si>
    <t>Approve the Polkadot EVM Collective</t>
  </si>
  <si>
    <t>Reducing duration of spending periods</t>
  </si>
  <si>
    <t>Reducing inflation - VOTE NAY</t>
  </si>
  <si>
    <t>Wrong preimage - Please vote NAY</t>
  </si>
  <si>
    <t>Test the brand-new spend() extrinsic</t>
  </si>
  <si>
    <t>NFT in Polkadot, the first book on NFTs in the Polkadot ecosystem.</t>
  </si>
  <si>
    <t>Implement Optimistic Project Funding</t>
  </si>
  <si>
    <t>VOTE NO - DUPLICATE</t>
  </si>
  <si>
    <t>Incentivize Interlay iBTC capacity as Polkadot common good</t>
  </si>
  <si>
    <t>Proposal Outdated - Do Not Vote: LAOS already won Auction 68 with SF Bid</t>
  </si>
  <si>
    <t>Establishing an Insurance Bounty to increase fiscal efficiency of Polkadot treasury</t>
  </si>
  <si>
    <t>Open HRMP channels between AssetHub and SORA</t>
  </si>
  <si>
    <t xml:space="preserve">REJECT </t>
  </si>
  <si>
    <t>Please vote NAY - Wrong preimage</t>
  </si>
  <si>
    <t>#727 Semi-Retroactive Proposal for the translation of the Polkadot Wiki to Hungarian</t>
  </si>
  <si>
    <t>Marketing support to help raise a new  US$100 Million Polkadot Ecosystem Fund</t>
  </si>
  <si>
    <t>Please, VOTE NAY</t>
  </si>
  <si>
    <t>PREMATURE UN-NOTE OF PREIMAGE - BERLIN TAXI - REFILL #1 - WILL NOT EXECUTE</t>
  </si>
  <si>
    <t>Kampela hardware cold signer productizing proposal</t>
  </si>
  <si>
    <t>Changing the curves of the referendums that were affected by extended confirmation periods</t>
  </si>
  <si>
    <t>Move Part of Treasury to Asset Hub</t>
  </si>
  <si>
    <t>Express Lane</t>
  </si>
  <si>
    <t>Empower Polkadot Playground - Educate With Game For Highschool and University</t>
  </si>
  <si>
    <t>MobilePolka: Unveiling Polkadot's Depths on the Go</t>
  </si>
  <si>
    <t>VOTE NAY</t>
  </si>
  <si>
    <t>Polkadot 2.0 Definition</t>
  </si>
  <si>
    <t>Bringing Stellar Liquidity to Polkadot: Loan DOT Collateral for Pendulum’s Spacewalk Bridge Vaults</t>
  </si>
  <si>
    <t>Propose Curator for IBP</t>
  </si>
  <si>
    <t>Should we abolish DV?</t>
  </si>
  <si>
    <t>PRE-IMAGE ERROR - VOTE NAY</t>
  </si>
  <si>
    <t>Pilot MOU Proposal for a Collaboration between the Polkadot Ecosystem and the Founder Institute:</t>
  </si>
  <si>
    <t>Replacing curators for events bounty 17</t>
  </si>
  <si>
    <t>Replacing curators for event bounty 17 (backup)</t>
  </si>
  <si>
    <t>Make DED the official meme coin of Polkadot</t>
  </si>
  <si>
    <t>dotafair: Fair Launch Chain,  A zero-threshold Fair Launch platform aims to build a DOT-based public benefit chain ecosystem, adding more use cases and adoption for DOT.</t>
  </si>
  <si>
    <t>Pease VOTE NAY, parameter is wrong</t>
  </si>
  <si>
    <t>Kinera, a Decentralised Media Platform [CANCELLED]</t>
  </si>
  <si>
    <t xml:space="preserve">Events Bounty Top Up Proposal </t>
  </si>
  <si>
    <t>Events</t>
  </si>
  <si>
    <t>Proposal for the Development of SubstrateSQL Server</t>
  </si>
  <si>
    <t>Ignore - superceded by 781</t>
  </si>
  <si>
    <t>DOT Experts Tip for OnlyDeFiGuy for Proposal #684 Chainalysis analytics solutions in DOT</t>
  </si>
  <si>
    <t>DOT Experts Tip for OnlyDeFiGuy for Proposal #684 Chainalysis analytics solutions in USD</t>
  </si>
  <si>
    <t>VOTE NAY, WRONG PRE-IMAGE</t>
  </si>
  <si>
    <t>Chainalysis analytics solutions on Polkadot Network</t>
  </si>
  <si>
    <t>Cancel Chainanalysis ref</t>
  </si>
  <si>
    <t>Cancel root ref #693</t>
  </si>
  <si>
    <t>Proposal for DED Bounties: Revitalizing Community Engagement</t>
  </si>
  <si>
    <t>Polkadot Relayers Incubator 2024</t>
  </si>
  <si>
    <t>failed to execute</t>
  </si>
  <si>
    <t>[Whitelisted Caller] Upgrade Polkadot v1.2.4</t>
  </si>
  <si>
    <t>Beamex PERPadot: DOT LP Depth Loan, a significant DOT liquidity depth on Beamex Perpetual Exchange</t>
  </si>
  <si>
    <t xml:space="preserve">Beamex PERPadot: Liquidity Incentives  program to attract liquidity and onboard new users to the Polkadot ecosystem via Perpetual Trading </t>
  </si>
  <si>
    <t>Polkadot Dapps over Apps (REVISED)</t>
  </si>
  <si>
    <t>Inclusion of Moonbeam in marketing narratives</t>
  </si>
  <si>
    <t>Curators Candidates - Bounty #49</t>
  </si>
  <si>
    <t>Ecosystem Test Environment Bounty</t>
  </si>
  <si>
    <t>Polkadot Education Program for Top Ethiopian Universities.</t>
  </si>
  <si>
    <t>Automated Reward Payout Initiative</t>
  </si>
  <si>
    <t>Pre-Image error vote NAY</t>
  </si>
  <si>
    <t>12 Months of Polkadot Advertising on Spotify x 2 Ad Campaigns</t>
  </si>
  <si>
    <t>Pre-Image error, vote NAY</t>
  </si>
  <si>
    <t>error vote no</t>
  </si>
  <si>
    <t>#814 Proposal: Promotion to "VII Dan: Free Master" for Gavin Wood - Evidence below</t>
  </si>
  <si>
    <t>*UPDATED* Polkadot Drone Show + NFT Drop Over VELD Music Fest (100K+ Attendance) - Brand Awareness + PR Campaign</t>
  </si>
  <si>
    <t>Proposal: Adding More Auctions For LP18 On Polkadot</t>
  </si>
  <si>
    <t>Referendum #819 for the Polkadot UX Bounty</t>
  </si>
  <si>
    <t>Title Sponsorship at the Crypto AI Summer Conference</t>
  </si>
  <si>
    <t>Referendum #822 - Refill for marketing bounty number #33</t>
  </si>
  <si>
    <t>Vote Nay. Is a toturial about How to Request Stable asset USDT, USDC</t>
  </si>
  <si>
    <t>AssetX the new Polkadot Asset Hub DEX</t>
  </si>
  <si>
    <t xml:space="preserve"> Cancelling treasury proposal #774</t>
  </si>
  <si>
    <t>Revolutionizing Social Media for a Better Internet</t>
  </si>
  <si>
    <t>PLEASE VOTE NAY</t>
  </si>
  <si>
    <t>Funding the Technical Fellowship Sub-Treasury</t>
  </si>
  <si>
    <t>Inclusion of DED in marketing narratives</t>
  </si>
  <si>
    <t>Please vote Nay</t>
  </si>
  <si>
    <t>Vote NAY</t>
  </si>
  <si>
    <t>Upgrade Polkadot v1.2.5</t>
  </si>
  <si>
    <t>VOTE NAY - ERROR PREIMAGE</t>
  </si>
  <si>
    <t>.</t>
  </si>
  <si>
    <t>Fixed Maximum Supply for Fiscal Certainty</t>
  </si>
  <si>
    <t>lol - NAY</t>
  </si>
  <si>
    <t>please vote no, wrong preimage</t>
  </si>
  <si>
    <t>Inclusion of Hydration in marketing narratives</t>
  </si>
  <si>
    <t>Reduce minBalance of USDT/C to 0.01</t>
  </si>
  <si>
    <t>Polkadot Head Ambassador Application: six / David Pethes</t>
  </si>
  <si>
    <t>Polkadot Head Ambassador Application: Leemo</t>
  </si>
  <si>
    <t>Polkadot Head Ambassador Application: Ezio Rojas</t>
  </si>
  <si>
    <t>Head Ambassador Application: Max Rebol</t>
  </si>
  <si>
    <t>Inclusion of Novasama Technologies' Products in Marketing Narratives</t>
  </si>
  <si>
    <t>Polkadot Head Ambassador Application: Albert(I Love Cripto)</t>
  </si>
  <si>
    <t>Polkadot Head Ambassador Application: Irina Karagyaur</t>
  </si>
  <si>
    <t xml:space="preserve">(EDIT) VOTE NAY </t>
  </si>
  <si>
    <t>Preimage removed - referendum revoked</t>
  </si>
  <si>
    <t>Incognitee: Productive Privacy Sidechains for DOT, KSM and all Substrate- Based Chains</t>
  </si>
  <si>
    <t>Polkadot Head Ambassador Application: Alice und Bob</t>
  </si>
  <si>
    <t>Polkadot Head Ambassador Application: Michiko Watanabe</t>
  </si>
  <si>
    <t>[Whitelisted Caller] Upgrade Polkadot: v1.2.6</t>
  </si>
  <si>
    <t>Polkadot Head Ambassador Application: William</t>
  </si>
  <si>
    <t>Polkadot Head Ambassador Application: Abdulbee</t>
  </si>
  <si>
    <t>Top-up of Proposal #87 due to DOT price change</t>
  </si>
  <si>
    <t>#876 Polkadot Head Ambassador Application: Lorena (Blockya)</t>
  </si>
  <si>
    <t>Proposal: Expanding the Polkadot ecosystem with Polkadot for Beginners (book) v2</t>
  </si>
  <si>
    <t>Wrong pre-image, please vote NO</t>
  </si>
  <si>
    <t>Polkadot Head Ambassador Application with focus on AI Growth: Zoé</t>
  </si>
  <si>
    <t>Polkadot Head Ambassador Application: Mario Altenburger</t>
  </si>
  <si>
    <t>Timed Out - Vote Nay</t>
  </si>
  <si>
    <t>Requesting "Top Up" of Ref #601 due to DOT price change</t>
  </si>
  <si>
    <t>Polkadot Head Ambassador Application: Patrizia De Bella</t>
  </si>
  <si>
    <t>Should we allow EVM compatible contracts on Asset Hub?</t>
  </si>
  <si>
    <t>Resubmission of Promotion to "VII Dan: Free Master" for Gavin Wood - Evidence below</t>
  </si>
  <si>
    <t>Enable approval voting protocol improvements</t>
  </si>
  <si>
    <t xml:space="preserve">Polkadot Head Ambassador Application: Angelina </t>
  </si>
  <si>
    <t>[Whitelisted Caller] Make WETH asset sufficient and set asset metadata</t>
  </si>
  <si>
    <t>Please vote Nay - Technical issues with Pure Proxy</t>
  </si>
  <si>
    <t>Inclusion of Dot Code School in Marketing Narratives</t>
  </si>
  <si>
    <t>[Whitelisted Caller] Update Max HRMP Channels</t>
  </si>
  <si>
    <t xml:space="preserve">pre-image pulled </t>
  </si>
  <si>
    <t>Revised Proposal: Polkadot Sponsorship of traditional Family Office Investment Conference Series</t>
  </si>
  <si>
    <t>Head Ambassador Proposal for Polkadot - Georgi #900</t>
  </si>
  <si>
    <t>PLEASE VOTE NAY 😅</t>
  </si>
  <si>
    <t>Polkadot Head Ambassador Application: Mexican Collective</t>
  </si>
  <si>
    <t>Plaza smart contract tooling</t>
  </si>
  <si>
    <t>Please reject.</t>
  </si>
  <si>
    <t>Hope Clary For Head Ambassador Team</t>
  </si>
  <si>
    <t>Establish a rule for "top up"</t>
  </si>
  <si>
    <t>Polkadot Head Ambassador Application:  Rish</t>
  </si>
  <si>
    <t>Polkadot Head Ambassador Application | Cris, Patricia, Tin</t>
  </si>
  <si>
    <t>Full Disclosure for Head Ambassador Sponsorship - Whistle-Blower Series Part 1</t>
  </si>
  <si>
    <t>Referendum 912 posted on the wrong track</t>
  </si>
  <si>
    <t>Referendum for PolkaDotJobs.xyz: A Polkadot Native Job Board Provided as a Public Good</t>
  </si>
  <si>
    <t>Dot Play Bounty</t>
  </si>
  <si>
    <t>Removing curators from Spanish bounty</t>
  </si>
  <si>
    <t>Refill for marketing bounty number #33 - 500k DOT</t>
  </si>
  <si>
    <t>Retracted</t>
  </si>
  <si>
    <t>Removing curators from Games Bounty [38]</t>
  </si>
  <si>
    <t>Polkadot Head Ambassador for Gaming Application - Angie Dalton</t>
  </si>
  <si>
    <t>Polkadot Head Ambassador Application - Jimmy Tudeski</t>
  </si>
  <si>
    <t>Please vote Nay, Preimage removed.</t>
  </si>
  <si>
    <t>Cancel 923</t>
  </si>
  <si>
    <t>Cancel 917</t>
  </si>
  <si>
    <t>Proposing The Polkadot Tooling Collective</t>
  </si>
  <si>
    <t>Polkadot Head Ambassador Application - Mario Schraepen</t>
  </si>
  <si>
    <t>Polkadot Anti-Scam Team refill due to price volatility</t>
  </si>
  <si>
    <t>Close bounty 33</t>
  </si>
  <si>
    <t>Exclude Astar from marketing narratives</t>
  </si>
  <si>
    <t>Please Vote Nay</t>
  </si>
  <si>
    <t>Please vote nay. Sorry about that</t>
  </si>
  <si>
    <t>Polkadot Head Ambassador Application: DJ Hà Trang &amp; SubWallet</t>
  </si>
  <si>
    <t>Removing Moonbeam from marketing narratives</t>
  </si>
  <si>
    <t>Authena x Polkadot: The Future of Scalable Traceability</t>
  </si>
  <si>
    <t>Kylix Finance - The Lending Parachain | Funding Proposal</t>
  </si>
  <si>
    <t>Please vote nay</t>
  </si>
  <si>
    <t>Polkadot Head Ambassador Application: Bekka</t>
  </si>
  <si>
    <t>Infinity Wallet - Milestone 2</t>
  </si>
  <si>
    <t>Funding for 3 month Polkadot Brand Campaign</t>
  </si>
  <si>
    <t>Educational Content in Spanish by long time active members at the Ecosystem</t>
  </si>
  <si>
    <t>I would like to help Polkadot Marketing on X and Binance platform</t>
  </si>
  <si>
    <t>Direction of marketing strategy</t>
  </si>
  <si>
    <t xml:space="preserve"> Polkadot Global Football Foundation </t>
  </si>
  <si>
    <t>please vote Nay</t>
  </si>
  <si>
    <t>Polkadot Head Ambassador Proposal - Lucy Coulden</t>
  </si>
  <si>
    <t>please vote Nay. Thanks a lot!</t>
  </si>
  <si>
    <t>Plaza name</t>
  </si>
  <si>
    <t>Plaza and Defi Bounty</t>
  </si>
  <si>
    <t>Polkadot Head Ambassador : DonDiegoSanchez</t>
  </si>
  <si>
    <t>[Whitelisted Caller] Register Polkadot People Chain</t>
  </si>
  <si>
    <t>[Whitelisted Caller] Update HRMP Channel Limits</t>
  </si>
  <si>
    <t>Nielsen reports</t>
  </si>
  <si>
    <t>Retroactive Funding Proposal: Completed Remarker Development and Future Polkadot NFT Standards Implementation Post-Plaza Upgrade</t>
  </si>
  <si>
    <t>[Wish For Change] Pledging to allocate 1% of Treasury Spending to Social Good Projects.</t>
  </si>
  <si>
    <t xml:space="preserve">please vote nay </t>
  </si>
  <si>
    <t>Please vote nay, thank you!</t>
  </si>
  <si>
    <t>Proposal to the Polkadot Community - Dustin Plantholt for Head Ambassador</t>
  </si>
  <si>
    <t>TEST Bounty Please Vote For NAY !</t>
  </si>
  <si>
    <t>People Chain Migration and Release</t>
  </si>
  <si>
    <t>Polkadot Head Ambassador Application with focus on China Market - Siyu Liu</t>
  </si>
  <si>
    <t xml:space="preserve">VOTE NAY - ERROR </t>
  </si>
  <si>
    <t>Dotswap.org: Asset Hub DEX UI v1+v2 2024 Development+Hosting by MVP Workshop+Colorful Notion</t>
  </si>
  <si>
    <t>Live Music on Polkadot: Billfold + Radiate Onboarding</t>
  </si>
  <si>
    <t>Restricting games bounty (38) from investing in games related to mythical</t>
  </si>
  <si>
    <t>Polkadot Head Ambassador - Alice und Bob</t>
  </si>
  <si>
    <t xml:space="preserve">Proposal: Freelancing Platform Development </t>
  </si>
  <si>
    <t>Polkadot Head Ambassador Application: Luca Poggi</t>
  </si>
  <si>
    <t>Fellowship: Retain Wei at Rank III</t>
  </si>
  <si>
    <t>Edit: Thanks</t>
  </si>
  <si>
    <t>Incognitee: Privacy Sidechains (Soft Loan Q3'24)</t>
  </si>
  <si>
    <t>Dissolve the "Polkadot Alliance" collective due to inactivity</t>
  </si>
  <si>
    <t>A Wish for Continuity: Celebrating Polkadot's Core Values</t>
  </si>
  <si>
    <t>[Whitelisted Caller] Upgrade BridgeHub: v1.2.8</t>
  </si>
  <si>
    <t>test proposal</t>
  </si>
  <si>
    <t>Proposal for Top-Up for Funding of Polkadot System Parachain Collators</t>
  </si>
  <si>
    <t>[Whitelisted Caller] Enable Elastic Scaling MVP node feature</t>
  </si>
  <si>
    <t>Please vote NAY - Resubmitted as #1014</t>
  </si>
  <si>
    <t>Propuesta de polkadot cafe/coworking</t>
  </si>
  <si>
    <t>-</t>
  </si>
  <si>
    <t>(Temp Check) Milestone_2 Funding Request for Motif: vote NAY</t>
  </si>
  <si>
    <t>Requesting 1M DED tip</t>
  </si>
  <si>
    <t>Further decentralize collators set on Polkadot System Parachains - Resubmission of #1008</t>
  </si>
  <si>
    <t xml:space="preserve">Vote Nay for this Proposal </t>
  </si>
  <si>
    <t>Head Ambassador Proposal: Dustin Lee</t>
  </si>
  <si>
    <t>Vote nay on this</t>
  </si>
  <si>
    <t>Polkadot Head Ambassador – Hope Clary for Product</t>
  </si>
  <si>
    <t>Recognition for the sponsorship and diffusion work of the ecosystem in the last month.</t>
  </si>
  <si>
    <t>AI-Powered Interactive Assistance for Efficient Research Paper Reading</t>
  </si>
  <si>
    <t>JAM0 @ sub0/Devcon 7 @ Bangkok - November 9-16, 2024</t>
  </si>
  <si>
    <t>[Treasurer] Fix and Add Asset Rates</t>
  </si>
  <si>
    <t>Vote NAY - Wrong track</t>
  </si>
  <si>
    <t>Inclusion of Bifrost Products &amp; Solutions in Marketing Narratives</t>
  </si>
  <si>
    <t>Investment Conference Series for Polkadot, with Revenue-share Model for Treasury</t>
  </si>
  <si>
    <t>AllInCrypto's Strategic Content and Community Engagement Proposal for Continued Partnership</t>
  </si>
  <si>
    <t>Proposing Curators for the UX Bounty</t>
  </si>
  <si>
    <t>Close Bounty 46 – AMI Bounty Program</t>
  </si>
  <si>
    <t>Less noise, more Polkadot</t>
  </si>
  <si>
    <t>Polkadot for 100,000+ Students</t>
  </si>
  <si>
    <t>To acquire Partyfy trademark</t>
  </si>
  <si>
    <t>Polkadot Growth Initiative (PGI)</t>
  </si>
  <si>
    <t>Enhancing Coretime DevTools for Seamless Parachain Builder Experience</t>
  </si>
  <si>
    <t>Remove Michiko Watanabe from the Polkadot Ambassador Program</t>
  </si>
  <si>
    <t>forceSetBalance treasury to 0</t>
  </si>
  <si>
    <t>Dazhbog: A Decentralized Perpetual Futures Exchange</t>
  </si>
  <si>
    <t>Request for Tip the experiment with beer bar at the Polkadot Decoded 2024</t>
  </si>
  <si>
    <t xml:space="preserve">[Small Tipper] Referendum #1047 </t>
  </si>
  <si>
    <t>The Polkadot Halving</t>
  </si>
  <si>
    <t>Ecosystem agent tip for Saimon contributions - Developer, Community and Business</t>
  </si>
  <si>
    <t>Increase recommended core count for validators reference hardware from 4 to 8</t>
  </si>
  <si>
    <t>Tip for HA Lucy Coulden to cover expenses at Coinfest Asia</t>
  </si>
  <si>
    <t>VOTE NAY!</t>
  </si>
  <si>
    <t>Inclusion of Centrifuge in Marketing Narratives</t>
  </si>
  <si>
    <t>Milestone 2 Funding Request for Motif: Polkadot Proactive Staking Assistance</t>
  </si>
  <si>
    <t>Improved Proposal from Chainalysis to Polkadot</t>
  </si>
  <si>
    <t>Deciding</t>
  </si>
  <si>
    <t>Remove myself from the Fellowship collective</t>
  </si>
  <si>
    <t>Solidity smart contract tooling - research for AssetHub/Plaza</t>
  </si>
  <si>
    <t>Changes to PAL Security Bounty</t>
  </si>
  <si>
    <t>[Polkadot Community Foundation] Polkadot at Slush 2024</t>
  </si>
  <si>
    <t>Open Source Developer Grants Bounty Program</t>
  </si>
  <si>
    <t>Rust, ink! technical content for  developers</t>
  </si>
  <si>
    <t>[Medium Spender] Open-source KYT on Dot #1083</t>
  </si>
  <si>
    <t>Retroactive tip by 6 months at Polkadot Peru and international activities</t>
  </si>
  <si>
    <t>The Modern Market Show Headline Sponsorship - 6 Months</t>
  </si>
  <si>
    <t>Polkadot Advertising Campaign on Brave Browser - Top-Up Request - PLEASE SEE COMMENT 9/5/24</t>
  </si>
  <si>
    <t>Resubmission of ref#975 Retroactive Funding Proposal: Completed Remarker Development and Future Development</t>
  </si>
  <si>
    <t>B2B Marketing &amp; Sales Enablement For The Polkadot Ecosystem</t>
  </si>
  <si>
    <t>POLKADOT CHARITY FOUNDATION - Establishment &amp; Inaugural Initiative Launch</t>
  </si>
  <si>
    <t>Bye 😉</t>
  </si>
  <si>
    <t>From Pitch to Market: Enhancing Founder Success with PolkaBiz</t>
  </si>
  <si>
    <t>IN IT FOR THE TECH{NO} - Polkadot Opening Party @Token2049, SIngapore</t>
  </si>
  <si>
    <t>DOTUI: Polkadot UI/UX Design System Draft</t>
  </si>
  <si>
    <t>Bounty Cleanup</t>
  </si>
  <si>
    <t>Polkadot participation in Hack Seasons during Token2049</t>
  </si>
  <si>
    <t>Convert Part of DOT Assets to Stablecoins</t>
  </si>
  <si>
    <t>Polkadot At The Australian Crypto Convention</t>
  </si>
  <si>
    <t>CoinGecko - Polkadot Campaign</t>
  </si>
  <si>
    <t>[Whitelisted Caller] Register the Polkadot Coretime Chain</t>
  </si>
  <si>
    <t>Wrong Call Data Please Vote NAY</t>
  </si>
  <si>
    <t>Polkadot AI Navigator: Enhancing User Experience with an Intelligent Ecosystem Assistant Proposal</t>
  </si>
  <si>
    <t>Connecting the DOTS: Training the Next Generation of Blockchain Security Experts</t>
  </si>
  <si>
    <t>2025 Polkadot Motorsports Program w/ Global Ambassador - Conor Daly</t>
  </si>
  <si>
    <t>Support for Investigative Work and Communication Initiatives in Polkadot</t>
  </si>
  <si>
    <t>FiDi | Polkadot’s Code-Free Intelligence</t>
  </si>
  <si>
    <t>Polkadot Virtual Machine (PVM) Formal Specification Development</t>
  </si>
  <si>
    <t>Coretime Notifications</t>
  </si>
  <si>
    <t>Alternative Proposal on Blockchain AML/CTF Compliance from GlobalLedger.</t>
  </si>
  <si>
    <t>*UPDATED* Proposal for the Polkadot Community to Earn RWA Yield on Idle Stablecoins via Centrifuge</t>
  </si>
  <si>
    <t>ink! Alliance for a more successful Plaza</t>
  </si>
  <si>
    <t>Snowbridge: Update Bridge Pricing Parameters to Lower Transfer Fees</t>
  </si>
  <si>
    <t>Retroactive Tip to AwesomeDot Team for high quality technical podcasts</t>
  </si>
  <si>
    <t>[Whitelisted Caller] Increase validator set size to 400</t>
  </si>
  <si>
    <t>Polkadot India IIT Roorkee Workshops and Hackathon (1/5)</t>
  </si>
  <si>
    <t>Polkadot's Economics Parameters: Proposal 1 (10% constant total inflation)</t>
  </si>
  <si>
    <t>Polkadot's Economics Parameters: Proposal 2 (8% constant total inflation)</t>
  </si>
  <si>
    <t>Polkadot's Economics Parameters: Proposal 3 (8% total inflation in the first year, then gradually decreasing)</t>
  </si>
  <si>
    <t>Staking Rewards Partnership - Stake App &amp; Terminal Integration</t>
  </si>
  <si>
    <t>Duplicate - vote NAY</t>
  </si>
  <si>
    <t>[Whitelisted Caller] Upgrade Polkadot to v1.3.x (transition to Agile Coretime)</t>
  </si>
  <si>
    <t>Fellowship: Retain bkchr at rank 6</t>
  </si>
  <si>
    <t>Test</t>
  </si>
  <si>
    <t>Polkadot ecosystem ‘open for all’ organic PR &amp; media campaign</t>
  </si>
  <si>
    <t>G6 Milestone 2: Enterprise SDK for Managed Blockchains and Polkadot Citizens Integration</t>
  </si>
  <si>
    <t>Open source Substrate Indexer in Rust with a decentralized Blockchain Explorer, by Mosaic Chain</t>
  </si>
  <si>
    <t>Implementing a Polkadot-native system parachain for data storage: Phase 2/3</t>
  </si>
  <si>
    <t>[Root] Please reject/ignore</t>
  </si>
  <si>
    <t>Please reject/ignore.</t>
  </si>
  <si>
    <t>Polkadot's Economics Parameters: Proposal 4 (5% constant total inflation)</t>
  </si>
  <si>
    <t>UNNOTE THE PREIMAGE- PLEASE DON'T VOTE</t>
  </si>
  <si>
    <t>Retroactive Tip for polkadot &amp; kusama OpenGov Voting Observer Twitter(X) Bot</t>
  </si>
  <si>
    <t>Compensation tip for coverage of activities</t>
  </si>
  <si>
    <t>[Wish For Change] Referendum #1157 - Make polkadot.com code, open source</t>
  </si>
  <si>
    <t>Argus Explorer : Open-source, PVM-focused blockchain explorer designed to address critical needs within the Polkadot ecosystem.</t>
  </si>
  <si>
    <t>Support for Investigative Work and Communication Initiatives in Polkadot - Revisited</t>
  </si>
  <si>
    <t>Close Bounty 19 – Wasm Smart Contracts Bounty</t>
  </si>
  <si>
    <t>[Whitelisted Caller] Configure the Coretime Chain and start sales</t>
  </si>
  <si>
    <t>Please Vote on #1177 (Deprecated -&gt; .DOT Authority Registration for the Polkadot App)</t>
  </si>
  <si>
    <t>[Retroactive $DED token] Social Media marketing for dotisded</t>
  </si>
  <si>
    <t xml:space="preserve">ChessOnchain on Polkadot </t>
  </si>
  <si>
    <t>Development of @noble/curves/sr25519 package by Paul Miller and audit sponsorship (1/2)</t>
  </si>
  <si>
    <t>Marketing Bounty 2.0</t>
  </si>
  <si>
    <t>Showcasing Polkadot’s Capabilities: The Spammening</t>
  </si>
  <si>
    <t xml:space="preserve">Educational content maintenance proposal by Cryptonitas. </t>
  </si>
  <si>
    <t>[Whitelisted Caller] Fix incorrect price for first coretime sale</t>
  </si>
  <si>
    <t>Polkadot Community Foundation &lt;&gt; Ledger - Giveaway to Increase 𝕏 Followers</t>
  </si>
  <si>
    <t>VDS Academy Channel - 6 months funding</t>
  </si>
  <si>
    <t>Sub0 Thailand 2024 Sponsorship for active devs and community members</t>
  </si>
  <si>
    <t>.DOT Authority Registration for the Polkadot App</t>
  </si>
  <si>
    <t>SoyPolkadot: Driving Mass Adoption in LATAM through Real Experiences and Rewards</t>
  </si>
  <si>
    <t>Preparing</t>
  </si>
  <si>
    <t>FanSociety - an on-chain fan club protocol for musicians and fans</t>
  </si>
  <si>
    <t>Action Research for OpenGov</t>
  </si>
  <si>
    <t>Anti-phishing browser extension</t>
  </si>
  <si>
    <t>World’s Gymnastics on Polkadot</t>
  </si>
  <si>
    <t>Polkadot User Acquisition tool 👨‍💻⬆️ [$DOT difference adjustment]</t>
  </si>
  <si>
    <t>Bounty Proposal: [Continuation of the Spanish content and event production bounty]</t>
  </si>
  <si>
    <t>Reduce the Set of Head Ambassadors and Start an Effective Ambassador Program</t>
  </si>
  <si>
    <t>Polkadot Korea: 3-Months Marketing and Community Expansion Services by CoinEasy 🍊</t>
  </si>
  <si>
    <t>Canceling referendum 1186</t>
  </si>
  <si>
    <t>Proposal to Demote Don Diego Sanchez as Head Ambassador</t>
  </si>
  <si>
    <t>Inroduce KYC/DID for HA and Bounty Curators</t>
  </si>
  <si>
    <t>Kill Referendum #1189 - Keep Mr Sanchez in the Relay Chain</t>
  </si>
  <si>
    <t>PolkaIdentity's Registrar Application</t>
  </si>
  <si>
    <t>SQD (fka Subsquid) - Public data indexing Infrastructure for Polkadot and Kusama (Q1 2024)</t>
  </si>
  <si>
    <t>Compensation tip for Business Development activity and grow C-Level ecosystem</t>
  </si>
  <si>
    <t>Remove all 20 Head Ambassadors and remove the Ambassador Collective</t>
  </si>
  <si>
    <t>Proposal for Funding the Development of the polkadot-typed-api Library</t>
  </si>
  <si>
    <t xml:space="preserve">Proposal to remove ONLY the 20 current Head Ambassadors </t>
  </si>
  <si>
    <t>Quaterly spend</t>
  </si>
  <si>
    <t>Gov2 All Time Categories &amp; Subcategories</t>
  </si>
  <si>
    <t>COUNTA of Ref</t>
  </si>
  <si>
    <t>Days per month</t>
  </si>
  <si>
    <t>Ref per day</t>
  </si>
  <si>
    <t>2023-06</t>
  </si>
  <si>
    <t>acceptance ratio</t>
  </si>
  <si>
    <t>COUNTA of error - please vote nay</t>
  </si>
  <si>
    <t>Name</t>
  </si>
  <si>
    <t>remaining DOT</t>
  </si>
  <si>
    <t>Open Source Developer Grants Program</t>
  </si>
  <si>
    <t>Polkadot UX Bounty</t>
  </si>
  <si>
    <t>User Experience</t>
  </si>
  <si>
    <t>Polkadot - Kusama Bridge Security Bounty</t>
  </si>
  <si>
    <t>Technical Support Bounty</t>
  </si>
  <si>
    <t>status</t>
  </si>
  <si>
    <t>USD Proposal Time</t>
  </si>
  <si>
    <t>beneficiary</t>
  </si>
  <si>
    <t>proposal_time</t>
  </si>
  <si>
    <t>inherited Category</t>
  </si>
  <si>
    <t>inherited Subcategory</t>
  </si>
  <si>
    <t>half-year</t>
  </si>
  <si>
    <t>hide from income statement</t>
  </si>
  <si>
    <t>NOTE</t>
  </si>
  <si>
    <t>Claimed</t>
  </si>
  <si>
    <t>15iZD84rHAjuvaiKXBj2YAEPRJ8Tt4VS1M79HsYhieTvtJR4</t>
  </si>
  <si>
    <t>14tcZ9ibPGdMwb7XXE4QChgVuJU1xXTvDFpV3E1HpMajbBsH</t>
  </si>
  <si>
    <t>13YWynHAu8F8uKZFbQwvPgJ67xizvo21HCEQU3Ke8z1XHoyT</t>
  </si>
  <si>
    <t>15Y5pEv8Uk1mFPeFS6aSmExsbwCVv4R3T6vnZKm7sZZTmExp</t>
  </si>
  <si>
    <t>15cZn8K1DaE7qiBWK6mGFJMKYKjFrALTVwe5urpD9PzKSsPY</t>
  </si>
  <si>
    <t>14fhQS5myHCh3AQZZoELKpQuy2AfNe5am3PzTDvKi7i172n5</t>
  </si>
  <si>
    <t>1pHpxvp2CYscDreozYQdBkJkUkLFQftxQTAwMs5M1a6GRBf</t>
  </si>
  <si>
    <t>13Sj951PJzxMYMcrdmkkh6TGpnMA4VTwmDqvrBCiY1jEVQ6X</t>
  </si>
  <si>
    <t>146ZZqm2cMHLf3ju7oc8M9JnPaAktuADAKThagKnXqzjPJbZ</t>
  </si>
  <si>
    <t>15DPQskycLALmFjGnsB212D1oxDJC2NscHeC65kaWnK62Pcm</t>
  </si>
  <si>
    <t>15yPxY4HBSp6oS765bKGSDUF8wnsoG5soLhw3EC1gKe5GJWa</t>
  </si>
  <si>
    <t>16NsH1tTBATkX82ZKRjQ6LB7nnePDoAupR3ZxPvDpcp6VWWa</t>
  </si>
  <si>
    <t>1C42oGF3s8ztCsc22MA4LKd8BogMJNdVmCgtTXGfxqwjrSb</t>
  </si>
  <si>
    <t>13L1z3C2TWR1Q6LB4JNrH9zsW59FcjqK2uKXaqVqdy4XmD6f</t>
  </si>
  <si>
    <t>13CeHxBVttt4oeLNxbuhULNWfwnF4ykgPu69ejDKgdVUHg6w</t>
  </si>
  <si>
    <t>13RRFsP5dqAZpm8PmnLXQn8QvsYPyTdEW9FiE3UbkaTEGaem</t>
  </si>
  <si>
    <t>16YTH2eUZNH3ASDvHqyADyGhjcyxGfGXeo5q8z8DgVSn9xvZ</t>
  </si>
  <si>
    <t>15VRHQD9B2bhzjRxadArYu92uWPrE3GmvFb4NjqUNMqfhgUs</t>
  </si>
  <si>
    <t>14zUPG9wpRdfNGLJqU2xcABBxXStd5d4TP8GHz2CFFZSbD4A</t>
  </si>
  <si>
    <t>1EvYZwJ25wgUzMqJ61AadwTtaHr6BVosPcyK4goohUDqmjY</t>
  </si>
  <si>
    <t>157gLBq5hiLsG1LYZzDw5xTWpgKrEK4bBPnfwwJgK7BCtyZa</t>
  </si>
  <si>
    <t>1NffySg1JFijUrJhbYwox4XjD5qdLmUjaD5pQm2BwsLQcP3</t>
  </si>
  <si>
    <t>Canceled</t>
  </si>
  <si>
    <t>Sub0 Side Event - Closing Party - 28 November 2022 - Matheus Braga de Moraes and ecosystem teams</t>
  </si>
  <si>
    <t>16AnoF5NQY3xZ6ovcsTWBhQDxWKB7AcExbj9u3a1juGtmTJ3</t>
  </si>
  <si>
    <t>13kyP9tRzQkShbY2cNUuwrpAfDTCksyHsGzkZ646WiX54xwJ</t>
  </si>
  <si>
    <t>13C9eaMNJPpEqEKRsEJ9P4DKxkb7XWQzeugEfdJkGdVFQPYh</t>
  </si>
  <si>
    <t>Polkadot meetup in Madrid - July 28, 2022 - Guillitolmo</t>
  </si>
  <si>
    <t>1C5wY8SubUnURiDQUbQ5U4V9sL3hzjwiLiveGp1X4idptRq</t>
  </si>
  <si>
    <t>14hBwSVmH7MKfbcGDW6D79zPaFKfRUAn6sAuz9UY8ZDCm4rt</t>
  </si>
  <si>
    <t>14wSnALBUv51KjbnFhb4wBMLcqzh5kAsAM9XXFvLZQAE6NPG</t>
  </si>
  <si>
    <t>13iWJcXHfxLuX1dum8N9LPJY5Uhr5aVEE491hofUVtkgHDaB</t>
  </si>
  <si>
    <t>12EaHwLhfcYrU4vHtiKpp4VgVHtBEMQa1yzUpe1BJi4VD3Kp</t>
  </si>
  <si>
    <t>13p7Fnvg9aYFpumyBF7GRhA1HH1oMZArAc3XX7dQCpX5qMTW</t>
  </si>
  <si>
    <t>11Ft2vZgZGuLyn9pZGSVDzYFkYQq2E23ywzRcJ6t2EdzkMA</t>
  </si>
  <si>
    <t>1ndvErzA6F2gHFXwEqjcPd7qtGnsZDiStpSj4A8LytDJRhf</t>
  </si>
  <si>
    <t>151fSxLtpjaBRLGoo1DQB8n8ERLNR6ZduBnmjyzpypegJQp9</t>
  </si>
  <si>
    <t>1c733KazWsgMkCNSft7DPKYFv3zhs9PTbXksXxND46R9TS6</t>
  </si>
  <si>
    <t>1A3CAKernZo3hGaQYNmfuhK1wLG51VPhV95VH7NrHPVAk8M</t>
  </si>
  <si>
    <t>14PAhG3VayzwH7B38mWP7GqjaMVjzPqGUKA23Xk5hLMuRWeK</t>
  </si>
  <si>
    <t>14EFjQ2iut5WMgYDXNo9pSbMVEczwMuta1SddJ6KhTvGHU7F</t>
  </si>
  <si>
    <t>14j7N612MVBzLDw5rctvExdkF6P73uCoSdkFzdLDFJUYeb9n</t>
  </si>
  <si>
    <t>14H1xWm7LFz8u9FJ2roq9DDymUMyARz5gY736i5TMaSwvKC3</t>
  </si>
  <si>
    <t>15kFaHsh7qgnzBzAgyjDrxB9fhySEXGCRNDG4UK4gAZTD2TN</t>
  </si>
  <si>
    <t>12F6yq8qJAULFKvrkVFTXnXfMhtHK7vf73ZKzugNqec7pTx9</t>
  </si>
  <si>
    <t>15G4hfDNtNhRc82As8Ep2YfvpM5xVdX7De3P9qSdHerGA6wC</t>
  </si>
  <si>
    <t>16HqymHVxdLtK8jtbur7DusQrfLAVEJZfsQijfxVwhQHiTgU</t>
  </si>
  <si>
    <t>13gkjA3996REhFthyyPu596nzDdSbb1RXEEFwWaY2yLYL2Uk</t>
  </si>
  <si>
    <t>15wbv2fXuFoeRcrWK4Q1Y5oM9LfsJyGmMXaUWDoAWXpZzWSp</t>
  </si>
  <si>
    <t>15EAQHGMubtYTvXtQJtM8sVznqTjNHPoms1RYq8g6C5oHBoe</t>
  </si>
  <si>
    <t>12auQ2MnukZEZcjQcKQcygRXerebcUuG5kvy2R95rYaUCcuR</t>
  </si>
  <si>
    <t>1HPKZzzd9nyr2DdvtPxytNMZm3Ld5nh3BBY4Ecgg9JxgL7G</t>
  </si>
  <si>
    <t>12dR4JYh1iPkaJXLSTbqz9iUpm6diRces6wJ6SAjkhmnwixN</t>
  </si>
  <si>
    <t>12nVpyJNX4UyVAx9wYPVA7FaB2MDJnEPSXuNknJyoWvQXD3B</t>
  </si>
  <si>
    <t>13EoVLNYDR7YCEkzX1rGEGEutE1mpCuu7UDmca4BfjRmGCit</t>
  </si>
  <si>
    <t>14gkEwCgG9AbaNPMLBgAh4V9YEdy8LbtS76ER2GVATF3qSr6</t>
  </si>
  <si>
    <t>15KRgf9qoRWodsws7REF1WXpsaJDys1igLf7rEaHWndTDasF</t>
  </si>
  <si>
    <t>13m5rH4tYcuEj6SM2AmDVmgZo4PFQNmm8qohaSAr73jrqWuU</t>
  </si>
  <si>
    <t>14rQsJw6kiCEELTTeJ3yTaHWSFRhivuikAb82qKXJ7igeB6v</t>
  </si>
  <si>
    <t>163DJtcT4jwNgaMuUkBev8u9FLTP9YGZ4Ari6iBYGXs2RviA</t>
  </si>
  <si>
    <t>15ttNeS1nfEUKKw71UADWxKFBPuzuusDyL633iTySG1SHBub</t>
  </si>
  <si>
    <t>12GXLTbzNvXP51scYwZWi1KDdAygsS8TS8Mm8zGdvgV1RpEN</t>
  </si>
  <si>
    <t>16FTioT9KiA7hEzDWz8eePdWhLLDEeJZyqXykiHSusNfY8kx</t>
  </si>
  <si>
    <t>15uvBEdyLUCH4ZEjaQCcWv2afVxLRsdpRaSgMGvdHaDTiPWn</t>
  </si>
  <si>
    <t>15D2JM548bqRuE45aDmeF2WqiKC56WtNnRmCxVSree9YKwVb</t>
  </si>
  <si>
    <t>1BqHUUwZ6kuRhFZTdbhPwSmwxVnGdCVJTsUf1FU2DXWtEwc</t>
  </si>
  <si>
    <t>16akMyoCUJdMiLfSLAendRrm4XFcdG3h4bjvDCWgeSMwD6gT</t>
  </si>
  <si>
    <t>1ZP6xigiPXU7hHoj3ywHF1jQ4cAv4Jpw4Q4wy7aBHem6erj</t>
  </si>
  <si>
    <t>1g7gWHPydxLk71dwAzWF82dPCjrpJRbiTBYcJiNxTY8hZFi</t>
  </si>
  <si>
    <t>1EKRJey3fBmXVZS5CpLkRrEN9HxxYrXKrm7rYTxuTDKKZTz</t>
  </si>
  <si>
    <t>1HrXYRi3stRzgPYNGaGMSxngbNAcPr4MLSVQY9PLCBVwvnw</t>
  </si>
  <si>
    <t>165n5jnbbkjZNyWaGMDaPzFARr3R89wb7eNtaG9erz2HUyey</t>
  </si>
  <si>
    <t>14V4wQA94N6fddsvCxRFLmvgd9ioueJpxgVogyV8FCfCnPsu</t>
  </si>
  <si>
    <t>15Sn8yJMmGEBMwZYLyr9bV49CPg3apGLNpCT1EdbtYgrnKhr</t>
  </si>
  <si>
    <t>15reUHgnkE9QeH9zUoduCVYAbksTmQXvpMd6L95rBhTNFuGw</t>
  </si>
  <si>
    <t>1LXianUEPnzmJiL9Kb4hg56zKyJztqbwh5x8QdUknYuLbQN</t>
  </si>
  <si>
    <t>13B5YyS8u93FKbZYRFGh1BFwYjn5a8zhAJqEXtAWNmY7HzEu</t>
  </si>
  <si>
    <t>1VhpWfsZ9zamjxnJQWJ6SVZRrhzAbyp11udmB9VM1ZVtPzt</t>
  </si>
  <si>
    <t>12okq3NN2F9SfwrY6MGApoUDQnJY9dijkyXPtLzzbdNcV5du</t>
  </si>
  <si>
    <t>14mZzbymFLQputQuxw2ern4BRKQ2igwMjbtrUz6m5BbVRBrc</t>
  </si>
  <si>
    <t>12QHu3wumQWxYWXvZJyYuvLSR7H9tJs3jmgdQvL4jkRdG2pn</t>
  </si>
  <si>
    <t>12wnTQnY3qUTCofi792fTdf9HpQQ6jmyxrVdwyT6X2Jed4Yg</t>
  </si>
  <si>
    <t>13wmvijsjiRRinbf6g3yp6ZcktsqsjAfQfztGPqy8ipNtAEj</t>
  </si>
  <si>
    <t>149BsxLw1jXeDnbh9WHd7Pezxyfnpwo3oYnJWWUEPQhsJkDm</t>
  </si>
  <si>
    <t>13Ec62Cvw9jmPxA23EidSwASPs9X2Vohqv9RCogCfDvXC4c8</t>
  </si>
  <si>
    <t>1Gta7cam3qzcmZkrzwea7ZDgzty1EgP8cCAwWpayw64GtYN</t>
  </si>
  <si>
    <t>15ibGdxo2BMnfHTafuu9MMS9cGt8WneGeWcpwkrG32Zcn8gV</t>
  </si>
  <si>
    <t>13ug3JKbtky4qcZ2SR7kbCrk9tyZMymHxLhPBGLacPmonmEW</t>
  </si>
  <si>
    <t>12ELL9BzwsGGM948o3cBduLgxuBwpC6eUmgExTGnXqSfikqq</t>
  </si>
  <si>
    <t>14BA8G99RW6xxgu4q3Ks5GVQaA5g4wApn4JPeXbLiEU2Pent</t>
  </si>
  <si>
    <t>12WQMLv8itdKJ83R4y3qNGYCRrsU6bFjyd4ZvcE4tmJoSiPv</t>
  </si>
  <si>
    <t>13wTKVf96CDX36uBedQ6yiksz4GUQuqo2gfKoTX5EqY5yoDZ</t>
  </si>
  <si>
    <t>13mhGhH1XusScBGqv6GDy7okBTA28hErQgzdibiM1cUgzNgM</t>
  </si>
  <si>
    <t>1659xQWWCox1Kvems1aSi7sVbECLmyHT4Q5i39pZHMJb8tVc</t>
  </si>
  <si>
    <t>13R6AmmjuipkFoR75m9w57ngGed2p5vqCZjT1K3kjf5D28mU</t>
  </si>
  <si>
    <t>14m6YPTpa64jusibkvvCov4XsxW2ig7Hy3n23GpN9YVTqhUd</t>
  </si>
  <si>
    <t>14zeBBNT5poHFQwQXFYHoUhgLbsHrpscu2QGRiCNSqH1gf73</t>
  </si>
  <si>
    <t>1t67YMM4myXZ745px9a8PNWhU8FMyYJf5uXGowuwSAnp4x8</t>
  </si>
  <si>
    <t>13us6Meuo1u7hi7jers7Mh5LTfNEiFDA5g6qEUNeCc2FPEpy</t>
  </si>
  <si>
    <t>Decoded 2023 - Makati City, Metro Manila, Philippines</t>
  </si>
  <si>
    <t>1rv96b4irpdH1dZE767TWzjwWxjH3ctSJRiF6juPVbW5udE</t>
  </si>
  <si>
    <t>16G7wZerqxib8YMDn3FKVfSMp1hky159JdhcGqHzy65F6RXE</t>
  </si>
  <si>
    <t>126uimsLf3xV4BdPWFVntD49ANsN4vJvV8o5SCdRXiUwYS9f</t>
  </si>
  <si>
    <t>1gvSXTysfJ5F9tjMtuACQyp1dxbLDoYNr7HEQNE2N4dfUXH</t>
  </si>
  <si>
    <t>1KYJX482SpWZXLwtmspF3HiK3TQjms1jH67i4PqENfzYsoC</t>
  </si>
  <si>
    <t>12mvRSJUwpf6VfWLmgEJjcQgzzh2bCTSvFDwrykmijdzqS5m</t>
  </si>
  <si>
    <t>157CJLc4aa5zV7gij54DJCHGactsWcxbpnbRhY4p82dCW2KQ</t>
  </si>
  <si>
    <t>14Uypo3euFeeVJYnUpExxSLbPrc57NTTKzbYHUA6Y5CmUKmr</t>
  </si>
  <si>
    <t>1eMGwHEaertoHK4GFvY7X4y3qZzEQ13nTdz8G7SAzXnDH2G</t>
  </si>
  <si>
    <t>13pbJnmDtgzcmjWSkpsazznFzsFNbMvKwsktxqgHtyJqXRhu</t>
  </si>
  <si>
    <t>12CHAK3YxJG5pGW6JAGp6Daj8ruRfPwCNbPM7jU8mC2zh2qD</t>
  </si>
  <si>
    <t>123LuJKS65HaBbLSdDS46ByeC7bvQwA1iUhTpmjigQAfUKpK</t>
  </si>
  <si>
    <t>13H9Z6R1GaWnx7nvX1hgFXPCpzFb76kKEJ3jvy741yJkrz8g</t>
  </si>
  <si>
    <t>12Sv81DXeah1B8edXhy7EFgqc68mj9V6zYYoayjGYxSQuebA</t>
  </si>
  <si>
    <t>13hAqNjMMmvEhk3bEeAB2pHePpc4FfiQQviZefm4G9rvKyfT</t>
  </si>
  <si>
    <t>13rR4nr2HvzqQjDMVSmkYverHBxoMKsSr2WriGxwKxG69FcA</t>
  </si>
  <si>
    <t>14swtaH1B1rNc4aNHGnW1NC9r7rox11cvqXD7LGjuiujVM6</t>
  </si>
  <si>
    <t>1st63Adu7W4cB268CvKHfMwq5rJQkzTitBnWsvGrAx83iiT</t>
  </si>
  <si>
    <t>136t5kE5YfC1n64Y9Ta6eLYSHaSzTthgHSevmyAPjmJ65V1L</t>
  </si>
  <si>
    <t>16iEYsszKAiWj8vu5Qor5XC5DY48gkJeytviFGYuy17Uj8xg</t>
  </si>
  <si>
    <t>15jVYrjFWz1aqkJhuzdBGeF1nKcfnVhUUWxyYxiC4tSezMm9</t>
  </si>
  <si>
    <t>13dLY5aynbYDCy1DxQYQGjd4yy5uSeVtA4pLdR7SrcxZyvT1</t>
  </si>
  <si>
    <t>Task 1 Rewards- July 2023- Pastaman</t>
  </si>
  <si>
    <t>Task 1 Rewards- July 2023- FrankyWild</t>
  </si>
  <si>
    <t>Task 1 Rewareds- July 2023- Tim Janssen</t>
  </si>
  <si>
    <t>Task 1 Rewards- July 2023- Cmalize</t>
  </si>
  <si>
    <t>14RuJvWbTGjC17QnyeXULBVdaRQpYgPcqz6EL5PgNX9jM4KU</t>
  </si>
  <si>
    <t>13msbKcRkxBR4uypvpnNhF5uarJ8Vqkr1ffrn9eko25QRgo1</t>
  </si>
  <si>
    <t>14Z3KThT7jK4LtEwq8yshGWkx18BZy5eaW3mmAZKPePH95Xk</t>
  </si>
  <si>
    <t>Task 1 Reward- FrankyWild- August 2023</t>
  </si>
  <si>
    <t>Task 1 Rward - PastaMan-August 2023</t>
  </si>
  <si>
    <t xml:space="preserve">EthRome sponsorship and hackathon - Rome- Pepe Senior Ambassador </t>
  </si>
  <si>
    <t>Sub0 breakfast - Lisbon - Aurora KodaDot</t>
  </si>
  <si>
    <t xml:space="preserve">Cosmoverse sponsorship - Istanbul - Composable finance </t>
  </si>
  <si>
    <t>16Jbt5zru6XdUx1jYRV8AZtGk76ujtUNdd1UVWVVkVvGZ31L</t>
  </si>
  <si>
    <t>1R9CkkELVZMhVjEMnMoxYAwyEo2riFgBWdt5BLk6BB6rN68</t>
  </si>
  <si>
    <t>1569WNv839m4iubJNkcp8wocAhXvdPsmLwms6fKXehTiQrkt</t>
  </si>
  <si>
    <t>13jNQeBeocjcKobMqBL9FpvSkQr2oQswFJrn2sy4tNNe8E5f</t>
  </si>
  <si>
    <t>16JWPEVHTt1Xeyhw6WaYeXSKkWZCxhBDXX4LM3EwaBH4uSR1</t>
  </si>
  <si>
    <t>14oR2K2srg1jTZFxgJ39RttTpWanAmV27qqvxEL5YUeNZv3x</t>
  </si>
  <si>
    <t>14PiQ7uar36zPMgEckA7qWUahYheavRL6NHCbUCkXXRNrFSc</t>
  </si>
  <si>
    <t>166LkcArPr1fxYkWYFYfCnsB3HA8QY5vPTAzkxJCBDDKTMGv</t>
  </si>
  <si>
    <t>13NevqvUKVA8VbQEksjkrT2W7p8wKDyAdZd4CjpsaiPDu1vT</t>
  </si>
  <si>
    <t>14btqGNtzVpfwW9y5xYrcK7uSfgjGZKxcYAG3fJo6ujHUVS</t>
  </si>
  <si>
    <t>14wDEEnVKZDXVXq2arAmkf1QmnTcwN4fzNJRFoM77YvFxa8T</t>
  </si>
  <si>
    <t>1wzZiegQfdppPw7Ag3vhhXbYuw47uJLJ5G6eXcKc6feTS5x</t>
  </si>
  <si>
    <t>15LpomjmegxcrVwT7zDPvScWtx6FVYoTLxEkSzqwr3po9TCc</t>
  </si>
  <si>
    <t>14YXgiAqian6PWkABXGVhKB43tmbqMwscHLdhHi1qQVBeVQM</t>
  </si>
  <si>
    <t>12soSZUb7UbsC8iLrTy6dUVkKCfNvQxMMSRtvZJkfQL1BPRX</t>
  </si>
  <si>
    <t>121Rs6fKm8nguHnvPfG1Cq3ctFuNAVZGRmghwkJwHpKxKjbx</t>
  </si>
  <si>
    <t>14xeAxD7LSJQmNXn2RQcm6WTJiByv6HKn6T8fTjqX1HeCMwR</t>
  </si>
  <si>
    <t>12QzxRyL6ctkHHX8v92f2YUkgy9MGg6SUPCAwk5xUFsXhT1m</t>
  </si>
  <si>
    <t>14ogWEsaFHYk1rDcRMLVApekUd3np4e1ker81tBF6odd39Q9</t>
  </si>
  <si>
    <t>167dwA1UDmWSBRrFd9dXqXjdk1NRhqVjenT2FbHGDyy44GjS</t>
  </si>
  <si>
    <t>12uRdiaA7utebXJBBgDNCPswvTxzTdHLd8hZDUJWL1rwcvzz</t>
  </si>
  <si>
    <t>14z9caBTF58zah1R7HZbUjMc8Lc5H4tz3sJ5JTaxBYkjWxnU</t>
  </si>
  <si>
    <t>12zgSMDwF5xpzcksvEdDzcSFouFNroXGRffgnhogSk1kR7iS</t>
  </si>
  <si>
    <t>1249Qsh72ZcXFjLEDKAp879SfmFpzQMqb1qQKcfkdZgqbt3a</t>
  </si>
  <si>
    <t>16S4PEmaYJkP6M8LHqWc7gSg5YVXNPbiGZbsicrgDkmdyf2w</t>
  </si>
  <si>
    <t>15JNnCt8g2ZmHHs1UMNxx6YUUMf6zvK6DwtN8ds4Lu1NWWER</t>
  </si>
  <si>
    <t>13tGJdtNavQZEovGV2ovNtq5ckfyCLS4RiPVwaVfvXq2Jub3</t>
  </si>
  <si>
    <t>16jLz2P4i3zorb3tTxk2HR6LKMCkRbo11DfVgjckzjHkPeui</t>
  </si>
  <si>
    <t>12QRC12udxzxSyFj9Sqs8tE6fzYtuWEjzuRN93CZk85GaSxr</t>
  </si>
  <si>
    <t>13nvTTfbnrxtHsKNqyXK4aWbwmSa4iGYq3UbrEwirZaG4Tmp</t>
  </si>
  <si>
    <t>133VgJJgp1s9wxLqgCFxYx6T873hZQNchJM9tmbU6NkYaaqW</t>
  </si>
  <si>
    <t>1FgdNoPRwo8oUsGVxWyivf3eyAvCF1NsBecZhbYU1Kb5HGx</t>
  </si>
  <si>
    <t>125hDLmQApLutC9S1VQSnvFxk52iMCgyBfQtvk3hA57kzCPc</t>
  </si>
  <si>
    <t>15nKYvAm8Yu9QVK65JWrhfyabhHkWywg21X9gX4GFJo3v4cT</t>
  </si>
  <si>
    <t>Task 1 - January 2024 - Frankywild</t>
  </si>
  <si>
    <t>Task 1 - January 2024 - Pastaman</t>
  </si>
  <si>
    <t>Task 1 - January 2024 - Tim Janssen</t>
  </si>
  <si>
    <t>12upgS3u7rhcWSFCXuv2GFzvXvW6Qf2YKajZUnMBxz3LPjEi</t>
  </si>
  <si>
    <t>15PvcMShyUasPpKKTpgJckBbcdDNz1k52NWGfahVXP5ZSSh1</t>
  </si>
  <si>
    <t>12itHPhSz9YKzydpCBPSxewfAJYZuReRPTP5qSuD5LPSeA41</t>
  </si>
  <si>
    <t>Task 1 - Jan 2024 - Frankywild</t>
  </si>
  <si>
    <t>Task 1 - Jan 2024 - Pastaman</t>
  </si>
  <si>
    <t>Task 1 - Jan 2024 - Tim Janssen</t>
  </si>
  <si>
    <t>16maYYXg9chsfsBVoiSbSWzmFveamERwShPZv3SB5hVnYTmT</t>
  </si>
  <si>
    <t>1392eetyWwshYo5xQddbZEV1dNuEeaNXEHAdHDUfEokceUMa</t>
  </si>
  <si>
    <t>1ABthvYadBjA3vVKZ5caTPvc8qb8WMSng79mf7kxQnzfAij</t>
  </si>
  <si>
    <t>1sV9qRYJ9oGgJ9L6NfmpF2XBnV2doAVZ2vKdWTfNMZyghWn</t>
  </si>
  <si>
    <t>1316cTZeHz8HtEjaJRHu8sHbp9brtUmy2LiP74KZXgXhifry</t>
  </si>
  <si>
    <t>16WWmr2Xqgy5fna35GsNHXMU7vDBM12gzHCFGibQjSmKpAN</t>
  </si>
  <si>
    <t>16X3CtQVwBvHGJCquvLw1ayG5SWk4qKUHudBDpQVGXBdvqdg</t>
  </si>
  <si>
    <t>15MV2nX6BEoiBz8Ua2xNta19sVBKT7kiw2MEHdu2Jd9a4VaC</t>
  </si>
  <si>
    <t>13xAUHVDyG1v9LLHYtMm7XZFyKNVxoj47oWV431XQ9kjXN38</t>
  </si>
  <si>
    <t>13TUNfEBCi6xw5ZQgxYAwbCsALSuDfqDWMfbHigZNgncuV6v</t>
  </si>
  <si>
    <t>167xwLzY4z3uNBMQSdDJmPnLgPKBY1SRsvQXbyaeHcnwd4um</t>
  </si>
  <si>
    <t>14fbxKv81FF9wxyidiD4jrYokbF428KJBrB5DsgipQp6Yrmm</t>
  </si>
  <si>
    <t>12owmS8Sobqxfx6KK9vk9e67FqnGpZdmxCFCRFptzZdsoujC</t>
  </si>
  <si>
    <t>13Jpq4n3PXXaSAbJTMmFD78mXAzs8PzgUUQd5ve8saw7HQS5</t>
  </si>
  <si>
    <t>14icei1ZMoG9QtKBFDk4y1eMR756q2TREuRAi2BanJ9MJVPL</t>
  </si>
  <si>
    <t>15PUkSRWuefDSLbEYp39MJ1zxShrratU4SXaLZanL8Zkren3</t>
  </si>
  <si>
    <t>16RgupyxyQJU7UDHX1FF5cjaSjceJ4iVK1nzePMzbsx1nxM4</t>
  </si>
  <si>
    <t>15wepZh1jWNqxBjsgErm8HmYiE21n79c5krQJeTsYAjHddeM</t>
  </si>
  <si>
    <t>1gkGXWr2wr1CqYCKqGHRRsBhL9iCmTy7ubwVgeys4m4tJwQ</t>
  </si>
  <si>
    <t>14wQoaBqk718MgNxp3qdpqHnEgmTTmTkcVnYuxMWWvYr3DXb</t>
  </si>
  <si>
    <t>14xSXydBVvuMMaNduDXwWcckt3BziSB8Sa7o34Jt9z2aMGxX</t>
  </si>
  <si>
    <t>1xtra1x2rXfWUxvFqscvUfjuDSx8AdEGhzADsYayZyicWsS</t>
  </si>
  <si>
    <t>13ianMHbMJ3J1A7Ft769X2zXgppQzheRMRUFG7AQ77soJVk1</t>
  </si>
  <si>
    <t>14T3MFxNa4d7pyjRAdKU6tLC8sfde1HBLGNMHKCMFqjWRrrM</t>
  </si>
  <si>
    <t>12Qn3skJCjfbfeU6PCeAA9oV2NFe1xWMoHcEe9LVvFBHA2ei</t>
  </si>
  <si>
    <t>14EQvBy9h8xGbh2R3ustnkfkF514E7wpmHtg27gDaTLM2str</t>
  </si>
  <si>
    <t>112FKz5UNxjXqe3Wowe73a8FHnR5B4R9qi2pbMaXJczGNJsx</t>
  </si>
  <si>
    <t>12bprALAt9PYJ5gqcLpLfevnGH1Lfwnkk5CyZYaWqatGJ37i</t>
  </si>
  <si>
    <t>1emX4nsNHZwbbCej7UMC8gKNpXoy1K3ABwRmnVJLg5Z2PU6</t>
  </si>
  <si>
    <t>19C7X2ayEGaHbRb7obTd7u2crJhYm6W47XpyLC2jQBGdpif</t>
  </si>
  <si>
    <t>15g8f9DZoEjJnneMUREZ1JgGgtmqEmhxAGCJ4JtZNjT8SiZ2</t>
  </si>
  <si>
    <t>15ofDV8nx95Mrfq9rgLfe48GAf8Xcu12WG7cG5HTHFm7AR14</t>
  </si>
  <si>
    <t>15DCme2GJxLz5yBeD3tkz5JFVtRyrBT7pham9aMGGT62yh3c</t>
  </si>
  <si>
    <t>16chRF6zGohwhrCvotxt3sB1sLz3pgewC5th123mLoThhQAo</t>
  </si>
  <si>
    <t>15rox1e8G2SWg6EpyfiGVoH8q63shGXpXSmp7Sz8LYsUTfuN</t>
  </si>
  <si>
    <t>13DxmMjYqto1AWsMUSkN8JYNHX6d2vBhuSmapB5iYnEiYaxX</t>
  </si>
  <si>
    <t>15WPvoetNGCk6EyQbCodKAZFqrs2Q4Dk9d3k3Lk2F9nsiYUK</t>
  </si>
  <si>
    <t>14oK8ctVWT9D1xdaN3hcHz5RBMDFfzQ6vXBpNaZj8v83TnWA</t>
  </si>
  <si>
    <t>14zU4FXuYU2wmi2PfXLADZW92NRYEw8nfUEvi7sqiJLafJ3A</t>
  </si>
  <si>
    <t>158sHoKeq7ZesHMLcp2MkxFQpd7caEW6Rcy1md3AK1fuX8ak</t>
  </si>
  <si>
    <t>123xYo8RqXR6mmCE7pxUh2YG5RnkJi4uj6C3vn4MpDvoyJQT</t>
  </si>
  <si>
    <t>OnChain Brazil - Gabriella Mena Ogusuku - Sao Paolo</t>
  </si>
  <si>
    <t>13u3eUBZyVL1yvFjXXhDizT9wtsyFMPuvgqXXExLJvDnZSP4</t>
  </si>
  <si>
    <t>12kSJsUGe6eMLqnibadLBJProwwNJBhfC3grB4yoGgkzff2U</t>
  </si>
  <si>
    <t>19bsWyxxQs5o2bpAABJD3cRtkRUBqUHZJiyq2zv31jQFRzG</t>
  </si>
  <si>
    <t>13g68Lsiu9PvD3Ro8HrM2rmhUPE38rCf4QhyA1FqiYhiEtgB</t>
  </si>
  <si>
    <t>13B5zGLfXBhRpiQ1xcnsNeqbHHcRRRpBCL41xCJxdYmYoHdW</t>
  </si>
  <si>
    <t>ChainWire Invoice 58689 (Binance EMA 7 days = 10.74 USDT) - In case of any surplus on fund reception's day, the exceeding part must be returned to bounty address, in case of deficit another child bounty request must be issued to cover the difference</t>
  </si>
  <si>
    <t>13jTmeDrv75yy8DVrmTQ5fFs4Dqdo3STF8uRG2DVqAJMgYxe</t>
  </si>
  <si>
    <t>12pUXtKj7jD3yaxnK6TWKBsxS1JpLUceBKZKMPMH6RiZvjr4</t>
  </si>
  <si>
    <t>1t3rUtnBQYeEWjwyivvVgTAdnt3Ndm7rPoMtsXxqbN9zery</t>
  </si>
  <si>
    <t>15tUgqVfVJTMTXGUSGXtV7GwbSDXm73Mga5SnEanbTqELqCi</t>
  </si>
  <si>
    <t>15UQ1nhCRRJoWf1C4LBraqCVXS91qPiWLiWQfnS3k8Dk4R79</t>
  </si>
  <si>
    <t>14x5RbyJxD6KvNyncbJQuJJJ3zHinXg57YKwhJ7q9T9aJq4n</t>
  </si>
  <si>
    <t>1NFfEH3yspdEgLnhZ5QWgb7B2z5LNCAE3HUo5nDxF5MqTcj</t>
  </si>
  <si>
    <t>15AVkixLRA3U7DJbLkmWSzAT4HTbpVeTBqPmsYZThmp2ykBL</t>
  </si>
  <si>
    <t>14jHouxT1VbhBDw93VW8Z89p139Qgu7ECHz3zxM2CpQEDJDB</t>
  </si>
  <si>
    <t>Curator fee - March 2024 - A.J</t>
  </si>
  <si>
    <t>13cLXqkmiEn983QXBoF4Z8KAxyB2ryinm2p43r3qzWrVYwrv</t>
  </si>
  <si>
    <t>16DNbAdyy6QsTPdDDHL5gt7FaeAQ1UioJA6Pj7aUGJERveFd</t>
  </si>
  <si>
    <t>12aTyHELXwh9jD18FdvsPoNXJsf5cg49Ne7sD2BX6QvuP3GE</t>
  </si>
  <si>
    <t>15ho9b7DHy1gBxrHCEdi3h38rsJ3A6cSyFzWY1q7JoptW1Jn</t>
  </si>
  <si>
    <t>15akZwzufEzFzfh18y4Q81Ci8TXyvH6hyUkRrxJED2MjEYhe</t>
  </si>
  <si>
    <t>13RBN6UF43sxkxUrd2H4QSJccvLNGr6HY4v3mN2WtW59WaNk</t>
  </si>
  <si>
    <t>1eAL59EPokQFG4putYKwBjygGu3ewoHtyK3BSrgCMhM9ijf</t>
  </si>
  <si>
    <t>16LjHWJ51bki8X654uCW65ZV7kiAMBDXkay3fWuhxnKLZX99</t>
  </si>
  <si>
    <t>17Mhc2sYRBswwpYiTQp2u1C1DoLQtCs9eDdrAqM1DAHvwee</t>
  </si>
  <si>
    <t>1fN87Fgj5BUhezFgbLiGbXTMrBVggnmYBX9anzMBky8KaJ5</t>
  </si>
  <si>
    <t>16ce9zrmiuAtdi9qv1tuiQ1RC1xR6y6NgnBcRtMoQeAobqpZ</t>
  </si>
  <si>
    <t>14MVAs6jPc7bPW33fC7eTwz4Zf1pD3KWW4tQtrHWUd9w1Phx</t>
  </si>
  <si>
    <t>15qz4ZLeyXp1i4Jbx7AXiUQVCCLWVXu3dLjcTPHY3v9KGAvL</t>
  </si>
  <si>
    <t>1MrurrNb4VTrRJUXT6fGxHFdmwwscqHZUFkMistMsP8k5Nk</t>
  </si>
  <si>
    <t>12mRyiCp9zdh1wEVW5gLLiFBxDPKks72rRXmSupyEK3VAMLf</t>
  </si>
  <si>
    <t>PendingPayout</t>
  </si>
  <si>
    <t>RockX Apr 24</t>
  </si>
  <si>
    <t>16He6v8w7FYToooNkPudf7YtaEiceLfaXJ3hJwJRGcSPGTgo</t>
  </si>
  <si>
    <t>13jMGskc98pqSG4xf7KLNRzyjtr26jUxbJnQerrqD4dKyvsh</t>
  </si>
  <si>
    <t>14WBgUYr1scUwR5rvx7DwgMUhHtdtRyHMkurkU4AZ7wRgFxC</t>
  </si>
  <si>
    <t xml:space="preserve">CEE Wealth Summit - Scythe Ventures - Vienna, Italy </t>
  </si>
  <si>
    <t>1Z6t6PFDNHdjGgfud2YDyE1eyxxbP7EvwYfy3QpHTcEmLp5</t>
  </si>
  <si>
    <t>1srcFWVcPn2oXEKuddMMTGCLQMDdRqxKKo9qpFTi8PA7NW1</t>
  </si>
  <si>
    <t>1gatoakSkH4be8KD9Ekj5xCXMdAiGxieg2NfTg41s2UME5J</t>
  </si>
  <si>
    <t>Simply Staking - Q1 https://github.com/paseo-network/payouts/issues/12</t>
  </si>
  <si>
    <t>13uwV8CBHjv25W3GACLPzzvTu2v9USc2yCQdhrqPhyM3vx6w</t>
  </si>
  <si>
    <t>1eeBEsvYXfjHzwTPYojFnf7XxmJkcTrdTzGfd6zm9fThpC5</t>
  </si>
  <si>
    <t>15V3YDhibKoqFgQwZtyGNMDPyNtf8XUH2GU7BgRUqCQ1V9ku</t>
  </si>
  <si>
    <t>157HbMDJzgicoMvkTGfUQaw1XhknX8iyMU6iqwkZG7eutNJQ</t>
  </si>
  <si>
    <t>13WVhKkqxEzCGqzn7yAT595oDeyRCHEDdW2rUUva5UYaKe3C</t>
  </si>
  <si>
    <t>14wyzJLVcCvjXcBnB4DTYvtbobmri5fjAQQKwaRA3JeCxLos</t>
  </si>
  <si>
    <t>138jUztFkrSSYHpBs1EoNNjVLG7hYr7UZYAy4NRQGPhbb6VY</t>
  </si>
  <si>
    <t>14gL78nk3rVZamwGg33VuEa1koYC3rcoymFcPGXKbJ7JKyHZ</t>
  </si>
  <si>
    <t>1n4GEdMsCriWRc4PqcQ2DFTRuufRk7J6kRrPZ9Ym4eRCWqM</t>
  </si>
  <si>
    <t>12e7u2ZtFo9Fxp3ZQhTqJHV619AyntdXwghKzkyWk4XFU4Sj</t>
  </si>
  <si>
    <t>1TtCbdG7LjYwry8bYK6zV3xq2XAnXod4jf2htxH2NE1Wf2Q</t>
  </si>
  <si>
    <t>16Lcg6kZiDywR3YEHDdi6nHQhGnCYTiE2gxQ92DDQq2SZ1PQ</t>
  </si>
  <si>
    <t>14Gn7SEmCgMX7Ukuppnw5TRjA7pao2HFpuJo39frB42tYLEh</t>
  </si>
  <si>
    <t>12sMWVvgGNnRrhor2aUskxNq42EiTs4b2AMoCs5RrkVtNs2e</t>
  </si>
  <si>
    <t>RockX May 24</t>
  </si>
  <si>
    <t>15XF37GkxgRJakURR4jycdrJnqWQctT5yUPzqLn81TZmwBDF</t>
  </si>
  <si>
    <t>16dApD2ox2qV2mA3u2xiR72kyAGE7MLbDxepZUFkcSJz3Gmw</t>
  </si>
  <si>
    <t>15FsX8EdUftorgXBjtgbdD1NesqVPwfJPL79V5JDvk2CCc9x</t>
  </si>
  <si>
    <t>145pagyyifxGeH1VjbrHf1cPsKasjNNLeAKrFynEfijJAu73</t>
  </si>
  <si>
    <t>Treasury refund</t>
  </si>
  <si>
    <t>13UVJyLnbVp9RBZYFwFGyDvVd1y27Tt8tkntv6Q7JVPhFsTB</t>
  </si>
  <si>
    <t>Payment to Starlay Finance for Milestone 3</t>
  </si>
  <si>
    <t>15V2eerTdn7GwAudPkLiWWq7PJdZinx7Lx7qSq9nTNTBHi2j</t>
  </si>
  <si>
    <t>16fZxnwnnzArZ7SRhSWUcEhGCFk2XDUxD54VqtaKRmr6FhNR</t>
  </si>
  <si>
    <t>12jNpcKMqYbiDhucsr6TDrto3MdRtrBLbuDvTh3FprZeVbpb</t>
  </si>
  <si>
    <t>15AZxmt271W7YBo41JrxCYJHqdXhyrXsHhm5paFkd5GpreGP</t>
  </si>
  <si>
    <t>13JsTxizvEUEeewFagowtFQaWpHbADWCoSkTGAY7QTSkvtWF</t>
  </si>
  <si>
    <t>1yCg8NSCgjS4K5KDK5DZGhxUCxmgVyhyG6vBPn5wqUmLuYo</t>
  </si>
  <si>
    <t>12xRcHjvStkUYgzTh9vyqinN3tUpddgcPnSUcLXZ3ty44Mq1</t>
  </si>
  <si>
    <t>13343zPsd3yZhwpAphFysoVQA3De2vDMELVMxbgExpHB5UCg</t>
  </si>
  <si>
    <t>14aGNTNA9RMbuy73V8LJRCNszmBtiiKEmYZjdXp4GFNo1fpt</t>
  </si>
  <si>
    <t>16DFsCgUtntqaz6wiYEMwcco3RBCwo4Dz7doLTTeeudxZWhE</t>
  </si>
  <si>
    <t>1qr2Xp6Yp94NRvTm4HbVDVZSRBFUnDkVxUjCvRfCyA2JYhh</t>
  </si>
  <si>
    <t>1WgB9o954mkQi97f36azSwDt7SfRUQuJ1kCyb7Sv1WAUcSe</t>
  </si>
  <si>
    <t>12aj1nedSqMsVhAH5LyYJtjKPNrFWYoEh4FeGmWW2aS4DQQh</t>
  </si>
  <si>
    <t>14DjaZJk7hXERyrvdoguLiuXeoagHPJFqiRiHNfeTNRohHVx</t>
  </si>
  <si>
    <t>1vfmouKGWQEJSpUWRqYrYLZ865ps6M7TDSu5kgfSV6tPxLf</t>
  </si>
  <si>
    <t>1qAsfc59XsRLiy3DZfc4buS4umW6Q4xaJcWALj1eguZTi75</t>
  </si>
  <si>
    <t>13gzrNGhMUZpVsuH3rBTt9g3CJrs7iRVHagKicb3GD6RbppB</t>
  </si>
  <si>
    <t>14dfHJDm27ep5eAtgXqr1wjUYnK3p5LhgzLcYVX3tHRFsVo9</t>
  </si>
  <si>
    <t>16Hw2qwttttQ8tMCPLwnX3wegtsaTYD9gGakKbAHDb9PW3g5</t>
  </si>
  <si>
    <t>12EhX2KXrzWqTtU5pENPyFrFrZfUgj7DouvTMU4FQ9Tfe6m3</t>
  </si>
  <si>
    <t>12P1AJysFNNjDtTuXndBydMkcHZRjJxbw6zz1AgLhvA3JySd</t>
  </si>
  <si>
    <t>12WSnw6ocUpUFLGVvJwXoXRK9Gk7AC8AZ7cXkRakUgAjzLyx</t>
  </si>
  <si>
    <t>12cnYWf4NvJVmuPFM8kQzc9CAM8Qtey1PvvxGDFd5aJ799XN</t>
  </si>
  <si>
    <t>12mDFyhRGnP9LsL56GjP65QxFNgCUxFuNZQQG4DSxtR3Tgm7</t>
  </si>
  <si>
    <t>12oRVrKXBq1S4T1onxBEzqdpR5V1Uf8yE31dbuDZfQ8sGLWo</t>
  </si>
  <si>
    <t>12rgvnVZa3ci6hD9xMSn2qQZV6xkdc4Fb2ja2MPVQEodH3Cz</t>
  </si>
  <si>
    <t>14R3uMgjsv4sZ6B5mp1HTL2it1EmJbBST7P7DjSiqwrYbnmr</t>
  </si>
  <si>
    <t>14ay13nhw4QcqrHqWM75gXhVaZTZ5Qe7GUXiv8iueBzeHAwP</t>
  </si>
  <si>
    <t>14zKb5ZByuhLHEiwQFSDHmXovf3mUi8aeC5dHLZFqUo5rpef</t>
  </si>
  <si>
    <t>13eEKEbD3hvRJy1THBopwV3MrLjyGyND1gSb8H5UuXxDYTRV</t>
  </si>
  <si>
    <t>KuCoin AssetHub Integration</t>
  </si>
  <si>
    <t>Ramp Network AssetHub Integration and Parachain on-ramps</t>
  </si>
  <si>
    <t>Zapper Integration for Astar, Moonbeam, Acala and HydraDX</t>
  </si>
  <si>
    <t>Zapper Integration for Astar, Moonbeam, Acala and HydraDX Milestone 1</t>
  </si>
  <si>
    <t>13GtCixw3EZARj52CVbKLrsAzyc7dmmYhDV6quS5yeVCfnh1</t>
  </si>
  <si>
    <t>1U9NbBVpku7VYWtGE5CFTyyaTVTNBrfyXDNETK89uGDD6wm</t>
  </si>
  <si>
    <t>15Fyr14f5Eq9xxioo2JoNw53eZnCJNZBrob8ZYuXz4DTTouP</t>
  </si>
  <si>
    <t>1333zsMafds2sKAr8nG3zwXTCHPYv2Nm6CRgakpu6YVGt7nM</t>
  </si>
  <si>
    <t>1EHRUR7YL8aeqeCT4LGFq9qrTpEiH1dCikh3n2j1CSbL2c8</t>
  </si>
  <si>
    <t>123kFHVth2udmM79sn3RPQ81HukrQWCxA1vmTWkGHSvkR4k1</t>
  </si>
  <si>
    <t>15iA5hpjUecWBbf38Nfegwmtyux25o3LrGaNodfZDxq5nXXE</t>
  </si>
  <si>
    <t>1y6CPLgccsysCEii3M7jQF834GZsz9A3HMcZz3w7RjGPpBL</t>
  </si>
  <si>
    <t>14d2kv44xf9nFnYdms32dYPKQsr5C9urbDzTz7iwU8iHb9az</t>
  </si>
  <si>
    <t>15XG22uwqzdqWuBV91zBEfdgZ9UK9eCff4sTBHH6hTvLQKAi</t>
  </si>
  <si>
    <t>1ArdZJtNUrZsfidfn1t69xHaSWwzf6PQNdLEUpcnVmbkZc5</t>
  </si>
  <si>
    <t>14AakQ4jAmr2ytcrhfmaiHMpj5F9cR6wK1jRrdfC3N1oTbUz</t>
  </si>
  <si>
    <t>15vvAhHcmop8PjP5QNr3mXzX1oesv6vjun25iSgMe9YpDezv</t>
  </si>
  <si>
    <t>13pgVrB53DyS7wLeGWkDYUSBYBTageJDjEqXLqxsqJBismsV</t>
  </si>
  <si>
    <t>15pAHxckdkyCXJEXZkRtWxw1gbwjATkFejxKDC4q9FUKUTFH</t>
  </si>
  <si>
    <t>12wWLUd5qMzLFGqBsMnHLVFeTuYJwuo5ygMAxuSywrBX1XSF</t>
  </si>
  <si>
    <t>15qbzYZARgiEdynn1SKH1TjAvx2UBeau52a2eJnFtwH4BhZ5</t>
  </si>
  <si>
    <t>1HomBzZwkpQjhm3e9hQJ2AVFPmV4Ppon9ycCo91bh88xmGn</t>
  </si>
  <si>
    <t>14aoY4nfAmAGLC7xT89MBDV4g1QXFmDzf5YPSjRk73K8Ryja</t>
  </si>
  <si>
    <t>16YtzHdanucXK9Apz7wxrNGd6zBorJN6q8aqE6QX9Q4FiRoR</t>
  </si>
  <si>
    <t>1uWMc2CoXHnrftM3pr9aodftcbG1RZxiCmCqbK9ohYT8Pig</t>
  </si>
  <si>
    <t>157syWyZt7yPWbSPpjmVhzeYHA8pc3kk8eV1qUnHrAXeWJCU</t>
  </si>
  <si>
    <t>16XYgDGN6MxvdmjhRsHLT1oqQVDwGdEPVQqC42pRXiZrE8su</t>
  </si>
  <si>
    <t>167JHHcevLh8iTwKR1utwtbmAjH64xzwjtPUwn8BNjphjR9W</t>
  </si>
  <si>
    <t>15V2Rfi6METM3FJpZJH5QVM3WYHEmNLcQ52FcMPYTtdTipA4</t>
  </si>
  <si>
    <t>12uoF3PZxDBURLVqj5DAJiyUADiqdCYwhq27wAmr2ML1L7fG</t>
  </si>
  <si>
    <t>12TnSoNV8wttzHx4bU4yxTm1nVuSHjTssZwMWs7XnPXnRiWV</t>
  </si>
  <si>
    <t>1HGnvAkk9nbfZ58CzUJhjcrLdEDMkr5qNkqqYkyD5BF5v6Y</t>
  </si>
  <si>
    <t>149AQApEw4Xe1DxWesqywiuGQHazbETMgWgT89WjEYFAc29y</t>
  </si>
  <si>
    <t>15tVttSuyw3hYSUneii7piiQwQakWH2rKSPTnqFNbrQhfj3p</t>
  </si>
  <si>
    <t>1CaXBXVGNbey352w7ydA1A2yDyNQLshycom8Zyj69v5eRNK</t>
  </si>
  <si>
    <t>13fkHsX9da7am7W6ESQWX8wePShuvgx14cehTWWytq3iY6V8</t>
  </si>
  <si>
    <t>16kmbXhTGCwkXzdQMsE5AMJHddqLfRynJJL4ycFZg91zE7H1</t>
  </si>
  <si>
    <t>14rGQwhimTEkAAmgZtRSyYqQZW2ntNqpUCNHXdBTc97g7P6c</t>
  </si>
  <si>
    <t>153AFAbg5z9DkvdAkPnRi5wGDmkHMr7ckwd986DcZxf2zKcF</t>
  </si>
  <si>
    <t>Mile\Sys produced 16147/16176 blocks; SR: 14.9824, CR: 42.0888</t>
  </si>
  <si>
    <t>YellowFin Tuna\Salad produced 16139/16176 blocks; SR: 14.9750, CR: 42.0680</t>
  </si>
  <si>
    <t>Polkadotters\CORE produced 15808/16176 blocks; SR: 14.6678, CR: 41.2052</t>
  </si>
  <si>
    <t>Iceberg Nodes produced 14182/16176 blocks; SR: 13.1591, CR: 36.9669</t>
  </si>
  <si>
    <t>Mile\Sys produced 16273/16297 blocks; SR: 14.9872, CR: 42.1023</t>
  </si>
  <si>
    <t>Polkadot Networking Eve Nigerian Business School</t>
  </si>
  <si>
    <t>1xYxQ1tomtMuBc2KHhRv8p8auU2dcBnP41E1e8Pgn1MRiqZ</t>
  </si>
  <si>
    <t>15rqj6yN29bxzbjFWxYGNB1TaRdqrESkg7SZNDDHTcSsjNXq</t>
  </si>
  <si>
    <t>13md2Kef1dbqQS43yHtoCxJzsFfxH1LNb5LVKdCVfP5z7pFw</t>
  </si>
  <si>
    <t>14SqfnmZGzve61FJJGbdHozW17gaR1F9bGQTScwxPSLvUqvs</t>
  </si>
  <si>
    <t>1BwTXhCMc2yCAkdTRbfQEHGZt6t6wxN2t2HvgSupRhVoHKn</t>
  </si>
  <si>
    <t>166hUw1E57AqJh1vGDLoHY5YZXzNx9cvwWdbx6Gid1KzWD5c</t>
  </si>
  <si>
    <t>14Xh9F14w9GPwprsytsXd9nCpf9VvjAUTg5Mj7zN2SU8RBDj</t>
  </si>
  <si>
    <t>1635AMQRRAV78EyHi4SkNhXS6HySDgRH1ds3TbYyr5Z9GWUE</t>
  </si>
  <si>
    <t>14N5cTFuzJf6irrQkKNAjiADKsCxgk48LUKx2fA77YRruzMW</t>
  </si>
  <si>
    <t>1pt1pYm54Cha2th5r2fw98NcGFjYGANnptxL7HwgEoH3cRL</t>
  </si>
  <si>
    <t>15pmMM8VbJC6oDNMhxZeoDEaatY6m2mimfpnSfUDtLZdABYS</t>
  </si>
  <si>
    <t>14RYaXRSqb9rPqMaAVp1UZW2czQ6dMNGMbvukwfifi6m8ZgZ</t>
  </si>
  <si>
    <t>16GVsVkX9gymWZWLzYHWZYxxVQeCwpoCecjTHJRyC4oXptiU</t>
  </si>
  <si>
    <t>14F4qjQBhqm8bVNAMPWasS73B8Yo4WJSagAiHEWzTs81aeha</t>
  </si>
  <si>
    <t>13A37FXVRmvdN8GK8VN1W2V6qNGo5j845ThE7vrFXhsWPdpA</t>
  </si>
  <si>
    <t>16i7JAEaHLi7KjSzHvrnkiCYqtcb7H3FZ8KAqR52L8pEizAn</t>
  </si>
  <si>
    <t>131cQySF87ceHM9F7JZb6rRfaGzGvX42oJKty6deyCKc5TRh</t>
  </si>
  <si>
    <t>14ENpc9HgiLs6od51BbhyKP19maNSitJAnvXWuZd6F1WThkE</t>
  </si>
  <si>
    <t>14twpJZFqKirZX7G22zXjA1mnariYrTPWvcFu6vysAvefzcC</t>
  </si>
  <si>
    <t>13YJxVJHGRyo4sJgamfDkjWRmfQd3MfDdYg5hSDrzzh2dNG3</t>
  </si>
  <si>
    <t>16G93XTYowWsw1KCqqyQU36m2Uq6B6gcg1ehvFU6R6KxfDoX</t>
  </si>
  <si>
    <t>14Hkd7k7bHCkopUtRb8GWDUdF6dzd6GgpVRGmJqW1mktcnef</t>
  </si>
  <si>
    <t>16LkUhjeG5WD74mYbP2V9Jx7KvJ6ENuqYFc9dxx9xyFtDkFV</t>
  </si>
  <si>
    <t>14tBR5nFHUgSCRsT3d7whxGakKG3oLMqGoMNCpjeuozgDeny</t>
  </si>
  <si>
    <t>16JK7LdoTGVoQy42YUiQcKjn1jz5WgUWjTENpGdFhg3PGX9X</t>
  </si>
  <si>
    <t>14sD2iYm1HsFPoHaT2GJNUMD2KJzvJNfVe9PBrG1KGyDBeHn</t>
  </si>
  <si>
    <t>12sEC4VQWtEK52pMTNehM3KnpRQrcgW8VyQxqhBpcNdwZc3R</t>
  </si>
  <si>
    <t>15a5Q7ERVMYBAewqH7aNY2sEnsv4WU9mxD9y8rP7EezYCdQQ</t>
  </si>
  <si>
    <t>13eB7Q6RLv57Wn7bwE65ur2pyq75nYw2PvWVXt6SuBV5cBGR</t>
  </si>
  <si>
    <t>Mod team bounty - August 2024 - a.j</t>
  </si>
  <si>
    <t>133wRJGJKGN1Gokf14vQmA9umyDEbKNJ9LLgqeA4fK7TvrVm</t>
  </si>
  <si>
    <t>15MeGvBQqGFgTirWiPK27bdsWdPYnS2QY6VyfQo8TSKiFxGT</t>
  </si>
  <si>
    <t>136Fm42HZTxUAQD1zDxXuzeF8JgijeDfTSkFBWJKxzVAgQ8K</t>
  </si>
  <si>
    <t>1hY7cHJSNEjbvLGpDw4XsKX5JwuYcTt6r21r36KiHZ5TZuw</t>
  </si>
  <si>
    <t>158YHkPHMCGesUdgLGVEcqHfwzxTxNbL3dKYUoty5xqScrKt</t>
  </si>
  <si>
    <t>12uG79Fn8fucRG7BShV28VEBBcQ6d1CqnX3FWCvc66qURzGt</t>
  </si>
  <si>
    <t>16SpacegeUTft9v3ts27CEC3tJaxgvE4uZeCctThFH3Vb24p</t>
  </si>
  <si>
    <t>13pYWKctR5s8vQuyZt3pxQXue4SRH9coyAS9S9z5HtogAnhs</t>
  </si>
  <si>
    <t>15tKco3E2zXYrtw2DgRThZpX541EdRhhNfGKzvSeHFr3QH2N</t>
  </si>
  <si>
    <t>1411DNB4MtSePxsnaQ8qsnTNnp4JYvaMzc5TCegkwnydpG6N</t>
  </si>
  <si>
    <t>13dqoLfnth7wfBDfGRZhb6kS17zxgE9tnASUGP5z2aSYfAUt</t>
  </si>
  <si>
    <t>14tQWzBYLm43JL4E9v9LYHjDRLD8XLWZYbe36qLRGi2CtGxr</t>
  </si>
  <si>
    <t>14D7M2M3YTXXx1Evcz5eDhNmFLR5nH23TjQbjRtTGHENF4jP</t>
  </si>
  <si>
    <t>15FvxWCgCfZVvXzL6WbkfntzNVftTkF1BbZCUS1sf7u4hG2B</t>
  </si>
  <si>
    <t>13TXF3zfUvUa3ZKz5mQi5L4t8qXCZHbe5Y1uNmUR2UqdyoqR</t>
  </si>
  <si>
    <t>14XNJmoUzkvmh9cYoqG4axBRR4BWzWRbnFP79oiZgKu7V9bz</t>
  </si>
  <si>
    <t>15rThjK57fPzMAYYZztnZCG35eBTSsbz7YKF9UtLkLcEQHm3</t>
  </si>
</sst>
</file>

<file path=xl/styles.xml><?xml version="1.0" encoding="utf-8"?>
<styleSheet xmlns="http://schemas.openxmlformats.org/spreadsheetml/2006/main" xmlns:x14ac="http://schemas.microsoft.com/office/spreadsheetml/2009/9/ac" xmlns:mc="http://schemas.openxmlformats.org/markup-compatibility/2006">
  <numFmts count="10">
    <numFmt numFmtId="164" formatCode="#,##0 [$USD]"/>
    <numFmt numFmtId="165" formatCode="#,##0 [$DOT]"/>
    <numFmt numFmtId="166" formatCode="#,##0 [$MYTH]"/>
    <numFmt numFmtId="167" formatCode="#,##0 [$USD];[RED]-#,##0 [$DOT]"/>
    <numFmt numFmtId="168" formatCode="-[Red]#,##0 [$DOT]"/>
    <numFmt numFmtId="169" formatCode="-[Red]#,##0 [$USD]"/>
    <numFmt numFmtId="170" formatCode="yyyy-mm"/>
    <numFmt numFmtId="171" formatCode="yyyy-m"/>
    <numFmt numFmtId="172" formatCode="yyyy&quot;-&quot;mm&quot;-&quot;dd"/>
    <numFmt numFmtId="173" formatCode="yyyy-mm-dd"/>
  </numFmts>
  <fonts count="27">
    <font>
      <sz val="10.0"/>
      <color rgb="FF000000"/>
      <name val="Arial"/>
      <scheme val="minor"/>
    </font>
    <font>
      <sz val="11.0"/>
      <color theme="1"/>
      <name val="Calibri"/>
    </font>
    <font>
      <b/>
      <sz val="11.0"/>
      <color theme="1"/>
      <name val="Calibri"/>
    </font>
    <font>
      <u/>
      <sz val="11.0"/>
      <color rgb="FF0000FF"/>
      <name val="Calibri"/>
    </font>
    <font>
      <sz val="11.0"/>
      <color rgb="FF000000"/>
      <name val="Calibri"/>
    </font>
    <font>
      <color theme="1"/>
      <name val="Arial"/>
      <scheme val="minor"/>
    </font>
    <font>
      <u/>
      <sz val="11.0"/>
      <color rgb="FF0000FF"/>
      <name val="Calibri"/>
    </font>
    <font>
      <u/>
      <sz val="11.0"/>
      <color rgb="FF0000FF"/>
      <name val="Calibri"/>
    </font>
    <font>
      <u/>
      <sz val="11.0"/>
      <color rgb="FF0000FF"/>
      <name val="Calibri"/>
    </font>
    <font>
      <sz val="11.0"/>
      <color rgb="FFFF0000"/>
      <name val="Calibri"/>
    </font>
    <font>
      <color rgb="FFFF0000"/>
      <name val="Arial"/>
      <scheme val="minor"/>
    </font>
    <font>
      <b/>
      <strike/>
      <sz val="11.0"/>
      <color theme="1"/>
      <name val="Calibri"/>
    </font>
    <font>
      <strike/>
      <sz val="11.0"/>
      <color theme="1"/>
      <name val="Calibri"/>
    </font>
    <font>
      <strike/>
      <sz val="11.0"/>
      <color rgb="FFFF0000"/>
      <name val="Calibri"/>
    </font>
    <font>
      <b/>
      <color theme="1"/>
      <name val="Arial"/>
      <scheme val="minor"/>
    </font>
    <font>
      <u/>
      <color rgb="FF0000FF"/>
    </font>
    <font>
      <sz val="9.0"/>
      <color theme="1"/>
      <name val="Google Sans Mono"/>
    </font>
    <font>
      <u/>
      <sz val="11.0"/>
      <color rgb="FF0000FF"/>
      <name val="Calibri"/>
    </font>
    <font>
      <sz val="10.0"/>
      <color theme="1"/>
      <name val="Arial"/>
      <scheme val="minor"/>
    </font>
    <font>
      <u/>
      <color rgb="FF0000FF"/>
    </font>
    <font>
      <u/>
      <color rgb="FF0000FF"/>
    </font>
    <font>
      <u/>
      <color rgb="FF0000FF"/>
    </font>
    <font>
      <u/>
      <sz val="11.0"/>
      <color rgb="FF0000FF"/>
      <name val="Calibri"/>
    </font>
    <font>
      <u/>
      <sz val="11.0"/>
      <color rgb="FF0000FF"/>
      <name val="Calibri"/>
    </font>
    <font>
      <u/>
      <sz val="11.0"/>
      <color rgb="FF0000FF"/>
      <name val="Calibri"/>
    </font>
    <font>
      <b/>
      <sz val="9.0"/>
      <color theme="1"/>
      <name val="Google Sans Mono"/>
    </font>
    <font>
      <u/>
      <color rgb="FF0000FF"/>
    </font>
  </fonts>
  <fills count="5">
    <fill>
      <patternFill patternType="none"/>
    </fill>
    <fill>
      <patternFill patternType="lightGray"/>
    </fill>
    <fill>
      <patternFill patternType="solid">
        <fgColor rgb="FFBDBDBD"/>
        <bgColor rgb="FFBDBDBD"/>
      </patternFill>
    </fill>
    <fill>
      <patternFill patternType="solid">
        <fgColor rgb="FFFFFFFF"/>
        <bgColor rgb="FFFFFFFF"/>
      </patternFill>
    </fill>
    <fill>
      <patternFill patternType="solid">
        <fgColor rgb="FFF3F3F3"/>
        <bgColor rgb="FFF3F3F3"/>
      </patternFill>
    </fill>
  </fills>
  <borders count="14">
    <border/>
    <border>
      <bottom style="hair">
        <color rgb="FF000000"/>
      </bottom>
    </border>
    <border>
      <top style="hair">
        <color rgb="FF000000"/>
      </top>
    </border>
    <border>
      <top style="dotted">
        <color rgb="FF000000"/>
      </top>
    </border>
    <border>
      <top style="thin">
        <color rgb="FF000000"/>
      </top>
    </border>
    <border>
      <top style="double">
        <color rgb="FF000000"/>
      </top>
    </border>
    <border>
      <left style="thick">
        <color rgb="FFFF0000"/>
      </left>
    </border>
    <border>
      <top style="thick">
        <color rgb="FFFF0000"/>
      </top>
    </border>
    <border>
      <right style="thick">
        <color rgb="FFFF0000"/>
      </right>
      <top style="thick">
        <color rgb="FFFF0000"/>
      </top>
    </border>
    <border>
      <right style="thick">
        <color rgb="FFFF0000"/>
      </right>
    </border>
    <border>
      <left style="thick">
        <color rgb="FFFF0000"/>
      </left>
      <bottom style="thick">
        <color rgb="FFFF0000"/>
      </bottom>
    </border>
    <border>
      <bottom style="thick">
        <color rgb="FFFF0000"/>
      </bottom>
    </border>
    <border>
      <right style="thick">
        <color rgb="FFFF0000"/>
      </right>
      <bottom style="thick">
        <color rgb="FFFF0000"/>
      </bottom>
    </border>
    <border>
      <left style="thick">
        <color rgb="FFFF0000"/>
      </left>
      <top style="thick">
        <color rgb="FFFF0000"/>
      </top>
    </border>
  </borders>
  <cellStyleXfs count="1">
    <xf borderId="0" fillId="0" fontId="0" numFmtId="0" applyAlignment="1" applyFont="1"/>
  </cellStyleXfs>
  <cellXfs count="186">
    <xf borderId="0" fillId="0" fontId="0" numFmtId="0" xfId="0" applyAlignment="1" applyFont="1">
      <alignment readingOrder="0" shrinkToFit="0" vertical="bottom" wrapText="0"/>
    </xf>
    <xf borderId="0" fillId="0" fontId="1" numFmtId="0" xfId="0" applyAlignment="1" applyFont="1">
      <alignment vertical="bottom"/>
    </xf>
    <xf borderId="0" fillId="0" fontId="1" numFmtId="164" xfId="0" applyAlignment="1" applyFont="1" applyNumberFormat="1">
      <alignment vertical="bottom"/>
    </xf>
    <xf borderId="0" fillId="0" fontId="1" numFmtId="0" xfId="0" applyAlignment="1" applyFont="1">
      <alignment readingOrder="0" vertical="bottom"/>
    </xf>
    <xf borderId="0" fillId="0" fontId="1" numFmtId="0" xfId="0" applyAlignment="1" applyFont="1">
      <alignment horizontal="right" readingOrder="0" vertical="bottom"/>
    </xf>
    <xf borderId="0" fillId="0" fontId="1" numFmtId="165" xfId="0" applyAlignment="1" applyFont="1" applyNumberFormat="1">
      <alignment vertical="bottom"/>
    </xf>
    <xf borderId="0" fillId="0" fontId="1" numFmtId="164" xfId="0" applyAlignment="1" applyFont="1" applyNumberFormat="1">
      <alignment vertical="bottom"/>
    </xf>
    <xf borderId="0" fillId="0" fontId="2" numFmtId="0" xfId="0" applyAlignment="1" applyFont="1">
      <alignment vertical="bottom"/>
    </xf>
    <xf borderId="0" fillId="0" fontId="1" numFmtId="0" xfId="0" applyFont="1"/>
    <xf borderId="0" fillId="0" fontId="3" numFmtId="0" xfId="0" applyAlignment="1" applyFont="1">
      <alignment readingOrder="0" vertical="bottom"/>
    </xf>
    <xf borderId="0" fillId="0" fontId="1" numFmtId="165" xfId="0" applyAlignment="1" applyFont="1" applyNumberFormat="1">
      <alignment horizontal="right" readingOrder="0" vertical="bottom"/>
    </xf>
    <xf borderId="0" fillId="0" fontId="1" numFmtId="164" xfId="0" applyAlignment="1" applyFont="1" applyNumberFormat="1">
      <alignment horizontal="right" vertical="bottom"/>
    </xf>
    <xf borderId="0" fillId="0" fontId="4" numFmtId="0" xfId="0" applyAlignment="1" applyFont="1">
      <alignment readingOrder="0" vertical="bottom"/>
    </xf>
    <xf borderId="0" fillId="0" fontId="1" numFmtId="165" xfId="0" applyAlignment="1" applyFont="1" applyNumberFormat="1">
      <alignment horizontal="right" vertical="bottom"/>
    </xf>
    <xf borderId="0" fillId="0" fontId="1" numFmtId="164" xfId="0" applyAlignment="1" applyFont="1" applyNumberFormat="1">
      <alignment horizontal="right" readingOrder="0" vertical="bottom"/>
    </xf>
    <xf borderId="1" fillId="0" fontId="5" numFmtId="0" xfId="0" applyBorder="1" applyFont="1"/>
    <xf borderId="0" fillId="0" fontId="1" numFmtId="0" xfId="0" applyAlignment="1" applyFont="1">
      <alignment readingOrder="0" vertical="bottom"/>
    </xf>
    <xf borderId="0" fillId="0" fontId="1" numFmtId="0" xfId="0" applyAlignment="1" applyFont="1">
      <alignment readingOrder="0"/>
    </xf>
    <xf borderId="0" fillId="0" fontId="6" numFmtId="0" xfId="0" applyAlignment="1" applyFont="1">
      <alignment readingOrder="0" vertical="bottom"/>
    </xf>
    <xf borderId="0" fillId="0" fontId="1" numFmtId="0" xfId="0" applyAlignment="1" applyFont="1">
      <alignment horizontal="left" readingOrder="0"/>
    </xf>
    <xf borderId="2" fillId="0" fontId="1" numFmtId="0" xfId="0" applyAlignment="1" applyBorder="1" applyFont="1">
      <alignment vertical="bottom"/>
    </xf>
    <xf borderId="2" fillId="0" fontId="2" numFmtId="0" xfId="0" applyAlignment="1" applyBorder="1" applyFont="1">
      <alignment readingOrder="0" vertical="bottom"/>
    </xf>
    <xf borderId="2" fillId="0" fontId="1" numFmtId="165" xfId="0" applyAlignment="1" applyBorder="1" applyFont="1" applyNumberFormat="1">
      <alignment vertical="bottom"/>
    </xf>
    <xf borderId="2" fillId="0" fontId="1" numFmtId="164" xfId="0" applyAlignment="1" applyBorder="1" applyFont="1" applyNumberFormat="1">
      <alignment vertical="bottom"/>
    </xf>
    <xf borderId="0" fillId="0" fontId="1" numFmtId="166" xfId="0" applyAlignment="1" applyFont="1" applyNumberFormat="1">
      <alignment readingOrder="0" vertical="bottom"/>
    </xf>
    <xf borderId="0" fillId="0" fontId="7" numFmtId="0" xfId="0" applyAlignment="1" applyFont="1">
      <alignment horizontal="right" readingOrder="0" vertical="bottom"/>
    </xf>
    <xf borderId="2" fillId="0" fontId="1" numFmtId="0" xfId="0" applyAlignment="1" applyBorder="1" applyFont="1">
      <alignment readingOrder="0" vertical="bottom"/>
    </xf>
    <xf borderId="0" fillId="0" fontId="5" numFmtId="0" xfId="0" applyAlignment="1" applyFont="1">
      <alignment readingOrder="0"/>
    </xf>
    <xf borderId="0" fillId="0" fontId="1" numFmtId="0" xfId="0" applyAlignment="1" applyFont="1">
      <alignment horizontal="right" vertical="bottom"/>
    </xf>
    <xf borderId="2" fillId="0" fontId="2" numFmtId="0" xfId="0" applyAlignment="1" applyBorder="1" applyFont="1">
      <alignment vertical="bottom"/>
    </xf>
    <xf borderId="2" fillId="0" fontId="1" numFmtId="165" xfId="0" applyAlignment="1" applyBorder="1" applyFont="1" applyNumberFormat="1">
      <alignment horizontal="right" vertical="bottom"/>
    </xf>
    <xf borderId="2" fillId="0" fontId="1" numFmtId="164" xfId="0" applyAlignment="1" applyBorder="1" applyFont="1" applyNumberFormat="1">
      <alignment horizontal="right" vertical="bottom"/>
    </xf>
    <xf borderId="3" fillId="0" fontId="1" numFmtId="0" xfId="0" applyAlignment="1" applyBorder="1" applyFont="1">
      <alignment vertical="bottom"/>
    </xf>
    <xf borderId="3" fillId="0" fontId="2" numFmtId="0" xfId="0" applyAlignment="1" applyBorder="1" applyFont="1">
      <alignment vertical="bottom"/>
    </xf>
    <xf borderId="3" fillId="0" fontId="1" numFmtId="165" xfId="0" applyAlignment="1" applyBorder="1" applyFont="1" applyNumberFormat="1">
      <alignment horizontal="right" vertical="bottom"/>
    </xf>
    <xf borderId="3" fillId="0" fontId="1" numFmtId="164" xfId="0" applyAlignment="1" applyBorder="1" applyFont="1" applyNumberFormat="1">
      <alignment horizontal="right" vertical="bottom"/>
    </xf>
    <xf borderId="4" fillId="0" fontId="1" numFmtId="0" xfId="0" applyAlignment="1" applyBorder="1" applyFont="1">
      <alignment vertical="bottom"/>
    </xf>
    <xf borderId="4" fillId="0" fontId="2" numFmtId="0" xfId="0" applyAlignment="1" applyBorder="1" applyFont="1">
      <alignment vertical="bottom"/>
    </xf>
    <xf borderId="4" fillId="0" fontId="1" numFmtId="165" xfId="0" applyAlignment="1" applyBorder="1" applyFont="1" applyNumberFormat="1">
      <alignment horizontal="right" vertical="bottom"/>
    </xf>
    <xf borderId="4" fillId="0" fontId="1" numFmtId="164" xfId="0" applyAlignment="1" applyBorder="1" applyFont="1" applyNumberFormat="1">
      <alignment horizontal="right" vertical="bottom"/>
    </xf>
    <xf borderId="5" fillId="0" fontId="1" numFmtId="0" xfId="0" applyAlignment="1" applyBorder="1" applyFont="1">
      <alignment vertical="bottom"/>
    </xf>
    <xf borderId="5" fillId="0" fontId="1" numFmtId="165" xfId="0" applyAlignment="1" applyBorder="1" applyFont="1" applyNumberFormat="1">
      <alignment horizontal="right" vertical="bottom"/>
    </xf>
    <xf borderId="5" fillId="0" fontId="1" numFmtId="164" xfId="0" applyAlignment="1" applyBorder="1" applyFont="1" applyNumberFormat="1">
      <alignment horizontal="right" vertical="bottom"/>
    </xf>
    <xf borderId="0" fillId="0" fontId="1" numFmtId="0" xfId="0" applyFont="1"/>
    <xf borderId="0" fillId="0" fontId="8" numFmtId="0" xfId="0" applyAlignment="1" applyFont="1">
      <alignment vertical="bottom"/>
    </xf>
    <xf borderId="0" fillId="0" fontId="1" numFmtId="167" xfId="0" applyAlignment="1" applyFont="1" applyNumberFormat="1">
      <alignment vertical="bottom"/>
    </xf>
    <xf borderId="0" fillId="0" fontId="5" numFmtId="167" xfId="0" applyFont="1" applyNumberFormat="1"/>
    <xf borderId="0" fillId="0" fontId="5" numFmtId="165" xfId="0" applyFont="1" applyNumberFormat="1"/>
    <xf borderId="0" fillId="0" fontId="2" numFmtId="165" xfId="0" applyAlignment="1" applyFont="1" applyNumberFormat="1">
      <alignment vertical="bottom"/>
    </xf>
    <xf borderId="3" fillId="0" fontId="1" numFmtId="165" xfId="0" applyAlignment="1" applyBorder="1" applyFont="1" applyNumberFormat="1">
      <alignment vertical="bottom"/>
    </xf>
    <xf borderId="3" fillId="0" fontId="2" numFmtId="165" xfId="0" applyAlignment="1" applyBorder="1" applyFont="1" applyNumberFormat="1">
      <alignment vertical="bottom"/>
    </xf>
    <xf borderId="0" fillId="0" fontId="9" numFmtId="168" xfId="0" applyAlignment="1" applyFont="1" applyNumberFormat="1">
      <alignment horizontal="right" vertical="bottom"/>
    </xf>
    <xf borderId="0" fillId="0" fontId="5" numFmtId="168" xfId="0" applyFont="1" applyNumberFormat="1"/>
    <xf borderId="0" fillId="0" fontId="1" numFmtId="168" xfId="0" applyAlignment="1" applyFont="1" applyNumberFormat="1">
      <alignment vertical="bottom"/>
    </xf>
    <xf borderId="3" fillId="0" fontId="9" numFmtId="165" xfId="0" applyAlignment="1" applyBorder="1" applyFont="1" applyNumberFormat="1">
      <alignment horizontal="right" vertical="bottom"/>
    </xf>
    <xf borderId="4" fillId="0" fontId="2" numFmtId="165" xfId="0" applyAlignment="1" applyBorder="1" applyFont="1" applyNumberFormat="1">
      <alignment vertical="bottom"/>
    </xf>
    <xf borderId="4" fillId="0" fontId="1" numFmtId="165" xfId="0" applyAlignment="1" applyBorder="1" applyFont="1" applyNumberFormat="1">
      <alignment vertical="bottom"/>
    </xf>
    <xf borderId="4" fillId="0" fontId="9" numFmtId="165" xfId="0" applyAlignment="1" applyBorder="1" applyFont="1" applyNumberFormat="1">
      <alignment horizontal="right" vertical="bottom"/>
    </xf>
    <xf borderId="0" fillId="0" fontId="9" numFmtId="165" xfId="0" applyAlignment="1" applyFont="1" applyNumberFormat="1">
      <alignment horizontal="right" vertical="bottom"/>
    </xf>
    <xf borderId="0" fillId="0" fontId="10" numFmtId="165" xfId="0" applyFont="1" applyNumberFormat="1"/>
    <xf borderId="3" fillId="0" fontId="1" numFmtId="167" xfId="0" applyAlignment="1" applyBorder="1" applyFont="1" applyNumberFormat="1">
      <alignment horizontal="right" vertical="bottom"/>
    </xf>
    <xf borderId="5" fillId="0" fontId="2" numFmtId="165" xfId="0" applyAlignment="1" applyBorder="1" applyFont="1" applyNumberFormat="1">
      <alignment vertical="bottom"/>
    </xf>
    <xf borderId="5" fillId="0" fontId="1" numFmtId="165" xfId="0" applyAlignment="1" applyBorder="1" applyFont="1" applyNumberFormat="1">
      <alignment vertical="bottom"/>
    </xf>
    <xf borderId="5" fillId="0" fontId="9" numFmtId="165" xfId="0" applyAlignment="1" applyBorder="1" applyFont="1" applyNumberFormat="1">
      <alignment horizontal="right" vertical="bottom"/>
    </xf>
    <xf borderId="0" fillId="0" fontId="5" numFmtId="164" xfId="0" applyFont="1" applyNumberFormat="1"/>
    <xf borderId="0" fillId="0" fontId="1" numFmtId="164" xfId="0" applyAlignment="1" applyFont="1" applyNumberFormat="1">
      <alignment readingOrder="0" vertical="bottom"/>
    </xf>
    <xf borderId="0" fillId="0" fontId="5" numFmtId="164" xfId="0" applyAlignment="1" applyFont="1" applyNumberFormat="1">
      <alignment readingOrder="0"/>
    </xf>
    <xf borderId="0" fillId="0" fontId="2" numFmtId="164" xfId="0" applyAlignment="1" applyFont="1" applyNumberFormat="1">
      <alignment vertical="bottom"/>
    </xf>
    <xf borderId="0" fillId="0" fontId="1" numFmtId="164" xfId="0" applyAlignment="1" applyFont="1" applyNumberFormat="1">
      <alignment horizontal="right" vertical="bottom"/>
    </xf>
    <xf borderId="3" fillId="0" fontId="1" numFmtId="164" xfId="0" applyAlignment="1" applyBorder="1" applyFont="1" applyNumberFormat="1">
      <alignment vertical="bottom"/>
    </xf>
    <xf borderId="3" fillId="0" fontId="2" numFmtId="164" xfId="0" applyAlignment="1" applyBorder="1" applyFont="1" applyNumberFormat="1">
      <alignment vertical="bottom"/>
    </xf>
    <xf borderId="3" fillId="0" fontId="1" numFmtId="164" xfId="0" applyAlignment="1" applyBorder="1" applyFont="1" applyNumberFormat="1">
      <alignment horizontal="right" vertical="bottom"/>
    </xf>
    <xf borderId="0" fillId="0" fontId="9" numFmtId="169" xfId="0" applyAlignment="1" applyFont="1" applyNumberFormat="1">
      <alignment horizontal="right" vertical="bottom"/>
    </xf>
    <xf borderId="0" fillId="0" fontId="5" numFmtId="169" xfId="0" applyFont="1" applyNumberFormat="1"/>
    <xf borderId="0" fillId="0" fontId="1" numFmtId="169" xfId="0" applyAlignment="1" applyFont="1" applyNumberFormat="1">
      <alignment vertical="bottom"/>
    </xf>
    <xf borderId="3" fillId="0" fontId="9" numFmtId="164" xfId="0" applyAlignment="1" applyBorder="1" applyFont="1" applyNumberFormat="1">
      <alignment horizontal="right" vertical="bottom"/>
    </xf>
    <xf borderId="4" fillId="0" fontId="2" numFmtId="164" xfId="0" applyAlignment="1" applyBorder="1" applyFont="1" applyNumberFormat="1">
      <alignment vertical="bottom"/>
    </xf>
    <xf borderId="4" fillId="0" fontId="1" numFmtId="164" xfId="0" applyAlignment="1" applyBorder="1" applyFont="1" applyNumberFormat="1">
      <alignment vertical="bottom"/>
    </xf>
    <xf borderId="4" fillId="0" fontId="9" numFmtId="164" xfId="0" applyAlignment="1" applyBorder="1" applyFont="1" applyNumberFormat="1">
      <alignment horizontal="right" vertical="bottom"/>
    </xf>
    <xf borderId="0" fillId="0" fontId="9" numFmtId="164" xfId="0" applyAlignment="1" applyFont="1" applyNumberFormat="1">
      <alignment horizontal="right" vertical="bottom"/>
    </xf>
    <xf borderId="0" fillId="0" fontId="10" numFmtId="164" xfId="0" applyFont="1" applyNumberFormat="1"/>
    <xf borderId="5" fillId="0" fontId="11" numFmtId="164" xfId="0" applyAlignment="1" applyBorder="1" applyFont="1" applyNumberFormat="1">
      <alignment vertical="bottom"/>
    </xf>
    <xf borderId="5" fillId="0" fontId="12" numFmtId="164" xfId="0" applyAlignment="1" applyBorder="1" applyFont="1" applyNumberFormat="1">
      <alignment vertical="bottom"/>
    </xf>
    <xf borderId="5" fillId="0" fontId="13" numFmtId="164" xfId="0" applyAlignment="1" applyBorder="1" applyFont="1" applyNumberFormat="1">
      <alignment horizontal="right" vertical="bottom"/>
    </xf>
    <xf borderId="6" fillId="0" fontId="5" numFmtId="0" xfId="0" applyAlignment="1" applyBorder="1" applyFont="1">
      <alignment readingOrder="0"/>
    </xf>
    <xf borderId="7" fillId="0" fontId="5" numFmtId="0" xfId="0" applyAlignment="1" applyBorder="1" applyFont="1">
      <alignment readingOrder="0"/>
    </xf>
    <xf borderId="7" fillId="0" fontId="5" numFmtId="165" xfId="0" applyBorder="1" applyFont="1" applyNumberFormat="1"/>
    <xf borderId="8" fillId="0" fontId="5" numFmtId="165" xfId="0" applyBorder="1" applyFont="1" applyNumberFormat="1"/>
    <xf borderId="6" fillId="0" fontId="5" numFmtId="170" xfId="0" applyAlignment="1" applyBorder="1" applyFont="1" applyNumberFormat="1">
      <alignment readingOrder="0"/>
    </xf>
    <xf borderId="0" fillId="0" fontId="5" numFmtId="0" xfId="0" applyFont="1"/>
    <xf borderId="9" fillId="0" fontId="5" numFmtId="165" xfId="0" applyBorder="1" applyFont="1" applyNumberFormat="1"/>
    <xf borderId="9" fillId="0" fontId="5" numFmtId="165" xfId="0" applyAlignment="1" applyBorder="1" applyFont="1" applyNumberFormat="1">
      <alignment readingOrder="0"/>
    </xf>
    <xf borderId="9" fillId="0" fontId="5" numFmtId="164" xfId="0" applyBorder="1" applyFont="1" applyNumberFormat="1"/>
    <xf borderId="7" fillId="0" fontId="5" numFmtId="164" xfId="0" applyAlignment="1" applyBorder="1" applyFont="1" applyNumberFormat="1">
      <alignment readingOrder="0"/>
    </xf>
    <xf borderId="0" fillId="0" fontId="14" numFmtId="0" xfId="0" applyAlignment="1" applyFont="1">
      <alignment readingOrder="0"/>
    </xf>
    <xf borderId="6" fillId="0" fontId="5" numFmtId="171" xfId="0" applyAlignment="1" applyBorder="1" applyFont="1" applyNumberFormat="1">
      <alignment readingOrder="0"/>
    </xf>
    <xf borderId="10" fillId="0" fontId="5" numFmtId="171" xfId="0" applyAlignment="1" applyBorder="1" applyFont="1" applyNumberFormat="1">
      <alignment readingOrder="0"/>
    </xf>
    <xf borderId="11" fillId="0" fontId="5" numFmtId="0" xfId="0" applyAlignment="1" applyBorder="1" applyFont="1">
      <alignment readingOrder="0"/>
    </xf>
    <xf borderId="0" fillId="0" fontId="5" numFmtId="171" xfId="0" applyAlignment="1" applyFont="1" applyNumberFormat="1">
      <alignment readingOrder="0"/>
    </xf>
    <xf borderId="0" fillId="0" fontId="5" numFmtId="170" xfId="0" applyAlignment="1" applyFont="1" applyNumberFormat="1">
      <alignment readingOrder="0"/>
    </xf>
    <xf borderId="11" fillId="0" fontId="5" numFmtId="0" xfId="0" applyBorder="1" applyFont="1"/>
    <xf borderId="11" fillId="0" fontId="5" numFmtId="165" xfId="0" applyBorder="1" applyFont="1" applyNumberFormat="1"/>
    <xf borderId="12" fillId="0" fontId="5" numFmtId="165" xfId="0" applyBorder="1" applyFont="1" applyNumberFormat="1"/>
    <xf borderId="0" fillId="2" fontId="2" numFmtId="3" xfId="0" applyAlignment="1" applyFill="1" applyFont="1" applyNumberFormat="1">
      <alignment vertical="bottom"/>
    </xf>
    <xf borderId="0" fillId="2" fontId="1" numFmtId="3" xfId="0" applyAlignment="1" applyFont="1" applyNumberFormat="1">
      <alignment vertical="bottom"/>
    </xf>
    <xf borderId="0" fillId="0" fontId="5" numFmtId="172" xfId="0" applyFont="1" applyNumberFormat="1"/>
    <xf borderId="0" fillId="0" fontId="5" numFmtId="165" xfId="0" applyFont="1" applyNumberFormat="1"/>
    <xf borderId="0" fillId="0" fontId="5" numFmtId="164" xfId="0" applyFont="1" applyNumberFormat="1"/>
    <xf borderId="0" fillId="3" fontId="1" numFmtId="3" xfId="0" applyAlignment="1" applyFill="1" applyFont="1" applyNumberFormat="1">
      <alignment vertical="bottom"/>
    </xf>
    <xf borderId="0" fillId="0" fontId="15" numFmtId="0" xfId="0" applyFont="1"/>
    <xf borderId="0" fillId="3" fontId="1" numFmtId="3" xfId="0" applyAlignment="1" applyFont="1" applyNumberFormat="1">
      <alignment horizontal="right" vertical="bottom"/>
    </xf>
    <xf borderId="0" fillId="0" fontId="1" numFmtId="3" xfId="0" applyAlignment="1" applyFont="1" applyNumberFormat="1">
      <alignment vertical="bottom"/>
    </xf>
    <xf borderId="0" fillId="3" fontId="16" numFmtId="0" xfId="0" applyAlignment="1" applyFont="1">
      <alignment vertical="bottom"/>
    </xf>
    <xf borderId="0" fillId="3" fontId="1" numFmtId="3" xfId="0" applyAlignment="1" applyFont="1" applyNumberFormat="1">
      <alignment readingOrder="0" vertical="bottom"/>
    </xf>
    <xf borderId="0" fillId="3" fontId="1" numFmtId="0" xfId="0" applyAlignment="1" applyFont="1">
      <alignment vertical="bottom"/>
    </xf>
    <xf borderId="0" fillId="0" fontId="17" numFmtId="0" xfId="0" applyAlignment="1" applyFont="1">
      <alignment horizontal="right" vertical="bottom"/>
    </xf>
    <xf borderId="0" fillId="0" fontId="1" numFmtId="173" xfId="0" applyAlignment="1" applyFont="1" applyNumberFormat="1">
      <alignment horizontal="right" vertical="bottom"/>
    </xf>
    <xf borderId="0" fillId="4" fontId="1" numFmtId="0" xfId="0" applyAlignment="1" applyFill="1" applyFont="1">
      <alignment vertical="bottom"/>
    </xf>
    <xf borderId="0" fillId="0" fontId="1" numFmtId="173" xfId="0" applyAlignment="1" applyFont="1" applyNumberFormat="1">
      <alignment readingOrder="0" vertical="bottom"/>
    </xf>
    <xf borderId="0" fillId="0" fontId="5" numFmtId="173" xfId="0" applyAlignment="1" applyFont="1" applyNumberFormat="1">
      <alignment readingOrder="0"/>
    </xf>
    <xf borderId="0" fillId="0" fontId="5" numFmtId="3" xfId="0" applyFont="1" applyNumberFormat="1"/>
    <xf borderId="13" fillId="0" fontId="5" numFmtId="0" xfId="0" applyBorder="1" applyFont="1"/>
    <xf borderId="7" fillId="0" fontId="5" numFmtId="0" xfId="0" applyBorder="1" applyFont="1"/>
    <xf borderId="8" fillId="0" fontId="5" numFmtId="0" xfId="0" applyBorder="1" applyFont="1"/>
    <xf borderId="6" fillId="0" fontId="5" numFmtId="0" xfId="0" applyBorder="1" applyFont="1"/>
    <xf borderId="9" fillId="0" fontId="5" numFmtId="0" xfId="0" applyBorder="1" applyFont="1"/>
    <xf borderId="10" fillId="0" fontId="5" numFmtId="0" xfId="0" applyBorder="1" applyFont="1"/>
    <xf borderId="12" fillId="0" fontId="5" numFmtId="0" xfId="0" applyBorder="1" applyFont="1"/>
    <xf borderId="0" fillId="0" fontId="18" numFmtId="165" xfId="0" applyAlignment="1" applyFont="1" applyNumberFormat="1">
      <alignment readingOrder="0"/>
    </xf>
    <xf borderId="0" fillId="0" fontId="5" numFmtId="165" xfId="0" applyAlignment="1" applyFont="1" applyNumberFormat="1">
      <alignment readingOrder="0"/>
    </xf>
    <xf borderId="0" fillId="0" fontId="5" numFmtId="9" xfId="0" applyAlignment="1" applyFont="1" applyNumberFormat="1">
      <alignment readingOrder="0"/>
    </xf>
    <xf borderId="4" fillId="0" fontId="5" numFmtId="0" xfId="0" applyBorder="1" applyFont="1"/>
    <xf borderId="0" fillId="2" fontId="1" numFmtId="0" xfId="0" applyAlignment="1" applyFont="1">
      <alignment vertical="bottom"/>
    </xf>
    <xf borderId="0" fillId="2" fontId="1" numFmtId="165" xfId="0" applyAlignment="1" applyFont="1" applyNumberFormat="1">
      <alignment vertical="bottom"/>
    </xf>
    <xf borderId="0" fillId="2" fontId="1" numFmtId="164" xfId="0" applyAlignment="1" applyFont="1" applyNumberFormat="1">
      <alignment vertical="bottom"/>
    </xf>
    <xf borderId="0" fillId="2" fontId="1" numFmtId="164" xfId="0" applyAlignment="1" applyFont="1" applyNumberFormat="1">
      <alignment vertical="bottom"/>
    </xf>
    <xf borderId="0" fillId="2" fontId="1" numFmtId="172" xfId="0" applyAlignment="1" applyFont="1" applyNumberFormat="1">
      <alignment vertical="bottom"/>
    </xf>
    <xf borderId="0" fillId="2" fontId="2" numFmtId="0" xfId="0" applyAlignment="1" applyFont="1">
      <alignment vertical="bottom"/>
    </xf>
    <xf borderId="0" fillId="2" fontId="2" numFmtId="0" xfId="0" applyAlignment="1" applyFont="1">
      <alignment readingOrder="0" vertical="bottom"/>
    </xf>
    <xf borderId="0" fillId="3" fontId="19" numFmtId="0" xfId="0" applyFont="1"/>
    <xf borderId="0" fillId="3" fontId="5" numFmtId="0" xfId="0" applyAlignment="1" applyFont="1">
      <alignment readingOrder="0"/>
    </xf>
    <xf borderId="0" fillId="3" fontId="5" numFmtId="165" xfId="0" applyAlignment="1" applyFont="1" applyNumberFormat="1">
      <alignment readingOrder="0"/>
    </xf>
    <xf borderId="0" fillId="3" fontId="5" numFmtId="164" xfId="0" applyAlignment="1" applyFont="1" applyNumberFormat="1">
      <alignment readingOrder="0"/>
    </xf>
    <xf borderId="0" fillId="3" fontId="5" numFmtId="3" xfId="0" applyAlignment="1" applyFont="1" applyNumberFormat="1">
      <alignment readingOrder="0"/>
    </xf>
    <xf borderId="0" fillId="3" fontId="5" numFmtId="172" xfId="0" applyAlignment="1" applyFont="1" applyNumberFormat="1">
      <alignment readingOrder="0"/>
    </xf>
    <xf borderId="0" fillId="3" fontId="5" numFmtId="164" xfId="0" applyAlignment="1" applyFont="1" applyNumberFormat="1">
      <alignment readingOrder="0"/>
    </xf>
    <xf borderId="0" fillId="4" fontId="20" numFmtId="0" xfId="0" applyFont="1"/>
    <xf borderId="0" fillId="4" fontId="5" numFmtId="0" xfId="0" applyAlignment="1" applyFont="1">
      <alignment readingOrder="0"/>
    </xf>
    <xf borderId="0" fillId="4" fontId="5" numFmtId="165" xfId="0" applyAlignment="1" applyFont="1" applyNumberFormat="1">
      <alignment readingOrder="0"/>
    </xf>
    <xf borderId="0" fillId="4" fontId="5" numFmtId="164" xfId="0" applyAlignment="1" applyFont="1" applyNumberFormat="1">
      <alignment readingOrder="0"/>
    </xf>
    <xf borderId="0" fillId="4" fontId="5" numFmtId="3" xfId="0" applyAlignment="1" applyFont="1" applyNumberFormat="1">
      <alignment readingOrder="0"/>
    </xf>
    <xf borderId="0" fillId="4" fontId="5" numFmtId="172" xfId="0" applyAlignment="1" applyFont="1" applyNumberFormat="1">
      <alignment readingOrder="0"/>
    </xf>
    <xf borderId="0" fillId="4" fontId="5" numFmtId="164" xfId="0" applyAlignment="1" applyFont="1" applyNumberFormat="1">
      <alignment readingOrder="0"/>
    </xf>
    <xf borderId="0" fillId="4" fontId="1" numFmtId="3" xfId="0" applyAlignment="1" applyFont="1" applyNumberFormat="1">
      <alignment vertical="bottom"/>
    </xf>
    <xf borderId="0" fillId="4" fontId="1" numFmtId="3" xfId="0" applyAlignment="1" applyFont="1" applyNumberFormat="1">
      <alignment horizontal="right" vertical="bottom"/>
    </xf>
    <xf borderId="0" fillId="4" fontId="16" numFmtId="0" xfId="0" applyAlignment="1" applyFont="1">
      <alignment vertical="bottom"/>
    </xf>
    <xf borderId="0" fillId="3" fontId="16" numFmtId="0" xfId="0" applyAlignment="1" applyFont="1">
      <alignment readingOrder="0" vertical="bottom"/>
    </xf>
    <xf borderId="0" fillId="4" fontId="1" numFmtId="0" xfId="0" applyAlignment="1" applyFont="1">
      <alignment readingOrder="0" vertical="bottom"/>
    </xf>
    <xf borderId="0" fillId="4" fontId="16" numFmtId="0" xfId="0" applyAlignment="1" applyFont="1">
      <alignment readingOrder="0" vertical="bottom"/>
    </xf>
    <xf borderId="0" fillId="4" fontId="5" numFmtId="0" xfId="0" applyFont="1"/>
    <xf borderId="0" fillId="3" fontId="21" numFmtId="0" xfId="0" applyAlignment="1" applyFont="1">
      <alignment readingOrder="0"/>
    </xf>
    <xf quotePrefix="1" borderId="0" fillId="4" fontId="5" numFmtId="0" xfId="0" applyAlignment="1" applyFont="1">
      <alignment readingOrder="0"/>
    </xf>
    <xf borderId="0" fillId="3" fontId="5" numFmtId="0" xfId="0" applyFont="1"/>
    <xf borderId="0" fillId="3" fontId="1" numFmtId="0" xfId="0" applyAlignment="1" applyFont="1">
      <alignment readingOrder="0" vertical="bottom"/>
    </xf>
    <xf borderId="0" fillId="4" fontId="1" numFmtId="3" xfId="0" applyAlignment="1" applyFont="1" applyNumberFormat="1">
      <alignment readingOrder="0" vertical="bottom"/>
    </xf>
    <xf borderId="0" fillId="0" fontId="5" numFmtId="165" xfId="0" applyAlignment="1" applyFont="1" applyNumberFormat="1">
      <alignment readingOrder="0"/>
    </xf>
    <xf borderId="0" fillId="0" fontId="5" numFmtId="3" xfId="0" applyAlignment="1" applyFont="1" applyNumberFormat="1">
      <alignment readingOrder="0"/>
    </xf>
    <xf borderId="0" fillId="0" fontId="5" numFmtId="172" xfId="0" applyAlignment="1" applyFont="1" applyNumberFormat="1">
      <alignment readingOrder="0"/>
    </xf>
    <xf borderId="0" fillId="0" fontId="5" numFmtId="164" xfId="0" applyAlignment="1" applyFont="1" applyNumberFormat="1">
      <alignment readingOrder="0"/>
    </xf>
    <xf borderId="0" fillId="0" fontId="5" numFmtId="10" xfId="0" applyFont="1" applyNumberFormat="1"/>
    <xf borderId="0" fillId="2" fontId="2" numFmtId="0" xfId="0" applyAlignment="1" applyFont="1">
      <alignment horizontal="center" vertical="bottom"/>
    </xf>
    <xf borderId="0" fillId="2" fontId="2" numFmtId="165" xfId="0" applyAlignment="1" applyFont="1" applyNumberFormat="1">
      <alignment horizontal="center" vertical="bottom"/>
    </xf>
    <xf borderId="0" fillId="3" fontId="22" numFmtId="0" xfId="0" applyAlignment="1" applyFont="1">
      <alignment horizontal="right" vertical="bottom"/>
    </xf>
    <xf borderId="0" fillId="3" fontId="1" numFmtId="165" xfId="0" applyAlignment="1" applyFont="1" applyNumberFormat="1">
      <alignment horizontal="right" readingOrder="0" vertical="bottom"/>
    </xf>
    <xf borderId="0" fillId="4" fontId="23" numFmtId="0" xfId="0" applyAlignment="1" applyFont="1">
      <alignment horizontal="right" vertical="bottom"/>
    </xf>
    <xf borderId="0" fillId="4" fontId="1" numFmtId="165" xfId="0" applyAlignment="1" applyFont="1" applyNumberFormat="1">
      <alignment horizontal="right" readingOrder="0" vertical="bottom"/>
    </xf>
    <xf borderId="0" fillId="3" fontId="24" numFmtId="0" xfId="0" applyAlignment="1" applyFont="1">
      <alignment horizontal="right" readingOrder="0" vertical="bottom"/>
    </xf>
    <xf borderId="0" fillId="0" fontId="1" numFmtId="165" xfId="0" applyAlignment="1" applyFont="1" applyNumberFormat="1">
      <alignment horizontal="right" vertical="bottom"/>
    </xf>
    <xf borderId="0" fillId="0" fontId="1" numFmtId="172" xfId="0" applyAlignment="1" applyFont="1" applyNumberFormat="1">
      <alignment vertical="bottom"/>
    </xf>
    <xf borderId="0" fillId="3" fontId="2" numFmtId="3" xfId="0" applyAlignment="1" applyFont="1" applyNumberFormat="1">
      <alignment vertical="bottom"/>
    </xf>
    <xf borderId="0" fillId="3" fontId="2" numFmtId="3" xfId="0" applyAlignment="1" applyFont="1" applyNumberFormat="1">
      <alignment horizontal="right" vertical="bottom"/>
    </xf>
    <xf borderId="0" fillId="0" fontId="2" numFmtId="3" xfId="0" applyAlignment="1" applyFont="1" applyNumberFormat="1">
      <alignment vertical="bottom"/>
    </xf>
    <xf borderId="0" fillId="3" fontId="25" numFmtId="0" xfId="0" applyAlignment="1" applyFont="1">
      <alignment vertical="bottom"/>
    </xf>
    <xf borderId="0" fillId="0" fontId="5" numFmtId="0" xfId="0" applyAlignment="1" applyFont="1">
      <alignment readingOrder="0"/>
    </xf>
    <xf borderId="0" fillId="0" fontId="26" numFmtId="0" xfId="0" applyAlignment="1" applyFont="1">
      <alignment readingOrder="0"/>
    </xf>
    <xf borderId="0" fillId="4" fontId="1" numFmtId="0" xfId="0" applyAlignment="1" applyFont="1">
      <alignment readingOrder="0" vertical="bottom"/>
    </xf>
  </cellXfs>
  <cellStyles count="1">
    <cellStyle xfId="0" name="Normal" builtinId="0"/>
  </cellStyles>
  <dxfs count="1">
    <dxf>
      <font/>
      <fill>
        <patternFill patternType="none"/>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20" Type="http://schemas.openxmlformats.org/officeDocument/2006/relationships/pivotCacheDefinition" Target="pivotCache/pivotCacheDefinition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pivotCacheDefinition" Target="pivotCache/pivotCacheDefinition1.xml"/><Relationship Id="rId14" Type="http://schemas.openxmlformats.org/officeDocument/2006/relationships/worksheet" Target="worksheets/sheet11.xml"/><Relationship Id="rId17" Type="http://schemas.openxmlformats.org/officeDocument/2006/relationships/pivotCacheDefinition" Target="pivotCache/pivotCacheDefinition3.xml"/><Relationship Id="rId16" Type="http://schemas.openxmlformats.org/officeDocument/2006/relationships/pivotCacheDefinition" Target="pivotCache/pivotCacheDefinition2.xml"/><Relationship Id="rId19" Type="http://schemas.openxmlformats.org/officeDocument/2006/relationships/pivotCacheDefinition" Target="pivotCache/pivotCacheDefinition5.xml"/><Relationship Id="rId18" Type="http://schemas.openxmlformats.org/officeDocument/2006/relationships/pivotCacheDefinition" Target="pivotCache/pivotCacheDefinition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Polkadot Treasury Asset Portfolio - 2024-09-30</a:t>
            </a:r>
          </a:p>
        </c:rich>
      </c:tx>
      <c:overlay val="0"/>
    </c:title>
    <c:plotArea>
      <c:layout/>
      <c:pieChart>
        <c:varyColors val="1"/>
        <c:ser>
          <c:idx val="0"/>
          <c:order val="0"/>
          <c:tx>
            <c:strRef>
              <c:f>'Balance Sheet'!$J$56</c:f>
            </c:strRef>
          </c:tx>
          <c:dPt>
            <c:idx val="0"/>
            <c:spPr>
              <a:solidFill>
                <a:srgbClr val="4285F4"/>
              </a:solidFill>
            </c:spPr>
          </c:dPt>
          <c:dPt>
            <c:idx val="1"/>
            <c:spPr>
              <a:solidFill>
                <a:srgbClr val="EA4335"/>
              </a:solidFill>
            </c:spPr>
          </c:dPt>
          <c:dPt>
            <c:idx val="2"/>
            <c:spPr>
              <a:solidFill>
                <a:srgbClr val="FBBC04"/>
              </a:solidFill>
            </c:spPr>
          </c:dPt>
          <c:dPt>
            <c:idx val="3"/>
            <c:spPr>
              <a:solidFill>
                <a:srgbClr val="34A853"/>
              </a:solidFill>
            </c:spPr>
          </c:dPt>
          <c:dLbls>
            <c:showLegendKey val="0"/>
            <c:showVal val="0"/>
            <c:showCatName val="0"/>
            <c:showSerName val="0"/>
            <c:showPercent val="0"/>
            <c:showBubbleSize val="0"/>
            <c:showLeaderLines val="1"/>
          </c:dLbls>
          <c:cat>
            <c:strRef>
              <c:f>'Balance Sheet'!$I$57:$I$60</c:f>
            </c:strRef>
          </c:cat>
          <c:val>
            <c:numRef>
              <c:f>'Balance Sheet'!$J$57:$J$60</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Polkadot Treasury Accounts - 2024-09-30</a:t>
            </a:r>
          </a:p>
        </c:rich>
      </c:tx>
      <c:overlay val="0"/>
    </c:title>
    <c:plotArea>
      <c:layout/>
      <c:pieChart>
        <c:varyColors val="1"/>
        <c:ser>
          <c:idx val="0"/>
          <c:order val="0"/>
          <c:dPt>
            <c:idx val="0"/>
            <c:spPr>
              <a:solidFill>
                <a:srgbClr val="4285F4"/>
              </a:solidFill>
            </c:spPr>
          </c:dPt>
          <c:dPt>
            <c:idx val="1"/>
            <c:spPr>
              <a:solidFill>
                <a:srgbClr val="EA4335"/>
              </a:solidFill>
            </c:spPr>
          </c:dPt>
          <c:dPt>
            <c:idx val="2"/>
            <c:spPr>
              <a:solidFill>
                <a:srgbClr val="FBBC04"/>
              </a:solidFill>
            </c:spPr>
          </c:dPt>
          <c:dPt>
            <c:idx val="3"/>
            <c:spPr>
              <a:solidFill>
                <a:srgbClr val="34A853"/>
              </a:solidFill>
            </c:spPr>
          </c:dPt>
          <c:dPt>
            <c:idx val="4"/>
            <c:spPr>
              <a:solidFill>
                <a:srgbClr val="FF6D01"/>
              </a:solidFill>
            </c:spPr>
          </c:dPt>
          <c:dPt>
            <c:idx val="5"/>
            <c:spPr>
              <a:solidFill>
                <a:srgbClr val="46BDC6"/>
              </a:solidFill>
            </c:spPr>
          </c:dPt>
          <c:dPt>
            <c:idx val="6"/>
            <c:spPr>
              <a:solidFill>
                <a:srgbClr val="7BAAF7"/>
              </a:solidFill>
            </c:spPr>
          </c:dPt>
          <c:dPt>
            <c:idx val="7"/>
            <c:spPr>
              <a:solidFill>
                <a:srgbClr val="F07B72"/>
              </a:solidFill>
            </c:spPr>
          </c:dPt>
          <c:dPt>
            <c:idx val="8"/>
            <c:spPr>
              <a:solidFill>
                <a:srgbClr val="FCD04F"/>
              </a:solidFill>
            </c:spPr>
          </c:dPt>
          <c:dPt>
            <c:idx val="9"/>
            <c:spPr>
              <a:solidFill>
                <a:srgbClr val="71C287"/>
              </a:solidFill>
            </c:spPr>
          </c:dPt>
          <c:dPt>
            <c:idx val="10"/>
            <c:spPr>
              <a:solidFill>
                <a:srgbClr val="FF994D"/>
              </a:solidFill>
            </c:spPr>
          </c:dPt>
          <c:dPt>
            <c:idx val="11"/>
            <c:spPr>
              <a:solidFill>
                <a:srgbClr val="7ED1D7"/>
              </a:solidFill>
            </c:spPr>
          </c:dPt>
          <c:dPt>
            <c:idx val="12"/>
            <c:spPr>
              <a:solidFill>
                <a:srgbClr val="B3CEFB"/>
              </a:solidFill>
            </c:spPr>
          </c:dPt>
          <c:dPt>
            <c:idx val="13"/>
            <c:spPr>
              <a:solidFill>
                <a:srgbClr val="F7B4AE"/>
              </a:solidFill>
            </c:spPr>
          </c:dPt>
          <c:dPt>
            <c:idx val="14"/>
            <c:spPr>
              <a:solidFill>
                <a:srgbClr val="FDE49B"/>
              </a:solidFill>
            </c:spPr>
          </c:dPt>
          <c:dLbls>
            <c:showLegendKey val="0"/>
            <c:showVal val="0"/>
            <c:showCatName val="0"/>
            <c:showSerName val="0"/>
            <c:showPercent val="0"/>
            <c:showBubbleSize val="0"/>
            <c:showLeaderLines val="1"/>
          </c:dLbls>
          <c:cat>
            <c:strRef>
              <c:f>'Balance Sheet'!$I$80:$I$94</c:f>
            </c:strRef>
          </c:cat>
          <c:val>
            <c:numRef>
              <c:f>'Balance Sheet'!$J$80:$J$94</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Polkadot Balance Sheet Assets by Category - 2024-09-30</a:t>
            </a:r>
          </a:p>
        </c:rich>
      </c:tx>
      <c:overlay val="0"/>
    </c:title>
    <c:plotArea>
      <c:layout/>
      <c:pieChart>
        <c:varyColors val="1"/>
        <c:ser>
          <c:idx val="0"/>
          <c:order val="0"/>
          <c:dPt>
            <c:idx val="0"/>
            <c:spPr>
              <a:solidFill>
                <a:srgbClr val="4285F4"/>
              </a:solidFill>
            </c:spPr>
          </c:dPt>
          <c:dPt>
            <c:idx val="1"/>
            <c:spPr>
              <a:solidFill>
                <a:srgbClr val="EA4335"/>
              </a:solidFill>
            </c:spPr>
          </c:dPt>
          <c:dPt>
            <c:idx val="2"/>
            <c:spPr>
              <a:solidFill>
                <a:srgbClr val="FBBC04"/>
              </a:solidFill>
            </c:spPr>
          </c:dPt>
          <c:dPt>
            <c:idx val="3"/>
            <c:spPr>
              <a:solidFill>
                <a:srgbClr val="34A853"/>
              </a:solidFill>
            </c:spPr>
          </c:dPt>
          <c:dLbls>
            <c:showLegendKey val="0"/>
            <c:showVal val="0"/>
            <c:showCatName val="0"/>
            <c:showSerName val="0"/>
            <c:showPercent val="0"/>
            <c:showBubbleSize val="0"/>
            <c:showLeaderLines val="1"/>
          </c:dLbls>
          <c:cat>
            <c:strRef>
              <c:f>'Balance Sheet'!$H$108:$H$111</c:f>
            </c:strRef>
          </c:cat>
          <c:val>
            <c:numRef>
              <c:f>'Balance Sheet'!$J$108:$J$111</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Polkadot Treasury Assets by Chain - 2024-09-30</a:t>
            </a:r>
          </a:p>
        </c:rich>
      </c:tx>
      <c:overlay val="0"/>
    </c:title>
    <c:plotArea>
      <c:layout/>
      <c:pieChart>
        <c:varyColors val="1"/>
        <c:ser>
          <c:idx val="0"/>
          <c:order val="0"/>
          <c:dPt>
            <c:idx val="0"/>
            <c:spPr>
              <a:solidFill>
                <a:srgbClr val="4285F4"/>
              </a:solidFill>
            </c:spPr>
          </c:dPt>
          <c:dPt>
            <c:idx val="1"/>
            <c:spPr>
              <a:solidFill>
                <a:srgbClr val="EA4335"/>
              </a:solidFill>
            </c:spPr>
          </c:dPt>
          <c:dPt>
            <c:idx val="2"/>
            <c:spPr>
              <a:solidFill>
                <a:srgbClr val="FBBC04"/>
              </a:solidFill>
            </c:spPr>
          </c:dPt>
          <c:dPt>
            <c:idx val="3"/>
            <c:spPr>
              <a:solidFill>
                <a:srgbClr val="34A853"/>
              </a:solidFill>
            </c:spPr>
          </c:dPt>
          <c:dPt>
            <c:idx val="4"/>
            <c:spPr>
              <a:solidFill>
                <a:srgbClr val="FF6D01"/>
              </a:solidFill>
            </c:spPr>
          </c:dPt>
          <c:dPt>
            <c:idx val="5"/>
            <c:spPr>
              <a:solidFill>
                <a:srgbClr val="46BDC6"/>
              </a:solidFill>
            </c:spPr>
          </c:dPt>
          <c:dPt>
            <c:idx val="6"/>
            <c:spPr>
              <a:solidFill>
                <a:srgbClr val="7BAAF7"/>
              </a:solidFill>
            </c:spPr>
          </c:dPt>
          <c:dLbls>
            <c:showLegendKey val="0"/>
            <c:showVal val="0"/>
            <c:showCatName val="0"/>
            <c:showSerName val="0"/>
            <c:showPercent val="0"/>
            <c:showBubbleSize val="0"/>
            <c:showLeaderLines val="1"/>
          </c:dLbls>
          <c:cat>
            <c:strRef>
              <c:f>'Balance Sheet'!$I$133:$I$139</c:f>
            </c:strRef>
          </c:cat>
          <c:val>
            <c:numRef>
              <c:f>'Balance Sheet'!$J$133:$J$139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USD spending per Month</a:t>
            </a:r>
          </a:p>
        </c:rich>
      </c:tx>
      <c:overlay val="0"/>
    </c:title>
    <c:plotArea>
      <c:layout/>
      <c:barChart>
        <c:barDir val="col"/>
        <c:ser>
          <c:idx val="0"/>
          <c:order val="0"/>
          <c:tx>
            <c:strRef>
              <c:f>'Aggregated Pivots'!$C$12:$C$13</c:f>
            </c:strRef>
          </c:tx>
          <c:spPr>
            <a:solidFill>
              <a:schemeClr val="accent1"/>
            </a:solidFill>
            <a:ln cmpd="sng">
              <a:solidFill>
                <a:srgbClr val="000000"/>
              </a:solidFill>
            </a:ln>
          </c:spPr>
          <c:cat>
            <c:strRef>
              <c:f>'Aggregated Pivots'!$B$14:$B$28</c:f>
            </c:strRef>
          </c:cat>
          <c:val>
            <c:numRef>
              <c:f>'Aggregated Pivots'!$C$14:$C$28</c:f>
              <c:numCache/>
            </c:numRef>
          </c:val>
        </c:ser>
        <c:axId val="990706142"/>
        <c:axId val="1467854064"/>
      </c:barChart>
      <c:catAx>
        <c:axId val="99070614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year-month</a:t>
                </a:r>
              </a:p>
            </c:rich>
          </c:tx>
          <c:overlay val="0"/>
        </c:title>
        <c:numFmt formatCode="General" sourceLinked="1"/>
        <c:majorTickMark val="none"/>
        <c:minorTickMark val="none"/>
        <c:spPr/>
        <c:txPr>
          <a:bodyPr/>
          <a:lstStyle/>
          <a:p>
            <a:pPr lvl="0">
              <a:defRPr b="0">
                <a:solidFill>
                  <a:srgbClr val="000000"/>
                </a:solidFill>
                <a:latin typeface="+mn-lt"/>
              </a:defRPr>
            </a:pPr>
          </a:p>
        </c:txPr>
        <c:crossAx val="1467854064"/>
      </c:catAx>
      <c:valAx>
        <c:axId val="146785406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90706142"/>
      </c:valAx>
    </c:plotArea>
    <c:legend>
      <c:legendPos val="r"/>
      <c:overlay val="0"/>
      <c:txPr>
        <a:bodyPr/>
        <a:lstStyle/>
        <a:p>
          <a:pPr lvl="0">
            <a:defRPr b="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Polkadot Treasury Expenses - Gov2 All Time</a:t>
            </a:r>
          </a:p>
        </c:rich>
      </c:tx>
      <c:overlay val="0"/>
    </c:title>
    <c:plotArea>
      <c:layout/>
      <c:pieChart>
        <c:varyColors val="1"/>
        <c:ser>
          <c:idx val="0"/>
          <c:order val="0"/>
          <c:tx>
            <c:strRef>
              <c:f>'Aggregated Pivots'!$M$51</c:f>
            </c:strRef>
          </c:tx>
          <c:dPt>
            <c:idx val="0"/>
            <c:spPr>
              <a:solidFill>
                <a:srgbClr val="4285F4"/>
              </a:solidFill>
            </c:spPr>
          </c:dPt>
          <c:dLbls>
            <c:showLegendKey val="0"/>
            <c:showVal val="0"/>
            <c:showCatName val="0"/>
            <c:showSerName val="0"/>
            <c:showPercent val="0"/>
            <c:showBubbleSize val="0"/>
            <c:showLeaderLines val="1"/>
          </c:dLbls>
          <c:cat>
            <c:strRef>
              <c:f>'Aggregated Pivots'!$N$45:$S$45</c:f>
            </c:strRef>
          </c:cat>
          <c:val>
            <c:numRef>
              <c:f>'Aggregated Pivots'!$N$51:$S$51</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USD spend per Quarter by Category</a:t>
            </a:r>
          </a:p>
        </c:rich>
      </c:tx>
      <c:overlay val="0"/>
    </c:title>
    <c:plotArea>
      <c:layout/>
      <c:barChart>
        <c:barDir val="col"/>
        <c:grouping val="stacked"/>
        <c:ser>
          <c:idx val="0"/>
          <c:order val="0"/>
          <c:tx>
            <c:strRef>
              <c:f>'Aggregated Pivots'!$N$45</c:f>
            </c:strRef>
          </c:tx>
          <c:spPr>
            <a:solidFill>
              <a:schemeClr val="accent1"/>
            </a:solidFill>
            <a:ln cmpd="sng">
              <a:solidFill>
                <a:srgbClr val="000000"/>
              </a:solidFill>
            </a:ln>
          </c:spPr>
          <c:cat>
            <c:strRef>
              <c:f>'Aggregated Pivots'!$M$46:$M$50</c:f>
            </c:strRef>
          </c:cat>
          <c:val>
            <c:numRef>
              <c:f>'Aggregated Pivots'!$N$46:$N$50</c:f>
              <c:numCache/>
            </c:numRef>
          </c:val>
        </c:ser>
        <c:ser>
          <c:idx val="1"/>
          <c:order val="1"/>
          <c:tx>
            <c:strRef>
              <c:f>'Aggregated Pivots'!$O$45</c:f>
            </c:strRef>
          </c:tx>
          <c:spPr>
            <a:solidFill>
              <a:schemeClr val="accent2"/>
            </a:solidFill>
            <a:ln cmpd="sng">
              <a:solidFill>
                <a:srgbClr val="000000"/>
              </a:solidFill>
            </a:ln>
          </c:spPr>
          <c:cat>
            <c:strRef>
              <c:f>'Aggregated Pivots'!$M$46:$M$50</c:f>
            </c:strRef>
          </c:cat>
          <c:val>
            <c:numRef>
              <c:f>'Aggregated Pivots'!$O$46:$O$50</c:f>
              <c:numCache/>
            </c:numRef>
          </c:val>
        </c:ser>
        <c:ser>
          <c:idx val="2"/>
          <c:order val="2"/>
          <c:tx>
            <c:strRef>
              <c:f>'Aggregated Pivots'!$P$45</c:f>
            </c:strRef>
          </c:tx>
          <c:spPr>
            <a:solidFill>
              <a:schemeClr val="accent4"/>
            </a:solidFill>
            <a:ln cmpd="sng">
              <a:solidFill>
                <a:srgbClr val="000000"/>
              </a:solidFill>
            </a:ln>
          </c:spPr>
          <c:cat>
            <c:strRef>
              <c:f>'Aggregated Pivots'!$M$46:$M$50</c:f>
            </c:strRef>
          </c:cat>
          <c:val>
            <c:numRef>
              <c:f>'Aggregated Pivots'!$P$46:$P$50</c:f>
              <c:numCache/>
            </c:numRef>
          </c:val>
        </c:ser>
        <c:ser>
          <c:idx val="3"/>
          <c:order val="3"/>
          <c:tx>
            <c:strRef>
              <c:f>'Aggregated Pivots'!$Q$45</c:f>
            </c:strRef>
          </c:tx>
          <c:spPr>
            <a:solidFill>
              <a:schemeClr val="accent3"/>
            </a:solidFill>
            <a:ln cmpd="sng">
              <a:solidFill>
                <a:srgbClr val="000000"/>
              </a:solidFill>
            </a:ln>
          </c:spPr>
          <c:cat>
            <c:strRef>
              <c:f>'Aggregated Pivots'!$M$46:$M$50</c:f>
            </c:strRef>
          </c:cat>
          <c:val>
            <c:numRef>
              <c:f>'Aggregated Pivots'!$Q$46:$Q$50</c:f>
              <c:numCache/>
            </c:numRef>
          </c:val>
        </c:ser>
        <c:ser>
          <c:idx val="4"/>
          <c:order val="4"/>
          <c:tx>
            <c:strRef>
              <c:f>'Aggregated Pivots'!$R$45</c:f>
            </c:strRef>
          </c:tx>
          <c:spPr>
            <a:solidFill>
              <a:schemeClr val="accent6"/>
            </a:solidFill>
            <a:ln cmpd="sng">
              <a:solidFill>
                <a:srgbClr val="000000"/>
              </a:solidFill>
            </a:ln>
          </c:spPr>
          <c:cat>
            <c:strRef>
              <c:f>'Aggregated Pivots'!$M$46:$M$50</c:f>
            </c:strRef>
          </c:cat>
          <c:val>
            <c:numRef>
              <c:f>'Aggregated Pivots'!$R$46:$R$50</c:f>
              <c:numCache/>
            </c:numRef>
          </c:val>
        </c:ser>
        <c:ser>
          <c:idx val="5"/>
          <c:order val="5"/>
          <c:tx>
            <c:strRef>
              <c:f>'Aggregated Pivots'!$S$45</c:f>
            </c:strRef>
          </c:tx>
          <c:spPr>
            <a:solidFill>
              <a:schemeClr val="accent5"/>
            </a:solidFill>
            <a:ln cmpd="sng">
              <a:solidFill>
                <a:srgbClr val="000000"/>
              </a:solidFill>
            </a:ln>
          </c:spPr>
          <c:cat>
            <c:strRef>
              <c:f>'Aggregated Pivots'!$M$46:$M$50</c:f>
            </c:strRef>
          </c:cat>
          <c:val>
            <c:numRef>
              <c:f>'Aggregated Pivots'!$S$46:$S$50</c:f>
              <c:numCache/>
            </c:numRef>
          </c:val>
        </c:ser>
        <c:overlap val="100"/>
        <c:axId val="510451979"/>
        <c:axId val="1056027962"/>
      </c:barChart>
      <c:catAx>
        <c:axId val="51045197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056027962"/>
      </c:catAx>
      <c:valAx>
        <c:axId val="105602796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10451979"/>
      </c:valAx>
    </c:plotArea>
    <c:legend>
      <c:legendPos val="r"/>
      <c:overlay val="0"/>
      <c:txPr>
        <a:bodyPr/>
        <a:lstStyle/>
        <a:p>
          <a:pPr lvl="0">
            <a:defRPr b="0">
              <a:solidFill>
                <a:srgbClr val="1A1A1A"/>
              </a:solidFill>
              <a:latin typeface="+mn-lt"/>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Polkadot Treasury Expenses 2024-Q3</a:t>
            </a:r>
          </a:p>
        </c:rich>
      </c:tx>
      <c:overlay val="0"/>
    </c:title>
    <c:plotArea>
      <c:layout/>
      <c:pieChart>
        <c:varyColors val="1"/>
        <c:ser>
          <c:idx val="0"/>
          <c:order val="0"/>
          <c:tx>
            <c:strRef>
              <c:f>'Aggregated Pivots'!$R$30:$R$31</c:f>
            </c:strRef>
          </c:tx>
          <c:dPt>
            <c:idx val="0"/>
            <c:spPr>
              <a:solidFill>
                <a:schemeClr val="accent1"/>
              </a:solidFill>
            </c:spPr>
          </c:dPt>
          <c:dPt>
            <c:idx val="1"/>
            <c:spPr>
              <a:solidFill>
                <a:srgbClr val="EA4335"/>
              </a:solidFill>
            </c:spPr>
          </c:dPt>
          <c:dPt>
            <c:idx val="2"/>
            <c:spPr>
              <a:solidFill>
                <a:srgbClr val="FBBC04"/>
              </a:solidFill>
            </c:spPr>
          </c:dPt>
          <c:dPt>
            <c:idx val="3"/>
            <c:spPr>
              <a:solidFill>
                <a:schemeClr val="accent3"/>
              </a:solidFill>
            </c:spPr>
          </c:dPt>
          <c:dPt>
            <c:idx val="4"/>
            <c:spPr>
              <a:solidFill>
                <a:schemeClr val="accent6"/>
              </a:solidFill>
            </c:spPr>
          </c:dPt>
          <c:dPt>
            <c:idx val="5"/>
            <c:spPr>
              <a:solidFill>
                <a:schemeClr val="accent5"/>
              </a:solidFill>
            </c:spPr>
          </c:dPt>
          <c:dLbls>
            <c:showLegendKey val="0"/>
            <c:showVal val="0"/>
            <c:showCatName val="0"/>
            <c:showSerName val="0"/>
            <c:showPercent val="0"/>
            <c:showBubbleSize val="0"/>
            <c:showLeaderLines val="1"/>
          </c:dLbls>
          <c:cat>
            <c:strRef>
              <c:f>'Aggregated Pivots'!$M$32:$M$37</c:f>
            </c:strRef>
          </c:cat>
          <c:val>
            <c:numRef>
              <c:f>'Aggregated Pivots'!$R$32:$R$37</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DOT spending per Quarter</a:t>
            </a:r>
          </a:p>
        </c:rich>
      </c:tx>
      <c:overlay val="0"/>
    </c:title>
    <c:plotArea>
      <c:layout/>
      <c:barChart>
        <c:barDir val="col"/>
        <c:ser>
          <c:idx val="0"/>
          <c:order val="0"/>
          <c:tx>
            <c:strRef>
              <c:f>'Aggregated Pivots'!$D$1:$D$2</c:f>
            </c:strRef>
          </c:tx>
          <c:spPr>
            <a:solidFill>
              <a:schemeClr val="accent1"/>
            </a:solidFill>
            <a:ln cmpd="sng">
              <a:solidFill>
                <a:srgbClr val="000000"/>
              </a:solidFill>
            </a:ln>
          </c:spPr>
          <c:cat>
            <c:strRef>
              <c:f>'Aggregated Pivots'!$B$3:$B$7</c:f>
            </c:strRef>
          </c:cat>
          <c:val>
            <c:numRef>
              <c:f>'Aggregated Pivots'!$D$3:$D$7</c:f>
              <c:numCache/>
            </c:numRef>
          </c:val>
        </c:ser>
        <c:axId val="1226387964"/>
        <c:axId val="1961716224"/>
      </c:barChart>
      <c:catAx>
        <c:axId val="122638796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Quarterly Spend</a:t>
                </a:r>
              </a:p>
            </c:rich>
          </c:tx>
          <c:overlay val="0"/>
        </c:title>
        <c:numFmt formatCode="General" sourceLinked="1"/>
        <c:majorTickMark val="none"/>
        <c:minorTickMark val="none"/>
        <c:spPr/>
        <c:txPr>
          <a:bodyPr/>
          <a:lstStyle/>
          <a:p>
            <a:pPr lvl="0">
              <a:defRPr b="0">
                <a:solidFill>
                  <a:srgbClr val="000000"/>
                </a:solidFill>
                <a:latin typeface="+mn-lt"/>
              </a:defRPr>
            </a:pPr>
          </a:p>
        </c:txPr>
        <c:crossAx val="1961716224"/>
      </c:catAx>
      <c:valAx>
        <c:axId val="1961716224"/>
        <c:scaling>
          <c:orientation val="minMax"/>
        </c:scaling>
        <c:delete val="0"/>
        <c:axPos val="l"/>
        <c:majorGridlines>
          <c:spPr>
            <a:ln>
              <a:solidFill>
                <a:srgbClr val="999999"/>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cross"/>
        <c:minorTickMark val="none"/>
        <c:tickLblPos val="nextTo"/>
        <c:spPr>
          <a:ln/>
        </c:spPr>
        <c:txPr>
          <a:bodyPr/>
          <a:lstStyle/>
          <a:p>
            <a:pPr lvl="0">
              <a:defRPr b="0">
                <a:solidFill>
                  <a:srgbClr val="000000"/>
                </a:solidFill>
                <a:latin typeface="+mn-lt"/>
              </a:defRPr>
            </a:pPr>
          </a:p>
        </c:txPr>
        <c:crossAx val="1226387964"/>
        <c:majorUnit val="4500000.0"/>
      </c:valAx>
    </c:plotArea>
    <c:legend>
      <c:legendPos val="r"/>
      <c:overlay val="0"/>
      <c:txPr>
        <a:bodyPr/>
        <a:lstStyle/>
        <a:p>
          <a:pPr lvl="0">
            <a:defRPr b="0">
              <a:solidFill>
                <a:srgbClr val="1A1A1A"/>
              </a:solidFill>
              <a:latin typeface="+mn-lt"/>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DOT spending per Month</a:t>
            </a:r>
          </a:p>
        </c:rich>
      </c:tx>
      <c:overlay val="0"/>
    </c:title>
    <c:plotArea>
      <c:layout/>
      <c:barChart>
        <c:barDir val="col"/>
        <c:ser>
          <c:idx val="0"/>
          <c:order val="0"/>
          <c:tx>
            <c:strRef>
              <c:f>'Aggregated Pivots'!$D$12:$D$13</c:f>
            </c:strRef>
          </c:tx>
          <c:spPr>
            <a:solidFill>
              <a:schemeClr val="accent1"/>
            </a:solidFill>
            <a:ln cmpd="sng">
              <a:solidFill>
                <a:srgbClr val="000000"/>
              </a:solidFill>
            </a:ln>
          </c:spPr>
          <c:cat>
            <c:strRef>
              <c:f>'Aggregated Pivots'!$B$14:$B$28</c:f>
            </c:strRef>
          </c:cat>
          <c:val>
            <c:numRef>
              <c:f>'Aggregated Pivots'!$D$14:$D$28</c:f>
              <c:numCache/>
            </c:numRef>
          </c:val>
        </c:ser>
        <c:axId val="672966522"/>
        <c:axId val="289263697"/>
      </c:barChart>
      <c:catAx>
        <c:axId val="67296652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year-month</a:t>
                </a:r>
              </a:p>
            </c:rich>
          </c:tx>
          <c:overlay val="0"/>
        </c:title>
        <c:numFmt formatCode="General" sourceLinked="1"/>
        <c:majorTickMark val="none"/>
        <c:minorTickMark val="none"/>
        <c:spPr/>
        <c:txPr>
          <a:bodyPr/>
          <a:lstStyle/>
          <a:p>
            <a:pPr lvl="0">
              <a:defRPr b="0">
                <a:solidFill>
                  <a:srgbClr val="000000"/>
                </a:solidFill>
                <a:latin typeface="+mn-lt"/>
              </a:defRPr>
            </a:pPr>
          </a:p>
        </c:txPr>
        <c:crossAx val="289263697"/>
      </c:catAx>
      <c:valAx>
        <c:axId val="28926369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72966522"/>
        <c:majorUnit val="1500000.0"/>
      </c:valAx>
    </c:plotArea>
    <c:legend>
      <c:legendPos val="r"/>
      <c:overlay val="0"/>
      <c:txPr>
        <a:bodyPr/>
        <a:lstStyle/>
        <a:p>
          <a:pPr lvl="0">
            <a:defRPr b="0">
              <a:solidFill>
                <a:srgbClr val="1A1A1A"/>
              </a:solidFill>
              <a:latin typeface="+mn-lt"/>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Ref per Day</a:t>
            </a:r>
          </a:p>
        </c:rich>
      </c:tx>
      <c:overlay val="0"/>
    </c:title>
    <c:plotArea>
      <c:layout/>
      <c:barChart>
        <c:barDir val="col"/>
        <c:ser>
          <c:idx val="0"/>
          <c:order val="0"/>
          <c:tx>
            <c:strRef>
              <c:f>'Referenda Pivot Statistics'!$E$5:$E$6</c:f>
            </c:strRef>
          </c:tx>
          <c:spPr>
            <a:solidFill>
              <a:schemeClr val="accent1"/>
            </a:solidFill>
            <a:ln cmpd="sng">
              <a:solidFill>
                <a:srgbClr val="000000"/>
              </a:solidFill>
            </a:ln>
          </c:spPr>
          <c:cat>
            <c:strRef>
              <c:f>'Referenda Pivot Statistics'!$B$7:$B$21</c:f>
            </c:strRef>
          </c:cat>
          <c:val>
            <c:numRef>
              <c:f>'Referenda Pivot Statistics'!$E$7:$E$21</c:f>
              <c:numCache/>
            </c:numRef>
          </c:val>
        </c:ser>
        <c:axId val="1361422252"/>
        <c:axId val="567773638"/>
      </c:barChart>
      <c:catAx>
        <c:axId val="136142225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567773638"/>
      </c:catAx>
      <c:valAx>
        <c:axId val="56777363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61422252"/>
      </c:valAx>
    </c:plotArea>
    <c:legend>
      <c:legendPos val="r"/>
      <c:overlay val="0"/>
      <c:txPr>
        <a:bodyPr/>
        <a:lstStyle/>
        <a:p>
          <a:pPr lvl="0">
            <a:defRPr b="0">
              <a:solidFill>
                <a:srgbClr val="1A1A1A"/>
              </a:solidFill>
              <a:latin typeface="+mn-lt"/>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Ref per Month</a:t>
            </a:r>
          </a:p>
        </c:rich>
      </c:tx>
      <c:overlay val="0"/>
    </c:title>
    <c:plotArea>
      <c:layout/>
      <c:barChart>
        <c:barDir val="col"/>
        <c:ser>
          <c:idx val="0"/>
          <c:order val="0"/>
          <c:tx>
            <c:strRef>
              <c:f>'Referenda Pivot Statistics'!$C$5</c:f>
            </c:strRef>
          </c:tx>
          <c:spPr>
            <a:solidFill>
              <a:schemeClr val="accent1"/>
            </a:solidFill>
            <a:ln cmpd="sng">
              <a:solidFill>
                <a:srgbClr val="000000"/>
              </a:solidFill>
            </a:ln>
          </c:spPr>
          <c:cat>
            <c:strRef>
              <c:f>'Referenda Pivot Statistics'!$B$6:$B$21</c:f>
            </c:strRef>
          </c:cat>
          <c:val>
            <c:numRef>
              <c:f>'Referenda Pivot Statistics'!$C$6:$C$21</c:f>
              <c:numCache/>
            </c:numRef>
          </c:val>
        </c:ser>
        <c:axId val="1741084303"/>
        <c:axId val="664127177"/>
      </c:barChart>
      <c:catAx>
        <c:axId val="174108430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64127177"/>
      </c:catAx>
      <c:valAx>
        <c:axId val="66412717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41084303"/>
      </c:valAx>
    </c:plotArea>
    <c:legend>
      <c:legendPos val="r"/>
      <c:overlay val="0"/>
      <c:txPr>
        <a:bodyPr/>
        <a:lstStyle/>
        <a:p>
          <a:pPr lvl="0">
            <a:defRPr b="0">
              <a:solidFill>
                <a:srgbClr val="1A1A1A"/>
              </a:solidFill>
              <a:latin typeface="+mn-lt"/>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Accepted and Rejected</a:t>
            </a:r>
          </a:p>
        </c:rich>
      </c:tx>
      <c:overlay val="0"/>
    </c:title>
    <c:plotArea>
      <c:layout/>
      <c:barChart>
        <c:barDir val="col"/>
        <c:ser>
          <c:idx val="0"/>
          <c:order val="0"/>
          <c:tx>
            <c:strRef>
              <c:f>'Referenda Pivot Statistics'!$L$5:$L$6</c:f>
            </c:strRef>
          </c:tx>
          <c:spPr>
            <a:solidFill>
              <a:schemeClr val="accent1"/>
            </a:solidFill>
            <a:ln cmpd="sng">
              <a:solidFill>
                <a:srgbClr val="000000"/>
              </a:solidFill>
            </a:ln>
          </c:spPr>
          <c:cat>
            <c:strRef>
              <c:f>'Referenda Pivot Statistics'!$G$7:$G$22</c:f>
            </c:strRef>
          </c:cat>
          <c:val>
            <c:numRef>
              <c:f>'Referenda Pivot Statistics'!$L$7:$L$22</c:f>
              <c:numCache/>
            </c:numRef>
          </c:val>
        </c:ser>
        <c:ser>
          <c:idx val="1"/>
          <c:order val="1"/>
          <c:tx>
            <c:strRef>
              <c:f>'Referenda Pivot Statistics'!$P$5:$P$6</c:f>
            </c:strRef>
          </c:tx>
          <c:spPr>
            <a:solidFill>
              <a:schemeClr val="accent2"/>
            </a:solidFill>
            <a:ln cmpd="sng">
              <a:solidFill>
                <a:srgbClr val="000000"/>
              </a:solidFill>
            </a:ln>
          </c:spPr>
          <c:cat>
            <c:strRef>
              <c:f>'Referenda Pivot Statistics'!$G$7:$G$22</c:f>
            </c:strRef>
          </c:cat>
          <c:val>
            <c:numRef>
              <c:f>'Referenda Pivot Statistics'!$P$7:$P$22</c:f>
              <c:numCache/>
            </c:numRef>
          </c:val>
        </c:ser>
        <c:axId val="452338792"/>
        <c:axId val="2019967401"/>
      </c:barChart>
      <c:catAx>
        <c:axId val="45233879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019967401"/>
      </c:catAx>
      <c:valAx>
        <c:axId val="201996740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52338792"/>
      </c:valAx>
    </c:plotArea>
    <c:legend>
      <c:legendPos val="r"/>
      <c:overlay val="0"/>
      <c:txPr>
        <a:bodyPr/>
        <a:lstStyle/>
        <a:p>
          <a:pPr lvl="0">
            <a:defRPr b="0">
              <a:solidFill>
                <a:srgbClr val="1A1A1A"/>
              </a:solidFill>
              <a:latin typeface="+mn-lt"/>
            </a:defRPr>
          </a:pPr>
        </a:p>
      </c:txPr>
    </c:legend>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Cancelled, failed to execute, timed out without decision deposit</a:t>
            </a:r>
          </a:p>
        </c:rich>
      </c:tx>
      <c:overlay val="0"/>
    </c:title>
    <c:plotArea>
      <c:layout/>
      <c:barChart>
        <c:barDir val="col"/>
        <c:ser>
          <c:idx val="0"/>
          <c:order val="0"/>
          <c:tx>
            <c:strRef>
              <c:f>'Referenda Pivot Statistics'!$I$5:$I$6</c:f>
            </c:strRef>
          </c:tx>
          <c:spPr>
            <a:solidFill>
              <a:schemeClr val="accent1"/>
            </a:solidFill>
            <a:ln cmpd="sng">
              <a:solidFill>
                <a:srgbClr val="000000"/>
              </a:solidFill>
            </a:ln>
          </c:spPr>
          <c:cat>
            <c:strRef>
              <c:f>'Referenda Pivot Statistics'!$G$7:$G$22</c:f>
            </c:strRef>
          </c:cat>
          <c:val>
            <c:numRef>
              <c:f>'Referenda Pivot Statistics'!$I$7:$I$22</c:f>
              <c:numCache/>
            </c:numRef>
          </c:val>
        </c:ser>
        <c:ser>
          <c:idx val="1"/>
          <c:order val="1"/>
          <c:tx>
            <c:strRef>
              <c:f>'Referenda Pivot Statistics'!$M$5:$M$6</c:f>
            </c:strRef>
          </c:tx>
          <c:spPr>
            <a:solidFill>
              <a:schemeClr val="accent2"/>
            </a:solidFill>
            <a:ln cmpd="sng">
              <a:solidFill>
                <a:srgbClr val="000000"/>
              </a:solidFill>
            </a:ln>
          </c:spPr>
          <c:cat>
            <c:strRef>
              <c:f>'Referenda Pivot Statistics'!$G$7:$G$22</c:f>
            </c:strRef>
          </c:cat>
          <c:val>
            <c:numRef>
              <c:f>'Referenda Pivot Statistics'!$M$7:$M$22</c:f>
              <c:numCache/>
            </c:numRef>
          </c:val>
        </c:ser>
        <c:ser>
          <c:idx val="2"/>
          <c:order val="2"/>
          <c:tx>
            <c:strRef>
              <c:f>'Referenda Pivot Statistics'!$Q$5:$Q$6</c:f>
            </c:strRef>
          </c:tx>
          <c:spPr>
            <a:solidFill>
              <a:schemeClr val="accent3"/>
            </a:solidFill>
            <a:ln cmpd="sng">
              <a:solidFill>
                <a:srgbClr val="000000"/>
              </a:solidFill>
            </a:ln>
          </c:spPr>
          <c:cat>
            <c:strRef>
              <c:f>'Referenda Pivot Statistics'!$G$7:$G$22</c:f>
            </c:strRef>
          </c:cat>
          <c:val>
            <c:numRef>
              <c:f>'Referenda Pivot Statistics'!$Q$7:$Q$22</c:f>
              <c:numCache/>
            </c:numRef>
          </c:val>
        </c:ser>
        <c:axId val="159625537"/>
        <c:axId val="813522266"/>
      </c:barChart>
      <c:catAx>
        <c:axId val="15962553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813522266"/>
      </c:catAx>
      <c:valAx>
        <c:axId val="81352226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9625537"/>
      </c:valAx>
    </c:plotArea>
    <c:legend>
      <c:legendPos val="r"/>
      <c:overlay val="0"/>
      <c:txPr>
        <a:bodyPr/>
        <a:lstStyle/>
        <a:p>
          <a:pPr lvl="0">
            <a:defRPr b="0">
              <a:solidFill>
                <a:srgbClr val="1A1A1A"/>
              </a:solidFill>
              <a:latin typeface="+mn-lt"/>
            </a:defRPr>
          </a:pPr>
        </a:p>
      </c:txPr>
    </c:legend>
    <c:plotVisOnly val="1"/>
  </c:chart>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ERROR PLEASE VOTE NAY</a:t>
            </a:r>
          </a:p>
        </c:rich>
      </c:tx>
      <c:overlay val="0"/>
    </c:title>
    <c:plotArea>
      <c:layout/>
      <c:barChart>
        <c:barDir val="col"/>
        <c:ser>
          <c:idx val="0"/>
          <c:order val="0"/>
          <c:tx>
            <c:strRef>
              <c:f>'Referenda Pivot Statistics'!$H$69:$H$70</c:f>
            </c:strRef>
          </c:tx>
          <c:spPr>
            <a:solidFill>
              <a:schemeClr val="accent1"/>
            </a:solidFill>
            <a:ln cmpd="sng">
              <a:solidFill>
                <a:srgbClr val="000000"/>
              </a:solidFill>
            </a:ln>
          </c:spPr>
          <c:cat>
            <c:strRef>
              <c:f>'Referenda Pivot Statistics'!$F$71:$F$86</c:f>
            </c:strRef>
          </c:cat>
          <c:val>
            <c:numRef>
              <c:f>'Referenda Pivot Statistics'!$H$71:$H$86</c:f>
              <c:numCache/>
            </c:numRef>
          </c:val>
        </c:ser>
        <c:axId val="1075183459"/>
        <c:axId val="409819072"/>
      </c:barChart>
      <c:catAx>
        <c:axId val="107518345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year-month</a:t>
                </a:r>
              </a:p>
            </c:rich>
          </c:tx>
          <c:overlay val="0"/>
        </c:title>
        <c:numFmt formatCode="General" sourceLinked="1"/>
        <c:majorTickMark val="none"/>
        <c:minorTickMark val="none"/>
        <c:spPr/>
        <c:txPr>
          <a:bodyPr/>
          <a:lstStyle/>
          <a:p>
            <a:pPr lvl="0">
              <a:defRPr b="0">
                <a:solidFill>
                  <a:srgbClr val="000000"/>
                </a:solidFill>
                <a:latin typeface="+mn-lt"/>
              </a:defRPr>
            </a:pPr>
          </a:p>
        </c:txPr>
        <c:crossAx val="409819072"/>
      </c:catAx>
      <c:valAx>
        <c:axId val="40981907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75183459"/>
      </c:valAx>
    </c:plotArea>
    <c:legend>
      <c:legendPos val="r"/>
      <c:overlay val="0"/>
      <c:txPr>
        <a:bodyPr/>
        <a:lstStyle/>
        <a:p>
          <a:pPr lvl="0">
            <a:defRPr b="0">
              <a:solidFill>
                <a:srgbClr val="1A1A1A"/>
              </a:solidFill>
              <a:latin typeface="+mn-lt"/>
            </a:defRPr>
          </a:pPr>
        </a:p>
      </c:txPr>
    </c:legend>
    <c:plotVisOnly val="1"/>
  </c:chart>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Bounty Reserves - 2024-09-30</a:t>
            </a:r>
          </a:p>
        </c:rich>
      </c:tx>
      <c:overlay val="0"/>
    </c:title>
    <c:plotArea>
      <c:layout/>
      <c:pieChart>
        <c:varyColors val="1"/>
        <c:ser>
          <c:idx val="0"/>
          <c:order val="0"/>
          <c:dPt>
            <c:idx val="0"/>
            <c:spPr>
              <a:solidFill>
                <a:srgbClr val="4285F4"/>
              </a:solidFill>
            </c:spPr>
          </c:dPt>
          <c:dPt>
            <c:idx val="1"/>
            <c:spPr>
              <a:solidFill>
                <a:srgbClr val="EA4335"/>
              </a:solidFill>
            </c:spPr>
          </c:dPt>
          <c:dPt>
            <c:idx val="2"/>
            <c:spPr>
              <a:solidFill>
                <a:srgbClr val="FBBC04"/>
              </a:solidFill>
            </c:spPr>
          </c:dPt>
          <c:dPt>
            <c:idx val="3"/>
            <c:spPr>
              <a:solidFill>
                <a:srgbClr val="34A853"/>
              </a:solidFill>
            </c:spPr>
          </c:dPt>
          <c:dPt>
            <c:idx val="4"/>
            <c:spPr>
              <a:solidFill>
                <a:srgbClr val="FF6D01"/>
              </a:solidFill>
            </c:spPr>
          </c:dPt>
          <c:dPt>
            <c:idx val="5"/>
            <c:spPr>
              <a:solidFill>
                <a:srgbClr val="46BDC6"/>
              </a:solidFill>
            </c:spPr>
          </c:dPt>
          <c:dPt>
            <c:idx val="6"/>
            <c:spPr>
              <a:solidFill>
                <a:srgbClr val="7BAAF7"/>
              </a:solidFill>
            </c:spPr>
          </c:dPt>
          <c:dPt>
            <c:idx val="7"/>
            <c:spPr>
              <a:solidFill>
                <a:srgbClr val="F07B72"/>
              </a:solidFill>
            </c:spPr>
          </c:dPt>
          <c:dPt>
            <c:idx val="8"/>
            <c:spPr>
              <a:solidFill>
                <a:srgbClr val="FCD04F"/>
              </a:solidFill>
            </c:spPr>
          </c:dPt>
          <c:dPt>
            <c:idx val="9"/>
            <c:spPr>
              <a:solidFill>
                <a:srgbClr val="71C287"/>
              </a:solidFill>
            </c:spPr>
          </c:dPt>
          <c:dPt>
            <c:idx val="10"/>
            <c:spPr>
              <a:solidFill>
                <a:srgbClr val="FF994D"/>
              </a:solidFill>
            </c:spPr>
          </c:dPt>
          <c:dPt>
            <c:idx val="11"/>
            <c:spPr>
              <a:solidFill>
                <a:srgbClr val="7ED1D7"/>
              </a:solidFill>
            </c:spPr>
          </c:dPt>
          <c:dPt>
            <c:idx val="12"/>
            <c:spPr>
              <a:solidFill>
                <a:srgbClr val="B3CEFB"/>
              </a:solidFill>
            </c:spPr>
          </c:dPt>
          <c:dPt>
            <c:idx val="13"/>
            <c:spPr>
              <a:solidFill>
                <a:srgbClr val="F7B4AE"/>
              </a:solidFill>
            </c:spPr>
          </c:dPt>
          <c:dPt>
            <c:idx val="14"/>
            <c:spPr>
              <a:solidFill>
                <a:srgbClr val="FDE49B"/>
              </a:solidFill>
            </c:spPr>
          </c:dPt>
          <c:dPt>
            <c:idx val="15"/>
            <c:spPr>
              <a:solidFill>
                <a:srgbClr val="AEDCBA"/>
              </a:solidFill>
            </c:spPr>
          </c:dPt>
          <c:dPt>
            <c:idx val="16"/>
            <c:spPr>
              <a:solidFill>
                <a:srgbClr val="FFC599"/>
              </a:solidFill>
            </c:spPr>
          </c:dPt>
          <c:dPt>
            <c:idx val="17"/>
            <c:spPr>
              <a:solidFill>
                <a:srgbClr val="B5E5E8"/>
              </a:solidFill>
            </c:spPr>
          </c:dPt>
          <c:dPt>
            <c:idx val="18"/>
            <c:spPr>
              <a:solidFill>
                <a:srgbClr val="ECF3FE"/>
              </a:solidFill>
            </c:spPr>
          </c:dPt>
          <c:dPt>
            <c:idx val="19"/>
            <c:spPr>
              <a:solidFill>
                <a:srgbClr val="FDECEB"/>
              </a:solidFill>
            </c:spPr>
          </c:dPt>
          <c:dPt>
            <c:idx val="20"/>
            <c:spPr>
              <a:solidFill>
                <a:srgbClr val="FFF8E6"/>
              </a:solidFill>
            </c:spPr>
          </c:dPt>
          <c:dPt>
            <c:idx val="21"/>
            <c:spPr>
              <a:solidFill>
                <a:srgbClr val="EBF6EE"/>
              </a:solidFill>
            </c:spPr>
          </c:dPt>
          <c:dLbls>
            <c:showLegendKey val="0"/>
            <c:showVal val="0"/>
            <c:showCatName val="0"/>
            <c:showSerName val="0"/>
            <c:showPercent val="0"/>
            <c:showBubbleSize val="0"/>
            <c:showLeaderLines val="1"/>
          </c:dLbls>
          <c:cat>
            <c:strRef>
              <c:f>Bounties!$B$2:$B$23</c:f>
            </c:strRef>
          </c:cat>
          <c:val>
            <c:numRef>
              <c:f>Bounties!$E$2:$E$23</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 Id="rId2" Type="http://schemas.openxmlformats.org/officeDocument/2006/relationships/chart" Target="../charts/chart6.xml"/><Relationship Id="rId3" Type="http://schemas.openxmlformats.org/officeDocument/2006/relationships/chart" Target="../charts/chart7.xml"/><Relationship Id="rId4" Type="http://schemas.openxmlformats.org/officeDocument/2006/relationships/chart" Target="../charts/chart8.xml"/><Relationship Id="rId5" Type="http://schemas.openxmlformats.org/officeDocument/2006/relationships/chart" Target="../charts/chart9.xml"/><Relationship Id="rId6"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1.xml"/><Relationship Id="rId2" Type="http://schemas.openxmlformats.org/officeDocument/2006/relationships/chart" Target="../charts/chart12.xml"/><Relationship Id="rId3" Type="http://schemas.openxmlformats.org/officeDocument/2006/relationships/chart" Target="../charts/chart13.xml"/><Relationship Id="rId4" Type="http://schemas.openxmlformats.org/officeDocument/2006/relationships/chart" Target="../charts/chart14.xml"/><Relationship Id="rId5"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676275</xdr:colOff>
      <xdr:row>53</xdr:row>
      <xdr:rowOff>76200</xdr:rowOff>
    </xdr:from>
    <xdr:ext cx="6305550" cy="390525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10</xdr:col>
      <xdr:colOff>695325</xdr:colOff>
      <xdr:row>77</xdr:row>
      <xdr:rowOff>190500</xdr:rowOff>
    </xdr:from>
    <xdr:ext cx="8753475" cy="54197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10</xdr:col>
      <xdr:colOff>990600</xdr:colOff>
      <xdr:row>104</xdr:row>
      <xdr:rowOff>142875</xdr:rowOff>
    </xdr:from>
    <xdr:ext cx="7896225" cy="4895850"/>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11</xdr:col>
      <xdr:colOff>295275</xdr:colOff>
      <xdr:row>130</xdr:row>
      <xdr:rowOff>142875</xdr:rowOff>
    </xdr:from>
    <xdr:ext cx="5848350" cy="3648075"/>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923925</xdr:colOff>
      <xdr:row>95</xdr:row>
      <xdr:rowOff>66675</xdr:rowOff>
    </xdr:from>
    <xdr:ext cx="5715000" cy="3533775"/>
    <xdr:graphicFrame>
      <xdr:nvGraphicFramePr>
        <xdr:cNvPr id="5" name="Chart 5"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15</xdr:col>
      <xdr:colOff>762000</xdr:colOff>
      <xdr:row>62</xdr:row>
      <xdr:rowOff>66675</xdr:rowOff>
    </xdr:from>
    <xdr:ext cx="5934075" cy="3676650"/>
    <xdr:graphicFrame>
      <xdr:nvGraphicFramePr>
        <xdr:cNvPr id="6" name="Chart 6"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7</xdr:col>
      <xdr:colOff>590550</xdr:colOff>
      <xdr:row>62</xdr:row>
      <xdr:rowOff>133350</xdr:rowOff>
    </xdr:from>
    <xdr:ext cx="7258050" cy="3533775"/>
    <xdr:graphicFrame>
      <xdr:nvGraphicFramePr>
        <xdr:cNvPr id="7" name="Chart 7"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22</xdr:col>
      <xdr:colOff>123825</xdr:colOff>
      <xdr:row>62</xdr:row>
      <xdr:rowOff>133350</xdr:rowOff>
    </xdr:from>
    <xdr:ext cx="6686550" cy="4152900"/>
    <xdr:graphicFrame>
      <xdr:nvGraphicFramePr>
        <xdr:cNvPr id="8" name="Chart 8"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28</xdr:col>
      <xdr:colOff>981075</xdr:colOff>
      <xdr:row>64</xdr:row>
      <xdr:rowOff>47625</xdr:rowOff>
    </xdr:from>
    <xdr:ext cx="5715000" cy="3533775"/>
    <xdr:graphicFrame>
      <xdr:nvGraphicFramePr>
        <xdr:cNvPr id="9" name="Chart 9"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6</xdr:col>
      <xdr:colOff>285750</xdr:colOff>
      <xdr:row>95</xdr:row>
      <xdr:rowOff>114300</xdr:rowOff>
    </xdr:from>
    <xdr:ext cx="5715000" cy="3533775"/>
    <xdr:graphicFrame>
      <xdr:nvGraphicFramePr>
        <xdr:cNvPr id="10" name="Chart 10" title="Chart"/>
        <xdr:cNvGraphicFramePr/>
      </xdr:nvGraphicFramePr>
      <xdr:xfrm>
        <a:off x="0" y="0"/>
        <a:ext cx="0" cy="0"/>
      </xdr:xfrm>
      <a:graphic>
        <a:graphicData uri="http://schemas.openxmlformats.org/drawingml/2006/chart">
          <c:chart r:id="rId6"/>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866775</xdr:colOff>
      <xdr:row>23</xdr:row>
      <xdr:rowOff>180975</xdr:rowOff>
    </xdr:from>
    <xdr:ext cx="5715000" cy="3533775"/>
    <xdr:graphicFrame>
      <xdr:nvGraphicFramePr>
        <xdr:cNvPr id="11" name="Chart 1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5</xdr:col>
      <xdr:colOff>876300</xdr:colOff>
      <xdr:row>26</xdr:row>
      <xdr:rowOff>76200</xdr:rowOff>
    </xdr:from>
    <xdr:ext cx="5715000" cy="3533775"/>
    <xdr:graphicFrame>
      <xdr:nvGraphicFramePr>
        <xdr:cNvPr id="12" name="Chart 1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7</xdr:col>
      <xdr:colOff>485775</xdr:colOff>
      <xdr:row>47</xdr:row>
      <xdr:rowOff>28575</xdr:rowOff>
    </xdr:from>
    <xdr:ext cx="5715000" cy="3533775"/>
    <xdr:graphicFrame>
      <xdr:nvGraphicFramePr>
        <xdr:cNvPr id="13" name="Chart 1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13</xdr:col>
      <xdr:colOff>895350</xdr:colOff>
      <xdr:row>46</xdr:row>
      <xdr:rowOff>114300</xdr:rowOff>
    </xdr:from>
    <xdr:ext cx="5715000" cy="3533775"/>
    <xdr:graphicFrame>
      <xdr:nvGraphicFramePr>
        <xdr:cNvPr id="14" name="Chart 1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8</xdr:col>
      <xdr:colOff>371475</xdr:colOff>
      <xdr:row>68</xdr:row>
      <xdr:rowOff>152400</xdr:rowOff>
    </xdr:from>
    <xdr:ext cx="5715000" cy="3533775"/>
    <xdr:graphicFrame>
      <xdr:nvGraphicFramePr>
        <xdr:cNvPr id="15" name="Chart 15" title="Chart"/>
        <xdr:cNvGraphicFramePr/>
      </xdr:nvGraphicFramePr>
      <xdr:xfrm>
        <a:off x="0" y="0"/>
        <a:ext cx="0" cy="0"/>
      </xdr:xfrm>
      <a:graphic>
        <a:graphicData uri="http://schemas.openxmlformats.org/drawingml/2006/chart">
          <c:chart r:id="rId5"/>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838200</xdr:colOff>
      <xdr:row>3</xdr:row>
      <xdr:rowOff>142875</xdr:rowOff>
    </xdr:from>
    <xdr:ext cx="10420350" cy="6448425"/>
    <xdr:graphicFrame>
      <xdr:nvGraphicFramePr>
        <xdr:cNvPr id="16" name="Chart 16"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4.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5.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6.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E112" sheet="Parity Data"/>
  </cacheSource>
  <cacheFields>
    <cacheField name="month" numFmtId="170">
      <sharedItems containsSemiMixedTypes="0" containsDate="1" containsString="0">
        <d v="2024-09-01T00:00:00Z"/>
        <d v="2024-08-01T00:00:00Z"/>
        <d v="2024-07-01T00:00:00Z"/>
        <d v="2024-06-01T00:00:00Z"/>
        <d v="2024-05-01T00:00:00Z"/>
        <d v="2024-04-01T00:00:00Z"/>
        <d v="2024-03-01T00:00:00Z"/>
        <d v="2024-02-01T00:00:00Z"/>
        <d v="2024-01-01T00:00:00Z"/>
        <d v="2023-12-01T00:00:00Z"/>
        <d v="2023-11-01T00:00:00Z"/>
        <d v="2023-10-01T00:00:00Z"/>
        <d v="2023-09-01T00:00:00Z"/>
        <d v="2023-08-01T00:00:00Z"/>
        <d v="2023-07-01T00:00:00Z"/>
        <d v="2023-06-01T00:00:00Z"/>
      </sharedItems>
    </cacheField>
    <cacheField name="flow_type" numFmtId="0">
      <sharedItems>
        <s v="AH_relay_treasury_inflows"/>
        <s v="AH_relay_treasury_outflows"/>
        <s v="proposals"/>
        <s v="other"/>
        <s v="bounties"/>
        <s v="inflation"/>
        <s v="transfers"/>
        <s v="burnt"/>
        <s v="fees"/>
        <s v="AH_fellowship_sub_treasury_inflows"/>
        <s v="AH_fellowship_sub_treasury_outflows"/>
        <s v="tips"/>
      </sharedItems>
    </cacheField>
    <cacheField name="amount" numFmtId="0">
      <sharedItems containsSemiMixedTypes="0" containsString="0" containsNumber="1">
        <n v="75.5428891354"/>
        <n v="-7152358.62"/>
        <n v="-256383.05"/>
        <n v="13.0400000000008"/>
        <n v="-258023.175414444"/>
        <n v="121591.452917814"/>
        <n v="2210.28376"/>
        <n v="-168868.976306092"/>
        <n v="4270.7867772908"/>
        <n v="-1232135.66"/>
        <n v="392.0"/>
        <n v="-20619.000001478"/>
        <n v="116.8435346"/>
        <n v="-410369.822890843"/>
        <n v="-171766.997126488"/>
        <n v="141016.708851877"/>
        <n v="5053.6266287027"/>
        <n v="-423071.04"/>
        <n v="3454.61"/>
        <n v="317.719184693"/>
        <n v="-813682.0"/>
        <n v="114.3676170686"/>
        <n v="-709054.694383693"/>
        <n v="2679.47"/>
        <n v="163292.985918617"/>
        <n v="-180773.046154"/>
        <n v="4249.5661008238"/>
        <n v="-1078862.8767"/>
        <n v="-101462.0"/>
        <n v="181.7221554931"/>
        <n v="-212704.932776557"/>
        <n v="-2128047.5185729"/>
        <n v="-443230.120138642"/>
        <n v="4887.91272876389"/>
        <n v="10.0"/>
        <n v="270417.538520708"/>
        <n v="7717.0"/>
        <n v="-69.0"/>
        <n v="95.9817883786"/>
        <n v="103894.346225235"/>
        <n v="-471888.948110687"/>
        <n v="-298052.569897118"/>
        <n v="5921.2515006542"/>
        <n v="556335.165316746"/>
        <n v="-2837982.463518"/>
        <n v="33.64054"/>
        <n v="-332681.390357072"/>
        <n v="-3872009.15979"/>
        <n v="-353344.565405416"/>
        <n v="7123.8633820169"/>
        <n v="1101382.44442246"/>
        <n v="5937.0"/>
        <n v="-1005285.248651"/>
        <n v="-240332.032164168"/>
        <n v="9973.7386672626"/>
        <n v="1222759.41326793"/>
        <n v="12.1300000000046"/>
        <n v="-368289.741142955"/>
        <n v="-219450.433813827"/>
        <n v="-1861772.46301377"/>
        <n v="958413.129727022"/>
        <n v="-844982.423937498"/>
        <n v="7349.6988539243"/>
        <n v="47.05"/>
        <n v="-1035551.1564"/>
        <n v="15135.0"/>
        <n v="-431795.564524716"/>
        <n v="1155588.2594424"/>
        <n v="-86689.6060738947"/>
        <n v="6877.2804495644"/>
        <n v="-434424.682828081"/>
        <n v="-51264.9386978337"/>
        <n v="-837736.559"/>
        <n v="-448673.62"/>
        <n v="286012.094054346"/>
        <n v="1230252.32422189"/>
        <n v="6254.9157596411"/>
        <n v="101.0"/>
        <n v="-82700.6294367575"/>
        <n v="-885001.041692049"/>
        <n v="1247787.94106623"/>
        <n v="-1381319.1015423"/>
        <n v="6102.45"/>
        <n v="-448198.596304195"/>
        <n v="-225339.816901209"/>
        <n v="844716.539996738"/>
        <n v="-532545.206"/>
        <n v="4954.34709952149"/>
        <n v="75419.0"/>
        <n v="-453478.84378484"/>
        <n v="590476.351780591"/>
        <n v="-94211.0449711789"/>
        <n v="3785.0024491633"/>
        <n v="-282888.9769"/>
        <n v="877464.095642453"/>
        <n v="19224.9535"/>
        <n v="-37779.3656501209"/>
        <n v="-456100.37413604"/>
        <n v="3990.788481433"/>
        <n v="-227860.6825"/>
        <n v="-923238.684553963"/>
        <n v="4231.7657571648"/>
        <n v="-141.9796334012"/>
        <n v="1501423.17724249"/>
        <n v="-46732.144504634"/>
        <n v="-969861.527599999"/>
        <n v="-458022.550537059"/>
        <n v="-695.15"/>
        <n v="-228599.843564164"/>
        <n v="1576980.124122"/>
        <n v="4214.5223853776"/>
      </sharedItems>
    </cacheField>
    <cacheField name="amount_usd" numFmtId="0">
      <sharedItems containsSemiMixedTypes="0" containsString="0" containsNumber="1">
        <n v="327.904405835414"/>
        <n v="-7694379.36823245"/>
        <n v="-1067363.26424097"/>
        <n v="58.2302301709423"/>
        <n v="-1151648.74377004"/>
        <n v="527269.055821534"/>
        <n v="9842.37513846344"/>
        <n v="-703028.307757093"/>
        <n v="18550.1528116708"/>
        <n v="-2064778.79801855"/>
        <n v="1668.66323665943"/>
        <n v="-91783.1080798181"/>
        <n v="541.243643523389"/>
        <n v="-1973070.80999483"/>
        <n v="-735364.617812245"/>
        <n v="654432.894226676"/>
        <n v="23384.975557212"/>
        <n v="-1811241.26777351"/>
        <n v="15621.3766353835"/>
        <n v="1485.90280819752"/>
        <n v="-813682.0"/>
        <n v="687.000475509689"/>
        <n v="-4294409.57518707"/>
        <n v="15174.6561344399"/>
        <n v="985180.425015485"/>
        <n v="-1104875.3177095"/>
        <n v="25687.8335577175"/>
        <n v="-6593952.96488744"/>
        <n v="-101462.0"/>
        <n v="1127.56330939835"/>
        <n v="-1357761.71431613"/>
        <n v="-1.45289091684634E7"/>
        <n v="-2970089.42259221"/>
        <n v="31030.5288861066"/>
        <n v="61.6292983187853"/>
        <n v="1737949.3470554"/>
        <n v="54981.8935006916"/>
        <n v="-69.0"/>
        <n v="683.194427393904"/>
        <n v="786354.639586789"/>
        <n v="-3495158.89874784"/>
        <n v="-1983453.47221774"/>
        <n v="42193.0195809747"/>
        <n v="3933317.69144359"/>
        <n v="-1.88859508015679E7"/>
        <n v="236.025002047516"/>
        <n v="-2190389.99345115"/>
        <n v="-2.54934912621719E7"/>
        <n v="-2724853.31358538"/>
        <n v="54910.7848669002"/>
        <n v="8451310.08067739"/>
        <n v="51565.4479399854"/>
        <n v="-9062790.87579063"/>
        <n v="-2365660.65974943"/>
        <n v="98494.2235214999"/>
        <n v="1.20472041440289E7"/>
        <n v="114.545990590582"/>
        <n v="-3320184.90289855"/>
        <n v="-1662480.41209315"/>
        <n v="-1.42437417424415E7"/>
        <n v="7115738.77291283"/>
        <n v="-6348690.13765699"/>
        <n v="54786.4850043477"/>
        <n v="393.940662111522"/>
        <n v="-8447160.57405289"/>
        <n v="120739.533506956"/>
        <n v="-3522227.21800061"/>
        <n v="8407262.39652482"/>
        <n v="-622926.846573093"/>
        <n v="50161.0328817225"/>
        <n v="-2986128.22535939"/>
        <n v="-364882.93676121"/>
        <n v="-5758394.68411451"/>
        <n v="-2461205.0177622"/>
        <n v="2192411.88595145"/>
        <n v="8855702.77465599"/>
        <n v="32067.2363388706"/>
        <n v="501.408306349993"/>
        <n v="-409434.813106199"/>
        <n v="-4291881.27639661"/>
        <n v="6396514.22015683"/>
        <n v="-6575668.66283509"/>
        <n v="31695.2729184839"/>
        <n v="-1817837.16693595"/>
        <n v="-873975.884930685"/>
        <n v="3426290.75629929"/>
        <n v="-2159936.41328435"/>
        <n v="19994.2874890689"/>
        <n v="315823.753835458"/>
        <n v="-1814368.51688118"/>
        <n v="2435532.90930219"/>
        <n v="-387510.802186602"/>
        <n v="15556.1784403073"/>
        <n v="-1131838.58628609"/>
        <n v="4244414.21946084"/>
        <n v="97315.5756497548"/>
        <n v="-183772.265400802"/>
        <n v="-2059375.40234263"/>
        <n v="19013.8911134596"/>
        <n v="-1028832.05388808"/>
        <n v="-4954914.56812294"/>
        <n v="22382.8040792717"/>
        <n v="-743.612943987957"/>
        <n v="7906344.01964254"/>
        <n v="-250005.908851945"/>
        <n v="-5101643.32274397"/>
        <n v="-2301512.28393386"/>
        <n v="-3229.64932759094"/>
        <n v="-1122468.79346482"/>
        <n v="7699354.99854813"/>
        <n v="20512.5861632762"/>
      </sharedItems>
    </cacheField>
    <cacheField name="quarter" numFmtId="0">
      <sharedItems>
        <s v="2024-Q3"/>
        <s v="2024-Q2"/>
        <s v="2024-Q1"/>
        <s v="2023-Q4"/>
        <s v="2023-Q3"/>
        <s v="2023-Q2"/>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W1199" sheet="Referenda"/>
  </cacheSource>
  <cacheFields>
    <cacheField name="Ref" numFmtId="0">
      <sharedItems containsSemiMixedTypes="0" containsString="0" containsNumber="1" containsInteger="1">
        <n v="0.0"/>
        <n v="1130.0"/>
        <n v="1.0"/>
        <n v="2.0"/>
        <n v="3.0"/>
        <n v="4.0"/>
        <n v="5.0"/>
        <n v="1141.0"/>
        <n v="6.0"/>
        <n v="7.0"/>
        <n v="8.0"/>
        <n v="1149.0"/>
        <n v="9.0"/>
        <n v="10.0"/>
        <n v="11.0"/>
        <n v="12.0"/>
        <n v="13.0"/>
        <n v="14.0"/>
        <n v="15.0"/>
        <n v="16.0"/>
        <n v="17.0"/>
        <n v="18.0"/>
        <n v="19.0"/>
        <n v="20.0"/>
        <n v="21.0"/>
        <n v="22.0"/>
        <n v="23.0"/>
        <n v="24.0"/>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n v="68.0"/>
        <n v="69.0"/>
        <n v="70.0"/>
        <n v="71.0"/>
        <n v="72.0"/>
        <n v="73.0"/>
        <n v="74.0"/>
        <n v="75.0"/>
        <n v="76.0"/>
        <n v="77.0"/>
        <n v="78.0"/>
        <n v="79.0"/>
        <n v="80.0"/>
        <n v="81.0"/>
        <n v="82.0"/>
        <n v="83.0"/>
        <n v="84.0"/>
        <n v="85.0"/>
        <n v="86.0"/>
        <n v="87.0"/>
        <n v="1068.0"/>
        <n v="88.0"/>
        <n v="1077.0"/>
        <n v="89.0"/>
        <n v="90.0"/>
        <n v="91.0"/>
        <n v="92.0"/>
        <n v="93.0"/>
        <n v="94.0"/>
        <n v="95.0"/>
        <n v="96.0"/>
        <n v="97.0"/>
        <n v="98.0"/>
        <n v="99.0"/>
        <n v="1099.0"/>
        <n v="100.0"/>
        <n v="101.0"/>
        <n v="102.0"/>
        <n v="103.0"/>
        <n v="104.0"/>
        <n v="105.0"/>
        <n v="106.0"/>
        <n v="107.0"/>
        <n v="108.0"/>
        <n v="109.0"/>
        <n v="110.0"/>
        <n v="111.0"/>
        <n v="112.0"/>
        <n v="113.0"/>
        <n v="114.0"/>
        <n v="115.0"/>
        <n v="116.0"/>
        <n v="117.0"/>
        <n v="118.0"/>
        <n v="119.0"/>
        <n v="120.0"/>
        <n v="121.0"/>
        <n v="122.0"/>
        <n v="123.0"/>
        <n v="124.0"/>
        <n v="125.0"/>
        <n v="126.0"/>
        <n v="127.0"/>
        <n v="128.0"/>
        <n v="129.0"/>
        <n v="130.0"/>
        <n v="131.0"/>
        <n v="132.0"/>
        <n v="133.0"/>
        <n v="134.0"/>
        <n v="135.0"/>
        <n v="136.0"/>
        <n v="137.0"/>
        <n v="138.0"/>
        <n v="139.0"/>
        <n v="140.0"/>
        <n v="141.0"/>
        <n v="142.0"/>
        <n v="143.0"/>
        <n v="144.0"/>
        <n v="145.0"/>
        <n v="146.0"/>
        <n v="147.0"/>
        <n v="148.0"/>
        <n v="149.0"/>
        <n v="150.0"/>
        <n v="151.0"/>
        <n v="152.0"/>
        <n v="153.0"/>
        <n v="154.0"/>
        <n v="155.0"/>
        <n v="156.0"/>
        <n v="157.0"/>
        <n v="158.0"/>
        <n v="159.0"/>
        <n v="160.0"/>
        <n v="161.0"/>
        <n v="162.0"/>
        <n v="163.0"/>
        <n v="164.0"/>
        <n v="165.0"/>
        <n v="166.0"/>
        <n v="167.0"/>
        <n v="168.0"/>
        <n v="169.0"/>
        <n v="170.0"/>
        <n v="171.0"/>
        <n v="172.0"/>
        <n v="173.0"/>
        <n v="174.0"/>
        <n v="175.0"/>
        <n v="176.0"/>
        <n v="177.0"/>
        <n v="178.0"/>
        <n v="179.0"/>
        <n v="180.0"/>
        <n v="181.0"/>
        <n v="182.0"/>
        <n v="183.0"/>
        <n v="184.0"/>
        <n v="185.0"/>
        <n v="186.0"/>
        <n v="187.0"/>
        <n v="188.0"/>
        <n v="189.0"/>
        <n v="190.0"/>
        <n v="191.0"/>
        <n v="192.0"/>
        <n v="193.0"/>
        <n v="194.0"/>
        <n v="195.0"/>
        <n v="196.0"/>
        <n v="197.0"/>
        <n v="198.0"/>
        <n v="199.0"/>
        <n v="200.0"/>
        <n v="201.0"/>
        <n v="202.0"/>
        <n v="203.0"/>
        <n v="204.0"/>
        <n v="205.0"/>
        <n v="206.0"/>
        <n v="207.0"/>
        <n v="208.0"/>
        <n v="209.0"/>
        <n v="210.0"/>
        <n v="211.0"/>
        <n v="212.0"/>
        <n v="213.0"/>
        <n v="214.0"/>
        <n v="215.0"/>
        <n v="216.0"/>
        <n v="217.0"/>
        <n v="218.0"/>
        <n v="219.0"/>
        <n v="220.0"/>
        <n v="221.0"/>
        <n v="222.0"/>
        <n v="223.0"/>
        <n v="224.0"/>
        <n v="225.0"/>
        <n v="226.0"/>
        <n v="227.0"/>
        <n v="228.0"/>
        <n v="229.0"/>
        <n v="230.0"/>
        <n v="231.0"/>
        <n v="232.0"/>
        <n v="233.0"/>
        <n v="234.0"/>
        <n v="235.0"/>
        <n v="236.0"/>
        <n v="237.0"/>
        <n v="238.0"/>
        <n v="239.0"/>
        <n v="240.0"/>
        <n v="241.0"/>
        <n v="242.0"/>
        <n v="243.0"/>
        <n v="244.0"/>
        <n v="245.0"/>
        <n v="246.0"/>
        <n v="247.0"/>
        <n v="248.0"/>
        <n v="249.0"/>
        <n v="250.0"/>
        <n v="251.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n v="410.0"/>
        <n v="411.0"/>
        <n v="412.0"/>
        <n v="413.0"/>
        <n v="414.0"/>
        <n v="415.0"/>
        <n v="416.0"/>
        <n v="417.0"/>
        <n v="418.0"/>
        <n v="419.0"/>
        <n v="420.0"/>
        <n v="421.0"/>
        <n v="422.0"/>
        <n v="423.0"/>
        <n v="424.0"/>
        <n v="425.0"/>
        <n v="426.0"/>
        <n v="427.0"/>
        <n v="428.0"/>
        <n v="429.0"/>
        <n v="430.0"/>
        <n v="431.0"/>
        <n v="432.0"/>
        <n v="433.0"/>
        <n v="434.0"/>
        <n v="435.0"/>
        <n v="436.0"/>
        <n v="437.0"/>
        <n v="438.0"/>
        <n v="439.0"/>
        <n v="440.0"/>
        <n v="441.0"/>
        <n v="442.0"/>
        <n v="443.0"/>
        <n v="444.0"/>
        <n v="445.0"/>
        <n v="446.0"/>
        <n v="447.0"/>
        <n v="448.0"/>
        <n v="449.0"/>
        <n v="450.0"/>
        <n v="451.0"/>
        <n v="452.0"/>
        <n v="453.0"/>
        <n v="454.0"/>
        <n v="455.0"/>
        <n v="456.0"/>
        <n v="457.0"/>
        <n v="458.0"/>
        <n v="459.0"/>
        <n v="460.0"/>
        <n v="461.0"/>
        <n v="462.0"/>
        <n v="463.0"/>
        <n v="464.0"/>
        <n v="465.0"/>
        <n v="466.0"/>
        <n v="467.0"/>
        <n v="468.0"/>
        <n v="469.0"/>
        <n v="470.0"/>
        <n v="471.0"/>
        <n v="472.0"/>
        <n v="473.0"/>
        <n v="474.0"/>
        <n v="475.0"/>
        <n v="476.0"/>
        <n v="477.0"/>
        <n v="478.0"/>
        <n v="479.0"/>
        <n v="480.0"/>
        <n v="481.0"/>
        <n v="482.0"/>
        <n v="483.0"/>
        <n v="484.0"/>
        <n v="485.0"/>
        <n v="486.0"/>
        <n v="487.0"/>
        <n v="488.0"/>
        <n v="489.0"/>
        <n v="490.0"/>
        <n v="491.0"/>
        <n v="492.0"/>
        <n v="493.0"/>
        <n v="494.0"/>
        <n v="495.0"/>
        <n v="496.0"/>
        <n v="497.0"/>
        <n v="498.0"/>
        <n v="499.0"/>
        <n v="500.0"/>
        <n v="501.0"/>
        <n v="502.0"/>
        <n v="503.0"/>
        <n v="504.0"/>
        <n v="505.0"/>
        <n v="506.0"/>
        <n v="507.0"/>
        <n v="508.0"/>
        <n v="509.0"/>
        <n v="510.0"/>
        <n v="511.0"/>
        <n v="512.0"/>
        <n v="513.0"/>
        <n v="514.0"/>
        <n v="515.0"/>
        <n v="516.0"/>
        <n v="517.0"/>
        <n v="518.0"/>
        <n v="519.0"/>
        <n v="520.0"/>
        <n v="521.0"/>
        <n v="522.0"/>
        <n v="523.0"/>
        <n v="524.0"/>
        <n v="525.0"/>
        <n v="526.0"/>
        <n v="527.0"/>
        <n v="528.0"/>
        <n v="529.0"/>
        <n v="530.0"/>
        <n v="531.0"/>
        <n v="532.0"/>
        <n v="533.0"/>
        <n v="534.0"/>
        <n v="535.0"/>
        <n v="536.0"/>
        <n v="537.0"/>
        <n v="538.0"/>
        <n v="539.0"/>
        <n v="540.0"/>
        <n v="541.0"/>
        <n v="542.0"/>
        <n v="543.0"/>
        <n v="544.0"/>
        <n v="545.0"/>
        <n v="546.0"/>
        <n v="547.0"/>
        <n v="548.0"/>
        <n v="549.0"/>
        <n v="550.0"/>
        <n v="551.0"/>
        <n v="552.0"/>
        <n v="553.0"/>
        <n v="554.0"/>
        <n v="555.0"/>
        <n v="556.0"/>
        <n v="557.0"/>
        <n v="558.0"/>
        <n v="559.0"/>
        <n v="560.0"/>
        <n v="561.0"/>
        <n v="562.0"/>
        <n v="563.0"/>
        <n v="564.0"/>
        <n v="565.0"/>
        <n v="566.0"/>
        <n v="567.0"/>
        <n v="568.0"/>
        <n v="569.0"/>
        <n v="570.0"/>
        <n v="571.0"/>
        <n v="572.0"/>
        <n v="573.0"/>
        <n v="574.0"/>
        <n v="575.0"/>
        <n v="576.0"/>
        <n v="577.0"/>
        <n v="578.0"/>
        <n v="579.0"/>
        <n v="580.0"/>
        <n v="581.0"/>
        <n v="582.0"/>
        <n v="583.0"/>
        <n v="584.0"/>
        <n v="585.0"/>
        <n v="586.0"/>
        <n v="587.0"/>
        <n v="588.0"/>
        <n v="589.0"/>
        <n v="590.0"/>
        <n v="591.0"/>
        <n v="592.0"/>
        <n v="593.0"/>
        <n v="594.0"/>
        <n v="595.0"/>
        <n v="596.0"/>
        <n v="597.0"/>
        <n v="598.0"/>
        <n v="599.0"/>
        <n v="600.0"/>
        <n v="601.0"/>
        <n v="602.0"/>
        <n v="603.0"/>
        <n v="604.0"/>
        <n v="605.0"/>
        <n v="606.0"/>
        <n v="607.0"/>
        <n v="608.0"/>
        <n v="609.0"/>
        <n v="610.0"/>
        <n v="611.0"/>
        <n v="612.0"/>
        <n v="613.0"/>
        <n v="614.0"/>
        <n v="615.0"/>
        <n v="616.0"/>
        <n v="617.0"/>
        <n v="618.0"/>
        <n v="619.0"/>
        <n v="620.0"/>
        <n v="621.0"/>
        <n v="622.0"/>
        <n v="623.0"/>
        <n v="624.0"/>
        <n v="625.0"/>
        <n v="626.0"/>
        <n v="627.0"/>
        <n v="628.0"/>
        <n v="629.0"/>
        <n v="630.0"/>
        <n v="631.0"/>
        <n v="632.0"/>
        <n v="633.0"/>
        <n v="634.0"/>
        <n v="635.0"/>
        <n v="636.0"/>
        <n v="637.0"/>
        <n v="638.0"/>
        <n v="639.0"/>
        <n v="640.0"/>
        <n v="641.0"/>
        <n v="642.0"/>
        <n v="643.0"/>
        <n v="644.0"/>
        <n v="645.0"/>
        <n v="646.0"/>
        <n v="647.0"/>
        <n v="648.0"/>
        <n v="649.0"/>
        <n v="650.0"/>
        <n v="651.0"/>
        <n v="652.0"/>
        <n v="653.0"/>
        <n v="654.0"/>
        <n v="655.0"/>
        <n v="656.0"/>
        <n v="657.0"/>
        <n v="658.0"/>
        <n v="659.0"/>
        <n v="660.0"/>
        <n v="661.0"/>
        <n v="662.0"/>
        <n v="663.0"/>
        <n v="664.0"/>
        <n v="665.0"/>
        <n v="666.0"/>
        <n v="667.0"/>
        <n v="668.0"/>
        <n v="669.0"/>
        <n v="670.0"/>
        <n v="671.0"/>
        <n v="672.0"/>
        <n v="673.0"/>
        <n v="674.0"/>
        <n v="675.0"/>
        <n v="676.0"/>
        <n v="677.0"/>
        <n v="678.0"/>
        <n v="679.0"/>
        <n v="680.0"/>
        <n v="681.0"/>
        <n v="682.0"/>
        <n v="683.0"/>
        <n v="684.0"/>
        <n v="685.0"/>
        <n v="686.0"/>
        <n v="687.0"/>
        <n v="688.0"/>
        <n v="689.0"/>
        <n v="690.0"/>
        <n v="691.0"/>
        <n v="692.0"/>
        <n v="693.0"/>
        <n v="694.0"/>
        <n v="695.0"/>
        <n v="696.0"/>
        <n v="697.0"/>
        <n v="698.0"/>
        <n v="699.0"/>
        <n v="700.0"/>
        <n v="701.0"/>
        <n v="702.0"/>
        <n v="703.0"/>
        <n v="704.0"/>
        <n v="705.0"/>
        <n v="706.0"/>
        <n v="707.0"/>
        <n v="708.0"/>
        <n v="709.0"/>
        <n v="710.0"/>
        <n v="711.0"/>
        <n v="712.0"/>
        <n v="713.0"/>
        <n v="714.0"/>
        <n v="715.0"/>
        <n v="716.0"/>
        <n v="717.0"/>
        <n v="718.0"/>
        <n v="719.0"/>
        <n v="720.0"/>
        <n v="721.0"/>
        <n v="722.0"/>
        <n v="723.0"/>
        <n v="724.0"/>
        <n v="725.0"/>
        <n v="726.0"/>
        <n v="727.0"/>
        <n v="728.0"/>
        <n v="729.0"/>
        <n v="730.0"/>
        <n v="731.0"/>
        <n v="732.0"/>
        <n v="733.0"/>
        <n v="734.0"/>
        <n v="735.0"/>
        <n v="736.0"/>
        <n v="737.0"/>
        <n v="738.0"/>
        <n v="739.0"/>
        <n v="740.0"/>
        <n v="741.0"/>
        <n v="742.0"/>
        <n v="743.0"/>
        <n v="744.0"/>
        <n v="745.0"/>
        <n v="746.0"/>
        <n v="747.0"/>
        <n v="748.0"/>
        <n v="749.0"/>
        <n v="750.0"/>
        <n v="751.0"/>
        <n v="752.0"/>
        <n v="753.0"/>
        <n v="754.0"/>
        <n v="755.0"/>
        <n v="756.0"/>
        <n v="757.0"/>
        <n v="758.0"/>
        <n v="759.0"/>
        <n v="760.0"/>
        <n v="761.0"/>
        <n v="762.0"/>
        <n v="763.0"/>
        <n v="764.0"/>
        <n v="765.0"/>
        <n v="766.0"/>
        <n v="767.0"/>
        <n v="768.0"/>
        <n v="769.0"/>
        <n v="770.0"/>
        <n v="771.0"/>
        <n v="772.0"/>
        <n v="773.0"/>
        <n v="774.0"/>
        <n v="775.0"/>
        <n v="776.0"/>
        <n v="777.0"/>
        <n v="778.0"/>
        <n v="779.0"/>
        <n v="780.0"/>
        <n v="781.0"/>
        <n v="782.0"/>
        <n v="783.0"/>
        <n v="784.0"/>
        <n v="785.0"/>
        <n v="786.0"/>
        <n v="787.0"/>
        <n v="788.0"/>
        <n v="789.0"/>
        <n v="790.0"/>
        <n v="791.0"/>
        <n v="792.0"/>
        <n v="793.0"/>
        <n v="794.0"/>
        <n v="795.0"/>
        <n v="796.0"/>
        <n v="797.0"/>
        <n v="798.0"/>
        <n v="799.0"/>
        <n v="800.0"/>
        <n v="801.0"/>
        <n v="802.0"/>
        <n v="803.0"/>
        <n v="804.0"/>
        <n v="805.0"/>
        <n v="806.0"/>
        <n v="807.0"/>
        <n v="808.0"/>
        <n v="809.0"/>
        <n v="810.0"/>
        <n v="811.0"/>
        <n v="812.0"/>
        <n v="813.0"/>
        <n v="814.0"/>
        <n v="815.0"/>
        <n v="816.0"/>
        <n v="817.0"/>
        <n v="818.0"/>
        <n v="819.0"/>
        <n v="820.0"/>
        <n v="821.0"/>
        <n v="822.0"/>
        <n v="823.0"/>
        <n v="824.0"/>
        <n v="825.0"/>
        <n v="826.0"/>
        <n v="827.0"/>
        <n v="828.0"/>
        <n v="829.0"/>
        <n v="830.0"/>
        <n v="831.0"/>
        <n v="832.0"/>
        <n v="833.0"/>
        <n v="834.0"/>
        <n v="835.0"/>
        <n v="836.0"/>
        <n v="837.0"/>
        <n v="838.0"/>
        <n v="839.0"/>
        <n v="840.0"/>
        <n v="841.0"/>
        <n v="842.0"/>
        <n v="843.0"/>
        <n v="844.0"/>
        <n v="845.0"/>
        <n v="846.0"/>
        <n v="847.0"/>
        <n v="848.0"/>
        <n v="849.0"/>
        <n v="850.0"/>
        <n v="851.0"/>
        <n v="852.0"/>
        <n v="853.0"/>
        <n v="854.0"/>
        <n v="855.0"/>
        <n v="856.0"/>
        <n v="857.0"/>
        <n v="858.0"/>
        <n v="859.0"/>
        <n v="860.0"/>
        <n v="861.0"/>
        <n v="862.0"/>
        <n v="863.0"/>
        <n v="864.0"/>
        <n v="865.0"/>
        <n v="866.0"/>
        <n v="867.0"/>
        <n v="868.0"/>
        <n v="869.0"/>
        <n v="870.0"/>
        <n v="871.0"/>
        <n v="872.0"/>
        <n v="873.0"/>
        <n v="874.0"/>
        <n v="875.0"/>
        <n v="876.0"/>
        <n v="877.0"/>
        <n v="878.0"/>
        <n v="879.0"/>
        <n v="880.0"/>
        <n v="881.0"/>
        <n v="882.0"/>
        <n v="883.0"/>
        <n v="884.0"/>
        <n v="885.0"/>
        <n v="886.0"/>
        <n v="887.0"/>
        <n v="888.0"/>
        <n v="889.0"/>
        <n v="890.0"/>
        <n v="891.0"/>
        <n v="892.0"/>
        <n v="893.0"/>
        <n v="894.0"/>
        <n v="895.0"/>
        <n v="896.0"/>
        <n v="897.0"/>
        <n v="898.0"/>
        <n v="899.0"/>
        <n v="900.0"/>
        <n v="901.0"/>
        <n v="902.0"/>
        <n v="903.0"/>
        <n v="904.0"/>
        <n v="905.0"/>
        <n v="906.0"/>
        <n v="907.0"/>
        <n v="908.0"/>
        <n v="909.0"/>
        <n v="910.0"/>
        <n v="911.0"/>
        <n v="912.0"/>
        <n v="913.0"/>
        <n v="914.0"/>
        <n v="915.0"/>
        <n v="916.0"/>
        <n v="917.0"/>
        <n v="918.0"/>
        <n v="919.0"/>
        <n v="920.0"/>
        <n v="921.0"/>
        <n v="922.0"/>
        <n v="923.0"/>
        <n v="924.0"/>
        <n v="925.0"/>
        <n v="926.0"/>
        <n v="927.0"/>
        <n v="928.0"/>
        <n v="929.0"/>
        <n v="930.0"/>
        <n v="931.0"/>
        <n v="932.0"/>
        <n v="933.0"/>
        <n v="934.0"/>
        <n v="935.0"/>
        <n v="936.0"/>
        <n v="937.0"/>
        <n v="938.0"/>
        <n v="939.0"/>
        <n v="940.0"/>
        <n v="941.0"/>
        <n v="942.0"/>
        <n v="943.0"/>
        <n v="944.0"/>
        <n v="945.0"/>
        <n v="946.0"/>
        <n v="947.0"/>
        <n v="948.0"/>
        <n v="949.0"/>
        <n v="950.0"/>
        <n v="951.0"/>
        <n v="952.0"/>
        <n v="953.0"/>
        <n v="954.0"/>
        <n v="955.0"/>
        <n v="956.0"/>
        <n v="957.0"/>
        <n v="958.0"/>
        <n v="959.0"/>
        <n v="960.0"/>
        <n v="961.0"/>
        <n v="962.0"/>
        <n v="963.0"/>
        <n v="964.0"/>
        <n v="965.0"/>
        <n v="966.0"/>
        <n v="967.0"/>
        <n v="968.0"/>
        <n v="969.0"/>
        <n v="970.0"/>
        <n v="971.0"/>
        <n v="972.0"/>
        <n v="973.0"/>
        <n v="974.0"/>
        <n v="975.0"/>
        <n v="976.0"/>
        <n v="977.0"/>
        <n v="978.0"/>
        <n v="979.0"/>
        <n v="980.0"/>
        <n v="981.0"/>
        <n v="982.0"/>
        <n v="983.0"/>
        <n v="984.0"/>
        <n v="985.0"/>
        <n v="986.0"/>
        <n v="987.0"/>
        <n v="988.0"/>
        <n v="989.0"/>
        <n v="990.0"/>
        <n v="991.0"/>
        <n v="992.0"/>
        <n v="993.0"/>
        <n v="994.0"/>
        <n v="995.0"/>
        <n v="996.0"/>
        <n v="997.0"/>
        <n v="998.0"/>
        <n v="999.0"/>
        <n v="1000.0"/>
        <n v="1001.0"/>
        <n v="1002.0"/>
        <n v="1003.0"/>
        <n v="1004.0"/>
        <n v="1005.0"/>
        <n v="1006.0"/>
        <n v="1007.0"/>
        <n v="1008.0"/>
        <n v="1009.0"/>
        <n v="1010.0"/>
        <n v="1011.0"/>
        <n v="1012.0"/>
        <n v="1013.0"/>
        <n v="1014.0"/>
        <n v="1015.0"/>
        <n v="1016.0"/>
        <n v="1017.0"/>
        <n v="1018.0"/>
        <n v="1019.0"/>
        <n v="1020.0"/>
        <n v="1021.0"/>
        <n v="1022.0"/>
        <n v="1023.0"/>
        <n v="1024.0"/>
        <n v="1025.0"/>
        <n v="1026.0"/>
        <n v="1027.0"/>
        <n v="1028.0"/>
        <n v="1029.0"/>
        <n v="1030.0"/>
        <n v="1031.0"/>
        <n v="1032.0"/>
        <n v="1033.0"/>
        <n v="1034.0"/>
        <n v="1035.0"/>
        <n v="1036.0"/>
        <n v="1037.0"/>
        <n v="1038.0"/>
        <n v="1039.0"/>
        <n v="1040.0"/>
        <n v="1041.0"/>
        <n v="1042.0"/>
        <n v="1043.0"/>
        <n v="1044.0"/>
        <n v="1045.0"/>
        <n v="1046.0"/>
        <n v="1047.0"/>
        <n v="1048.0"/>
        <n v="1049.0"/>
        <n v="1050.0"/>
        <n v="1051.0"/>
        <n v="1052.0"/>
        <n v="1053.0"/>
        <n v="1054.0"/>
        <n v="1055.0"/>
        <n v="1056.0"/>
        <n v="1057.0"/>
        <n v="1058.0"/>
        <n v="1059.0"/>
        <n v="1060.0"/>
        <n v="1061.0"/>
        <n v="1062.0"/>
        <n v="1063.0"/>
        <n v="1064.0"/>
        <n v="1065.0"/>
        <n v="1066.0"/>
        <n v="1067.0"/>
        <n v="1069.0"/>
        <n v="1070.0"/>
        <n v="1071.0"/>
        <n v="1072.0"/>
        <n v="1073.0"/>
        <n v="1074.0"/>
        <n v="1075.0"/>
        <n v="1076.0"/>
        <n v="1078.0"/>
        <n v="1079.0"/>
        <n v="1080.0"/>
        <n v="1081.0"/>
        <n v="1082.0"/>
        <n v="1083.0"/>
        <n v="1084.0"/>
        <n v="1085.0"/>
        <n v="1086.0"/>
        <n v="1087.0"/>
        <n v="1088.0"/>
        <n v="1089.0"/>
        <n v="1090.0"/>
        <n v="1091.0"/>
        <n v="1092.0"/>
        <n v="1093.0"/>
        <n v="1094.0"/>
        <n v="1095.0"/>
        <n v="1096.0"/>
        <n v="1097.0"/>
        <n v="1098.0"/>
        <n v="1100.0"/>
        <n v="1101.0"/>
        <n v="1102.0"/>
        <n v="1103.0"/>
        <n v="1104.0"/>
        <n v="1105.0"/>
        <n v="1106.0"/>
        <n v="1107.0"/>
        <n v="1108.0"/>
        <n v="1109.0"/>
        <n v="1110.0"/>
        <n v="1111.0"/>
        <n v="1112.0"/>
        <n v="1113.0"/>
        <n v="1114.0"/>
        <n v="1115.0"/>
        <n v="1116.0"/>
        <n v="1117.0"/>
        <n v="1118.0"/>
        <n v="1119.0"/>
        <n v="1120.0"/>
        <n v="1121.0"/>
        <n v="1122.0"/>
        <n v="1123.0"/>
        <n v="1124.0"/>
        <n v="1125.0"/>
        <n v="1126.0"/>
        <n v="1127.0"/>
        <n v="1128.0"/>
        <n v="1129.0"/>
        <n v="1131.0"/>
        <n v="1132.0"/>
        <n v="1133.0"/>
        <n v="1134.0"/>
        <n v="1135.0"/>
        <n v="1136.0"/>
        <n v="1137.0"/>
        <n v="1138.0"/>
        <n v="1139.0"/>
        <n v="1140.0"/>
        <n v="1142.0"/>
        <n v="1143.0"/>
        <n v="1144.0"/>
        <n v="1145.0"/>
        <n v="1146.0"/>
        <n v="1147.0"/>
        <n v="1148.0"/>
        <n v="1150.0"/>
        <n v="1151.0"/>
        <n v="1152.0"/>
        <n v="1153.0"/>
        <n v="1154.0"/>
        <n v="1155.0"/>
        <n v="1156.0"/>
        <n v="1157.0"/>
        <n v="1158.0"/>
        <n v="1159.0"/>
        <n v="1160.0"/>
        <n v="1161.0"/>
        <n v="1162.0"/>
        <n v="1163.0"/>
        <n v="1164.0"/>
        <n v="1165.0"/>
        <n v="1166.0"/>
        <n v="1167.0"/>
        <n v="1168.0"/>
        <n v="1169.0"/>
        <n v="1170.0"/>
        <n v="1171.0"/>
        <n v="1172.0"/>
        <n v="1173.0"/>
        <n v="1174.0"/>
        <n v="1175.0"/>
        <n v="1176.0"/>
        <n v="1177.0"/>
        <n v="1178.0"/>
        <n v="1179.0"/>
        <n v="1180.0"/>
        <n v="1181.0"/>
        <n v="1182.0"/>
        <n v="1183.0"/>
        <n v="1184.0"/>
        <n v="1185.0"/>
        <n v="1186.0"/>
        <n v="1187.0"/>
        <n v="1188.0"/>
        <n v="1189.0"/>
        <n v="1190.0"/>
        <n v="1191.0"/>
        <n v="1192.0"/>
        <n v="1193.0"/>
        <n v="1194.0"/>
        <n v="1195.0"/>
        <n v="1196.0"/>
        <n v="1197.0"/>
      </sharedItems>
    </cacheField>
    <cacheField name="Title" numFmtId="0">
      <sharedItems containsBlank="1">
        <s v="[Reject] Supposed to be Hello World"/>
        <s v="WagMedia - Collective Content Creation for 52 Weeks"/>
        <s v="OpenCommunity Governance"/>
        <s v="Proposal"/>
        <s v="[Whitelisted Caller] Referendum #3: Upgrade Bridge Hub to v9420"/>
        <s v="PolkaWorld Ops and Maintenance proposal：2023.6 - 2023.8"/>
        <s v="KILT Decentralized Identity Provider (DIP) - Polkadot Medium Spender Proposal"/>
        <s v="Growing the Music Vertical on Polkadot: Onboarding Billfold"/>
        <s v="Saturn Gateway - A Multichain Multisig Application for the Polkadot Ecosystem"/>
        <s v="Nomination Pool Incentives - Fixing an issue with Motion 339"/>
        <s v="Nova Wallet 4th Proposal: Multistaking dashboard, Staking Nomination Pools, WalletConnect v2, New Assets tab UI, Community Requested Features, Reimbursement for delivered features"/>
        <s v="submerge.io: Open-Source Indexer, Analysis, KYT, and AML Compliance Platform for the Polkadot Ecosystem"/>
        <s v="Fix HostConfiguration"/>
        <s v="Polkashots.io Cloud Costs January-April 2023"/>
        <s v="Restructuring of Polkadot Brasil"/>
        <s v="Aibot proposal：June 2023 - August 2023"/>
        <s v="Subsquare and dotreasury new features development plan including governance statistics, dotreasury dark mode, etc"/>
        <s v="Encode Club Tranches 2 and 3"/>
        <s v="Subsquid - Public data indexing Infrastructure for Polkadot and Kusama (Q1 2023)"/>
        <s v="A Common Ledger App Compatible With All Polkadot And Kusama Parachains [ retroactive funding for development ]"/>
        <s v="Privacy Sidechains for all Substrate- Based Chains"/>
        <s v="[Whitelisted Caller] Referendum #18 Polkadot v9430"/>
        <s v="[Small Spender] Stakeworld's polkadot RPC and bootnode infrastructure - Q2 2023"/>
        <s v="Subscan | Infrastructure Costs of Subscan for Polkadot &amp; Westend &amp; Rococo &amp; Statemint &amp; Rockmine  Networks (from July to December 2022)"/>
        <s v="Ledger Apps Maintenance Proposal (Polkadot, Kusama, Statemine, Statemint)"/>
        <s v="Genesis DAO Ecosystem Integration"/>
        <s v="Polkassembly's Registrar Application"/>
        <s v="Proposal: ink! design security review by OpenZeppelin (treasury proposal 2/2)"/>
        <s v="Requesting a return of the submission deposit related to Motion #406."/>
        <s v="[OpenGov] Return of the bond for the rejection of (Gov1) Treasury Proposal #244 (MVP Workshop)"/>
        <s v="Requesting a return of the submission deposit related to Motion #405."/>
        <s v="Returning submission deposit for Anagolay proposal, related to rejecting proposal #256 (more info in the desc.)"/>
        <s v="Societal - A Homebase for Decentralized Communities"/>
        <s v="OpenGov submission of Motion 420 - Upstream funding Matrix.org Foundation"/>
        <s v="Requesting a return of the submission deposit"/>
        <s v="Milestone 2: Polkadot Hackathon Global Series 2023: Europe Edition"/>
        <s v="Encointer Treasury Proposal"/>
        <s v="RadiumBlock seeks reimbursement for Polkadot Endpoint Service (Q4 2022 and Q1 2023)"/>
        <s v="Polkadotters – retroactive and future funding of community powered media for Polkadot &amp; Kusama ecosystem in 2022-2024"/>
        <s v="OneBlock The 2023 Polkadot Summer Hackathon proposal"/>
        <s v="(Big Tipper) Small Funding for KryptosChain Media"/>
        <s v="(Small tipper) Funding for AnimatedCrypto channel "/>
        <s v="Next revision of increasing nomination pool limits &amp; commission"/>
        <s v="Pinknode Public Endpoint for Polkadot in Q4 2022"/>
        <s v="Notifi Vote RE: #1767 Notifi - Communication &amp; Notification Tooling for Polkadot's Broader Ecosystem"/>
        <s v="[Please reject] Erroneous Referendum Submission"/>
        <s v="Polkadot Relayers Incubator 2023"/>
        <s v="Treasury proposal for New Product Development &amp; OpenGov Deployment"/>
        <s v="Funded High Performance Public Infrastructure for the entire Polkadot Ecosystem (OnFinality)"/>
        <s v="Polkadot Hubs - Initiative case-study, education and support for future hubs (12 months period)"/>
        <s v="Approve Polkadot Assurance Legion Bounty"/>
        <s v="Part 1 of 2 request for 1100 DOT deposit reimbursement"/>
        <s v="Part 2 of 2 request for 1100 DOT deposit reimbursement"/>
        <s v="GovernGoofed, a proposal to tackle 3 of the most challenging issues in OpenGov V1"/>
        <s v="[Whitelisted Caller] Referendum #51: Open HRMP Channels Between System Parachains"/>
        <s v="DAO_Terminal: Enhancing User Involvement in Polkadot Governance"/>
        <s v="[Auction Admin] Referendum #53: Start an Auction"/>
        <s v="25-minute contextual primer on Polkadot 2.0"/>
        <s v="[TAKE TWO] Next revision of increasing nomination pool limits &amp; commission"/>
        <s v="Canceling Remaining Auctions and Introducing New Ones"/>
        <s v="Rust, Substrate, ink! technical content for rust developers."/>
        <s v="[Whitelisted Caller] Referendum #58: Increase Parachain Validators to 250"/>
        <s v="[Reject] incorrect preimage"/>
        <s v="A small tip for media representation"/>
        <s v="A small chatbot for the polkadot wiki"/>
        <s v="Metadata for offline signers"/>
        <s v="vote no pls , I missed preimage :("/>
        <s v="Treasury Proposal by 727.ventures: Polkadot Wink"/>
        <s v="AIWeb3 Chinese Unit proposal (爱Web3 中文社区提案)  -   PLEASE REJECT THIS, the amount of KSM is not correct!"/>
        <s v="AIWeb3 Chinese Unit proposal (爱Web3 中文社区提案)"/>
        <s v="Security Audit of trustless Ethereum 2.0 Light Client, developed as a Substrate Pallet"/>
        <s v="UI &amp; Front-end for Asset Conversion pallet (referenda68) - Project Status Update - Delivery Completed"/>
        <s v="[FAULTY PREIMAGE, PLEASE REJECT] A Polkadot Ecosystem App Store"/>
        <s v="Finsig SDK for Apple Products"/>
        <s v="Wasm Smart Contracts Bounty #19"/>
        <s v="A Polkadot Ecosystem App Store"/>
        <s v="Rejecting Gov1.0 Treasury Proposals and Facilitating Bond Reimbursement where applicable"/>
        <s v="Runtime Upgrade on Kusama to v9370"/>
        <s v="canceling"/>
        <s v="Smoldot development financing Q3/2023"/>
        <s v="Blockops Network - Grant Proposal for the development of One-Click Parachain Deployment"/>
        <s v="SmallTipper"/>
        <s v="deleted"/>
        <s v="Bounty to back Apillon Web3 development platform as a common good infrastructure"/>
        <s v="OnFinality High Performance Public Infrastructure (Q2 2023)"/>
        <s v="[Staking Admin] Referendum #84: Update System Collator Sets and Configurations"/>
        <s v="DOT holders 🤝 &amp; The Kusamarian 🤖❤️"/>
        <s v="Substrate, XCM rust technical practice videos."/>
        <s v="Maintenance for the substrate-api-client Feb-23 to Apr-23  -&gt; Wrong KSM PLEASE REJECT"/>
        <s v="Top-Up Request for Previously Funded Proposal #663"/>
        <s v="OnFinality Unified NFT API"/>
        <s v="Proposal to use $DED to Conduct Targeted Marketing during KBW 2024"/>
        <s v="Proposal: Artificial Intelligence for security monitoring on a network level "/>
        <s v="Gosemble Phase 2 - a Framework for building Substrate-compatible Runtimes in Go (Parachains &amp; Solochains)"/>
        <s v="Specialized Learning Path of Polkadot Ecosystem for Devs"/>
        <s v="Wrong $DOT amount, please nay"/>
        <s v="Infrastructure Funding for Polkadot Asset Hub - Migration of Kusama NFTs"/>
        <s v="Small tip for Polkadot community activation in Finland"/>
        <e v="#ERROR!"/>
        <s v="Milestone 2 and 3 Payment Request – YieldBay: Polkadot’s yield farming dashboard"/>
        <s v="POLKADOT INSIDER - 28 WEEKS OPERATION &amp; GROWTH FUNDING (AUGUST 2023 - FEBRUARY 2024)"/>
        <s v="Patron Milestones 2-7 Development"/>
        <s v="Top-up request for Reactive DOT and related works"/>
        <s v="A small tip for a staking rewards calculator"/>
        <s v="Milestone 3 Proposal: Polkadot x EasyA Hackathons at Harvard and in London (#60DaysOfPolkadot)"/>
        <s v="[Retroactive] Polytope Labs: ISMP Research &amp; Development"/>
        <s v="Milestone 3: Polkadot Hackathon Global Series 2023"/>
        <s v="Polkadot journal: A Marketing Proposal for Polkadot/Kusama"/>
        <s v="Proposal: OpenZeppelin x Polkadot Ecosystem Growth"/>
        <s v="Community-Centric Blockchain Education: Dacade's Commitment to Polkadot's Growth via learning through sharing"/>
        <s v="LayerX - rollout parachain as Trustless Bridge between Polkadot and Ethereum."/>
        <s v="Polkasafe - Milestone 2 - Retroactive funding proposal"/>
        <s v="[Whitelisted Caller] Referendum #110: Update Parachain Validation Config"/>
        <s v="Propose Curator for PAL Bounty"/>
        <s v="Refunding Pink Node's GOV1 Treasury Spend Deposit"/>
        <s v="Refunding MIDL.DEV's GOV1 Treasury Spend Deposit"/>
        <s v="Refunding Radium Block's GOV1 Treasury Spend Deposit"/>
        <s v="Refunding CCTF's GOV1 Treasury Spend Deposit"/>
        <s v="PolkaWorld Ops and Maintenance proposal：2023.9 - 2023.11"/>
        <s v="Societal: Advanced Treasury, Governance and Member Management Systems for Decentralized Communities"/>
        <s v="Maintenance for the substrate-api-client Sep-23 to Dec-23"/>
        <s v="An Open Communication Layer For Polkadot"/>
        <s v="Multix - Further development and Cypress Dapp testing plugin"/>
        <s v="Crypto-Friendly Substrate Scaffold Pallets for Every Parachains"/>
        <s v="[Whitelisted Caller] Referendum #122: Register KSM on Asset Hub"/>
        <s v="Recognising Paradox's Contributions to Reject Gov 1 Proposals and Release Bonds"/>
        <s v="Magnet Proposal: Polkadot’s Smart Contract Docking Station using DOT as Gas Based on the PAYG Model"/>
        <s v="Nova Spektr Milestone 3 Proposal: Dynamic Derivations, WalletConnect v2, Proxy accounts, Cross-chain transfers, Fiat values, EVM addresses &amp; more"/>
        <s v="RadiumBlock: Retroactive funding for High Performance Public Endpoint Service for Polkadot(Q4 2022 and Q1 2023)"/>
        <s v="Void - incorrect spend submitted"/>
        <s v="Allocate DOT Loan for Use Amongst Cross-Ecosystem DeFi within the Cosmos Ecosystem"/>
        <s v="Encointer Treasury Proposal (budget halving)"/>
        <s v="Cancel Old Auctions Schedule - Replaced by New Schedule After OpenGov Inclusion"/>
        <s v="Polkadot @ SXSW 2023, Austin, Texas on March 12th-15th 2023"/>
        <s v="Unbrick Nodle"/>
        <s v="Election of curation team - bounty 19: Wasm Smart Contracts Bounty"/>
        <s v="Proposal: Building a better understanding of blockchain across mainstream global media"/>
        <s v="Moderation Team Bounty"/>
        <s v="Create &amp; implement RFC14 - Improve locking mechanism for parachains"/>
        <s v="ink!Hub Treasury Proposal "/>
        <s v="OnFinality High Performance Public Infrastructure (Q3 2023)"/>
        <s v="Moonbeam: Swap Leases with Parachain 3342"/>
        <s v="(VOTE NAY!!) Polkadot Parachain Assets Onramp Bounty Program "/>
        <s v="Increasing Hiring Success in Polkadot by Missing Link"/>
        <s v="Increase MaxMemoryPages to 512MB"/>
        <s v="Refunding AlexPromoTeam GOV1 Treasury Spend Deposit"/>
        <s v="Small Tips retroactive for Content in Portuguese UPDATED (Vote Nay - if you set AYE Change your vote to NAY)"/>
        <s v="Subsquid - Public data indexing Infrastructure for Polkadot and Kusama (Q2 2023)"/>
        <s v="KAGOME – the C++ implementation of Polkadot Host milestone 2"/>
        <s v="Ignore / Nay (Duplicate Ref) "/>
        <s v="Notifi - Communication &amp; Notification Tooling for Polkadot's Broader Ecosystem V2 Proposal"/>
        <s v="Untitled"/>
        <s v="Bounty: The Genesis Incentive Pool"/>
        <s v="Polkadot System Parachain Collators - Tips"/>
        <s v="KryptosChain Media Support (Continuation) - Big Tipper Request"/>
        <s v="ink! OpenBrush 8-9, 11 milestone delivery"/>
        <s v="Retroactive and future maintenance/development of Parachains.info"/>
        <s v="Polkadot &amp; Teddy DAO: A New Way to Leverage Charitable Giving in Web3"/>
        <s v="Polkadot System Parachain Collators - Tips - Referenda #151 failed to execute"/>
        <s v="Increase DOT media visibility through media buying and airdrop campaign"/>
        <s v="PolkaWorld Ops and Maintenance proposal：2023.10 - 2024.3"/>
        <s v="Moderation Team Bounty Curator Proposal"/>
        <s v="AIWeb3 Chinese Unit proposal (爱Web3 中文社区提案) - September, 2023 - March, 2024"/>
        <s v="Apillon Platform Milestone 1 Proposal"/>
        <s v="Polkadot Live: Proposal for funding community driven development to initial release."/>
        <s v="Polkadot Parachain Assets Onramp Bounty Program"/>
        <s v="Polkadot Nominator Insight Hub. Spreading the Best Nominator Strategies through TOP Nomination Leaderboards"/>
        <s v="Tweak Polkadot's Ideal Staking Rate"/>
        <s v="Maintenance &amp; Support Python Libraries (April to September 2023)"/>
        <s v="A French content hub for Polkadot Ecosystem"/>
        <s v="Need to get tip which is not executed in old gov"/>
        <s v="Coinsider Media Campaign for Polkadot"/>
        <s v="Get tip for substrate PR"/>
        <s v="OpenSquare infrastructure products maintenance(2023 Q2 and Q3) and a new batch of features development"/>
        <s v="Dubbing Polkadot Decoded 2023 into Italian"/>
        <s v="Proposal for USDC Sufficiency on Polkadot Asset Hub"/>
        <s v="SubQuery &lt;&gt; Nova Wallet Common API:  Maintenance Cost For Q1-Q2 2023"/>
        <s v="Polkadot Unity SDK proposal to become a Verified Solution (Part 1)"/>
        <s v="Dot Leap 2: Let's grow!"/>
        <s v="Polkadot Blockchain Academy - retroactive funding for wave 3 of the Academy held at UC Berkeley this Summer."/>
        <s v="Beyond Raw Data: How Polkascan Transforms Subsquid Aggregates into a User-Friendly Polkadot Experience (Polkadot Treasury Proposal)"/>
        <s v="Polkawatch, Decentralization Analytics, Continued Operation and Development"/>
        <s v="Featured Research Proposal: Empowering the Polkadot Ecosystem [CryptoEQ]"/>
        <s v="Polkassembly Social Contract | Maintenance proposal Q3 &amp; Q4’23"/>
        <s v="Cryptozilla - retroactive and continuation of video content production. (Big Tipper)"/>
        <s v="Proposal：Polkadot Hackathon 2023 Winter in HongKong"/>
        <s v="Public rpc services for polkadot including the common chains in Q3 2023"/>
        <s v="Encode latest tranche request"/>
        <s v="ELLIPAL Self-custody Cold Wallet 1 Proposal: DOT/KSM Tokens, Staking,ASTR &amp; GLMR Parachains&amp;Tokens,DOT/KSM/ ASTR/GLMR Swap,WalletConnect v2,Polkadot Wallet Integration"/>
        <s v="Kuma Wallet - Milestone 5"/>
        <s v="Recognizing Alice und Bob and #stakedot"/>
        <s v="Polkadot RPC services Dwellir Q3 2023 (retroactive) "/>
        <s v="Removed"/>
        <s v="DOTCAST - Pursuing quality improvement by spreading honest and true awareness."/>
        <s v="[TrackingChain] Bring Adoption for Companies: Building Infrastructure for Web2 Integration (Big Tipper Discussion)"/>
        <s v="Please vote against"/>
        <s v="Educational content maintenance proposal by Cryptonitas"/>
        <s v="Polkadot Weigher"/>
        <s v="Big Tips for Content in Portuguese - Verbo da Sabedoria Channel"/>
        <s v="Polkadot Ecosystem App Store - Dynamic App Pages &amp; Project Reputation System - dotappstore.com"/>
        <s v="Polkadot Relayers 2023 Milestone 2"/>
        <s v="Proposal: The operating cost for the research organization Polkadot Ecology Research Institute for 2023/10-2024/3"/>
        <s v="💎DOT Airdrop on Terra 2.0 ✅"/>
        <s v="Kill Referendum 203 (Scam Referendum)"/>
        <s v="Treasury Proposal: Parachain Loan Financing (PLF) Kapex Parachain"/>
        <s v="Please ignore or disapprove!"/>
        <s v="Go-Substrate-Rpc-Client - Retroactive Maintenance Grant (Sept 2021 to Dec 2023)"/>
        <s v="[Root] Referendum #208"/>
        <s v="[Retroactive Funding] Dotinsights - A Research Hub &amp; Data Platform for Polkadot &amp; Kusama Ecosystem"/>
        <s v="[Whitelisted Caller] Referendum #211: Upgrade Polkadot v1,000,000"/>
        <s v="Encointer Lease2 Treasury Proposal 2/2"/>
        <s v="KryptosChain Media (The Next Level!) - 6 Months of funding"/>
        <s v="[PRE-IMAGE FIX + RESUBMISSION] Polkadot Ecosystem App Store - Dynamic App Pages &amp; Project Reputation System - dotappstore.com"/>
        <s v="Smoldot development financing Q4/2023"/>
        <s v="Long Overdue Tip for Leemo's Contributions to the Polkadot Ecosystem"/>
        <s v="KryptosChain en Español (Polkadot ecosystem video content in Spanish) - 12 weeks funding"/>
        <s v="BlockchainBrad Educational &amp; Journalist Content - 6 Months funding"/>
        <s v="Proof-driven Whistleblowing: Decrease in the Number of Teams in the Ecosystem. Several Posts/Research by Rita2me."/>
        <s v="PolkaTube: Empowering the Spanish-Speaking Polkadot Ecosystem with RUST Programming, Substrate, and Marketing Content"/>
        <s v="Markedot: Marketplace and marketing with profits for the Polkadot and Kusama  community."/>
        <s v="Polkadot Pulse 1.0 &amp; Polkadot Networking Night @ IBW, ETHIndia Week"/>
        <s v="Proposal: Funding for the Brazilian Portuguese Language Content Producers Group"/>
        <s v="Retroactive funding for 73videos about Polkadot ecosystem(波卡梦龙)"/>
        <s v="AfterSide Crypto in Italian (Polkadot ecosystem video content in Italian) - 2 Videos"/>
        <s v="Retroactive tip for Polkadot booth at Hacktivity Security Festival 2023"/>
        <s v="Non-custodial DOT payments integration for major eCommerce platforms"/>
        <s v=" [VOTE NAY - RESUBMISSION IN PROCESS] Activation and retention of developers in Turkey and India for the Polkadot Ecosystem"/>
        <s v="Polkadot Sanctuary: A Journey of Achievements and Innovations in Bali - Retroactive funding"/>
        <s v="Polkadot Treasury USDT Acquisition"/>
        <s v="Chain Cohort Event Sponsorship - Opportunity to tap more than 1000 developers community and technology university in Vietnam."/>
        <s v="Enhance analytics solutions for Polkadot: Chainspect's Treasury Proposal"/>
        <s v="Title: Polkadot @CoindeskConsensus 2023, April 26-28, 2023 in Austin, Texas"/>
        <s v="Invalid: Events Bounty V2 Curator Candidacy"/>
        <s v="Events Bounty V2 Curator Candidacy"/>
        <s v="Retroactive Funding - Polkasafe Revised Proposal"/>
        <s v="IBC x Largest Polkadot Developer Outreach Proposal"/>
        <s v="Cancel Referendum 211 (runtime upgrade) due to bad call "/>
        <s v="Crafting a Users &amp; Developers Onboarding Funnel"/>
        <s v="Retroactive &amp; Ongoing Funding Rationale: Republik Rupiah - Turning Indonesia into the Polkadot Island's With Education and Community"/>
        <s v="BRA_16-D! Quality improvement of content for the Spanish Comunity by BRA_16-D"/>
        <s v="PROPOSAL FOR ADVANCING DECENTRALIZED FINANCE EDUCATION IN LATIN AMERICA WITH THE POLKADOT ECOSYSTEM"/>
        <s v=" Milestone 4: Polkadot Hackathon Global Series 2023 APAC Edition"/>
        <s v="Cancel Referendum 241 (runtime upgrade) due to XCM issue"/>
        <s v="PR, Content marketing, Social amplifications proposal"/>
        <s v="substrate-etl Retroactive funding: Q3+Q4 2022-Q1+Q2 2023"/>
        <s v="Cryptor. Polkadot AMAs for 2 largest Russian speaking crypto communities."/>
        <s v="Bounty Proposal: Business Prospects for Polkadot in Brazil"/>
        <s v="VOTE NAY IN THIS PROPOSAL 251"/>
        <s v="[Small Spender] Referendum #252: Retroractive funding for Web3 Education and Investment YouTube Channel Proposal"/>
        <s v="Vote (NAY) Revised the Tip Proposal - Dotgraphic "/>
        <s v="[Small Spender] Referendum #254: Retroractive funding for Web3 Education and Investment YouTube Channel Proposal"/>
        <s v="Altcoin Daily - High impact Polkadot media promotion"/>
        <s v="MASON VERSLUIS - Medium to High impact Polkadot media promotion"/>
        <s v="Addressing Polkadot's Negative Image on Twitter"/>
        <s v="DECENTRALISEDCHAIN - Low impact Polkadot media promotion"/>
        <s v="Big Tips for Subtitling and Promoting Kusamarian's Gavin Wood Interview"/>
        <s v="6 months Educational Campaign in India - Crypto India"/>
        <s v="AllInCrypto's Strategic Content and Community Engagement Proposal"/>
        <s v="Tip for Adam Steeber's participation in Dot Take"/>
        <s v="TuPrimerBitcoin: Creation of quality content on Youtube to make the Spanish-speaking Polkadot ecosystem more visible."/>
        <s v="EatYourCryptos: Creation of Educational Content in Spanish on Youtube"/>
        <s v="A Pink Proposal for $PINK"/>
        <s v="Cancel Referendum 265 - Funding 999,999 DOT for meme coin in the name of Polkadot Marketing."/>
        <s v="Revised Tip Proposal After Community Feedback - Dotgraphic "/>
        <s v="[Whitelisted Caller] Referendum #268: Polkadot v1,000,0001"/>
        <s v="Maria Andersen Crypto | Youtube Media Package Funding"/>
        <s v="Crypto Crow | Youtube Media Package Funding"/>
        <s v="Proposal to Fund educational content for MAD CRIPTO MX YouTube Channel and twitter account"/>
        <s v="Clockwise Crypto | Youtube Media Package Funding"/>
        <s v="MineYourBiz  | Youtube Media Package Funding"/>
        <s v="Advancing Decentralization:  @asteeber's Educational Video on Runtime Upgrade"/>
        <s v="Mind The Chart | Youtube Media Package Funding"/>
        <s v="&quot;Mistake in preimage - please Nay&quot;"/>
        <s v="SIAMO TUTTI NON FUNGIBILI | Youtube &amp; Social Media Package Funding"/>
        <s v="Open HRMP channels: AssetHub &lt;&gt; Composable Finance &amp; AssetHub &lt;&gt; Zeitgeist"/>
        <s v="dApp Marvels 💎 - Ink! Ecosystem growth tool"/>
        <s v="CryptoWendyO | Youtube Media Package Funding"/>
        <s v="Discover Crypto | Youtube Media Package Funding"/>
        <s v="Crypto Blood | Youtube Media Package Funding"/>
        <s v="Wrong Proposal"/>
        <s v="Decentralized Staking Support Group"/>
        <s v="Connecting The Dots "/>
        <s v="AfterSide Crypto | 6 MONTHS - Youtube &amp; Social Media Package Funding"/>
        <s v="Polkadot System Parachain Collators - Tips Q4/2023"/>
        <s v="please vote nay"/>
        <s v="Maintenance for the substrate-api-client Jan-24 to Jun-24"/>
        <s v="Please reject"/>
        <s v="Quality Content Creation and P2P support - The Bitcoin Army's Orinoco Campaign"/>
        <s v="The HGA Marketing Proposal"/>
        <s v="Wrong Preimage please vote Nay"/>
        <s v="VOTE NAY - WE ARE REPOSTING - Polkadot Brand Awareness Partnership with Real Vision (Raoul Pal)"/>
        <s v="ignore - UI errors"/>
        <s v="Holder-targeted Audience Growth w/  Addressable.io &amp; The Kusamarian"/>
        <s v="Polkadot's Educational Campaign India: A Wise Advice Initiative"/>
        <s v="Effective Media Proposal Evaluation System for the Polkadot Marketing Collective/s (Stage 1: Focus on Builders)"/>
        <s v="Easybuild. Fast Path for Future Polkadot Builders committed to building."/>
        <s v="Nova Wallet 5th Proposal: Cloud backups, Push Notifications, Proxies, Deeplinks, OpenGov improvements, Network management, Reimbursement"/>
        <s v="Reward for Content already made on Rust"/>
        <s v="Supercharge Polkadot's Brand: Collaborative Partnership with (Mario Nawfal) IBC Ventures"/>
        <s v="Bounty 27 Curator Committee Proposal "/>
        <s v="YouTube Polkadot Round Table Discussion"/>
        <s v="Toni Ghinea - Creating Polkadot Content"/>
        <s v="DAPP CENTRE | Youtube Media Package Funding"/>
        <s v="Talisman Wallet - Retroactive Proposal #1"/>
        <s v="Subscan | Infrastructure Costs of Subscan for Polkadot &amp; Westend &amp; Rococo &amp; Statemint &amp; Rockmine  Networks (from January to September 2023)"/>
        <s v="Oracle Ecosystem Initiative"/>
        <s v="KryptosChain Short Term Funding"/>
        <s v="#ERROR PLEASE VOTE NAY"/>
        <s v="https://github.com/paritytech/polkadot-api/pull/200"/>
        <s v="#ERROR PLEASE VOTE NAY!"/>
        <s v="Bring Adoption for Companies: Empowering BlockSpace with PolkadotSDK as the Core Infrastructure"/>
        <s v="“NacionCrypto” Establishment of Study Group and Development of Technical and Non-Technical Content."/>
        <s v="Increase Awareness of Polkadot On-Brand Narratives via Twitter Ads"/>
        <s v="Bitskwela - Bringing Polkadot to the Thriving Philippine Web 3.0 Community"/>
        <s v="Posted in error please vote nay"/>
        <s v="A 12-Month Strategic Alliance proposal: Polkadot and Cheeky Crypto Partner for Decentralized Innovation"/>
        <s v="Polkadot Brand Awareness Partnership with Real Vision (Raoul Pal)"/>
        <s v="Building Developer Ecosystems In Turkey &amp; India"/>
        <s v=" Crypto Sj Media proposal - Educational &amp; Awareness  Campaign in India"/>
        <s v="Alpha Airdrop - Polkadot Education Content Creation Proposal (6 months)"/>
        <s v="Corespace Weigher"/>
        <s v="DOT Request - UPDATE REJECT THIS REQUEST"/>
        <s v="OG Tracker"/>
        <s v="Proposed Polkadot Auction Schedule 2024"/>
        <s v="Treasury Proposal: An expansive course on Substrate and Polkadot"/>
        <s v="Development &amp; Maintenance for Node Red Polkadot bridge, a Client for Low Code IoT Integration"/>
        <s v="Polkadot Sponsorship @Token 2049, Singapore on September 13th - 14th 2023"/>
        <s v="Polkadot Colombia Ambassadors: technology education marathon through ten universities in Colombia and one in San Salvador."/>
        <s v="Open HRMP channels between AssetHub and Polimec"/>
        <s v="test"/>
        <s v="Polkadot Ecosystem Growth with Key Opinion Leaders"/>
        <s v="Business Expansion with Fintech, Corporate and Institutions in Spain and Andorra"/>
        <s v="Funding for 6 months of Polkadot brand promotion"/>
        <s v="Lark Davis - Proposal for Funding Polkadot Content Creation"/>
        <s v="Bounty Proposal for Public RPCs for Relay and System Chains"/>
        <s v="Scholarship for Polkadot Blockchain Academy Founder's Track"/>
        <s v="Cancel Ref 341 - Dolpha.com seeking 150,000 DOT "/>
        <s v="Polkadot Workshop @ UPR Mayaguez"/>
        <s v="sub0 Asia 2024 - pre-funding request"/>
        <s v="Proposal for the Deregistration of Equilibrium Parachain"/>
        <s v="Financial Support for Polkadot Blockchain Academy (PBA)."/>
        <s v="Polkadot IRL ADS Campaign #1 - Out of Home Digital Billboards, Toronto Canada"/>
        <s v="Influencer Marketing Campaign for Polkadot Community Engagement"/>
        <s v="Polkadot Staking Dashboard: Maintenance and Growth of Polkadot UX Proposal"/>
        <s v="Amplification of important ecosystem posts on X"/>
        <s v=" Polkadot Unity SDK proposal to become a Verified Solution (Part 2)"/>
        <s v="Magnet Milestone 2 Proposal: Polkadot’s Smart Contract Docking Station using DOT as Gas Based on On-demand Coretime Model"/>
        <s v="Retroactive Funding to Pepe Araucano for the Polkadot Meetup Buenos Aires"/>
        <s v="Bagpipes - Powerful No-code Cross-Chain XCM Dapp and Workflow Builder for the Polkadot Ecosystem 🪄"/>
        <s v="Funding of Polkadot System Parachain Collators"/>
        <s v="[Retroactive] Funding Development Costs for Dot Code School PoC - An Interactive Coding School to Build Meaningful Web3 Applications using the Polkadot SDK"/>
        <s v="WagMedia - Collective Content Creation for 26 Weeks"/>
        <s v="substrate-etl 2.0: Polkadot + Kusama Data on Dune (12 months, 3/15/24-3/14/25)"/>
        <s v="Polkadot Music Events Initiative - onboarding fans, artists and builders to Polkadot through music"/>
        <s v="Big Tipper Proposal : Retroactive fund - Meetup Multi Chain 2023 - Curitiba, Brazil "/>
        <s v="2nd installment for the referendum #196 already approved (2/3)"/>
        <s v="Kalatori — non-custodial Polkadot/AssetHub payment gateway for eCommerce"/>
        <s v="Milestone 4 Report: Polkadot x EasyA Hackathons at Harvard and in London (#60DaysOfPolkadot)"/>
        <s v="Subsquid - Public data indexing Infrastructure for Polkadot and Kusama (Q3 2023)"/>
        <s v=" Proposal for retroactive funding of Fellowship product development."/>
        <s v="Ignite Polkadot | Campaign #1"/>
        <s v="Polkadot Blockchain Academy - funding and reimbursement for costs associated with Wave 4 in Hong Kong."/>
        <s v="Unchained (by Laura Shin) X Polkadot - Sponsorship Proposal "/>
        <s v="Infrastructure funding for Polkadot Asset Hub #2 -  Components"/>
        <s v="Reimburse AssetHub HRMP channel deposit"/>
        <s v="NFT XCM"/>
        <s v="Setting the relay chain's safeXcmVersion to v3"/>
        <s v="BLOX MEDIA GROUP - Media Package"/>
        <s v="Continuous Coverage on Ivan on Tech for a FULL YEAR"/>
        <s v="Executive Search for PolkaDot - Senior BD Executive Search for PolkaDot "/>
        <s v="Boosting NFT Education in Latin America with the Polkadot Ecosystem"/>
        <s v="Community Memecoin launch marketing campaign"/>
        <s v="Polkadot Decoded 2023, final tranche (June, Copenhagen, DK)"/>
        <s v="Promoting the adoption of Polkadot through Gaming - The Great Escape"/>
        <s v="A Chain of Blocks - ACOBJason - 6 Months Continual Polkadot EcoSystem News &amp; Explanations"/>
        <s v="THIS PROPOSAL IS AN ERROR. PLEASE IGNORE: THE AMOUNT IS NOT CORRECT. PLEASE VOTE NAY. "/>
        <s v="Marketing Support NoSpec"/>
        <s v="(please read the important update first) To build the Sónar +D DAO by Polkadot: How blockchain can revolutionize the music industry."/>
        <s v="Finding and fixing a vulnerability in broker-pallet"/>
        <s v="Assigning a Curator to Bounty 32 (System Parachain Collator Bounty)"/>
        <s v="Twitter Kols Outreach"/>
        <s v="Chopsticks Web for dry run governance proposals and more"/>
        <s v="Maintenance &amp; Support Substrate Python API (Oct-Dec 2023)"/>
        <s v="Error in Submission and Address"/>
        <s v="Small tip to CultureDot for their efforts to market Polkadot at Times Square."/>
        <s v="Approve Current Fellowship V and VI Dan Members"/>
        <s v="Proposal: Polkadot Brand Awareness Campaign with Crypto Banter - Ran Neuner / PLEASE VOTE NAY"/>
        <s v="Marketing Bounty"/>
        <s v="Re-submission: Open HRMP channels between AssetHub and Polimec"/>
        <s v="Web3 Association 2024 Sponsorship"/>
        <s v="Error! Please vote NAY"/>
        <s v="Representing Polkadot on Radio Intereconomía &amp; BDZ, the Main Spanish Web3 Event"/>
        <s v="Treasury Proposal for Zeeve Wrench - an open-source Parachain Automation Framework"/>
        <s v="ink! + Ethereum RPC = ethink!. Proposal-01: PoC and Prototype."/>
        <s v="Polkadot Southeast Asia Developer Community Expansion for 1 Year Operation"/>
        <s v="Curators Candidates - Bounty #28"/>
        <s v="Polkadot Developers Conference // sub0 September 19-20, 2023 in Lisbon, Portugal - Final tranche"/>
        <s v="Polkadot in Finance: A Strategic Partnership Development Proposal"/>
        <s v="Building a Polkadot Hub for DevRels, Talent Pipeline and Potential Deal Flow for the Polkadot Ecosystem from the Philippines"/>
        <s v="Open HRMP Channels Between AssetHub And InvArch"/>
        <s v="Behind the Code II' - A Web Documentary series - OpenGov proposal "/>
        <s v="Upgrade Polkadot v1,001,000"/>
        <s v="Marketing Support NoSpec Tipper 2"/>
        <s v="PolkaWarriors - Cultivate a robust &amp; collaborative community of Polkadot in Vietnam"/>
        <s v=" Illustrated Book: &quot;The Sacred Coin Quest&quot; - Create a Collective Memory"/>
        <s v="Big Tip for Content in Portuguese - Verbo DotSama"/>
        <s v="Retroactive tip for Polkadot hackathon brunch in Dubai and Budapest"/>
        <s v="DOT Experts Tip for Hector Bulgarini for Proposal #379: NFT XCM"/>
        <s v="Proposing Curators for Bounty #31"/>
        <s v="Encode Club x Polkadot Education Programming 2023 - A Summary Report of Tranche 4 to Request Funding for Tranche 5"/>
        <s v="Treasury Proposal: Marketing and media proposal for Polkadot in China"/>
        <s v="Private Transfers of DOT"/>
        <s v="Encode x Polkadot 2024 Programming"/>
        <s v="Update Sufficient Asset Minimum Balances"/>
        <m/>
        <s v="Open HRMP channels between AssetHub and Hashed Network"/>
        <s v="Polkadot Watchdogs Governance Monthly Incentive Referendum #1 - VOTE NAY"/>
        <s v="Treasury Proposal: DOT liquidity loan for Bifrost DOT liquid staking token (vDOT) to be returned + DOT Staking rewards to Polkadot Treasury"/>
        <s v="Press Kit Polkadot 2.0"/>
        <s v="Approval of curators for Bounty 33 (marketing bounty)"/>
        <s v="Retroactive reimburesement for para upgrade fees contributions"/>
        <s v="Integrating Polkadot Blockchain for Decentralized Electric Vehicle Charging Network"/>
        <s v="Open HRMP channels between AssetHub and Unique Network"/>
        <s v="Retroactive Funding for ORML, Chopsticks, and Subway"/>
        <s v="Clean up undecodable storage entry"/>
        <s v="DOT Experts Tip for OnlyDeFiGuy for Proposal #432 | Bifrost vDOT liquidity loan"/>
        <s v="OpenZeppelin x Polkadot Ecosystem Growth Phase M2"/>
        <s v="Update Polkadot Asset Hub v1,001,001 and Sufficient Asset Minimum Balances"/>
        <s v="Cancelling Referenda 416, 428, and 443 in a batch"/>
        <s v="[PLEASE REJECT] Bridging Minds with TEACHMEDEFI: Growing Polkadot‘s Mindshare in the Crypto Space"/>
        <s v="POLKADOT IRL CAMPAIGN #2 - BERLIN TAXIS"/>
        <s v="Polkadot Branding and Differentiation Partnership with Cointelegraph"/>
        <s v="[Retroactive] SubWallet 14 Months Development"/>
        <s v="Mistake in pre-image - please vote NAY"/>
        <s v="Project Glove: Introducing Capital Efficiency and Pseudo-Anonymity on top of OpenGov"/>
        <s v="Redot #1: Polkadot Restaking and Enabling Polkadot DA Capabilities"/>
        <s v="Dota: Build up an Inscription Ecosystem on Polkadot"/>
        <s v="De-register parachain ID 2057"/>
        <s v="CryptoRank.io Exclusive Proposal: Empowering Polkadot’s Presence in the Crypto Sphere and Attracting New Active Users"/>
        <s v="The Polkadot Caravan Tour: Bridging the Gap in the U.S. Crypto Landscape"/>
        <s v="USDT and USDC Acquisition for the Treasury"/>
        <s v="Upgrade System to v1.1.2"/>
        <s v="Tip for 2023 Treasury Budget Analysis"/>
        <s v="Tip for Educational Content: OpenGov Thought Leadership"/>
        <s v="3nd installment for the referendum #196 already approved (3/3)"/>
        <s v="Retroactive Funding for Mimir - A Powerful Multisig Management Application For Polkadot Ecosystem"/>
        <s v="Polkadot Hackathon Global Series 2024: North America Edition"/>
        <s v="Paseo - Developer Testnet Funding"/>
        <s v="Polkalator"/>
        <s v="Polkadot-API: development financing"/>
        <s v="Project Proposal: Integration &amp; Support for  Moonbeam"/>
        <s v="Setup of two Swiss Foundations for DED and Mythos"/>
        <s v="Games Bounty [38]"/>
        <s v="BD Bounty [39]"/>
        <s v="Big Tip for a Portuguese/English educational channel"/>
        <s v="Big Tip For Market Mobster Polkadot Content Since 2020"/>
        <s v="Compensate for insufficient `phragmenElection.renounce` unreserve amount"/>
        <s v="Tutorial Media funding for KryptosChain"/>
        <s v="NoSpec Content Creator Support. "/>
        <s v="Polkadot Decoded 2024 treasury spend tranche 1/2"/>
        <s v="Small Tips for Retroactive Content"/>
        <s v="ETHDenver 2024 - Polkadot - Event Recap Video Marketing - Amplify Presence at One of the Largest Blockchain Conferences"/>
        <s v="Retroactive tip for work done on exchanging a member in the ranked collective"/>
        <s v="Formation of new space. Eliminate blockage. Developed for peace!"/>
        <s v="DeFi Infrastructure &amp; Tooling Bounty"/>
        <s v="Polkassembly Social Contract 2024"/>
        <s v="Polkadot Moderation Team Bounty Top-up"/>
        <s v="Polkadot Ecosystem Discord Risk Mitigation"/>
        <s v="Retroactive Tip For Independent Content Creation"/>
        <s v="Polkadot Ambassador Program"/>
        <s v="Refill Marketing Bounty [33]"/>
        <s v="Setting setOnDemandQueueMaxSize to 500"/>
        <s v="Funding Development Costs to Expand Dot Code School – Bridging the Gap Between Online Learning and Real-World Web3 Development with Local Coding Environments"/>
        <s v="Polkadot Greece (Retroactive)"/>
        <s v="Proposal: 2024 Polkadot Decoded Asia (Singapore) September 16 -17 (During the Singapore Token 2049 week)"/>
        <s v="LiteSend - remittance service secured by Polkadot"/>
        <s v="Implementing a Polkadot-native system parachain for data storage: Phase 1/3"/>
        <s v="The Sónar+D DAO by Polkadot"/>
        <s v="Veles project proposal - Carbon credits pallet"/>
        <s v="Bounty Proposal: Business Development Polkadot in Spain &amp; Andorra - VOTE NAY"/>
        <s v="Dot Amplify"/>
        <s v="Swissborg Proposal - A One Month Polkadot Awareness Campaign "/>
        <s v="Unified Wallet And Dapp Interaction"/>
        <s v="Tip for Longtime Polkadot Supporters CryptoWise"/>
        <s v="Treasury Proposal: Futarchy, a New Signal Generating Tech for Polkadot Governance"/>
        <s v="Milestone 1: EasyA x Polkadot Developer Growth via In-Person Hackathons and Crash Courses (#180DaysOfPolkadot)"/>
        <s v="Retroactive funding for developing the RFCs Referenda Bot"/>
        <s v="Set `safeXcmVersion` to 3 for AssetHub, Collectives and BridgeHub"/>
        <s v="[Medium Spender] Referendum #506"/>
        <s v="Polkadot Community Workspace NYC by Transistor"/>
        <s v="Polkadot sponsorship for LIFT Learning - A Fenasbac + Central Bank of Brazil initiative"/>
        <s v="Approval of curators for Bounty 39 (BD bounty)"/>
        <s v="Approval of curators for Bounty 38 (Games bounty)"/>
        <s v="Dot Latam Day 2023 (Retroactive)"/>
        <s v="Big Tipper Proposal: ETHDenver Official Afterparty (Bash) Polkadot Airdrop "/>
        <s v="Open HRMP Channels between AssetHub and Crust Network"/>
        <s v="Conor Daly - 2024 Indianapolis 500 Sponsorship"/>
        <s v="Marketing Bounty Flex [#41] - VOTE NAY"/>
        <s v="Bounty Cleanup Proposal"/>
        <s v="Polkadot Desktop Wallet Tutorial by Altcoin Daily"/>
        <s v="Parachain Runtime Builder - Treasury"/>
        <s v="Tip for Common Good Referendum Deposit Clean-up and Validator Payout Bot"/>
        <s v="Representation of Polkadot at the NERDCONF 6th Edition event in Mexico City at the BBVA Tower."/>
        <s v="Explainer video for Polkadot 2.0 - easy and understandable "/>
        <s v="(PLEASE REJECT) Read below if you are a PolkadotJS user"/>
        <s v="Rising Karting Star Seeks Polkadot Partnership(withdrawn)"/>
        <s v="Transfer the Lease of Bifrost Parachain 3356 to Bifrost Parachain 2030 to avoid downtime"/>
        <s v="Polkadot marketing proposal in Chinese speaking areas"/>
        <s v="Bounty proposal: Business Development Polkadot in Spain &amp; Andorra"/>
        <s v="Reimbursement for lost pool rewards"/>
        <s v="Error - Vote NAY"/>
        <s v="Refill for marketing bounty number #33 [250k]"/>
        <s v="1TRIBE: Africa On DOT - Phase II"/>
        <s v="Bounty Proposal: [Spanish content and event production bounty]"/>
        <s v="Meetups Bounty [#43]"/>
        <s v="NOTE - Vote Nay [Incorrect Preimage]"/>
        <s v="Inscriptions generator and marketplace (tender offer)"/>
        <s v="Vote Nay"/>
        <s v=" Polkadot Developer Community in China Expansion for 1 Year Operation"/>
        <s v="POLKADOT &lt;&gt; KUSAMA BRIDGE SECURITY BOUNTY"/>
        <s v="Universal Hybrid Substrate Faucet"/>
        <s v="OpenGov Discord Voting Bot Development"/>
        <s v="Retroactive Small Tips for Content (February)"/>
        <s v="Talisman Unified Retroactive Proposal #2"/>
        <s v="Initialize Kusama GRANDPA light-client running on Polkadot BridgeHub"/>
        <s v="Request for transferring all the DOT from the hacker's account to the Starlay's account"/>
        <s v="Replaced by Proposal #551 Amharic Chain Polkadot Academy to Small Spender Track"/>
        <s v="[VOTE NAY] DED Token birthing phase: &quot;EDs&quot; and technical proposal | On-Demand Governance for Assets on Asset Hub. "/>
        <s v="SHITTY PROPOSAL SORRY "/>
        <s v="PolkaMAPS, a DOTins project"/>
        <s v="AmharicChain Polkadot Academy"/>
        <s v="Token Terminal x Polkadot data partnership - Polkadot ecosystem on Token Terminal and their partner platforms (Bloomberg, MarketVector)"/>
        <s v="Paseo Testnet - Curator submission"/>
        <s v="Polkadot Pulse Dubai Edition &amp; Networking Night @ Token2049, Dubai"/>
        <s v="{bash} Events (the PMEI team) - a music and technology sandbox | onboarding users into Polkadot through music"/>
        <s v="DED Bounty - VOTE NAY"/>
        <s v="BD Bounty (retry)"/>
        <s v="Games Bounty (retry)"/>
        <s v="Tip for maintenance of the ORML pallets"/>
        <s v="Polkadot Hydration: Treasury LP"/>
        <s v="Polkadot Hydration: Liquidity Incentives"/>
        <s v="AMI Bounty Program"/>
        <s v="Cancelling DED Tech Proposal, and Deferring to DED Bounty Fund"/>
        <s v="Please vote to reject! The preimages hash is incorrect."/>
        <s v="Pinkdrop: Powering User Engagement and Ecosystem Growth"/>
        <s v="Proposal: Codigo Brazuca + Polkadot Brazil - Tech Academy - from Basic to Advanced  -  8 Months Track"/>
        <s v="Retroactive Tip For Solo Content Creation"/>
        <s v="Duplicate of #545 - please ignore"/>
        <s v="Please vote to reject! The preimages hash is incorrect"/>
        <s v="PolkaWorld Ops and Maintenance proposal：2024.4 - 2025.4"/>
        <s v="Polkadot Anti-scam Team Bounty Top-up"/>
        <s v="Big Tip for Polkadot Brasil on X"/>
        <s v="Continuation of work through Messari Protocol Services"/>
        <s v="Increase Awareness of Polkadot On-Brand Messages via Twitter Ads (5/1/24-12/31/24)"/>
        <s v="StellaSwap Incentive Program"/>
        <s v="Polkadot Runtime Upgrade v1.1.3"/>
        <s v="RegionX | Coretime Marketplace for Polkadot"/>
        <s v="PBA referendum - vote NAY - incorrect preimage"/>
        <s v="Polkadot Blockchain Academy - Wave 5 in person and remote - Singapore 20th May to 20th June 2024"/>
        <s v="Request withdrawn - replaced by whitelisted caller #593"/>
        <s v="Vote NO - Mistake in submission - New referenda coming shortly -  Polkadot @ Coindesk Consensus"/>
        <s v="Nomination Pool: Remove max pool and max member limits"/>
        <s v="Polkadot @ Coindesk Consensus"/>
        <s v="VOTE NAY - ERROR IN PREIMAGE"/>
        <s v="Fund system chains sovereign accounts on Polkadot BridgeHub for Polkadot&lt;&gt;Kusama bridge"/>
        <s v="Open HRMP Channels between AssetHub and Mythos"/>
        <s v="Error - Vote no"/>
        <s v="Requesting a refill for marketing bounty number #33"/>
        <s v="Polkadot Advertising Campaign on Brave Browser - Top-Up Request "/>
        <s v="Proposing Curators for the DeFi Infrastructure &amp; Tooling Bounty"/>
        <s v="Polkadot P2P Network Health Weekly Reports"/>
        <s v="Funding for Decentralized Social Media Editorial Board"/>
        <s v="Polkadot Agents Program - Phase 1"/>
        <s v="VOTE NO. Mistake in submission - New referendum coming shrtly"/>
        <s v="Lawsuit against Giotto Bounty"/>
        <s v="Mistake vote NO"/>
        <s v="This is a tip request for Boosting NFT Education in Latin America with the Polkadot Ecosystem"/>
        <s v="Contribution to the Italian Polkadot Community: Funding Request"/>
        <s v="Manta Wallet Retroactive Funding"/>
        <s v="Telenova: Polkadot Wallet built into Telegram. Retroactive Funding for 6 months"/>
        <s v="Setting onDemandBaseFee to 0.025 DOT"/>
        <s v="Polkadot x The Tie Partnership to Increase Institutional Exposure and Access"/>
        <s v="Integration of Polkadot into ChatG (An Ai Chat Startup)"/>
        <s v="Set BEEFY genesis (thus starting BEEFY consensus on Polkadot)"/>
        <s v="Conor Daly Indy500 Replacement Ref"/>
        <s v="PolkaBot.AI - Decentralized AI education hub on Polkadot "/>
        <s v="Subsquid Migration to ArrowSquid &amp; Indexing Upgrades"/>
        <s v="ink! Analyzer: Retroactive funding for ink! v5 support"/>
        <s v="VOTE no, wrong track"/>
        <s v="Discord Governance Bot Self Tip Request - 0xTaylor"/>
        <s v="Polkadot Growth Index 📈 and AI Insights 💡"/>
        <s v=" Vote Nay"/>
        <s v="Technical Support Bounty #625"/>
        <s v="[Big Tipper] Referendum #626"/>
        <s v="Proposal for Polkadot OpenGov Funding: WEB3DEV Bootcamp for Rust and Pallets Learning"/>
        <s v="Tip for Adam Steeber + Kusamarian concerning #514 Conor Daly - 2024 Indianapolis 500 Sponsorship"/>
        <s v="[Revision] Nomination Pool: Remove max pool and max member limits"/>
        <s v="Subsquare polkadot fellowship support milestone 1"/>
        <s v="TEACHMEDEFI - Growing Polkadot’s Mindshare in the Crypto Space"/>
        <s v="DOTCAST /This_is_the_DOT"/>
        <s v="OG Tracker 2.0"/>
        <s v="REJECT"/>
        <s v="Approval of curators for Bounty 43 (Meetup bounty)"/>
        <s v="Tip for 7 Polkadot Decentralized Voices"/>
        <s v="Bump parachain validation timeouts"/>
        <s v="Curators Candidates - Bounty #42"/>
        <s v="Polkadot in Spanish X account and Marketing Decentralization"/>
        <s v="Maintenance &amp; Support Substrate Python API (Jan-Mar 2024)"/>
        <s v="Mythical Games and Polkadot, a proposal from Mythos Foundation Swiss"/>
        <s v="#644 Polkadot - Sports Sponsorship Fund"/>
        <s v="Set Asset Rates for Treasury Assets"/>
        <s v="CURATORS PROPOSAL FOR BOUNTY 44 - POLKADOT &lt;&gt; KUSAMA BRIDGE SECURITY BUGBOUNTY"/>
        <s v="Polkadot.JS API UI enhancements"/>
        <s v="Upgrade Polkadot to Release v1.2.0"/>
        <s v="Infrastructure Builders Program Bounty"/>
        <s v="(Vote Nay) Polkadot Ecosystem growth campaigns"/>
        <s v="The Block x Polkadot"/>
        <s v="Test Proposal - Please Vote Nay"/>
        <s v="Magnet Milestone 3 Proposal: An Appchain Tech Stack leverages the Coretime Model to enhance DOT use cases and facilitate Polkadot's growth"/>
        <s v="Polkadot AmharicChain Hub: Mastering Polkadot | Empowering Learning"/>
        <s v="POLKADOT IRL CAMPAIGN #5 - POLKADOT X LYFT NYC"/>
        <s v="PolkaBiz  - Where founders forge investment-ready innovations."/>
        <s v="Semi-Retroactive &amp; Ongoing Funding for Cryptopolitan for Media Boost, Engagement, and Reach 2024 "/>
        <s v="Tip for Polkadot Presentation at Vienna Crypto Meetup"/>
        <s v="Tip Request for @OnlyDeFiGuy for the Expert Report on Referendum #561"/>
        <s v="Wrong amount vote nay"/>
        <s v="Polkadot Beam Sponsorship at ETHPrague 2024"/>
        <s v="⧓ Apillon Platform - Milestone 2 Proposal"/>
        <s v="Polkadot Fleet of Bikes in Paris for the Olympic &amp; Paralympic Games : A Unique &amp; Massive Marketing opportunity."/>
        <s v="Retroactive Tip for Portuguese Content Creation"/>
        <s v="52 Weeks of Kus Coverage ❤️🤖"/>
        <s v="Polkadot Drone Shows Over VELD Music Fest (100K+ Attendance) - Brand Awareness + PR Campaign"/>
        <s v="Retrospective Funding Proposal of the Polkadot HK Event"/>
        <s v="Infinity Wallet - A unique native desktop Wallet &amp; Web3 Browser - Milestone 1"/>
        <s v="Retroactive self-tip Request for Maintenance and Ongoing Development Validator Dashboard and Services"/>
        <s v="Retroactive Polkadot Event in Guadalajara Mexico - Talent Land 2024"/>
        <s v="Improving Polkadot’s Presence In the U.S. With The Texas Blockchain Council"/>
        <s v="Nova Spektr Milestone 4 Proposal: OpenGov voting and delegation, Support for complex account structures, Flexible multisigs, Operation basket, Assets Portfolio view, Fellowship voting, Web-hosted app"/>
        <s v="Polkadot Aligned Sponsorship at Proto Layers @ Prague [cancelled]"/>
        <s v="Polkadot Dapps over Apps"/>
        <s v="Proposal for Ensuring Continuity in Creating Content about Polkadot - VOTE NAY. THE PREIMAGE PROPOSAL IS PULLED"/>
        <s v="Initialize Snowbridge on BridgeHub and AssetHub"/>
        <s v="Proposal for JAM Ratification, Conformance, Performance by Polkadot Fellows"/>
        <s v="Pop Network | Enabling simple and powerful smart contract development, with DOT"/>
        <s v="Chainalysis analytics solutions on Polkadot Relay Network"/>
        <s v="Polkadot Q2 Marketing Campaigns by Distractive "/>
        <s v="Proposal for Klaster Integration into the Polkadot Ecosystem"/>
        <s v=" Integration of Avata with the Polkadot Ecosystem"/>
        <s v="Enable async backing on polkadot"/>
        <s v="Curators Candidates - Bounty #40"/>
        <s v="G6 Networks: Polkadot Ecosystem Expansion with Institutions"/>
        <s v="Proposal for unlocking $PINK from Phala soverign account to sibling account"/>
        <s v="Polkadot Bridge Hub 1.2.2 upgrade: Unstuck bridge with Kusama"/>
        <s v="Polkadot-API: Apr-Jul development financing"/>
        <s v="（Wrong commit! Please vote NAY）"/>
        <s v="Sponsorship and Side Event: Merge Madrid"/>
        <s v="The operating cost for the research organization Polkadot Ecology Research Institute for 2024/4-2025/3"/>
        <s v="BlockDeep Labs: Ecosystem Services Proposal for Polkadot Treasury"/>
        <s v="Restrict delegations on root and treasurer tracks"/>
        <s v="Elevating the Polkadot Ecosystem: Encode x Polkadot Programme 2024 "/>
        <s v="Approve the Polkadot EVM Collective"/>
        <s v="Reducing duration of spending periods"/>
        <s v="Reducing inflation - VOTE NAY"/>
        <s v="Wrong preimage - Please vote NAY"/>
        <s v="Test the brand-new spend() extrinsic"/>
        <s v="Ongoing Development of Gossamer (16 months)"/>
        <s v="NFT in Polkadot, the first book on NFTs in the Polkadot ecosystem."/>
        <s v="Retroactive Funding Request for PolkadotPrague 2023 Marketing Costs"/>
        <s v="Implement Optimistic Project Funding"/>
        <s v="VOTE NO - DUPLICATE"/>
        <s v="Incentivize Interlay iBTC capacity as Polkadot common good"/>
        <s v="Tip Request for Fardeen Haque for Awesome Dot"/>
        <s v="Proposal Outdated - Do Not Vote: LAOS already won Auction 68 with SF Bid"/>
        <s v="Establishing an Insurance Bounty to increase fiscal efficiency of Polkadot treasury"/>
        <s v="Top Up for Polkadot at Consensus "/>
        <s v="Polkadot @ Coinfest Asia 2024"/>
        <s v="TIP: Gamer Streaming Reimbursement"/>
        <s v="Open HRMP channels between AssetHub and SORA"/>
        <s v="ink! + Ethereum RPC = ethink!. Proposal-02: Getting Testnet-Ready."/>
        <s v="REJECT "/>
        <s v="The Gray Paper Interview' Retrospective Funding for Post-Production"/>
        <s v="Please vote NAY - Wrong preimage"/>
        <s v="#727 Semi-Retroactive Proposal for the translation of the Polkadot Wiki to Hungarian"/>
        <s v="Polkadot Insider 52 weeks Operation (May 2024 - May 2025)"/>
        <s v="Tip Ajay Dhore for transferring the polkadot_api npm package"/>
        <s v="Proposal: Establish the Polkadot Community Foundation to represent DOT holders IRL"/>
        <s v="Marketing support to help raise a new  US$100 Million Polkadot Ecosystem Fund"/>
        <s v="Please, VOTE NAY"/>
        <s v="Decoded 2024 Sponsorship for active community members"/>
        <s v="PREMATURE UN-NOTE OF PREIMAGE - BERLIN TAXI - REFILL #1 - WILL NOT EXECUTE"/>
        <s v="Reimbursement - Polkadot Pulse Dubai Edition &amp; Polkamix w/ Afrojack @ Token2049, Dubai"/>
        <s v="Kampela hardware cold signer productizing proposal"/>
        <s v="Onboarding Established Generative Artists to Polkadot Asset Hub and driving user engagement"/>
        <s v="Polkadot Blockchain Academy Wave 5 Singapore - Demo day seed prize fund proposal"/>
        <s v="Changing the curves of the referendums that were affected by extended confirmation periods"/>
        <s v="Move Part of Treasury to Asset Hub"/>
        <s v="CoinMarketCap x Polkadot 6 months integration (Renewable)"/>
        <s v="Express Lane"/>
        <s v="Empower Polkadot Playground - Educate With Game For Highschool and University"/>
        <s v="MobilePolka: Unveiling Polkadot's Depths on the Go"/>
        <s v="Polkadot 2.0 Definition"/>
        <s v="Bringing Stellar Liquidity to Polkadot: Loan DOT Collateral for Pendulum’s Spacewalk Bridge Vaults"/>
        <s v="Runtime Verification: Advanced Rust Property Test Verification for Polkadot Ecosystem"/>
        <s v="Propose Curator for IBP"/>
        <s v="Polkadot @ Blockchain Rio 2024"/>
        <s v="Should we abolish DV?"/>
        <s v="Learn Polkadot Tip for Polkadot Brand Being Elevated by Conor Daly and Inter Miami"/>
        <s v="PRE-IMAGE ERROR - VOTE NAY"/>
        <s v="Pilot MOU Proposal for a Collaboration between the Polkadot Ecosystem and the Founder Institute:"/>
        <s v="Test the brand-new spend() extrinsic (resubmission of 708)"/>
        <s v="Replacing curators for events bounty 17"/>
        <s v="Open source alternative to centralized polkadot API gateways and node as a service"/>
        <s v="POLKADOT IRL CAMPAIGN #6 - THE CITY &amp; CANARY WHARF, LONDON UK"/>
        <s v="Retroactive Payments for {bash} + adding Zebu Live Official Closing Party"/>
        <s v="HEROIC x Polkadot sponsorship"/>
        <s v="The JAM Spring Time Tour &amp; Top Up - The Kus x Key Pictures"/>
        <s v="Retroactive Tip - Reimbursement for Miami trip wrt Polkadot x Inter Miami proposal"/>
        <s v="Replacing curators for event bounty 17 (backup)"/>
        <s v="OG Tracker 2.0 Top Up"/>
        <s v="Recovering lost funds for local initiative"/>
        <s v="2nd Milestone Request for Rewards and Fees for Polkadot Prodigy Hackathon 2024"/>
        <s v="Make DED the official meme coin of Polkadot"/>
        <s v="dotafair: Fair Launch Chain,  A zero-threshold Fair Launch platform aims to build a DOT-based public benefit chain ecosystem, adding more use cases and adoption for DOT."/>
        <s v="Pease VOTE NAY, parameter is wrong"/>
        <s v="AIWeb3 Chinese Unit(爱Web3 中文社区) operation June. 2024 - Dec. 2024"/>
        <s v="DOTphin Event Multipass by Sovereign Nature with WalletConnect integration &amp; upgradeable, dynamic NFTs by Unique Network"/>
        <s v="Kinera, a Decentralised Media Platform [CANCELLED]"/>
        <s v="Events Bounty Top Up Proposal "/>
        <s v="Proposal: Funding for Design and Development of XCQ, the Cross-Consensus Query Language"/>
        <s v="Proposal for the Development of SubstrateSQL Server"/>
        <s v="ink! Analyzer: Retroactive funding for ink! 4.x to 5.0 migration features, and other major improvements (56,750 USDT)"/>
        <s v="Ignore - superceded by 781"/>
        <s v="DOT Experts Tip for OnlyDeFiGuy for Proposal #684 Chainalysis analytics solutions in DOT"/>
        <s v="DOT Experts Tip for OnlyDeFiGuy for Proposal #684 Chainalysis analytics solutions in USD"/>
        <s v="Developer tools for Polkadot-API"/>
        <s v="VOTE NAY, WRONG PRE-IMAGE"/>
        <s v="Chainalysis analytics solutions on Polkadot Network"/>
        <s v="Cancel Chainanalysis ref"/>
        <s v="Cancel root ref #693"/>
        <s v="Proposal for DED Bounties: Revitalizing Community Engagement"/>
        <s v="Top-up of Proposal 657 due to DOT price change."/>
        <s v="Polkadot Relayers Incubator 2024"/>
        <s v="[Whitelisted Caller] Upgrade Polkadot v1.2.4"/>
        <s v="Maintenance for the substrate-api-client Jul-24 to Dec-24"/>
        <s v="Beamex PERPadot: DOT LP Depth Loan, a significant DOT liquidity depth on Beamex Perpetual Exchange"/>
        <s v="Beamex PERPadot: Liquidity Incentives  program to attract liquidity and onboard new users to the Polkadot ecosystem via Perpetual Trading "/>
        <s v="[Retroactive] RegionX Corehub | Parachain management"/>
        <s v="Polkadot Ecosystem vCISO Program w/Spearbit"/>
        <s v="DOTCAST /This_is_the_DOT Top Up"/>
        <s v="Presentation on Augmented Reality Advertising for Polkadot by Overthereality"/>
        <s v="Polkadot Dapps over Apps (REVISED)"/>
        <s v="Inclusion of Moonbeam in marketing narratives"/>
        <s v="Curators Candidates - Bounty #49"/>
        <s v="Polkadot in Spanish Editorial Board and Marketing Top Up "/>
        <s v="Ecosystem Test Environment Bounty"/>
        <s v="Polkadot Education Program for Top Ethiopian Universities."/>
        <s v="Automated Reward Payout Initiative"/>
        <s v="Pre-Image error vote NAY"/>
        <s v="12 Months of Polkadot Advertising on Spotify x 2 Ad Campaigns"/>
        <s v="Open-Source Registrar Development Continuity"/>
        <s v="Pre-Image error, vote NAY"/>
        <s v="A reactive library for building Substrate front-end"/>
        <s v="error vote no"/>
        <s v="#814 Proposal: Promotion to &quot;VII Dan: Free Master&quot; for Gavin Wood - Evidence below"/>
        <s v="*UPDATED* Polkadot Drone Show + NFT Drop Over VELD Music Fest (100K+ Attendance) - Brand Awareness + PR Campaign"/>
        <s v="Proposal: Adding More Auctions For LP18 On Polkadot"/>
        <s v="Polkadot Business Development in Brazil - Continuation of Operations"/>
        <s v="Referendum #819 for the Polkadot UX Bounty"/>
        <s v="Title Sponsorship at the Crypto AI Summer Conference"/>
        <s v=" Free Beer Stand &amp; BD/Networking Space at Polkadot Decoded"/>
        <s v="Referendum #822 - Refill for marketing bounty number #33"/>
        <s v="Vote Nay. Is a toturial about How to Request Stable asset USDT, USDC"/>
        <s v="AssetX the new Polkadot Asset Hub DEX"/>
        <s v=" Cancelling treasury proposal #774"/>
        <s v="Revolutionizing Social Media for a Better Internet"/>
        <s v="Polkadot.js UI Bug When Initiating A Parathread for Parachain Auction"/>
        <s v="StorageHub’s Codebase Audit"/>
        <s v="Referendum 631 top up due to DOT price change"/>
        <s v="Funding the Technical Fellowship Sub-Treasury"/>
        <s v="VIRTUNE AB X POLKADOT - ETP CAMPAIGN, SWEDEN &amp; THE NORDICS"/>
        <s v="Inclusion of DED in marketing narratives"/>
        <s v="Retroactive Sponsorship Reimbursement for Polkadot CCTF Yacht event at Token 2049, Dubai"/>
        <s v="BD &amp; Marketing Proposal. Polkadot as the preferred network of chains for digitizing financial assets and similar real world assets "/>
        <s v="Polkadot Education - Polkadot Onboarding for Business"/>
        <s v="Treasury proposal for renewal of API licenses for Blockexplorers"/>
        <s v="Upgrade Polkadot v1.2.5"/>
        <s v="Big Tips for Content in Portuguese - JOÃO HAZIM - 440 DOT"/>
        <s v="RE-SUBMISSION OF REF #734 - BERLIN TAXI REFILL"/>
        <s v="Decoded 2024:  PopUp Hub for the community"/>
        <s v="VOTE NAY - ERROR PREIMAGE"/>
        <s v="Volatility adjustment for REF651 and REF742"/>
        <s v="Kudos: Unlocking the Full Potential of Polkadot’s Developer Community"/>
        <s v="Retroactive - Participation of Polkadot in Unlock summit 2024 Mexico, Puebla Talk + Workshop"/>
        <s v="JUST Retroactive Compensation for Contributions to the Polkadot Ecosystem"/>
        <s v="."/>
        <s v="Fixed Maximum Supply for Fiscal Certainty"/>
        <s v="lol - NAY"/>
        <s v="please vote no, wrong preimage"/>
        <s v="Inclusion of Hydration in marketing narratives"/>
        <s v="Polkadot London Event - Dawn of RWAs "/>
        <s v="Verified Organization Badges on Twitter/X for Parachains, Top Wallets &amp; Comms Channels"/>
        <s v="Reduce minBalance of USDT/C to 0.01"/>
        <s v="Polkadot Head Ambassador Application: six / David Pethes"/>
        <s v="Polkadot Head Ambassador Application: Leemo"/>
        <s v="Polkadot Head Ambassador Application: Ezio Rojas"/>
        <s v="Head Ambassador Application: Max Rebol"/>
        <s v="Inclusion of Novasama Technologies' Products in Marketing Narratives"/>
        <s v="Polkadot Head Ambassador Application: Albert(I Love Cripto)"/>
        <s v="Polkadot Head Ambassador Application: Irina Karagyaur"/>
        <s v="(EDIT) VOTE NAY "/>
        <s v="Preimage removed - referendum revoked"/>
        <s v="Incognitee: Productive Privacy Sidechains for DOT, KSM and all Substrate- Based Chains"/>
        <s v="Polkadot Head Ambassador Application: Alice und Bob"/>
        <s v="Polkadot Head Ambassador Application: Michiko Watanabe"/>
        <s v="[Whitelisted Caller] Upgrade Polkadot: v1.2.6"/>
        <s v="Polkadot Head Ambassador Application: William"/>
        <s v="Polkadot Head Ambassador Application: Abdulbee"/>
        <s v="Top-up of Proposal #87 due to DOT price change"/>
        <s v="#876 Polkadot Head Ambassador Application: Lorena (Blockya)"/>
        <s v="Proposal: Expanding the Polkadot ecosystem with Polkadot for Beginners (book) v2"/>
        <s v="Wrong pre-image, please vote NO"/>
        <s v="Polkadot Head Ambassador Application with focus on AI Growth: Zoé"/>
        <s v="Polkadot Head Ambassador Application: Mario Altenburger"/>
        <s v="Timed Out - Vote Nay"/>
        <s v="Requesting &quot;Top Up&quot; of Ref #601 due to DOT price change"/>
        <s v="Polkadot Head Ambassador Application: Patrizia De Bella"/>
        <s v="Should we allow EVM compatible contracts on Asset Hub?"/>
        <s v="Kampela Productizing Proposal, Redux"/>
        <s v="Resubmission of Promotion to &quot;VII Dan: Free Master&quot; for Gavin Wood - Evidence below"/>
        <s v="Enable approval voting protocol improvements"/>
        <s v="Polkadot Head Ambassador Application: Angelina "/>
        <s v="[Whitelisted Caller] Make WETH asset sufficient and set asset metadata"/>
        <s v="Please vote Nay - Technical issues with Pure Proxy"/>
        <s v="Proposal: OpenZeppelin x Polkadot Ecosystem Growth Phase M3"/>
        <s v="Asia Blockchain Summit 2024 Sponsorship"/>
        <s v="Inclusion of Dot Code School in Marketing Narratives"/>
        <s v="Requesting &quot;Top Up&quot; of Approved Ref #644 due to DOT price change"/>
        <s v="[Whitelisted Caller] Update Max HRMP Channels"/>
        <s v="2024 Polkadot Hackathons (September 2024 in Singapore and November 2024 in Bangkok)"/>
        <s v="pre-image pulled "/>
        <s v="Revised Proposal: Polkadot Sponsorship of traditional Family Office Investment Conference Series"/>
        <s v="Head Ambassador Proposal for Polkadot - Georgi #900"/>
        <s v="PLEASE VOTE NAY 😅"/>
        <s v="Polkadot Head Ambassador Application: Mexican Collective"/>
        <s v="Plaza smart contract tooling"/>
        <s v=" Top Up request: Universal Hybrid Substrate Faucet"/>
        <s v="&quot;Reward Mode&quot; - Unlocking Gaming Rewards with Polkadot.  TapNation is introducing 734,366 new users to the Polkadot ecosystem, adding 73,437 new wallets every month throughout the partnership period."/>
        <s v="Please reject."/>
        <s v="Hope Clary For Head Ambassador Team"/>
        <s v="Establish a rule for &quot;top up&quot;"/>
        <s v="Polkadot Head Ambassador Application:  Rish"/>
        <s v="Polkadot Head Ambassador Application | Cris, Patricia, Tin"/>
        <s v="Treasury Proposal: Polkadot Bounty Manager UI Development"/>
        <s v="Full Disclosure for Head Ambassador Sponsorship - Whistle-Blower Series Part 1"/>
        <s v="Referendum 912 posted on the wrong track"/>
        <s v="Ecosystem Agent Tip for Adam Steeber's bounty &amp; multisig tutorial"/>
        <s v="Top Up | RegionX Coretime Marketplace for Polkadot"/>
        <s v="Referendum for PolkaDotJobs.xyz: A Polkadot Native Job Board Provided as a Public Good"/>
        <s v="Dot Play Bounty"/>
        <s v="PROPOSAL -  FHE-WASM Research and Development for the Polkadot Ecosystem"/>
        <s v="Removing curators from Spanish bounty"/>
        <s v="Refill for marketing bounty number #33 - 500k DOT"/>
        <s v="Retracted"/>
        <s v="Polkadot User Segments &amp; Conversions 👨‍👩‍👧‍👦 for Ink!, Pallets &amp; XCM "/>
        <s v="Removing curators from Games Bounty [38]"/>
        <s v="Polkadot Head Ambassador for Gaming Application - Angie Dalton"/>
        <s v="KAGOME – the C++ implementation of Polkadot Host milestone 3"/>
        <s v="Polkadot Head Ambassador Application - Jimmy Tudeski"/>
        <s v="Please vote Nay, Preimage removed."/>
        <s v="Cancel 923"/>
        <s v="Cancel 917"/>
        <s v="Top up | HEROIC x Polkadot sponsorship due to DOT price drop"/>
        <s v="Proposing The Polkadot Tooling Collective"/>
        <s v="Polkasafe - The 360° multisig solution for Polkadot | Last Retroactive Funding Proposal"/>
        <s v="Polkadot Head Ambassador Application - Mario Schraepen"/>
        <s v="Polkadot Anti-Scam Team refill due to price volatility"/>
        <s v="Close bounty 33"/>
        <s v="Exclude Astar from marketing narratives"/>
        <s v="Continuation and Salary Request for Editorial Board in Spanish Members"/>
        <s v="Please vote nay. Sorry about that"/>
        <s v="Polkadot Head Ambassador Application: DJ Hà Trang &amp; SubWallet"/>
        <s v="Phink – ink! fuzzer for security and robustness  "/>
        <s v="Top-up of Proposal 751 due to DOT price change"/>
        <s v="Snowbridge Launch and Treasury Proposal"/>
        <s v="Removing Moonbeam from marketing narratives"/>
        <s v="Small Tip Proposal: We live in a society"/>
        <s v="Reactive DOT: funding request for continuation of development"/>
        <s v="Authena x Polkadot: The Future of Scalable Traceability"/>
        <s v="Kylix Finance - The Lending Parachain | Funding Proposal"/>
        <s v="Polkadot Head Ambassador Application: Bekka"/>
        <s v="Infinity Wallet - Milestone 2"/>
        <s v="Funding for 3 month Polkadot Brand Campaign"/>
        <s v="Educational Content in Spanish by long time active members at the Ecosystem"/>
        <s v="I would like to help Polkadot Marketing on X and Binance platform"/>
        <s v="Direction of marketing strategy"/>
        <s v=" Polkadot Global Football Foundation "/>
        <s v="Proposal to Tip Art Curators and a Polkadot Candidate Ambassador in the UAE."/>
        <s v="Polkadot Head Ambassador Proposal - Lucy Coulden"/>
        <s v="please vote Nay. Thanks a lot!"/>
        <s v="Proposal: Request for DOT Top-Up to Cover Price Difference"/>
        <s v="Plaza name"/>
        <s v="Plaza and Defi Bounty"/>
        <s v="Polkadot Head Ambassador : DonDiegoSanchez"/>
        <s v="Retroactive Tip for the development of LiteScan - A lightweight indexer for Polkadot Chains"/>
        <s v="[Whitelisted Caller] Register Polkadot People Chain"/>
        <s v="[Whitelisted Caller] Update HRMP Channel Limits"/>
        <s v="Nielsen reports"/>
        <s v="Retroactive Funding Proposal: Completed Remarker Development and Future Polkadot NFT Standards Implementation Post-Plaza Upgrade"/>
        <s v="[Wish For Change] Pledging to allocate 1% of Treasury Spending to Social Good Projects."/>
        <s v="please vote nay "/>
        <s v="Please vote nay, thank you!"/>
        <s v="Proposal to the Polkadot Community - Dustin Plantholt for Head Ambassador"/>
        <s v="TEST Bounty Please Vote For NAY !"/>
        <s v="People Chain Migration and Release"/>
        <s v="Polkadot Head Ambassador Application with focus on China Market - Siyu Liu"/>
        <s v="dAppForge - AI powered plug-in for Polkadot developers that reduces development time. "/>
        <s v="VOTE NAY - ERROR "/>
        <s v="Dotswap.org: Asset Hub DEX UI v1+v2 2024 Development+Hosting by MVP Workshop+Colorful Notion"/>
        <s v="Live Music on Polkadot: Billfold + Radiate Onboarding"/>
        <s v="Restricting games bounty (38) from investing in games related to mythical"/>
        <s v="Polkadot Head Ambassador - Alice und Bob"/>
        <s v="Proposal: Freelancing Platform Development "/>
        <s v="Polkadot Head Ambassador Application: Luca Poggi"/>
        <s v="Fellowship: Retain Wei at Rank III"/>
        <s v="Subsquid - Public data indexing Infrastructure for Polkadot and Kusama (Q4 2023)"/>
        <s v="Edit: Thanks"/>
        <s v="Incognitee: Privacy Sidechain on Paseo (Retroactive)"/>
        <s v="Incognitee: Privacy Sidechains (Soft Loan Q3'24)"/>
        <s v="Dissolve the &quot;Polkadot Alliance&quot; collective due to inactivity"/>
        <s v="A Wish for Continuity: Celebrating Polkadot's Core Values"/>
        <s v="Subsquare polkadot collectives support milestone 2"/>
        <s v="[Whitelisted Caller] Upgrade BridgeHub: v1.2.8"/>
        <s v="test proposal"/>
        <s v="Proposal for Top-Up for Funding of Polkadot System Parachain Collators"/>
        <s v="[Whitelisted Caller] Enable Elastic Scaling MVP node feature"/>
        <s v="Please vote NAY - Resubmitted as #1014"/>
        <s v="Propuesta de polkadot cafe/coworking"/>
        <s v="-"/>
        <s v="(Temp Check) Milestone_2 Funding Request for Motif: vote NAY"/>
        <s v="Requesting 1M DED tip"/>
        <s v="Further decentralize collators set on Polkadot System Parachains - Resubmission of #1008"/>
        <s v="Vote Nay for this Proposal "/>
        <s v="Head Ambassador Proposal: Dustin Lee"/>
        <s v="Vote nay on this"/>
        <s v="Refunding Polkadot Ecology Research Institute GOV1 Treasury Spend Deposit"/>
        <s v="Polkadot Head Ambassador – Hope Clary for Product"/>
        <s v="Recognition for the sponsorship and diffusion work of the ecosystem in the last month."/>
        <s v="AI-Powered Interactive Assistance for Efficient Research Paper Reading"/>
        <s v="JAM0 @ sub0/Devcon 7 @ Bangkok - November 9-16, 2024"/>
        <s v="[Small Tipper] Referendum #1025 - Creating a new vision for Polkadot Ambassador Program"/>
        <s v="[Treasurer] Fix and Add Asset Rates"/>
        <s v="Vote NAY - Wrong track"/>
        <s v="Inclusion of Bifrost Products &amp; Solutions in Marketing Narratives"/>
        <s v="Investment Conference Series for Polkadot, with Revenue-share Model for Treasury"/>
        <s v="AllInCrypto's Strategic Content and Community Engagement Proposal for Continued Partnership"/>
        <s v="Proposing Curators for the UX Bounty"/>
        <s v="Close Bounty 46 – AMI Bounty Program"/>
        <s v="Less noise, more Polkadot"/>
        <s v="AssetPortal (Milestone 1)"/>
        <s v="Polkadot for 100,000+ Students"/>
        <s v="Behind the Code II: Additional Funding for more episodes of Web3 Thinkers/Builders and Top-up on treasury #604 payout"/>
        <s v="To acquire Partyfy trademark"/>
        <s v="Polkadot Growth Initiative (PGI)"/>
        <s v="Enhancing Coretime DevTools for Seamless Parachain Builder Experience"/>
        <s v="Remove Michiko Watanabe from the Polkadot Ambassador Program"/>
        <s v="forceSetBalance treasury to 0"/>
        <s v="Dazhbog: A Decentralized Perpetual Futures Exchange"/>
        <s v="Creating a standardized interview for Head Ambassadors"/>
        <s v="ink! 5.0 Codebase Security Audit"/>
        <s v="Request for Tip the experiment with beer bar at the Polkadot Decoded 2024"/>
        <s v="[Small Tipper] Referendum #1047 "/>
        <s v="The Polkadot Halving"/>
        <s v="Ecosystem agent tip for Saimon contributions - Developer, Community and Business"/>
        <s v="Increase recommended core count for validators reference hardware from 4 to 8"/>
        <s v="Polkadot OpenGov TOP-UP KILLER: utility.batch treasury.spends with USDC + USDT"/>
        <s v="Tip for HA Lucy Coulden to cover expenses at Coinfest Asia"/>
        <s v="50 Polkadot Ecosystem PR campaigns in the most influential media"/>
        <s v="Subscan | Infrastructure Costs of Subscan for Polkadot &amp; Westend &amp; Rococo &amp; Statemint &amp; Rockmine  Networks (from October 2023 to June 2024)"/>
        <s v="Make the next Polkadot Hub official in Budapest, Hungary"/>
        <s v="VOTE NAY!"/>
        <s v="Inclusion of Centrifuge in Marketing Narratives"/>
        <s v="Polkadot Live: Milestone 2 Development Proposal"/>
        <s v="[Small Tipper] Referendum #1061"/>
        <s v="Milestone 2 Funding Request for Motif: Polkadot Proactive Staking Assistance"/>
        <s v="Improved Proposal from Chainalysis to Polkadot"/>
        <s v="Tip for exposing Michiko Watanabe"/>
        <s v="Remove myself from the Fellowship collective"/>
        <s v="Deposit DOT into parachain child accounts to accelerate opening XCM channels"/>
        <s v="Solidity smart contract tooling - research for AssetHub/Plaza"/>
        <s v="Changes to PAL Security Bounty"/>
        <s v="PlutoWallet 1st proposal: Account abstraction, Full featured NFT support, Transaction Analyzer"/>
        <s v="[Polkadot Community Foundation] Polkadot at Slush 2024"/>
        <s v="Retroactive tip request for retro posters"/>
        <s v="Open Source Developer Grants Bounty Program"/>
        <s v="Rust, ink! technical content for  developers"/>
        <s v="Polkadot App - PCF IP Rights &amp; Funding for publishing the app"/>
        <s v="[Medium Spender] Open-source KYT on Dot #1083"/>
        <s v="Retroactive tip by 6 months at Polkadot Peru and international activities"/>
        <s v="The Modern Market Show Headline Sponsorship - 6 Months"/>
        <s v="Polkadot Advertising Campaign on Brave Browser - Top-Up Request - PLEASE SEE COMMENT 9/5/24"/>
        <s v="Tip Sourav for PSVM Merge Request #23"/>
        <s v="Resubmission of ref#975 Retroactive Funding Proposal: Completed Remarker Development and Future Development"/>
        <s v="B2B Marketing &amp; Sales Enablement For The Polkadot Ecosystem"/>
        <s v="The Dots Magazine - 2nd proposal "/>
        <s v="POLKADOT CHARITY FOUNDATION - Establishment &amp; Inaugural Initiative Launch"/>
        <s v="Bye 😉"/>
        <s v="From Pitch to Market: Enhancing Founder Success with PolkaBiz"/>
        <s v="(Already passed as 1072, but didn't execute) Solidity smart contract tooling - research for AssetHub/Plaza"/>
        <s v="IN IT FOR THE TECH{NO} - Polkadot Opening Party @Token2049, SIngapore"/>
        <s v="DOTUI: Polkadot UI/UX Design System Draft"/>
        <s v="Bounty Cleanup"/>
        <s v="[Small Tipper] Referendum #1100 - Creation of Head Ambassador pages in PolkadotJS apps"/>
        <s v="Polkadot participation in Hack Seasons during Token2049"/>
        <s v="Kheopswap retroactive funding"/>
        <s v="Polkadot-API: Aug 2024 - Jan 2025 development financing"/>
        <s v="Convert Part of DOT Assets to Stablecoins"/>
        <s v="Polkadot At The Australian Crypto Convention"/>
        <s v="CoinGecko - Polkadot Campaign"/>
        <s v="[Whitelisted Caller] Register the Polkadot Coretime Chain"/>
        <s v="Wrong Call Data Please Vote NAY"/>
        <s v="Polkadot AI Navigator: Enhancing User Experience with an Intelligent Ecosystem Assistant Proposal"/>
        <s v="Connecting the DOTS: Training the Next Generation of Blockchain Security Experts"/>
        <s v="2025 Polkadot Motorsports Program w/ Global Ambassador - Conor Daly"/>
        <s v="Support for Investigative Work and Communication Initiatives in Polkadot"/>
        <s v="&quot;sub0 RESET&quot; @Devcon Bangkok - back to the roots"/>
        <s v="Cyborg Network: Unlocking the Web 2.5 potential of Polkadot with Blockchain powered Edge Computing"/>
        <s v="FiDi | Polkadot’s Code-Free Intelligence"/>
        <s v="Polkadot Virtual Machine (PVM) Formal Specification Development"/>
        <s v="[Retroactive] SubWallet 08 Months Development"/>
        <s v="Coretime Notifications"/>
        <s v="Alternative Proposal on Blockchain AML/CTF Compliance from GlobalLedger."/>
        <s v="*UPDATED* Proposal for the Polkadot Community to Earn RWA Yield on Idle Stablecoins via Centrifuge"/>
        <s v="ink! Alliance for a more successful Plaza"/>
        <s v="[Small Tip] NFT Portal update and ownership adquisition"/>
        <s v="Polkadot Blockchain Academy; PBA-X production and launch, Wave 6 production and execution. September 2024 to the end of March 2025."/>
        <s v="Snowbridge: Update Bridge Pricing Parameters to Lower Transfer Fees"/>
        <s v="Retroactive Tip to AwesomeDot Team for high quality technical podcasts"/>
        <s v="[Whitelisted Caller] Increase validator set size to 400"/>
        <s v="Polkadot India IIT Roorkee Workshops and Hackathon (1/5)"/>
        <s v="Polkawatch, Decentralization Analytics, Retroactive Infrastructure and Maintenance Q1-Q3 2024"/>
        <s v="EasyA x Polkadot - Developer Growth via In-Person Hackathons and Crash Courses (#180DaysOfPolkadot): Milestones 1 &amp; 2 Report"/>
        <s v="Bitskwela - Expanding Polkadot to the Thriving Philippine Web 3.0 Community"/>
        <s v="Polkadot's Economics Parameters: Proposal 1 (10% constant total inflation)"/>
        <s v="Polkadot's Economics Parameters: Proposal 2 (8% constant total inflation)"/>
        <s v="Polkadot's Economics Parameters: Proposal 3 (8% total inflation in the first year, then gradually decreasing)"/>
        <s v="Staking Rewards Partnership - Stake App &amp; Terminal Integration"/>
        <s v="Duplicate - vote NAY"/>
        <s v="[Whitelisted Caller] Upgrade Polkadot to v1.3.x (transition to Agile Coretime)"/>
        <s v="Fellowship: Retain bkchr at rank 6"/>
        <s v="Polkadot ecosystem ‘open for all’ organic PR &amp; media campaign"/>
        <s v="G6 Milestone 2: Enterprise SDK for Managed Blockchains and Polkadot Citizens Integration"/>
        <s v="Open source Substrate Indexer in Rust with a decentralized Blockchain Explorer, by Mosaic Chain"/>
        <s v="Implementing a Polkadot-native system parachain for data storage: Phase 2/3"/>
        <s v="[Root] Please reject/ignore"/>
        <s v="Please reject/ignore."/>
        <s v="Polkadot's Economics Parameters: Proposal 4 (5% constant total inflation)"/>
        <s v="UNNOTE THE PREIMAGE- PLEASE DON'T VOTE"/>
        <s v="Retroactive Tip for polkadot &amp; kusama OpenGov Voting Observer Twitter(X) Bot"/>
        <s v="Compensation tip for coverage of activities"/>
        <s v="[Wish For Change] Referendum #1157 - Make polkadot.com code, open source"/>
        <s v="Argus Explorer : Open-source, PVM-focused blockchain explorer designed to address critical needs within the Polkadot ecosystem."/>
        <s v="Support for Investigative Work and Communication Initiatives in Polkadot - Revisited"/>
        <s v="Close Bounty 19 – Wasm Smart Contracts Bounty"/>
        <s v="[Whitelisted Caller] Configure the Coretime Chain and start sales"/>
        <s v="Please Vote on #1177 (Deprecated -&gt; .DOT Authority Registration for the Polkadot App)"/>
        <s v="[Retroactive $DED token] Social Media marketing for dotisded"/>
        <s v="ChessOnchain on Polkadot "/>
        <s v="Development of @noble/curves/sr25519 package by Paul Miller and audit sponsorship (1/2)"/>
        <s v="Marketing Bounty 2.0"/>
        <s v="[Small Tipper] Tip for Creating a UI for the Substrate Kitties Tutorial"/>
        <s v="Showcasing Polkadot’s Capabilities: The Spammening"/>
        <s v="Only Retroactive Funding Proposal: Completed Remarker Development"/>
        <s v="Educational content maintenance proposal by Cryptonitas. "/>
        <s v="[Whitelisted Caller] Fix incorrect price for first coretime sale"/>
        <s v="Polkadot Community Foundation &lt;&gt; Ledger - Giveaway to Increase 𝕏 Followers"/>
        <s v="Tip for 4+ Years of Phunky Polkadot Activism"/>
        <s v="VDS Academy Channel - 6 months funding"/>
        <s v="Sub0 Thailand 2024 Sponsorship for active devs and community members"/>
        <s v=".DOT Authority Registration for the Polkadot App"/>
        <s v="SoyPolkadot: Driving Mass Adoption in LATAM through Real Experiences and Rewards"/>
        <s v="FanSociety - an on-chain fan club protocol for musicians and fans"/>
        <s v="Action Research for OpenGov"/>
        <s v="Anti-phishing browser extension"/>
        <s v="World’s Gymnastics on Polkadot"/>
        <s v="Polkadot User Acquisition tool 👨‍💻⬆️ [$DOT difference adjustment]"/>
        <s v="Bounty Proposal: [Continuation of the Spanish content and event production bounty]"/>
        <s v="Reduce the Set of Head Ambassadors and Start an Effective Ambassador Program"/>
        <s v="Polkadot Korea: 3-Months Marketing and Community Expansion Services by CoinEasy 🍊"/>
        <s v="Canceling referendum 1186"/>
        <s v="Proposal to Demote Don Diego Sanchez as Head Ambassador"/>
        <s v="Inroduce KYC/DID for HA and Bounty Curators"/>
        <s v="Kill Referendum #1189 - Keep Mr Sanchez in the Relay Chain"/>
        <s v="PolkaIdentity's Registrar Application"/>
        <s v="SQD (fka Subsquid) - Public data indexing Infrastructure for Polkadot and Kusama (Q1 2024)"/>
        <s v="Compensation tip for Business Development activity and grow C-Level ecosystem"/>
        <s v="Remove all 20 Head Ambassadors and remove the Ambassador Collective"/>
        <s v="Proposal for Funding the Development of the polkadot-typed-api Library"/>
        <s v="Proposal to remove ONLY the 20 current Head Ambassadors "/>
      </sharedItems>
    </cacheField>
    <cacheField name="Status" numFmtId="0">
      <sharedItems>
        <s v="Rejected"/>
        <s v="Confirming"/>
        <s v="Executed"/>
        <s v="TimedOut"/>
        <s v="Executed_err"/>
        <s v="Killed"/>
        <s v="Cancelled"/>
        <s v="Approved"/>
        <s v="Deciding"/>
        <s v="Preparing"/>
      </sharedItems>
    </cacheField>
    <cacheField name="DOT" numFmtId="165">
      <sharedItems containsSemiMixedTypes="0" containsString="0" containsNumber="1">
        <n v="0.0"/>
        <n v="106000.1662581875"/>
        <n v="2179.57"/>
        <n v="6454.0"/>
        <n v="16823.0"/>
        <n v="61477.0"/>
        <n v="286149.337532309"/>
        <n v="75435.0"/>
        <n v="5750.0"/>
        <n v="120026.26"/>
        <n v="42290.787749713054"/>
        <n v="3936.69"/>
        <n v="43663.107"/>
        <n v="36969.0"/>
        <n v="26765.99"/>
        <n v="49880.0"/>
        <n v="68479.0"/>
        <n v="8775.0"/>
        <n v="3469.0"/>
        <n v="41867.704"/>
        <n v="175419.0"/>
        <n v="77500.0"/>
        <n v="25533.0"/>
        <n v="382.7"/>
        <n v="500.0"/>
        <n v="38249.0"/>
        <n v="146628.0"/>
        <n v="11730.685"/>
        <n v="99672.0"/>
        <n v="19256.0"/>
        <n v="14746.0"/>
        <n v="69786.0"/>
        <n v="932.45"/>
        <n v="120.0"/>
        <n v="4246.19"/>
        <n v="72916.6667"/>
        <n v="35277.535"/>
        <n v="36538.0"/>
        <n v="4747.129"/>
        <n v="7915.0"/>
        <n v="100.0"/>
        <n v="1000.0"/>
        <n v="250.0"/>
        <n v="3956.0"/>
        <n v="40.0"/>
        <n v="234.0"/>
        <n v="110693.7"/>
        <n v="28078.569"/>
        <n v="97000.0"/>
        <n v="17820.0"/>
        <n v="12117.0"/>
        <n v="11229.05"/>
        <n v="999.0"/>
        <n v="15139.0"/>
        <n v="29946.0"/>
        <n v="20.0"/>
        <n v="12455.083"/>
        <n v="59203.58"/>
        <n v="990.0"/>
        <n v="38291.26867436736"/>
        <n v="14269.071"/>
        <n v="6686.0"/>
        <n v="63916.0"/>
        <n v="31612.0"/>
        <n v="3668676.0"/>
        <n v="36686.0"/>
        <n v="80.0"/>
        <n v="50.0"/>
        <n v="15375.745"/>
        <n v="14257.0"/>
        <n v="18391.596"/>
        <n v="8497.687388828632"/>
        <n v="225.0"/>
        <n v="43920.94"/>
        <n v="99520.0"/>
        <n v="60246.888"/>
        <n v="2441.0"/>
        <n v="43877.1439"/>
        <n v="10400.0"/>
        <n v="81300.0"/>
        <n v="41936.15"/>
        <n v="172.387"/>
        <n v="212.8825"/>
        <n v="360.2"/>
        <n v="16842.0"/>
        <n v="26616.0"/>
        <n v="4100.0"/>
        <n v="27259.0"/>
        <n v="42820.0"/>
        <n v="20359.6878"/>
        <n v="300.0"/>
        <n v="40105.193"/>
        <n v="129145.0"/>
        <n v="19401.45"/>
        <n v="1.94779899E8"/>
        <n v="194779.0"/>
        <n v="59895.0"/>
        <n v="71068.0"/>
        <n v="53938.013"/>
        <n v="950.0"/>
        <n v="58018.0"/>
        <n v="12153.7439"/>
        <n v="75600.0"/>
        <n v="44196.0"/>
        <n v="58253.66"/>
        <n v="253862.0"/>
        <n v="35008.393"/>
        <n v="6075.79"/>
        <n v="841.34"/>
        <n v="14833.623"/>
        <n v="22400.0"/>
        <n v="45074.0"/>
        <n v="247058.0"/>
        <n v="32420.0"/>
        <n v="16231.0"/>
        <n v="171454.05"/>
        <n v="24937.0"/>
        <n v="32480.0"/>
        <n v="6444.7"/>
        <n v="5233.0"/>
        <n v="15.0"/>
        <n v="5000.0"/>
        <n v="67438.0"/>
        <n v="130.227"/>
        <n v="11183.81"/>
        <n v="42685.0"/>
        <n v="37851.0"/>
        <n v="255835.014"/>
        <n v="16955.0"/>
        <n v="12115.0"/>
        <n v="5457.0"/>
        <n v="43154.0"/>
        <n v="980.0"/>
        <n v="90540.0"/>
        <n v="1711.0"/>
        <n v="12091.65"/>
        <n v="33943.0"/>
        <n v="9452.0"/>
        <n v="4774.6"/>
        <n v="425660.0"/>
        <n v="4395.0"/>
        <n v="925.0"/>
        <n v="200.0"/>
        <n v="700.0"/>
        <n v="26281.383"/>
        <n v="168432.0"/>
        <n v="28010.0"/>
        <n v="10000.0"/>
        <n v="592573.0"/>
        <n v="2.4474149E7"/>
        <n v="24474.0"/>
        <n v="42650.0"/>
        <n v="150.0"/>
        <n v="22687.0"/>
        <n v="1800.0"/>
        <n v="18982.6915423"/>
        <n v="54753.61"/>
        <n v="420.69"/>
        <n v="1959.93"/>
        <n v="14165.0"/>
        <n v="1111.0"/>
        <n v="4895.0"/>
        <n v="3535.0"/>
        <n v="24701.0"/>
        <n v="17000.0"/>
        <n v="1563.0"/>
        <n v="1500.0"/>
        <n v="350.0"/>
        <n v="59746.84"/>
        <n v="138711.0"/>
        <n v="6970.0"/>
        <n v="590.0"/>
        <n v="5917.0"/>
        <n v="137768.0"/>
        <n v="1000000.0"/>
        <n v="33124.7"/>
        <n v="82140.34"/>
        <n v="9700.0"/>
        <n v="16182.0"/>
        <n v="4455.0"/>
        <n v="3161.0"/>
        <n v="10891.119"/>
        <n v="21400.0"/>
        <n v="99025.0"/>
        <n v="17765.0"/>
        <n v="240.0"/>
        <n v="4351.0"/>
        <n v="21219.12"/>
        <n v="5304.73"/>
        <n v="310.02"/>
        <n v="21849.0"/>
        <n v="8000.0"/>
        <n v="905.66"/>
        <n v="1674.0"/>
        <n v="999999.0"/>
        <n v="632.18"/>
        <n v="3266.28"/>
        <n v="4700.0"/>
        <n v="2107.27"/>
        <n v="3160.91"/>
        <n v="1661.0"/>
        <n v="1628.0"/>
        <n v="498.3"/>
        <n v="25361.29"/>
        <n v="9807.68"/>
        <n v="9364.15"/>
        <n v="4327.47"/>
        <n v="9735.0"/>
        <n v="2400.0"/>
        <n v="7939.0"/>
        <n v="7289.03"/>
        <n v="2.0E-10"/>
        <n v="5645.0"/>
        <n v="6098.0"/>
        <n v="3463.0"/>
        <n v="5.3723E-6"/>
        <n v="53723.0"/>
        <n v="32000.0"/>
        <n v="28489.0"/>
        <n v="8842.0"/>
        <n v="125484.0"/>
        <n v="47837.0"/>
        <n v="11877.0"/>
        <n v="3.0"/>
        <n v="8300.0"/>
        <n v="572.63"/>
        <n v="79975.0"/>
        <n v="78676.0"/>
        <n v="70475.0"/>
        <n v="999.99"/>
        <n v="900.0"/>
        <n v="35395.0"/>
        <n v="12000.0"/>
        <n v="42865.0"/>
        <n v="22195.0"/>
        <n v="9999.0"/>
        <n v="13560.0"/>
        <n v="6431.0"/>
        <n v="1086847.0"/>
        <n v="9000.0"/>
        <n v="71503.0"/>
        <n v="5210.0"/>
        <n v="149657.0"/>
        <n v="26706.0"/>
        <n v="11239.0"/>
        <n v="16981.0"/>
        <n v="21000.0"/>
        <n v="610.0"/>
        <n v="482.0"/>
        <n v="99950.0"/>
        <n v="450.0"/>
        <n v="1950.0"/>
        <n v="48750.0"/>
        <n v="22252.0"/>
        <n v="11059.0"/>
        <n v="41667.0"/>
        <n v="10541.327"/>
        <n v="26448.736"/>
        <n v="25910.7234"/>
        <n v="2500.0"/>
        <n v="26058.0"/>
        <n v="325000.0"/>
        <n v="176852.0"/>
        <n v="282.0"/>
        <n v="1798.0"/>
        <n v="44429.5"/>
        <n v="10356.9"/>
        <n v="45234.77"/>
        <n v="25796.18"/>
        <n v="20632.0"/>
        <n v="248986.130762"/>
        <n v="57781.69"/>
        <n v="71842.0"/>
        <n v="106700.0"/>
        <n v="55858.31"/>
        <n v="24000.0"/>
        <n v="2750.0"/>
        <n v="4267.0"/>
        <n v="91557.0"/>
        <n v="9900.0"/>
        <n v="64658.0"/>
        <n v="21969.0"/>
        <n v="8250.0"/>
        <n v="4417012.0"/>
        <n v="540.0"/>
        <n v="44170.12"/>
        <n v="2000.0"/>
        <n v="2744.11"/>
        <n v="38684.0"/>
        <n v="1658.0"/>
        <n v="160.0"/>
        <n v="12489.0"/>
        <n v="9975.0"/>
        <n v="56600.0"/>
        <n v="65050.0"/>
        <n v="3157.89"/>
        <n v="55000.0"/>
        <n v="51574.0"/>
        <n v="673.0"/>
        <n v="226.0"/>
        <n v="1678.37"/>
        <n v="8208.0"/>
        <n v="11655.0"/>
        <n v="17038.37"/>
        <n v="100000.0"/>
        <n v="500000.0"/>
        <n v="13333.0"/>
        <n v="550.0"/>
        <n v="38460.0"/>
        <n v="34315.574377"/>
        <n v="25555.0"/>
        <n v="11250.0"/>
        <n v="43946.0"/>
        <n v="209250.0"/>
        <n v="818361.0"/>
        <n v="81836.0"/>
        <n v="6655.868"/>
        <n v="64516.0"/>
        <n v="37100.0"/>
        <n v="952.0"/>
        <n v="1655.0"/>
        <n v="21670.0"/>
        <n v="51034.0"/>
        <n v="13509.0"/>
        <n v="31500.0"/>
        <n v="712.17"/>
        <n v="8666.0"/>
        <n v="184235.82"/>
        <n v="172066.93"/>
        <n v="32528.24"/>
        <n v="9507.0"/>
        <n v="20000.0"/>
        <n v="969.0"/>
        <n v="54121.0"/>
        <n v="28761.0"/>
        <n v="65178.0"/>
        <n v="41242.84"/>
        <n v="50000.0"/>
        <n v="30000.0"/>
        <n v="44032.0"/>
        <n v="93962.490651"/>
        <n v="52090.67"/>
        <n v="217.2437202987"/>
        <n v="310930.0"/>
        <n v="11275.0"/>
        <n v="923.38"/>
        <n v="290000.0"/>
        <n v="5986.39"/>
        <n v="34540.0"/>
        <n v="90.0"/>
        <n v="8.0E-8"/>
        <n v="8260.0"/>
        <n v="10458.0"/>
        <n v="121.8441544774"/>
        <n v="2.5E-5"/>
        <n v="250000.0"/>
        <n v="5.867E-7"/>
        <n v="9986.112944"/>
        <n v="3.9326E-6"/>
        <n v="39326.0"/>
        <n v="4471.0"/>
        <n v="14737.47"/>
        <n v="2.0E-8"/>
        <n v="98026.0"/>
        <n v="3600.0"/>
        <n v="31200.0"/>
        <n v="3.5E-6"/>
        <n v="35100.0"/>
        <n v="171827.0"/>
        <n v="32393.2"/>
        <n v="64329.0"/>
        <n v="999999.9999999999"/>
        <n v="6.621E-7"/>
        <n v="7215.0"/>
        <n v="9500.0"/>
        <n v="3.1474E-6"/>
        <n v="31474.0"/>
        <n v="84476.0"/>
        <n v="620.0"/>
        <n v="11121.0"/>
        <n v="97747.61"/>
        <n v="17406.0"/>
        <n v="248929.562796"/>
        <n v="167214.563518"/>
        <n v="3.7865E-6"/>
        <n v="38921.48979"/>
        <n v="58902.0"/>
        <n v="5600.0"/>
        <n v="9468.0"/>
        <n v="50817.27"/>
        <n v="1.0E-7"/>
        <n v="45588.0"/>
        <n v="45555.0"/>
        <n v="150000.0"/>
        <n v="21524.0"/>
        <n v="18694.0"/>
        <n v="2812.27"/>
        <n v="694.2"/>
        <n v="16344.73"/>
        <n v="7270.0"/>
        <n v="5300.0"/>
        <n v="16348.0"/>
        <n v="7935.0"/>
        <n v="9355.5"/>
        <n v="31353.0"/>
        <n v="999.999999999"/>
        <n v="35713.0"/>
        <n v="1212.24"/>
        <n v="968000.0"/>
        <n v="24323.0"/>
        <n v="68868.6"/>
        <n v="2.1557E-6"/>
        <n v="33956.17"/>
        <n v="5800.0"/>
        <n v="31352.0"/>
        <n v="8420.0"/>
        <n v="8235.42"/>
        <n v="155.0"/>
        <n v="42.0"/>
        <n v="5.365E-7"/>
        <n v="5365.0"/>
        <n v="91663.0"/>
        <n v="16153.0"/>
        <n v="74533.0"/>
        <n v="21557.0"/>
        <n v="907.0"/>
        <n v="9924.0"/>
        <n v="889.0"/>
        <n v="824.0"/>
        <n v="28549.62"/>
        <n v="122705.0"/>
        <n v="2395.0"/>
        <n v="9560.0"/>
        <n v="83906.813273"/>
        <n v="48117.0"/>
        <n v="45000.0"/>
        <n v="77820.0"/>
        <n v="30148.0"/>
        <n v="34763.0"/>
        <n v="1.6448E-6"/>
        <n v="2.9719E-6"/>
        <n v="16448.0"/>
        <n v="29719.0"/>
        <n v="81718.0"/>
        <n v="17898.6052999"/>
        <n v="10.054836659398221"/>
        <n v="368016.0"/>
        <n v="725.0"/>
        <n v="202030.0"/>
        <n v="35.5"/>
        <n v="14278.99"/>
        <n v="42404.0"/>
        <n v="596.0"/>
        <n v="9732.0"/>
        <n v="5.54E-8"/>
        <n v="554.0"/>
        <n v="4.9E-8"/>
        <n v="490.0"/>
        <n v="26195.0"/>
        <n v="88000.0"/>
        <n v="150217.81"/>
        <n v="1.2563E-6"/>
        <n v="12563.0"/>
        <n v="8265.0"/>
        <n v="56016.0"/>
        <n v="134627.0"/>
        <n v="9997.0"/>
        <n v="138218.0"/>
        <n v="3500.0"/>
        <n v="2858.213094"/>
        <n v="75142.0"/>
        <n v="7873.0"/>
        <n v="39713.0"/>
        <n v="10.222279992449682"/>
        <n v="20422.0"/>
        <n v="37882.0"/>
        <n v="199260.0"/>
        <n v="35400.53"/>
        <n v="13242.0"/>
        <n v="46.1"/>
        <n v="10979.0"/>
        <n v="26400.0"/>
        <n v="1.3982E-6"/>
        <n v="13982.0"/>
        <n v="80188.0"/>
        <n v="49075.43"/>
        <n v="175000.0"/>
        <n v="7885.497423885508"/>
        <n v="1049.0"/>
        <n v="833.7089787367938"/>
        <n v="31705.0"/>
        <n v="3000.0"/>
        <n v="2960.0"/>
        <n v="4670.0"/>
        <n v="1.0"/>
        <n v="499999.0"/>
        <n v="3282.0"/>
        <n v="60431.0"/>
        <n v="4015.0"/>
        <n v="8822.0"/>
        <n v="9461.0"/>
        <n v="3690.0"/>
        <n v="891.0"/>
        <n v="1.45E10"/>
        <n v="14500.0"/>
        <n v="2737.92"/>
        <n v="6.0E-7"/>
        <n v="6000.0"/>
        <n v="1.4048E-6"/>
        <n v="9286.0"/>
        <n v="53335.0"/>
        <n v="4504.0"/>
        <n v="9600000.0"/>
        <n v="73323.210812"/>
        <n v="23000.0"/>
        <n v="408.45"/>
        <n v="53701.995939383596"/>
        <n v="6220.882129141348"/>
        <n v="89945.0"/>
        <n v="4178.0"/>
        <n v="6.702E-7"/>
        <n v="12604.0"/>
        <n v="24800.0"/>
        <n v="6702.0"/>
        <n v="26265.0"/>
        <n v="440.0"/>
        <n v="2150.3914"/>
        <n v="13855.6"/>
        <n v="17822.33"/>
        <n v="348.7"/>
        <n v="46194.0"/>
        <n v="1519.0"/>
        <n v="7496.0"/>
        <n v="1324503.0"/>
        <n v="135527.0"/>
        <n v="18677.58"/>
        <n v="6429.820923917001"/>
        <n v="25000.0"/>
        <n v="97920.28"/>
        <n v="39139.0"/>
        <n v="16741.2753"/>
        <n v="598000.0"/>
        <n v="134899.0"/>
        <n v="34000.0"/>
        <n v="164989.27"/>
        <n v="139470.9"/>
        <n v="724.78"/>
        <n v="70835.0"/>
        <n v="27843.0"/>
        <n v="0.0156"/>
        <n v="8381.094462911777"/>
        <n v="17081.0"/>
        <n v="33884.0"/>
        <n v="37573.39"/>
        <n v="141395.0"/>
        <n v="99995.0"/>
        <n v="28755.0"/>
        <n v="16677.616320548717"/>
        <n v="27759.78012921434"/>
        <n v="50258.89931502318"/>
        <n v="7579.086436742526"/>
        <n v="35635.496039612284"/>
        <n v="86022.0619187487"/>
        <n v="1011087.5028339707"/>
        <n v="15378.0"/>
        <n v="260000.0"/>
        <n v="96156.88454391209"/>
        <n v="9987.0"/>
        <n v="2350.0"/>
        <n v="9106.82015969656"/>
        <n v="400.0"/>
        <n v="770.0"/>
        <n v="7685.83"/>
        <n v="7531.108582106518"/>
        <n v="400000.0"/>
        <n v="868.0"/>
        <n v="10.0"/>
        <n v="14232.0"/>
        <n v="17215.35027143376"/>
        <n v="386545.0"/>
        <n v="77903.48999999999"/>
        <n v="386546.0"/>
        <n v="31532.0"/>
        <n v="49257.65"/>
        <n v="76800.0"/>
        <n v="6983.1592999098075"/>
        <n v="32918.29421201371"/>
        <n v="28179.53948390753"/>
        <n v="0.16410732827358065"/>
        <n v="26503.51"/>
        <n v="99393.0"/>
        <n v="2777.282430111532"/>
        <n v="1.0E-10"/>
        <n v="3950.0"/>
        <n v="19000.0"/>
        <n v="34.792381103747694"/>
        <n v="162813.42"/>
        <n v="12500.0"/>
        <n v="30981.0"/>
        <n v="4170.0"/>
        <n v="9928.0"/>
        <n v="95000.0"/>
        <n v="28076.27283365398"/>
        <n v="54500.0"/>
        <n v="39.04572244804335"/>
        <n v="43142.0"/>
        <n v="853.267900316889"/>
        <n v="75000.0"/>
        <n v="63696.0"/>
        <n v="37560.00540369759"/>
        <n v="32411.0"/>
        <n v="24954.49995183644"/>
        <n v="1357653.8318808456"/>
        <n v="2261.0"/>
        <n v="4.73E-7"/>
        <n v="208.86982028936083"/>
        <n v="399.4893227591249"/>
        <n v="0.22"/>
        <n v="8272.05"/>
        <n v="23565.244376945895"/>
        <n v="45.0"/>
        <n v="220.0"/>
        <n v="10990.260201361352"/>
        <n v="115814.40660121101"/>
        <n v="28020.29019006855"/>
        <n v="87351.0"/>
        <n v="6011.2862554427065"/>
        <n v="7005.0725475171375"/>
        <n v="42140.22833031294"/>
        <n v="9075.282322185627"/>
        <n v="37604.0"/>
        <n v="21719.485942694035"/>
        <n v="435.3061528599015"/>
        <n v="26347.477673099304"/>
        <n v="4540.0"/>
        <n v="14092.0"/>
        <n v="133030.10576920657"/>
        <n v="25621.53529685904"/>
        <n v="51393.898203181925"/>
        <n v="11173.0"/>
        <n v="1652900.0"/>
        <n v="888.0"/>
        <n v="87741.2487135893"/>
        <n v="36550.49846711192"/>
        <n v="93699.0"/>
        <n v="84886.1651419605"/>
        <n v="1.68608E-5"/>
        <n v="168608.0"/>
        <n v="9062.133125743414"/>
        <n v="705760.6468072619"/>
        <n v="122331.84544659207"/>
        <n v="461342.5206260634"/>
        <n v="7647.0"/>
        <n v="87553.24"/>
        <n v="28386.044450650203"/>
        <n v="38497.95377798981"/>
        <n v="91686.42784137791"/>
        <n v="18683.1302325399"/>
        <n v="99988.0"/>
        <n v="963.23"/>
        <n v="139.38"/>
        <n v="13977.149428024786"/>
        <n v="6020.0"/>
        <n v="4763.709198081145"/>
        <n v="200000.0"/>
        <n v="65000.0"/>
        <n v="946.91"/>
        <n v="16612.0"/>
        <n v="4727.762847787826"/>
        <n v="6717.381660240008"/>
        <n v="16693.23"/>
        <n v="49773.0"/>
        <n v="4450.58982421829"/>
        <n v="6700.0"/>
        <n v="22000.0"/>
        <n v="289183.0"/>
        <n v="14208.877354780498"/>
        <n v="85227.73"/>
        <n v="2439.2"/>
        <n v="47597.91"/>
      </sharedItems>
    </cacheField>
    <cacheField name="USD Propose Date" numFmtId="164">
      <sharedItems containsSemiMixedTypes="0" containsString="0" containsNumber="1">
        <n v="0.0"/>
        <n v="451400.0"/>
        <n v="9626.827714920044"/>
        <n v="28506.33201599121"/>
        <n v="74304.62093353271"/>
        <n v="271534.51709747314"/>
        <n v="1133000.0"/>
        <n v="333184.87071990967"/>
        <n v="25396.87156677246"/>
        <n v="530137.6538887024"/>
        <n v="180000.0"/>
        <n v="17817.975249123574"/>
        <n v="197835.91983825018"/>
        <n v="167189.41288661957"/>
        <n v="121047.09766098976"/>
        <n v="225578.401222229"/>
        <n v="319723.23665475845"/>
        <n v="40969.806826114655"/>
        <n v="16196.496852397919"/>
        <n v="195477.1219524727"/>
        <n v="847173.0464744568"/>
        <n v="374373.66366386414"/>
        <n v="123340.42263650894"/>
        <n v="1848.6813043117522"/>
        <n v="2415.313959121704"/>
        <n v="2550.107479095459"/>
        <n v="195078.12193584442"/>
        <n v="747834.3188896179"/>
        <n v="59829.01510682583"/>
        <n v="508348.6253128052"/>
        <n v="96423.39492416382"/>
        <n v="73839.81000995636"/>
        <n v="362524.6718673706"/>
        <n v="4843.896057701111"/>
        <n v="623.3766174316406"/>
        <n v="21344.45496540546"/>
        <n v="366532.4699567448"/>
        <n v="177330.67929085018"/>
        <n v="186192.67222309113"/>
        <n v="24190.722915806295"/>
        <n v="38649.0385389328"/>
        <n v="488.3011817932129"/>
        <n v="4883.011817932129"/>
        <n v="1246.5652227401733"/>
        <n v="21765.575653076172"/>
        <n v="216.77236557006836"/>
        <n v="1251.2494668960571"/>
        <n v="1256.5122842788696"/>
        <n v="556351.9753691197"/>
        <n v="143621.25811869334"/>
        <n v="497267.4136161804"/>
        <n v="91353.66299629211"/>
        <n v="63148.25598335266"/>
        <n v="545.2579021453857"/>
        <n v="61227.28246085643"/>
        <n v="5301.590266227722"/>
        <n v="80293.15419864655"/>
        <n v="158825.4703502655"/>
        <n v="106.07458114624023"/>
        <n v="64508.252939070226"/>
        <n v="103.58542442321777"/>
        <n v="325016.46138450626"/>
        <n v="5434.9128341674805"/>
        <n v="183325.99999999997"/>
        <n v="74438.51840883636"/>
        <n v="35115.54053878784"/>
        <n v="332237.6813659668"/>
        <n v="164320.3201599121"/>
        <n v="1.8554478895202637E7"/>
        <n v="185540.94522094727"/>
        <n v="404.603271484375"/>
        <n v="248.95095825195312"/>
        <n v="33289.72213745117"/>
        <n v="76697.32342167378"/>
        <n v="71116.79726886749"/>
        <n v="91740.99769817735"/>
        <n v="37314.0"/>
        <n v="1138.63023519516"/>
        <n v="222265.37885418892"/>
        <n v="503628.80447387695"/>
        <n v="304504.62928609084"/>
        <n v="12337.497002124786"/>
        <n v="221767.362281052"/>
        <n v="52363.85459899902"/>
        <n v="405386.421918869"/>
        <n v="399.0641784667969"/>
        <n v="195674.3712114811"/>
        <n v="804.3589559373855"/>
        <n v="993.3112441039085"/>
        <n v="2333.003520965576"/>
        <n v="1680.695736503601"/>
        <n v="78584.89060020447"/>
        <n v="118120.84882736206"/>
        <n v="18498.44570159912"/>
        <n v="122987.59301948547"/>
        <n v="193442.9811668396"/>
        <n v="90004.46167887497"/>
        <n v="1326.2157440185547"/>
        <n v="177293.79457834244"/>
        <n v="570913.7742042542"/>
        <n v="87075.59324355125"/>
        <n v="8.741911175372972E8"/>
        <n v="874187.0827379227"/>
        <n v="268814.58124637604"/>
        <n v="318843.313583374"/>
        <n v="242960.53415033102"/>
        <n v="4309.509634971619"/>
        <n v="247704.9609889984"/>
        <n v="51238.14529046054"/>
        <n v="322765.8199310303"/>
        <n v="188689.9229850769"/>
        <n v="428.67398262023926"/>
        <n v="1062.4747276306152"/>
        <n v="246977.81079312327"/>
        <n v="1012129.512418747"/>
        <n v="142089.46907217262"/>
        <n v="25165.674229249955"/>
        <n v="3521.520161495209"/>
        <n v="60441.0481690278"/>
        <n v="92024.64294433594"/>
        <n v="187338.44711971283"/>
        <n v="25153.181664819716"/>
        <n v="1022796.1723079681"/>
        <n v="134215.65748214722"/>
        <n v="65452.15421628952"/>
        <n v="684226.2976417779"/>
        <n v="99516.75789690018"/>
        <n v="81.49321556091309"/>
        <n v="132429.46731567383"/>
        <n v="26276.729926395416"/>
        <n v="21484.6989941597"/>
        <n v="61.584270000457764"/>
        <n v="21305.04608154297"/>
        <n v="63.915138244628906"/>
        <n v="278098.27057266235"/>
        <n v="537.025170999527"/>
        <n v="45565.603036952016"/>
        <n v="325.9397506713867"/>
        <n v="172759.68663454056"/>
        <n v="153194.9607310295"/>
        <n v="1029157.2274032126"/>
        <n v="68205.52244901657"/>
        <n v="49334.08271074295"/>
        <n v="22221.716001033783"/>
        <n v="175051.9150943756"/>
        <n v="3934.0003204345703"/>
        <n v="363453.4581756592"/>
        <n v="6633.92164349556"/>
        <n v="46098.59400590658"/>
        <n v="129405.38109707832"/>
        <n v="35332.12506866455"/>
        <n v="934.5145225524902"/>
        <n v="17847.732157516482"/>
        <n v="1563703.3404779434"/>
        <n v="16420.932630300522"/>
        <n v="3736.2759113311768"/>
        <n v="3502.2451877593994"/>
        <n v="731.3097953796387"/>
        <n v="2559.5842838287354"/>
        <n v="96099.16412011957"/>
        <n v="615879.8572769165"/>
        <n v="102419.9368429184"/>
        <n v="36488.7809753418"/>
        <n v="2205127.14460063"/>
        <n v="9.107504105131412E7"/>
        <n v="95556.41083431244"/>
        <n v="169095.1355934143"/>
        <n v="594.7073936462402"/>
        <n v="97215.02479076385"/>
        <n v="7713.09757232666"/>
        <n v="81341.8622506333"/>
        <n v="234622.18687062262"/>
        <n v="1782.2135768079759"/>
        <n v="8303.05891652584"/>
        <n v="60008.68885755539"/>
        <n v="4706.6468987464905"/>
        <n v="20737.206633090973"/>
        <n v="14776.682028770447"/>
        <n v="111841.16629743576"/>
        <n v="76972.58520126343"/>
        <n v="6957.194310665131"/>
        <n v="6676.769971847534"/>
        <n v="1557.9129934310913"/>
        <n v="265943.93814985274"/>
        <n v="617427.6263766289"/>
        <n v="31024.724469184875"/>
        <n v="2791.2367963790894"/>
        <n v="27427.212115764618"/>
        <n v="635867.3463134766"/>
        <n v="4691026.210784912"/>
        <n v="155388.83592438698"/>
        <n v="408103.83283005713"/>
        <n v="48193.216371536255"/>
        <n v="79801.3394165039"/>
        <n v="21969.779205322266"/>
        <n v="15974.38235092163"/>
        <n v="55039.19618329239"/>
        <n v="113437.13712692261"/>
        <n v="524911.7992520332"/>
        <n v="2776.5824794769287"/>
        <n v="101400.66644906998"/>
        <n v="1369.8936080932617"/>
        <n v="24835.02953672409"/>
        <n v="113912.04795364379"/>
        <n v="28477.743570003506"/>
        <n v="26841.840744018555"/>
        <n v="1612.9493752384185"/>
        <n v="5202.7268409729"/>
        <n v="121612.78387641907"/>
        <n v="44528.45764160156"/>
        <n v="4852.908289670944"/>
        <n v="26792.10901260376"/>
        <n v="8775.448216438293"/>
        <n v="5242197.993422985"/>
        <n v="634.9464225769043"/>
        <n v="3345.0035785388945"/>
        <n v="17282.60667612076"/>
        <n v="24868.734884262085"/>
        <n v="11472.500903282165"/>
        <n v="16767.356404628754"/>
        <n v="8810.937036514282"/>
        <n v="8635.885307312012"/>
        <n v="2643.281110954285"/>
        <n v="124001.21331771852"/>
        <n v="47953.563081054686"/>
        <n v="48439.48298387527"/>
        <n v="22385.417729129793"/>
        <n v="50357.83993721008"/>
        <n v="12414.875793457031"/>
        <n v="41067.37455177307"/>
        <n v="37705.16754365921"/>
        <n v="1.034572982788086E-9"/>
        <n v="28979.385974407196"/>
        <n v="31304.92394542694"/>
        <n v="17777.788065433502"/>
        <n v="2.757944291768074E-5"/>
        <n v="275794.4291768074"/>
        <n v="164276.4129638672"/>
        <n v="149377.56803750992"/>
        <n v="46361.629281044006"/>
        <n v="657955.5178356171"/>
        <n v="1048.668384552002"/>
        <n v="250825.7475590706"/>
        <n v="62275.172016620636"/>
        <n v="15.990258693695068"/>
        <n v="44239.71571922302"/>
        <n v="3049.3286376714705"/>
        <n v="412789.20645713806"/>
        <n v="406084.44647979736"/>
        <n v="371451.0351061821"/>
        <n v="5270.625336585045"/>
        <n v="527.0678043365479"/>
        <n v="421.6542434692383"/>
        <n v="4651.2800216674805"/>
        <n v="182924.50707435608"/>
        <n v="41344.71130371094"/>
        <n v="218.63176345825195"/>
        <n v="65589.52903747559"/>
        <n v="234291.26351594925"/>
        <n v="121313.29974889755"/>
        <n v="54744.92454957962"/>
        <n v="75581.82838439941"/>
        <n v="5573.881149291992"/>
        <n v="28131.635189056396"/>
        <n v="38017.319400310516"/>
        <n v="6568170.625558376"/>
        <n v="56219.993591308594"/>
        <n v="446655.3557510376"/>
        <n v="32545.129623413086"/>
        <n v="934857.2867660522"/>
        <n v="166823.46098327637"/>
        <n v="76871.14963245392"/>
        <n v="116144.58509731293"/>
        <n v="143633.2540512085"/>
        <n v="4341.748194694519"/>
        <n v="3430.6928358078003"/>
        <n v="711406.1181306839"/>
        <n v="3303.708815574646"/>
        <n v="14316.0715341568"/>
        <n v="326951.47812366486"/>
        <n v="149237.42135810852"/>
        <n v="74169.36198091507"/>
        <n v="6706.6969871521"/>
        <n v="279447.94336366653"/>
        <n v="80221.37476058006"/>
        <n v="201279.58867034913"/>
        <n v="3760.547399520874"/>
        <n v="194877.0070031493"/>
        <n v="18802.73699760437"/>
        <n v="181278.80293178558"/>
        <n v="2260941.3981437683"/>
        <n v="1253156.8216552734"/>
        <n v="1893.6917638778687"/>
        <n v="12482.965863227844"/>
        <n v="308460.4737598896"/>
        <n v="71904.79930415153"/>
        <n v="378230.8648057174"/>
        <n v="215694.95036857604"/>
        <n v="164419.1303215027"/>
        <n v="1984203.328906746"/>
        <n v="460469.9117054415"/>
        <n v="572518.3773050308"/>
        <n v="318.7652778625488"/>
        <n v="850306.378698349"/>
        <n v="465976.46819307323"/>
        <n v="221487.83111572266"/>
        <n v="23933.441638946533"/>
        <n v="37135.99835395813"/>
        <n v="796826.9513225555"/>
        <n v="83656.13107681274"/>
        <n v="536184.5748748779"/>
        <n v="182180.68801116943"/>
        <n v="68414.15977478027"/>
        <n v="3.662862602365112E7"/>
        <n v="4520.265998840332"/>
        <n v="369742.02148277283"/>
        <n v="837.086296081543"/>
        <n v="5517.03314781189"/>
        <n v="15762.951850891113"/>
        <n v="21627.636901774407"/>
        <n v="1675.2514243125916"/>
        <n v="372.278094291687"/>
        <n v="288024.1159915924"/>
        <n v="12398.438097000122"/>
        <n v="1196.4717102050781"/>
        <n v="99550.58369779587"/>
        <n v="81497.63431549072"/>
        <n v="462432.6919555664"/>
        <n v="531470.788192749"/>
        <n v="23902.934509763716"/>
        <n v="418714.1823768616"/>
        <n v="387722.34568977356"/>
        <n v="7517.786979675293"/>
        <n v="74426.0910987854"/>
        <n v="1872.5149631500244"/>
        <n v="4935.082166671753"/>
        <n v="1657.2489891052246"/>
        <n v="7000.6293869018555"/>
        <n v="11761.407751846313"/>
        <n v="57518.68469238281"/>
        <n v="81674.00951385498"/>
        <n v="119398.7124393463"/>
        <n v="137.49210357666016"/>
        <n v="687460.5178833008"/>
        <n v="3437302.589416504"/>
        <n v="551.9115829467773"/>
        <n v="84436.88692951202"/>
        <n v="3494.9371337890625"/>
        <n v="244391.42211914062"/>
        <n v="635443.115234375"/>
        <n v="968.9763307571411"/>
        <n v="220802.29448091207"/>
        <n v="170458.16407680511"/>
        <n v="75040.27962684631"/>
        <n v="293130.6780872345"/>
        <n v="1431681.6169023514"/>
        <n v="5446794.743771553"/>
        <n v="544678.8088035583"/>
        <n v="44299.700056133275"/>
        <n v="429401.4618110657"/>
        <n v="251948.96178245544"/>
        <n v="679107.7136993408"/>
        <n v="6347.201267242432"/>
        <n v="11133.04255247116"/>
        <n v="145772.22484111786"/>
        <n v="343301.3254518509"/>
        <n v="544.4565582275391"/>
        <n v="1361.1413955688477"/>
        <n v="91938.29556369781"/>
        <n v="218607.7938079834"/>
        <n v="222077.7587890625"/>
        <n v="6245.936965942383"/>
        <n v="6939.929962158203"/>
        <n v="4995.634742531776"/>
        <n v="60789.09625339508"/>
        <n v="1324930.264808178"/>
        <n v="1438.298225402832"/>
        <n v="7191.49112701416"/>
        <n v="575.3192901611328"/>
        <n v="1441.7725563049316"/>
        <n v="1240406.8876082087"/>
        <n v="234491.61868450165"/>
        <n v="67461.78718185425"/>
        <n v="6386.410903930664"/>
        <n v="734606.3137054443"/>
        <n v="146921.26274108887"/>
        <n v="7118.335179805756"/>
        <n v="398489.30549144745"/>
        <n v="211765.32058238983"/>
        <n v="479901.2574291229"/>
        <n v="315848.6814317703"/>
        <n v="38291.335105895996"/>
        <n v="382913.35105895996"/>
        <n v="233341.62712097168"/>
        <n v="342483.2841796875"/>
        <n v="7778.054237365723"/>
        <n v="730845.3485614477"/>
        <n v="398888.56686387537"/>
        <n v="1663.5615600668034"/>
        <n v="385217.6904678345"/>
        <n v="2395514.7299432755"/>
        <n v="86866.58920049667"/>
        <n v="7248.587509374618"/>
        <n v="7850.059032440186"/>
        <n v="2242629.680633545"/>
        <n v="44795.50434894562"/>
        <n v="258459.05799865723"/>
        <n v="702.84583568573"/>
        <n v="11884.592771530151"/>
        <n v="6.338449478149414E-7"/>
        <n v="65444.4908618927"/>
        <n v="87549.09729194641"/>
        <n v="1020.0177600685447"/>
        <n v="2.0856547355651856E-4"/>
        <n v="2085654.7355651855"/>
        <n v="4.894614533424378E-6"/>
        <n v="83310.3350061696"/>
        <n v="867422.9621887207"/>
        <n v="3.4112275411033634E-5"/>
        <n v="273238.233089447"/>
        <n v="693.9383697509766"/>
        <n v="341122.7541103363"/>
        <n v="43804.35234069824"/>
        <n v="144389.47181625364"/>
        <n v="1.9594879150390627E-7"/>
        <n v="960403.8117980957"/>
        <n v="37851.216888427734"/>
        <n v="328043.87969970703"/>
        <n v="3.679979419708252E-5"/>
        <n v="369049.3646621704"/>
        <n v="1806628.0678577423"/>
        <n v="345477.73993797303"/>
        <n v="686077.2486963272"/>
        <n v="10522.542953491211"/>
        <n v="1.0522542953491211E7"/>
        <n v="1.052254295349121E7"/>
        <n v="320698.97689819336"/>
        <n v="7.102098705482483E-6"/>
        <n v="77392.60256767273"/>
        <n v="101902.94170379639"/>
        <n v="9653.962898254395"/>
        <n v="214.53250885009766"/>
        <n v="3.563197384929657E-5"/>
        <n v="356319.7384929657"/>
        <n v="975098.1887435913"/>
        <n v="7156.599235534668"/>
        <n v="120533.44212341309"/>
        <n v="1059424.1428501892"/>
        <n v="216.76727294921875"/>
        <n v="1.0838363647460938E7"/>
        <n v="172448.17348480225"/>
        <n v="2181708.172095138"/>
        <n v="1465528.5439902127"/>
        <n v="701.1487579345703"/>
        <n v="94918.59436035156"/>
        <n v="3.594092575454712E-5"/>
        <n v="189.83718872070312"/>
        <n v="357022.68164573674"/>
        <n v="4459.629058837891"/>
        <n v="4459629.058837891"/>
        <n v="525362.1416473389"/>
        <n v="50299.698638916016"/>
        <n v="85042.41905593872"/>
        <n v="456445.24404507637"/>
        <n v="38326.57394504547"/>
        <n v="9.369309425354003E-7"/>
        <n v="9369.309425354004"/>
        <n v="9542.867012023926"/>
        <n v="443918.593208313"/>
        <n v="194.75238800048828"/>
        <n v="441454.12799835205"/>
        <n v="1453586.196899414"/>
        <n v="484528.7322998047"/>
        <n v="2738695.6310272217"/>
        <n v="204839.19108581543"/>
        <n v="177906.70127105713"/>
        <n v="26763.757290229798"/>
        <n v="6606.549268341065"/>
        <n v="190.3356170654297"/>
        <n v="155549.213515892"/>
        <n v="69764.63045120239"/>
        <n v="9404.310569763184"/>
        <n v="50860.04695892334"/>
        <n v="959.6235275268555"/>
        <n v="191.9247055053711"/>
        <n v="154222.7292251587"/>
        <n v="76514.23579216003"/>
        <n v="85706.30886983871"/>
        <n v="287226.7545289993"/>
        <n v="8578.613281241422"/>
        <n v="686.2890625"/>
        <n v="301187.53719234467"/>
        <n v="10223.492288131714"/>
        <n v="8490893.363952637"/>
        <n v="8219184.776306152"/>
        <n v="206523.99929141998"/>
        <n v="849418.6401367188"/>
        <n v="584982.7256011963"/>
        <n v="1.8310917625427245E-5"/>
        <n v="8706.72607421875"/>
        <n v="295647.0707196045"/>
        <n v="50228.30333709717"/>
        <n v="271509.9596939087"/>
        <n v="72917.64036178589"/>
        <n v="71319.16790834427"/>
        <n v="1304.929723739624"/>
        <n v="353.5938606262207"/>
        <n v="4.516740624427795E-6"/>
        <n v="44955.70236682892"/>
        <n v="768084.7243337631"/>
        <n v="135353.11469364166"/>
        <n v="579.287109375"/>
        <n v="3982.598876953125"/>
        <n v="539700.0765380859"/>
        <n v="156096.15270996094"/>
        <n v="5821.105873584747"/>
        <n v="63692.0117855072"/>
        <n v="6106.8487200737"/>
        <n v="5520.83874130249"/>
        <n v="187845.85164945602"/>
        <n v="807353.1355810165"/>
        <n v="16251.327435970306"/>
        <n v="64869.59928512573"/>
        <n v="1628.525505065918"/>
        <n v="135.71045875549316"/>
        <n v="561140.0570355842"/>
        <n v="6687657.833099365"/>
        <n v="321790.03195524216"/>
        <n v="300944.60248947144"/>
        <n v="520433.5325717926"/>
        <n v="218098.5592136383"/>
        <n v="3617131.471633911"/>
        <n v="248035.0075340271"/>
        <n v="1.2299668005371093E-5"/>
        <n v="2.1530187940597532E-5"/>
        <n v="119158.96606445312"/>
        <n v="215301.87940597534"/>
        <n v="592013.1559371948"/>
        <n v="124040.10543983603"/>
        <n v="69.0"/>
        <n v="2525461.612174988"/>
        <n v="6862.369060516357"/>
        <n v="4975.217568874359"/>
        <n v="1365362.5518035889"/>
        <n v="241.35154271125793"/>
        <n v="135.97270011901855"/>
        <n v="6798635.005950928"/>
        <n v="97077.64126362324"/>
        <n v="288289.31879234314"/>
        <n v="4007.269241333008"/>
        <n v="62501.218980789185"/>
        <n v="3.5579197816848757E-7"/>
        <n v="3557.9197816848755"/>
        <n v="3.1468965578079226E-7"/>
        <n v="3146.8965578079224"/>
        <n v="168230.5210852623"/>
        <n v="1032.4564218521118"/>
        <n v="605707.7674865723"/>
        <n v="1033955.6174070692"/>
        <n v="9.152291476631165E-6"/>
        <n v="91522.91476631165"/>
        <n v="59963.41145038605"/>
        <n v="406401.7490386963"/>
        <n v="959494.6980743408"/>
        <n v="71249.2181854248"/>
        <n v="69967.38910675049"/>
        <n v="966160.2652339935"/>
        <n v="24465.416431427002"/>
        <n v="19979.24959841926"/>
        <n v="352505.9938430786"/>
        <n v="529760.1077871323"/>
        <n v="55505.59379053116"/>
        <n v="4685.823518371582"/>
        <n v="268061.2350692749"/>
        <n v="135994.75111293793"/>
        <n v="264457.91552972794"/>
        <n v="252264.86933994293"/>
        <n v="1319176.7137813568"/>
        <n v="235962.1541203785"/>
        <n v="2999.474000930786"/>
        <n v="85793.61847114563"/>
        <n v="298.6773758888245"/>
        <n v="71131.86355495453"/>
        <n v="171043.00918579102"/>
        <n v="9.058800584983825E-6"/>
        <n v="90588.00584983826"/>
        <n v="348173.99978637695"/>
        <n v="558387.5338973999"/>
        <n v="6963479.995727539"/>
        <n v="344957.3423823929"/>
        <n v="1230096.9123840332"/>
        <n v="143.93511772155762"/>
        <n v="56750.0"/>
        <n v="7549.396924495697"/>
        <n v="6000.0"/>
        <n v="228173.1453680992"/>
        <n v="7161952.972412109"/>
        <n v="22840.98529815674"/>
        <n v="22536.43882751465"/>
        <n v="34812.38008975983"/>
        <n v="7.454471111297607"/>
        <n v="3600387.0964050293"/>
        <n v="3600379.8956308365"/>
        <n v="23632.940900802612"/>
        <n v="435149.98524570465"/>
        <n v="29085.82767724991"/>
        <n v="579.5432662963867"/>
        <n v="63909.133690834045"/>
        <n v="68538.23553037643"/>
        <n v="27849.29367542267"/>
        <n v="6724.585546016693"/>
        <n v="1.1061022138595581E11"/>
        <n v="110610.22138595581"/>
        <n v="20885.65085083008"/>
        <n v="4.420243835449218E-6"/>
        <n v="44202.43835449219"/>
        <n v="1.00758183303833E-5"/>
        <n v="66603.11006259918"/>
        <n v="573.7937545776367"/>
        <n v="373230.86069107056"/>
        <n v="69978.59954833984"/>
        <n v="31470.10943222046"/>
        <n v="6.7076609802246094E7"/>
        <n v="514013.97538130055"/>
        <n v="165310.3175163269"/>
        <n v="2935.6956169366836"/>
        <n v="385978.0"/>
        <n v="44712.0"/>
        <n v="651986.8218326569"/>
        <n v="29839.33460330963"/>
        <n v="4.786577800655365E-6"/>
        <n v="90017.94479179382"/>
        <n v="165112.61711120605"/>
        <n v="44620.353220939636"/>
        <n v="174866.2455010414"/>
        <n v="2810.906524658203"/>
        <n v="52800.323696136475"/>
        <n v="13737.61185642929"/>
        <n v="88515.44646148682"/>
        <n v="116250.8306952715"/>
        <n v="2274.4873797893524"/>
        <n v="300604.9959039688"/>
        <n v="50624.48362827301"/>
        <n v="9691.0637216568"/>
        <n v="50535.9095954895"/>
        <n v="508.80577087402344"/>
        <n v="8423934.624249458"/>
        <n v="835220.5386967659"/>
        <n v="116193.46928014756"/>
        <n v="40000.0"/>
        <n v="151847.87511825562"/>
        <n v="565553.360956688"/>
        <n v="220774.05807971954"/>
        <n v="94433.66681342841"/>
        <n v="3373179.864883423"/>
        <n v="760934.097981453"/>
        <n v="191786.14616394043"/>
        <n v="925765.0315320491"/>
        <n v="235.66460609436035"/>
        <n v="782579.8740506172"/>
        <n v="4066.7855525016785"/>
        <n v="407150.3692126274"/>
        <n v="162672.58729934692"/>
        <n v="0.0911429214477539"/>
        <n v="5842.494964599609"/>
        <n v="48554.0"/>
        <n v="98954.96079540253"/>
        <n v="196299.3906440735"/>
        <n v="3140722.0363616943"/>
        <n v="232000.69439937113"/>
        <n v="873057.7194285393"/>
        <n v="607203.63945961"/>
        <n v="182025.50992012024"/>
        <n v="105572.99999999999"/>
        <n v="180850.0"/>
        <n v="305038.0"/>
        <n v="46000.0"/>
        <n v="198100.0"/>
        <n v="478202.13999999996"/>
        <n v="5620700.048310282"/>
        <n v="283.28704833984375"/>
        <n v="87127.76458740234"/>
        <n v="1473092.6513671875"/>
        <n v="544800.0"/>
        <n v="62333.62140083313"/>
        <n v="499.3180847167969"/>
        <n v="14667.468738555908"/>
        <n v="56840.0"/>
        <n v="936.2214088439941"/>
        <n v="2362.5051498413086"/>
        <n v="4577.461409568787"/>
        <n v="45690.37691624164"/>
        <n v="46045.8"/>
        <n v="2445631.980895996"/>
        <n v="5293.828506469727"/>
        <n v="121.97761535644531"/>
        <n v="59048.92921447754"/>
        <n v="59.04892921447754"/>
        <n v="84038.43605804443"/>
        <n v="105000.0"/>
        <n v="2357618.3092451096"/>
        <n v="499.52064514160156"/>
        <n v="486430.0197947788"/>
        <n v="2446093.1586198807"/>
        <n v="200046.04034423828"/>
        <n v="312501.517162323"/>
        <n v="487236.328125"/>
        <n v="44302.72"/>
        <n v="208841.0"/>
        <n v="176400.0"/>
        <n v="1.0"/>
        <n v="168194.8561301708"/>
        <n v="629866.3690209389"/>
        <n v="17600.0"/>
        <n v="3053.5645484924316"/>
        <n v="488.57032775878906"/>
        <n v="5.918869972229004E-10"/>
        <n v="23379.536390304565"/>
        <n v="112458.52947235107"/>
        <n v="200.00000000000003"/>
        <n v="936828.2938421345"/>
        <n v="71924.99041557312"/>
        <n v="460.31993865966797"/>
        <n v="180652.8064198494"/>
        <n v="23858.346462249756"/>
        <n v="56133.5775680542"/>
        <n v="537136.3687515259"/>
        <n v="2261626.8157958984"/>
        <n v="151200.0"/>
        <n v="279159.9006652832"/>
        <n v="200.0"/>
        <n v="220981.95292663574"/>
        <n v="2774.016237258911"/>
        <n v="4208.274841308594"/>
        <n v="45.06931781768799"/>
        <n v="3900.0"/>
        <n v="342799.72314834595"/>
        <n v="91.41325950622559"/>
        <n v="291132.94887542725"/>
        <n v="4.88088321685791"/>
        <n v="183326.0"/>
        <n v="158194.30594158173"/>
        <n v="97.6176643371582"/>
        <n v="121800.0"/>
        <n v="14.64264965057373"/>
        <n v="6500000.000000001"/>
        <n v="10824.924332618713"/>
        <n v="2.264568425178528E-6"/>
        <n v="1000.0"/>
        <n v="10753.478892326355"/>
        <n v="1900.0"/>
        <n v="1.0463358497619628"/>
        <n v="39342.46575465202"/>
        <n v="112078.0"/>
        <n v="202.33449697494507"/>
        <n v="1000.8862209320068"/>
        <n v="50000.0"/>
        <n v="508000.0"/>
        <n v="4386.328220367432"/>
        <n v="120000.0"/>
        <n v="374090.3441362381"/>
        <n v="25744.000000000004"/>
        <n v="342.60887145996094"/>
        <n v="30000.0"/>
        <n v="181000.0"/>
        <n v="38980.0"/>
        <n v="161516.0683670044"/>
        <n v="4295.183181762695"/>
        <n v="94800.0"/>
        <n v="115000.0"/>
        <n v="4391.077041625977"/>
        <n v="1120.9545135498047"/>
        <n v="20356.533966064453"/>
        <n v="63185.96401977539"/>
        <n v="596482.79"/>
        <n v="116160.0"/>
        <n v="240000.0"/>
        <n v="20084.555625915527"/>
        <n v="54732.86341667175"/>
        <n v="8097015.120506287"/>
        <n v="4428.399250030518"/>
        <n v="437560.0"/>
        <n v="182275.0"/>
        <n v="410482.8574447632"/>
        <n v="371875.0"/>
        <n v="7.386492238769531E-5"/>
        <n v="738649.2238769531"/>
        <n v="39700.0"/>
        <n v="85.17589569091797"/>
        <n v="85175.89569091797"/>
        <n v="3000000.0"/>
        <n v="520000.0"/>
        <n v="1062.6832246780396"/>
        <n v="1961043.83"/>
        <n v="85.01465797424316"/>
        <n v="1916.3177490234375"/>
        <n v="4258.48388671875"/>
        <n v="31069.07338142395"/>
        <n v="81.2582015991211"/>
        <n v="359839.61147716525"/>
        <n v="40160.579681396484"/>
        <n v="114000.0"/>
        <n v="165000.0"/>
        <n v="390240.0"/>
        <n v="79520.0"/>
        <n v="425573.53404045105"/>
        <n v="4037.5247836732865"/>
        <n v="4191.651821136475"/>
        <n v="584.2324308300018"/>
        <n v="60000.0"/>
        <n v="4292.720794677734"/>
        <n v="25274.80157852173"/>
        <n v="19800.0"/>
        <n v="833806.9915771484"/>
        <n v="833.8069915771484"/>
        <n v="83.38069915771484"/>
        <n v="276591.5894508362"/>
        <n v="4029.343722567558"/>
        <n v="70688.29975318909"/>
        <n v="20506.0"/>
        <n v="4466.025829315186"/>
        <n v="74552.39635469913"/>
        <n v="222287.50360250473"/>
        <n v="19200.0"/>
        <n v="29851.649570465088"/>
        <n v="371.26392364501953"/>
        <n v="101980.93605041504"/>
        <n v="1392787.5079345703"/>
        <n v="69510.61"/>
        <n v="416938.7456372213"/>
        <n v="11722.541048431396"/>
        <n v="211196.0251045418"/>
        <n v="1039.7517681121826"/>
        <n v="20795.035362243652"/>
      </sharedItems>
    </cacheField>
    <cacheField name="Track" numFmtId="0">
      <sharedItems>
        <s v="SmallTipper"/>
        <s v="BigSpender"/>
        <s v="SmallSpender"/>
        <s v="WhitelistedCaller"/>
        <s v="MediumSpender"/>
        <s v="Root"/>
        <s v="Treasurer"/>
        <s v="GeneralAdmin"/>
        <s v="BigTipper"/>
        <s v="AuctionAdmin"/>
        <s v="StakingAdmin"/>
        <s v="ReferendumKiller"/>
        <s v="ReferendumCanceller"/>
        <s v="FellowshipAdmin"/>
        <s v="LeaseAdmin"/>
        <s v="WishForChange"/>
      </sharedItems>
    </cacheField>
    <cacheField name="AYEs" numFmtId="3">
      <sharedItems containsSemiMixedTypes="0" containsString="0" containsNumber="1">
        <n v="7735.4101"/>
        <n v="3.669754449431836E7"/>
        <n v="2233979.009701535"/>
        <n v="378059.8396858491"/>
        <n v="8.585082224565667E7"/>
        <n v="2528444.8001554697"/>
        <n v="9648535.68311292"/>
        <n v="4.519716738172916E7"/>
        <n v="2074686.070993722"/>
        <n v="2678085.5293575157"/>
        <n v="6253826.758248116"/>
        <n v="5.6351951517166995E7"/>
        <n v="3.6401206899206065E7"/>
        <n v="786169.714188578"/>
        <n v="18333.1"/>
        <n v="81100.5"/>
        <n v="3378026.860683102"/>
        <n v="2374590.5707282093"/>
        <n v="2648904.398457322"/>
        <n v="4112784.7833038564"/>
        <n v="636529.2273782742"/>
        <n v="6.606000011524445E7"/>
        <n v="954772.8672961564"/>
        <n v="3210641.9696878437"/>
        <n v="5206765.447026082"/>
        <n v="4674309.070914032"/>
        <n v="3504455.105842395"/>
        <n v="1549724.6118197916"/>
        <n v="1999230.0560329945"/>
        <n v="1972241.1905529392"/>
        <n v="1824897.4281974696"/>
        <n v="1832886.2950795456"/>
        <n v="5716836.764256967"/>
        <n v="2027584.2021437099"/>
        <n v="1986121.7661197702"/>
        <n v="1421644.9241235747"/>
        <n v="2264937.4916216643"/>
        <n v="2946712.004114563"/>
        <n v="3627633.1003135424"/>
        <n v="1312361.345130413"/>
        <n v="1184379.4564274505"/>
        <n v="95326.1830414097"/>
        <n v="1926512.2894038626"/>
        <n v="535586.4422059607"/>
        <n v="578479.153888036"/>
        <n v="22100.0"/>
        <n v="1736554.51924286"/>
        <n v="3174849.7778280494"/>
        <n v="2881164.8922535484"/>
        <n v="258648.0611109425"/>
        <n v="1.1334665505857082E7"/>
        <n v="922871.0506156298"/>
        <n v="804877.8936606903"/>
        <n v="397715.71"/>
        <n v="6.2443324698371075E7"/>
        <n v="495269.8360762875"/>
        <n v="1.6388178298898268E8"/>
        <n v="2588925.6659325603"/>
        <n v="6.157420157551171E7"/>
        <n v="3.977665007842737E7"/>
        <n v="1026127.0465299801"/>
        <n v="6.124214665431561E7"/>
        <n v="122018.0659236606"/>
        <n v="44182.6993408617"/>
        <n v="381841.6537766811"/>
        <n v="4847597.456583484"/>
        <n v="8335.1"/>
        <n v="220863.9527388797"/>
        <n v="0.0"/>
        <n v="24.15"/>
        <n v="284632.6898"/>
        <n v="3561178.420361336"/>
        <n v="24660.0"/>
        <n v="924670.6679387339"/>
        <n v="4880359.655201729"/>
        <n v="400680.9321555039"/>
        <n v="5.6403189080470085E7"/>
        <n v="8435.0"/>
        <n v="701086.5995730502"/>
        <n v="586.6001"/>
        <n v="6210049.197051994"/>
        <n v="536698.3342410373"/>
        <n v="2770176.478645523"/>
        <n v="6921.2"/>
        <n v="3.8681362508912414E7"/>
        <n v="7574005.649151822"/>
        <n v="2732511.4242491024"/>
        <n v="3812823.3020713115"/>
        <n v="4.4924577120154776E7"/>
        <n v="332889.2860128057"/>
        <n v="10.864"/>
        <n v="2.2720684784871742E7"/>
        <n v="1317634.1273362057"/>
        <n v="4.9285393704682246E7"/>
        <n v="12107.60327"/>
        <n v="7908415.330092529"/>
        <n v="575.1"/>
        <n v="3171.71527"/>
        <n v="7725902.403130105"/>
        <n v="2374640.5356330145"/>
        <n v="2280748.43645582"/>
        <n v="241778.9867892313"/>
        <n v="4039651.941887917"/>
        <n v="8401407.083628017"/>
        <n v="1139247.9246899975"/>
        <n v="5.207763522551637E7"/>
        <n v="1234996.1824093596"/>
        <n v="1454747.933590664"/>
        <n v="4201378.731518984"/>
        <n v="2718300.389463449"/>
        <n v="469.5001"/>
        <n v="1.3428261636466892E7"/>
        <n v="46.5606"/>
        <n v="349300.0235388797"/>
        <n v="1110896.6022407254"/>
        <n v="1607072.6209056086"/>
        <n v="6.832810810186908E7"/>
        <n v="9549371.48081784"/>
        <n v="6915202.110300566"/>
        <n v="6935202.312304886"/>
        <n v="6964815.49971053"/>
        <n v="6459460.543195448"/>
        <n v="552334.3568617809"/>
        <n v="2416625.7260041023"/>
        <n v="1.0393061010226985E7"/>
        <n v="9881167.304925859"/>
        <n v="1.3377423438059485E7"/>
        <n v="1639770.42252777"/>
        <n v="8.206835035509123E7"/>
        <n v="6510028.820878574"/>
        <n v="8838877.482657176"/>
        <n v="2.5778966219183177E7"/>
        <n v="477424.7660347505"/>
        <n v="250564.3001"/>
        <n v="1532577.915722291"/>
        <n v="1053668.0843173577"/>
        <n v="8.366270379160039E7"/>
        <n v="642061.6815548666"/>
        <n v="1.2979680756598456E8"/>
        <n v="1.148536594206403E7"/>
        <n v="2.260258761832344E7"/>
        <n v="1.4190929773337824E7"/>
        <n v="1259065.6445507207"/>
        <n v="1.1694379632907165E7"/>
        <n v="1620177.6132044385"/>
        <n v="6.735201764582942E7"/>
        <n v="1.500948115578165E7"/>
        <n v="9815523.715501022"/>
        <n v="7.962913429153393E7"/>
        <n v="709765.1801915593"/>
        <n v="539671.9548509261"/>
        <n v="1.0908977520959217E7"/>
        <n v="9073901.901891729"/>
        <n v="263544.2916222079"/>
        <n v="1738801.961481443"/>
        <n v="5500.2001"/>
        <n v="8173838.924613327"/>
        <n v="1.0935687746352661E7"/>
        <n v="1.1550445501611734E7"/>
        <n v="1.5145558668774566E7"/>
        <n v="3072144.4368458968"/>
        <n v="2.1296002802137867E7"/>
        <n v="1.415097775408714E7"/>
        <n v="2.900250996645172E7"/>
        <n v="2.853342736191947E7"/>
        <n v="6714486.932214823"/>
        <n v="3.2922393783723775E7"/>
        <n v="4.0992246510089815E7"/>
        <n v="1.6363832556860913E7"/>
        <n v="1.3862980444431776E7"/>
        <n v="1124068.261025354"/>
        <n v="1.5885988959660273E7"/>
        <n v="7.987862777888377E7"/>
        <n v="3.459635421283184E7"/>
        <n v="1.664284886018637E7"/>
        <n v="239659.293476854"/>
        <n v="3.0182311032798253E7"/>
        <n v="7838951.480903813"/>
        <n v="1.5974743506895315E7"/>
        <n v="453451.1"/>
        <n v="1.1359224421684125E8"/>
        <n v="1.940517177411935E7"/>
        <n v="9618419.74893157"/>
        <n v="4.183694146930335E7"/>
        <n v="1.560995924957572E7"/>
        <n v="4.729266341660337E7"/>
        <n v="3492930.8145728265"/>
        <n v="3.1642966237652868E7"/>
        <n v="42262.7451"/>
        <n v="1.213702657335041E7"/>
        <n v="3.1090138862718776E7"/>
        <n v="3.0524674569029473E7"/>
        <n v="3424916.8906073472"/>
        <n v="3.0398607270912297E7"/>
        <n v="305821.9566813823"/>
        <n v="155746.3318779763"/>
        <n v="3.119588903066481E7"/>
        <n v="3.326273688073045E7"/>
        <n v="65021.755100001"/>
        <n v="3.2315766331863116E7"/>
        <n v="3.0376400769506324E7"/>
        <n v="22322.9872152575"/>
        <n v="3.118663247414238E7"/>
        <n v="7594055.146525093"/>
        <n v="7170544.101573456"/>
        <n v="3.036573339115184E7"/>
        <n v="3.2575630328886285E7"/>
        <n v="3.506008154796286E7"/>
        <n v="4.0944721186264046E7"/>
        <n v="30782.7824"/>
        <n v="1.3526278503535137E7"/>
        <n v="268301.7400043632"/>
        <n v="4.253635629766143E7"/>
        <n v="3.2596761284318846E7"/>
        <n v="8747316.168064626"/>
        <n v="3.491141157795172E7"/>
        <n v="54351.1965872279"/>
        <n v="3.2009625444757596E7"/>
        <n v="3.342557354838428E7"/>
        <n v="4.6815598214285605E7"/>
        <n v="3.0641890579793774E7"/>
        <n v="4.070204191998445E7"/>
        <n v="3.0276875258131795E7"/>
        <n v="4.4349149885587655E7"/>
        <n v="158902.6395762959"/>
        <n v="3.0799899878889088E7"/>
        <n v="1.6096052322877951E7"/>
        <n v="4.215251327346247E7"/>
        <n v="310887.5519093985"/>
        <n v="3.01186582052E7"/>
        <n v="3.0458354505445477E7"/>
        <n v="3.0565509954260625E7"/>
        <n v="3915886.003298794"/>
        <n v="75835.6460449078"/>
        <n v="4.144936497389439E7"/>
        <n v="4.861064937283248E7"/>
        <n v="3.0394841984804146E7"/>
        <n v="405745.7794890173"/>
        <n v="3.1727688998453148E7"/>
        <n v="86511.1236388797"/>
        <n v="9657506.947035635"/>
        <n v="4.198844824830957E7"/>
        <n v="7420.0"/>
        <n v="5.0372653225207165E7"/>
        <n v="3.2834677912353866E7"/>
        <n v="1199182.177945212"/>
        <n v="4.084510661581922E7"/>
        <n v="3.0301602456372637E7"/>
        <n v="3.049210498361186E7"/>
        <n v="3.396786575441203E7"/>
        <n v="1.2611289326016707E7"/>
        <n v="4.447467007021421E7"/>
        <n v="4.170657932097578E7"/>
        <n v="3.0197495688847136E7"/>
        <n v="6960541.497850952"/>
        <n v="16033.3"/>
        <n v="25152.4251194975"/>
        <n v="117996.6605492723"/>
        <n v="134664.2983679656"/>
        <n v="3.082788707886366E7"/>
        <n v="3.0405853046075806E7"/>
        <n v="3.0009445E7"/>
        <n v="3.000600001E7"/>
        <n v="3.09119566222856E7"/>
        <n v="3.0790426015789296E7"/>
        <n v="3.378994176920147E7"/>
        <n v="3.0578919776982248E7"/>
        <n v="4.0095955500001E7"/>
        <n v="3915480.7786718556"/>
        <n v="8388366.351820052"/>
        <n v="2776898.2918266035"/>
        <n v="1.0201382906180096E8"/>
        <n v="4.015662752277223E7"/>
        <n v="4.00292686E7"/>
        <n v="4.2846134456303306E7"/>
        <n v="4.008488575168E7"/>
        <n v="19054.0"/>
        <n v="12005.0"/>
        <n v="4.008898921257388E7"/>
        <n v="0.01"/>
        <n v="4.00534141E7"/>
        <n v="354426.6326709574"/>
        <n v="5.0738421406445645E7"/>
        <n v="1.2195779086624645E7"/>
        <n v="66319.9858"/>
        <n v="28005.0011"/>
        <n v="46808.0"/>
        <n v="706090.0284884511"/>
        <n v="35845.1898"/>
        <n v="4.013379374191113E7"/>
        <n v="15014.5693732923"/>
        <n v="2.8468141141384706E7"/>
        <n v="10200.0"/>
        <n v="1.1597520754924638E7"/>
        <n v="4.0031866502648085E7"/>
        <n v="15130.5360900128"/>
        <n v="4.245212836202146E7"/>
        <n v="33573.9872152575"/>
        <n v="5887272.612024391"/>
        <n v="7951.3"/>
        <n v="5010.2"/>
        <n v="4.258797100522304E7"/>
        <n v="4.0819009214806415E7"/>
        <n v="5732.8372980983"/>
        <n v="104439.4898"/>
        <n v="4.465946919095604E7"/>
        <n v="446964.1980092828"/>
        <n v="4.967111193559184E7"/>
        <n v="30700.1"/>
        <n v="1.4313621314417174E7"/>
        <n v="2062021.4808090366"/>
        <n v="65403.9885414647"/>
        <n v="4.4187135340540595E7"/>
        <n v="5.226050330335246E7"/>
        <n v="1.570833500163753E7"/>
        <n v="6228798.944682249"/>
        <n v="16010.0"/>
        <n v="15000.0"/>
        <n v="15021.1"/>
        <n v="35000.00000001"/>
        <n v="1.0E-9"/>
        <n v="4865870.116532736"/>
        <n v="1000.1000010001"/>
        <n v="90810.5760615647"/>
        <n v="123349.5885424647"/>
        <n v="4.069527459459643E7"/>
        <n v="5.0609674107939035E7"/>
        <n v="9500.1"/>
        <n v="5.362030762578072E7"/>
        <n v="1100.601"/>
        <n v="27.20000001"/>
        <n v="4.344460132650781E7"/>
        <n v="1938416.8089000662"/>
        <n v="2452744.3595240074"/>
        <n v="5.3048548260518506E7"/>
        <n v="3.1116971862839773E7"/>
        <n v="705123.0032703419"/>
        <n v="4.391815148159021E7"/>
        <n v="2341030.322045777"/>
        <n v="1.1784649916953847E7"/>
        <n v="820167.5394027361"/>
        <n v="4.077124636234969E7"/>
        <n v="4.012783179648351E7"/>
        <n v="4.0139274507129185E7"/>
        <n v="642341.841820502"/>
        <n v="1.277154673353161E7"/>
        <n v="1299312.8215687599"/>
        <n v="1.0395602393778948E7"/>
        <n v="2186348.418541134"/>
        <n v="4.290680056530482E7"/>
        <n v="29367.0693732923"/>
        <n v="174575.1980649949"/>
        <n v="1284846.0818512216"/>
        <n v="18965.6761885379"/>
        <n v="1.4242921524911059E7"/>
        <n v="6.330314211125132E7"/>
        <n v="4.0012051951830134E7"/>
        <n v="5.441849491967519E7"/>
        <n v="4.026127863549032E7"/>
        <n v="1.322039321812113E7"/>
        <n v="956373.4506632377"/>
        <n v="4.3493004495830566E7"/>
        <n v="1.276356410238278E7"/>
        <n v="4.397089448350183E7"/>
        <n v="4.395592366645032E7"/>
        <n v="5.909476852444479E7"/>
        <n v="6135.6418470812"/>
        <n v="4.0552992542348444E7"/>
        <n v="4.067533323733385E7"/>
        <n v="4.120019627424938E7"/>
        <n v="4.261972314879799E7"/>
        <n v="1.4931890672529168E7"/>
        <n v="4.225674058329386E7"/>
        <n v="8.023698548943074E7"/>
        <n v="5.584778703853539E7"/>
        <n v="4.232410623543862E7"/>
        <n v="4.106191528092714E7"/>
        <n v="2449152.4135266454"/>
        <n v="1.8698599488974273E7"/>
        <n v="1.1339551889382637E8"/>
        <n v="265094.6151087827"/>
        <n v="4.072271855255669E7"/>
        <n v="4.006224401349976E7"/>
        <n v="20972.75511"/>
        <n v="8.823238309167229E7"/>
        <n v="5.4305843981351405E7"/>
        <n v="1.5053993907782946E7"/>
        <n v="4.205530829556923E7"/>
        <n v="25251.0"/>
        <n v="4.616974755489394E7"/>
        <n v="96537.7063194007"/>
        <n v="2822333.194635843"/>
        <n v="1.6431166850760797E7"/>
        <n v="12262.1531"/>
        <n v="1.6188858585702918E7"/>
        <n v="3868657.0971086035"/>
        <n v="25142.16037"/>
        <n v="206693.3777962458"/>
        <n v="1.3950343378647817E7"/>
        <n v="1.6332373649223462E7"/>
        <n v="5.536930947291529E7"/>
        <n v="3.305601927908205E7"/>
        <n v="22474.1362587345"/>
        <n v="82271.5289358169"/>
        <n v="3221218.82419314"/>
        <n v="406265.0568534576"/>
        <n v="1.570805249379172E7"/>
        <n v="5.347126750729976E7"/>
        <n v="5.484933424733982E7"/>
        <n v="1.650780816486209E7"/>
        <n v="4.920106429207879E7"/>
        <n v="18546.501"/>
        <n v="1.6200841224434428E7"/>
        <n v="7.054771671067053E7"/>
        <n v="7.94505155868593E7"/>
        <n v="6623982.139878463"/>
        <n v="4.922644423606378E7"/>
        <n v="435659.7318281898"/>
        <n v="2951739.321320447"/>
        <n v="2682637.447763442"/>
        <n v="5.929524864911567E7"/>
        <n v="1.646791793183994E7"/>
        <n v="2438772.265202299"/>
        <n v="5.0703275599762715E7"/>
        <n v="6233430.81305844"/>
        <n v="17022.8"/>
        <n v="1.5429450623665174E7"/>
        <n v="3056926.415414998"/>
        <n v="4011045.8533452693"/>
        <n v="996528.6622540269"/>
        <n v="6.924945406874073E7"/>
        <n v="3519457.6617520647"/>
        <n v="357610.8190186394"/>
        <n v="6.277156721532117E7"/>
        <n v="1.5656937631619591E7"/>
        <n v="277908.3436185267"/>
        <n v="1.5747458876525125E7"/>
        <n v="5.4020773505315796E7"/>
        <n v="1.0709022656888427E8"/>
        <n v="5876880.270488367"/>
        <n v="5.2014640126166955E7"/>
        <n v="521453.4074852575"/>
        <n v="8.9287631441525E7"/>
        <n v="390214.7004691655"/>
        <n v="5.1388946833150886E7"/>
        <n v="5.3714025922557965E7"/>
        <n v="5.313423483003441E7"/>
        <n v="550.0"/>
        <n v="5.8051105417226255E7"/>
        <n v="1.982663704532581E7"/>
        <n v="3.0073282522088356E7"/>
        <n v="2.1774369355430014E7"/>
        <n v="38210.7065089378"/>
        <n v="5052.42"/>
        <n v="6303042.257454891"/>
        <n v="6.56381745139761E7"/>
        <n v="1.219522559384857E8"/>
        <n v="3170874.660111985"/>
        <n v="5692593.665392343"/>
        <n v="1.914115084021847E7"/>
        <n v="2.5536990760058828E7"/>
        <n v="3.682739521376238E7"/>
        <n v="7.629591859518103E7"/>
        <n v="2961619.968297197"/>
        <n v="305211.4276028223"/>
        <n v="4.97698949781311E7"/>
        <n v="4.005788845602789E7"/>
        <n v="5.783022838123502E7"/>
        <n v="4.52831669928855E7"/>
        <n v="4.475472834893425E7"/>
        <n v="3256261.08794438"/>
        <n v="7030776.94725024"/>
        <n v="1.1111518046745734E8"/>
        <n v="2973029.555406196"/>
        <n v="3.990367906261194E7"/>
        <n v="8.016832127427164E7"/>
        <n v="2266670.1158870035"/>
        <n v="8545920.303610448"/>
        <n v="2593462.4618386147"/>
        <n v="11093.2"/>
        <n v="7.209142301734157E7"/>
        <n v="5.962496221763242E7"/>
        <n v="6.8575843461037E7"/>
        <n v="5.4419645404911175E7"/>
        <n v="2.5092810810570687E7"/>
        <n v="3.2613245069945853E7"/>
        <n v="7.606264303949694E7"/>
        <n v="9.644876906770921E7"/>
        <n v="6.227270645543522E7"/>
        <n v="2590503.6868194886"/>
        <n v="6.224676456649029E7"/>
        <n v="6.2276848443343E7"/>
        <n v="4.337411657282051E7"/>
        <n v="571976.729612511"/>
        <n v="2.5419753158659376E7"/>
        <n v="231496.3877401491"/>
        <n v="6143539.839719509"/>
        <n v="4.3595244972515054E7"/>
        <n v="6168691.171117416"/>
        <n v="2676.5"/>
        <n v="3.6828302610091045E7"/>
        <n v="5.031454435451154E7"/>
        <n v="2741623.0037323334"/>
        <n v="4.06685615959131E7"/>
        <n v="6.622422831225044E7"/>
        <n v="1.6979236869608227E7"/>
        <n v="2.50131365889723E7"/>
        <n v="5.327197928171667E7"/>
        <n v="5.350181199562601E7"/>
        <n v="716434.4270274406"/>
        <n v="3.9545297569549695E7"/>
        <n v="5366620.89512665"/>
        <n v="6.822262387859622E7"/>
        <n v="12187.6238876499"/>
        <n v="2.2788592006619725E7"/>
        <n v="5030.211"/>
        <n v="3.6588895925391264E7"/>
        <n v="4965874.744405296"/>
        <n v="4424404.1293616155"/>
        <n v="27572.1915504368"/>
        <n v="1536.0"/>
        <n v="30061.7151"/>
        <n v="4610983.325563604"/>
        <n v="2.8277300918579224E7"/>
        <n v="2.4519970660588082E7"/>
        <n v="1.6398563393097922E7"/>
        <n v="38.0233960344"/>
        <n v="8.966078829988521E7"/>
        <n v="51063.3338906851"/>
        <n v="3858268.0759964073"/>
        <n v="6.128728843590205E7"/>
        <n v="2.788864812668885E7"/>
        <n v="144746.2855027388"/>
        <n v="56434.4628020922"/>
        <n v="223662.7050747599"/>
        <n v="286690.0646839105"/>
        <n v="1.957999529438962E7"/>
        <n v="3.3321280719731968E7"/>
        <n v="3.0955745308786813E7"/>
        <n v="1.0063210331016317E7"/>
        <n v="8.085623036125809E7"/>
        <n v="2084645.057263179"/>
        <n v="6.944506625600159E7"/>
        <n v="7.711076833889154E7"/>
        <n v="1455004.3264711692"/>
        <n v="161606.7647552435"/>
        <n v="2970382.273284831"/>
        <n v="52422.31"/>
        <n v="0.1"/>
        <n v="6.139930534382708E7"/>
        <n v="2.2586316265388865E7"/>
        <n v="5.1964057789723456E7"/>
        <n v="2.8993230107458778E7"/>
        <n v="6378737.315504522"/>
        <n v="4.114682858828724E7"/>
        <n v="5.3068844008963026E7"/>
        <n v="2.260301831403366E7"/>
        <n v="5.649735380051413E7"/>
        <n v="5.663275906343913E7"/>
        <n v="6656004.024445286"/>
        <n v="351354.5467962191"/>
        <n v="4080227.2882983503"/>
        <n v="2.2019297241739362E7"/>
        <n v="5.5976035508463316E7"/>
        <n v="2.055178827516754E7"/>
        <n v="2.1772603304757383E7"/>
        <n v="159023.2204742318"/>
        <n v="1.5509676192860667E7"/>
        <n v="5272.33429015"/>
        <n v="2.668803964254866E7"/>
        <n v="2.7123074765413158E7"/>
        <n v="6301797.348995305"/>
        <n v="3.858853669086745E7"/>
        <n v="2.6266859183600828E7"/>
        <n v="1.983412784100694E7"/>
        <n v="1.982902712300694E7"/>
        <n v="4.3585097631919436E7"/>
        <n v="9.584684971349336E7"/>
        <n v="4.06707686570151E7"/>
        <n v="58275.5709033567"/>
        <n v="4.811509113231536E7"/>
        <n v="9840638.10170878"/>
        <n v="9637007.806086784"/>
        <n v="13.1"/>
        <n v="9528497.355784496"/>
        <n v="1.5540508163125664E7"/>
        <n v="9.649316618004514E7"/>
        <n v="6.045112892136628E7"/>
        <n v="1.4070614507029708E7"/>
        <n v="1.1710285727579564E7"/>
        <n v="3.028339744175481E7"/>
        <n v="6.6444242702947125E7"/>
        <n v="6.408688965207504E7"/>
        <n v="4.0595759980480224E7"/>
        <n v="2.4138423605158653E7"/>
        <n v="4.212462315131025E7"/>
        <n v="3.308373006945709E7"/>
        <n v="72002.4497526022"/>
        <n v="278396.3914973283"/>
        <n v="21144.9235388797"/>
        <n v="5042.5"/>
        <n v="174943.3292221152"/>
        <n v="19588.6"/>
        <n v="1.5925082458441354E7"/>
        <n v="6.820345296552911E7"/>
        <n v="3.0757536434500918E7"/>
        <n v="4.83865529140287E7"/>
        <n v="5585.9852822421"/>
        <n v="9.547172776203313E7"/>
        <n v="1.3999206840506938E8"/>
        <n v="3.2949208165320445E7"/>
        <n v="3.1222951084648177E7"/>
        <n v="2.2276762370600972E7"/>
        <n v="90.0"/>
        <n v="1.5118191149519898E7"/>
        <n v="1.543054023117283E7"/>
        <n v="6696387.242893838"/>
        <n v="1585353.068169271"/>
        <n v="2.6044238677712448E7"/>
        <n v="6126356.3945755465"/>
        <n v="3.328821125117913E7"/>
        <n v="1.460571317144677E7"/>
        <n v="1.6010808858177153E7"/>
        <n v="1.1359882397318932E8"/>
        <n v="3.1263802759612262E7"/>
        <n v="1.2670754229037007E7"/>
        <n v="2.2092464028749596E7"/>
        <n v="2.510706426516827E7"/>
        <n v="2.7861549025205825E7"/>
        <n v="3067530.4542505695"/>
        <n v="2.1956707246073242E7"/>
        <n v="9.513183595277497E7"/>
        <n v="4.27810084451573E7"/>
        <n v="2.633359030294356E7"/>
        <n v="2.9272225681329094E7"/>
        <n v="6.0186620898426965E7"/>
        <n v="7.164889069742276E7"/>
        <n v="2.3407486917756654E7"/>
        <n v="5.495008536106465E7"/>
        <n v="2792589.2605857137"/>
        <n v="7.827719518856193E7"/>
        <n v="2.501772531707894E7"/>
        <n v="2.1781669610639274E7"/>
        <n v="4.157178981025734E7"/>
        <n v="0.02"/>
        <n v="1.2378219411409115E7"/>
        <n v="1.8931912162431866E7"/>
        <n v="4.0"/>
        <n v="3.43843341452359E7"/>
        <n v="3.24976708496217E7"/>
        <n v="1.2956314595299855E7"/>
        <n v="2.7695702597177453E7"/>
        <n v="2.0291719983277466E7"/>
        <n v="3.808948874393382E7"/>
        <n v="3.2434635027898677E7"/>
        <n v="3.9"/>
        <n v="6147712.278539262"/>
        <n v="1.5790448086064912E7"/>
        <n v="1.2201796754149145E7"/>
        <n v="3.7226426753030896E7"/>
        <n v="2.3251352540421523E7"/>
        <n v="1.979789156981795E7"/>
        <n v="1.2682149199485077E7"/>
        <n v="1.2423933222471114E7"/>
        <n v="1.27845626729478E7"/>
        <n v="1.3959692809620485E7"/>
        <n v="5.400262213176732E7"/>
        <n v="4.4294834772344775E7"/>
        <n v="4.141246787565949E7"/>
        <n v="122718.7035491526"/>
        <n v="32604.01"/>
        <n v="8.062275986886974E7"/>
        <n v="1.9604690371823773E7"/>
        <n v="3.130147925432312E7"/>
        <n v="4.047935764175173E7"/>
        <n v="8.930637306363092E7"/>
        <n v="3.852607850973605E7"/>
        <n v="1253886.5470499354"/>
        <n v="6.3851171334315635E7"/>
        <n v="7.739687108635575E7"/>
        <n v="2.462397184997969E7"/>
        <n v="4.845083724324816E7"/>
        <n v="431.2303287823"/>
        <n v="4.993081629468225E7"/>
        <n v="3626138.55503579"/>
        <n v="9.54882896811075E7"/>
        <n v="4.135087819551657E7"/>
        <n v="20637.01"/>
        <n v="3.0680796148644384E7"/>
        <n v="6.294993000640261E7"/>
        <n v="4.598609098312451E7"/>
        <n v="110690.447091685"/>
        <n v="7.010156531E7"/>
        <n v="2.746472260536186E7"/>
        <n v="5.3078060435503535E7"/>
        <n v="5.554173244854301E7"/>
        <n v="7.077082042633684E7"/>
        <n v="2.668836595087183E7"/>
        <n v="2.214555960666927E7"/>
        <n v="7596050.504003475"/>
        <n v="1.365173018580691E7"/>
        <n v="5.569914678446152E7"/>
        <n v="1.1023924643445787E8"/>
        <n v="6459370.140016061"/>
        <n v="2189733.730543222"/>
        <n v="1.5691629735900668E7"/>
        <n v="8.347302205830307E7"/>
        <n v="3.837832311101514E7"/>
        <n v="2.4781612820135582E7"/>
        <n v="2.126443815495793E7"/>
        <n v="1.1900966157190477E7"/>
        <n v="2.6345761323407378E7"/>
        <n v="8062.0"/>
        <n v="1.5079383147556683E7"/>
        <n v="2373684.058770129"/>
        <n v="6.608190551E7"/>
        <n v="1.5486823745310143E7"/>
        <n v="5.7411484900751E7"/>
        <n v="4.369177981816692E7"/>
        <n v="2.8856070129855145E7"/>
        <n v="6.71098173642961E7"/>
        <n v="5.509427683145718E7"/>
        <n v="1.5630059168483255E7"/>
        <n v="2.2666868331777394E7"/>
        <n v="3.651738030086333E7"/>
        <n v="4.557832235378346E7"/>
        <n v="1.2750026550196104E8"/>
        <n v="8.03343693584753E7"/>
        <n v="7.219814847494596E7"/>
        <n v="6.76384267371569E7"/>
        <n v="3551695.3569179988"/>
        <n v="2.0"/>
        <n v="6.922501980393365E7"/>
        <n v="2.0151109116747275E7"/>
        <n v="2.9200896385980844E7"/>
        <n v="3.795721278723195E7"/>
        <n v="4.140273258308712E7"/>
        <n v="46210.2"/>
        <n v="1.6829807692869313E7"/>
        <n v="22559.5610012343"/>
        <n v="4.3775773303951435E7"/>
        <n v="2.852289554537966E7"/>
        <n v="10009.2480460108"/>
        <n v="7.386552094267233E7"/>
        <n v="2.7728138077237185E7"/>
        <n v="7.374476799739224E7"/>
        <n v="3.037627761639012E7"/>
        <n v="1.0757018181980687E8"/>
        <n v="5.8766640236364126E7"/>
        <n v="1.957365060392119E7"/>
        <n v="8.104297126360759E7"/>
        <n v="4.114354769820072E7"/>
        <n v="9792206.23882322"/>
        <n v="6.2418651328313775E7"/>
        <n v="6.476004899118147E7"/>
        <n v="149548.4807177868"/>
        <n v="720.0"/>
        <n v="4.169980396486731E7"/>
        <n v="4.18317662206843E7"/>
        <n v="521008.1670816278"/>
        <n v="7.945687603354435E7"/>
        <n v="2.322254547911089E7"/>
        <n v="529708.6358786034"/>
        <n v="1.5704305859246816E7"/>
        <n v="2.6542863801833585E7"/>
        <n v="5459116.52353888"/>
        <n v="1.2293383619492548E7"/>
        <n v="9970428.09812112"/>
        <n v="6.60528486E7"/>
        <n v="7.547054917272668E7"/>
        <n v="7.009742036974022E7"/>
        <n v="56.14"/>
        <n v="1.5190356339182127E7"/>
        <n v="1.7302899227684572E7"/>
        <n v="9.58845640645024E7"/>
        <n v="3.815879603813138E7"/>
        <n v="9299448.942535723"/>
        <n v="4906243.470630565"/>
        <n v="3573791.397174845"/>
        <n v="1.4044302470903544E7"/>
        <n v="5.332484746138717E7"/>
        <n v="1.279854844864592E7"/>
        <n v="6439928.768173273"/>
        <n v="152076.357810075"/>
        <n v="4.638678910095427E7"/>
        <n v="1.77674757830758E7"/>
        <n v="1.0913055714323848E7"/>
        <n v="9906673.546190666"/>
        <n v="4287060.945655815"/>
        <n v="0.0913564389"/>
        <n v="4396613.709590542"/>
        <n v="1.9150399945134796E7"/>
        <n v="1.0E-10"/>
        <n v="1.6703818859296778E7"/>
        <n v="2.0983748858454604E7"/>
        <n v="4431.7090568882"/>
        <n v="9396264.12615785"/>
        <n v="8.618542929292434E7"/>
        <n v="2.1738347371875145E7"/>
        <n v="6.323707081344256E7"/>
        <n v="3896.6"/>
        <n v="3.366649862889355E7"/>
        <n v="6.070405556605734E7"/>
        <n v="101091.347091685"/>
        <n v="255711.5045491526"/>
        <n v="3950876.7834916604"/>
        <n v="147720.2235026052"/>
        <n v="1.3754766585765146E7"/>
        <n v="2.8799948869792882E7"/>
        <n v="1.942837050608435E7"/>
        <n v="6.4898750195877545E7"/>
        <n v="4.933559880294791E7"/>
        <n v="6.91038403E7"/>
        <n v="1.5145920207192047E7"/>
        <n v="3.3260842215631638E7"/>
        <n v="2.197050939096417E7"/>
        <n v="2.7864662748175625E7"/>
        <n v="341749.851087096"/>
        <n v="1.329316836791525E8"/>
        <n v="1.2980898190504821E7"/>
        <n v="1.941925958081955E7"/>
        <n v="2.8306624080530148E7"/>
        <n v="26441.2873962073"/>
        <n v="3.784836731300163E7"/>
        <n v="3.049174069755226E7"/>
        <n v="1.319405825608982E7"/>
        <n v="7.307224211055021E7"/>
        <n v="5417265.502133329"/>
        <n v="2.9991246777148005E7"/>
        <n v="4.169707124053409E7"/>
        <n v="5.208743713188946E7"/>
        <n v="5.537192978383908E7"/>
        <n v="5.2841564359386615E7"/>
        <n v="5.369510900747268E7"/>
        <n v="2.9921716146354165E7"/>
        <n v="3.3216673944585253E7"/>
        <n v="4.96434955507643E7"/>
        <n v="3.315065044034099E7"/>
        <n v="5.342226577575157E7"/>
        <n v="7698865.058179578"/>
        <n v="3065.0"/>
        <n v="1500.0"/>
        <n v="542288.2271781533"/>
        <n v="3.444482280267985E7"/>
        <n v="2.1342302071591366E7"/>
        <n v="3.0732960823749024E7"/>
        <n v="1.125431398822826E8"/>
        <n v="2.985985225971056E7"/>
        <n v="5.2493596645968154E7"/>
        <n v="1.2937821604188425E7"/>
        <n v="3.0974740613899987E7"/>
        <n v="45364.0075154096"/>
        <n v="96029.5035491526"/>
        <n v="3.4918656859011024E7"/>
        <n v="3.172932455185468E7"/>
        <n v="16802.1"/>
        <n v="10250.0"/>
        <n v="1.9083987422196902E7"/>
        <n v="491832.8060161418"/>
        <n v="5.492771246911078E7"/>
        <n v="5.52858735903843E7"/>
        <n v="5.220136340542938E7"/>
        <n v="1.1272447543251139E8"/>
        <n v="31875.5"/>
        <n v="1.770066171190921E8"/>
        <n v="712115.9404656086"/>
        <n v="5.077895885038168E7"/>
        <n v="3.1071944884705897E7"/>
        <n v="1.7054234560637236E7"/>
        <n v="8.017412290095802E7"/>
        <n v="1.1294653892117849E8"/>
        <n v="4.673127682493523E7"/>
        <n v="12521.31"/>
        <n v="6.296512044949929E7"/>
        <n v="2.919863110064184E7"/>
        <n v="113644.5035491526"/>
        <n v="2.9564057638391156E7"/>
        <n v="7.458957652638148E7"/>
        <n v="1.2985389954747396E7"/>
        <n v="4.180861837168637E7"/>
        <n v="1.0"/>
        <n v="16808.2"/>
        <n v="4267288.736659206"/>
        <n v="3.499809522072946E7"/>
        <n v="3.3818971071207E7"/>
        <n v="4.422981833195496E7"/>
        <n v="25.0"/>
        <n v="3.0562661664434727E7"/>
        <n v="1.4262022395099157E7"/>
        <n v="2.625018893959899E7"/>
        <n v="4509341.639131336"/>
        <n v="130990.7676965972"/>
        <n v="4.25851524793277E7"/>
        <n v="2.3767840837128732E7"/>
        <n v="7.789642531161715E7"/>
        <n v="8815862.310485724"/>
        <n v="3.045598777091937E7"/>
        <n v="8568846.540208358"/>
        <n v="3.264959107145469E7"/>
        <n v="6.586257964394606E7"/>
        <n v="6520141.744506969"/>
        <n v="1.838659518221967E7"/>
        <n v="3.1364133254728504E7"/>
        <n v="3.2647400784457095E7"/>
        <n v="3.183094912919754E7"/>
        <n v="4.4705331452646196E7"/>
        <n v="5.599536818435215E7"/>
        <n v="5.081961894285834E7"/>
        <n v="9311400.620263318"/>
        <n v="9335971.723523442"/>
        <n v="4.815068734285921E7"/>
        <n v="1.8101668504312247E7"/>
        <n v="4000.0"/>
        <n v="15180.0"/>
        <n v="3.1100449816806424E7"/>
        <n v="2.8985474102104615E7"/>
        <n v="3.114909616528476E7"/>
        <n v="9.474276885776511E7"/>
        <n v="3.1823241022766776E7"/>
        <n v="9740932.885919372"/>
        <n v="4.292524341600219E7"/>
        <n v="1125511.6518042728"/>
        <n v="2.9713857204188425E7"/>
        <n v="1.714440946958107E7"/>
        <n v="3.019877696062692E7"/>
        <n v="40266.0"/>
        <n v="1.4466678391418938E7"/>
        <n v="106.01"/>
        <n v="23334.194168017"/>
        <n v="620716.7720727368"/>
        <n v="2.8987939452572685E7"/>
        <n v="16801.3"/>
        <n v="4.182155646233633E7"/>
        <n v="3.22845124855428E7"/>
        <n v="4.2618192408359155E7"/>
        <n v="5.2340210788594946E7"/>
        <n v="3.32143054E7"/>
        <n v="6.894933109778328E7"/>
        <n v="3.703132546132515E7"/>
        <n v="1.437159864334295E7"/>
        <n v="1.1820083629383178E7"/>
        <n v="1.2731431257480343E8"/>
        <n v="9.531929846509185E7"/>
        <n v="3.8242723337224916E7"/>
        <n v="83415.6006392736"/>
        <n v="4734.20002"/>
        <n v="15006.0"/>
        <n v="11386.0"/>
        <n v="2.9577739344875216E7"/>
        <n v="2.1563985409844562E7"/>
        <n v="4.7853378682593554E7"/>
        <n v="4.285255670083053E7"/>
        <n v="1.3699937689"/>
        <n v="2.0783294551735915E7"/>
        <n v="1.7818485914200198E7"/>
        <n v="3.1689444334927734E7"/>
        <n v="1.2711859240654344E7"/>
        <n v="2.484511062944059E7"/>
        <n v="19779.7082379344"/>
        <n v="4.940814509543248E7"/>
        <n v="2.2616070936989058E7"/>
        <n v="3.360922878593484E7"/>
        <n v="1033254.0"/>
        <n v="4.69377313054947E7"/>
        <n v="1.1973099886054438E7"/>
        <n v="4.045969286637053E7"/>
        <n v="4.140217040859899E7"/>
        <n v="4.707503801226264E7"/>
        <n v="1.1836558841470054E8"/>
        <n v="1607321.109797351"/>
        <n v="5.0711450429356776E7"/>
        <n v="5.2701645617995776E7"/>
        <n v="5250.0"/>
        <n v="5001.0"/>
        <n v="1079241.2539981725"/>
        <n v="4322283.397091685"/>
        <n v="5004.0"/>
        <n v="55301.1161"/>
        <n v="3.784979681634601E7"/>
        <n v="19.0"/>
        <n v="1268.5"/>
        <n v="1.5898960173307216E7"/>
        <n v="5930.0"/>
        <n v="1.6210102142908735E7"/>
        <n v="4295337.041259702"/>
        <n v="11.1"/>
        <n v="3.751909734940234E7"/>
        <n v="9353907.860771323"/>
        <n v="1.2087105943842551E8"/>
        <n v="5.301870255827736E7"/>
        <n v="4.794423852298371E7"/>
        <n v="3.523737657779649E7"/>
        <n v="1.6146934306015544E7"/>
        <n v="4.736488322219491E7"/>
        <n v="3.342422625274793E7"/>
        <n v="4235012.669099883"/>
        <n v="4.695526879164066E7"/>
        <n v="4.2568815529078335E7"/>
        <n v="15115.0"/>
        <n v="1.4513679410218088E7"/>
        <n v="1.135461772353888E7"/>
        <n v="4.0434183399439685E7"/>
        <n v="902745.8605456332"/>
        <n v="1.6811915807091683E7"/>
        <n v="1.5141068634570908E7"/>
        <n v="2.4636932693886217E7"/>
        <n v="108150.3978087989"/>
        <n v="314079.4264767482"/>
        <n v="2195987.7082379344"/>
        <n v="1.2715237192638762E7"/>
        <n v="6.152575816055166E7"/>
        <n v="9486771.120498113"/>
        <n v="4605189.746663303"/>
        <n v="4.429923834902626E7"/>
        <n v="1.681288615883938E7"/>
        <n v="3.871594954579604E7"/>
        <n v="8602937.539091974"/>
        <n v="10068.0235388797"/>
        <n v="4.342637167885351E7"/>
        <n v="2.7079656423110157E7"/>
        <n v="1.1815022547114246E7"/>
        <n v="4.1"/>
        <n v="12001.1"/>
        <n v="1.0578643225598459E8"/>
        <n v="203519.4400707925"/>
        <n v="2000.0"/>
        <n v="1.1749197237761617E7"/>
        <n v="2218005.5696152695"/>
        <n v="4.7940994054149434E7"/>
        <n v="1.0174431288309304E7"/>
        <n v="4.1329883917112865E7"/>
        <n v="21915.1"/>
        <n v="4.502370914317193E7"/>
        <n v="2.9927313415197026E7"/>
        <n v="1.2329841210595997E7"/>
        <n v="6.304759505914222E7"/>
        <n v="4398216.2473408375"/>
        <n v="5.408314907064396E7"/>
        <n v="2.717535683048169E7"/>
        <n v="4250279.919099883"/>
        <n v="8942.0"/>
        <n v="18800.1"/>
        <n v="7010.00001"/>
        <n v="1.4363199370489394E7"/>
        <n v="5725555.027848743"/>
        <n v="3.134094597638106E7"/>
        <n v="3.869458555986859E7"/>
        <n v="3000.0"/>
        <n v="14468.0"/>
        <n v="3026268.0091053997"/>
        <n v="1.4706374365614694E7"/>
        <n v="4.14894423E7"/>
        <n v="5.298999680999183E7"/>
        <n v="1.4190621387846066E7"/>
        <n v="5032.7"/>
        <n v="4.452022628859079E7"/>
        <n v="4.918123806118247E7"/>
        <n v="5.718283561807246E7"/>
        <n v="101437.5035491526"/>
        <n v="7.610984679573442E7"/>
        <n v="1.474167103836064E8"/>
        <n v="30103.6"/>
        <n v="12128.1"/>
        <n v="303934.8839112458"/>
        <n v="4352276.7191098835"/>
        <n v="2553526.215452451"/>
        <n v="9.244245422629054E7"/>
        <n v="2.1404002581348646E7"/>
        <n v="1.2976355054132156E7"/>
        <n v="1313969.0247088675"/>
        <n v="4.118844611014923E7"/>
        <n v="188487.9236388797"/>
        <n v="4725542.267999757"/>
        <n v="4542354.601069988"/>
        <n v="1.0324158804212146E8"/>
        <n v="2.1959132232613496E7"/>
        <n v="8685698.802526953"/>
        <n v="4.058725684568697E7"/>
        <n v="5836347.799715488"/>
        <n v="5.612412538190799E7"/>
        <n v="4406835.982832746"/>
        <n v="1.0066866622981516E8"/>
        <n v="3.0739429596271645E7"/>
        <n v="4541345.292115511"/>
        <n v="9834608.186227543"/>
        <n v="3.070794182116525E7"/>
        <n v="2.2087412215700775E7"/>
        <n v="11000.2"/>
        <n v="1.2974212915716931E7"/>
        <n v="6.388538490946686E7"/>
        <n v="4828254.1979971565"/>
        <n v="7.0"/>
        <n v="1.364670676237744E8"/>
        <n v="4.146800343905327E7"/>
        <n v="2.869098507616227E7"/>
        <n v="1.3742857834263552E7"/>
        <n v="4814733.035546438"/>
        <n v="3.1170942640807975E7"/>
        <n v="4531090.681495907"/>
        <n v="148795.1001"/>
        <n v="4244007.291017088"/>
        <n v="4375058.091017088"/>
        <n v="5.939218063456839E7"/>
        <n v="120.0"/>
        <n v="4439321.397091685"/>
        <n v="2.3065912906977966E7"/>
        <n v="1.7739033202181304E8"/>
        <n v="2630770.009293892"/>
        <n v="3.323719197163225E7"/>
        <n v="14.20001"/>
        <n v="2.69910187417103E7"/>
        <n v="1.080142498549886E7"/>
        <n v="2.5893778054673433E7"/>
        <n v="1.2966839128852705E7"/>
        <n v="2.7974503198543172E7"/>
        <n v="1.6846687473041557E7"/>
        <n v="9244235.639371142"/>
        <n v="2.0803866017677832E8"/>
        <n v="9139805.65673943"/>
        <n v="1.132879214759723E7"/>
        <n v="1.3224451681109417E7"/>
        <n v="1.4050450014495924E7"/>
        <n v="6570877.635332696"/>
        <n v="176200.09"/>
        <n v="400.1"/>
        <n v="44.0001"/>
        <n v="1.6817526918704983E7"/>
        <n v="10500.0"/>
        <n v="97561.0"/>
        <n v="18910.2"/>
        <n v="4274621.343538879"/>
        <n v="1421692.3867388112"/>
        <n v="22.0"/>
        <n v="752135.302733264"/>
        <n v="660196.302733264"/>
        <n v="686726.302733264"/>
        <n v="179889.7967388111"/>
        <n v="112537.4735388797"/>
        <n v="4343111.911655218"/>
        <n v="1322369.3735388797"/>
        <n v="7044.0"/>
      </sharedItems>
    </cacheField>
    <cacheField name="NAYs" numFmtId="3">
      <sharedItems containsSemiMixedTypes="0" containsString="0" containsNumber="1">
        <n v="2776016.4071780127"/>
        <n v="2.728405603320686E7"/>
        <n v="3249706.493460312"/>
        <n v="1761651.3027568972"/>
        <n v="0.0"/>
        <n v="800119.465234279"/>
        <n v="2859825.6206017635"/>
        <n v="220434.313481849"/>
        <n v="637265.3748057142"/>
        <n v="317570.8033617394"/>
        <n v="429028.9145927421"/>
        <n v="4.76672621E7"/>
        <n v="20264.5"/>
        <n v="2763283.584264918"/>
        <n v="3389665.0673079365"/>
        <n v="3200852.7298340774"/>
        <n v="375143.0475345054"/>
        <n v="701265.3519029213"/>
        <n v="846335.2475345054"/>
        <n v="7250812.633153093"/>
        <n v="2185637.1675414243"/>
        <n v="100.1"/>
        <n v="2747592.845394487"/>
        <n v="390263.0608"/>
        <n v="1469069.3459266594"/>
        <n v="4422681.847630495"/>
        <n v="50674.5001"/>
        <n v="476201.8865112867"/>
        <n v="322967.6608"/>
        <n v="344405.6556"/>
        <n v="322553.7556"/>
        <n v="379790.9589303516"/>
        <n v="8474908.448823085"/>
        <n v="8053184.338945685"/>
        <n v="373221.6924692313"/>
        <n v="673386.802499875"/>
        <n v="5921508.980960048"/>
        <n v="3816011.5749859964"/>
        <n v="3520391.387092367"/>
        <n v="1191227.811113608"/>
        <n v="624726.6057113309"/>
        <n v="801640.4259086589"/>
        <n v="634605.3660649953"/>
        <n v="2596306.643848169"/>
        <n v="1962082.5150987648"/>
        <n v="3480490.0550859645"/>
        <n v="1140892.1232540028"/>
        <n v="81230.5637913073"/>
        <n v="2749682.4816202084"/>
        <n v="3502905.499998555"/>
        <n v="3295244.2838937347"/>
        <n v="102665.6052"/>
        <n v="108652.866"/>
        <n v="789693.3307780197"/>
        <n v="100.0"/>
        <n v="1593572.8219458836"/>
        <n v="200.5"/>
        <n v="50313.2"/>
        <n v="11413.3152069446"/>
        <n v="6100.0"/>
        <n v="114582.2"/>
        <n v="2557344.8346599923"/>
        <n v="1116239.0921566642"/>
        <n v="926139.199478539"/>
        <n v="362971.8876054939"/>
        <n v="2970004.1748762988"/>
        <n v="2303159.5566101545"/>
        <n v="1388229.167028686"/>
        <n v="1396571.1542439435"/>
        <n v="1.203636451277686E7"/>
        <n v="1589390.3391745489"/>
        <n v="974296.3309908297"/>
        <n v="1408093.552368431"/>
        <n v="558731.4"/>
        <n v="173599.7699847809"/>
        <n v="37839.5"/>
        <n v="1704193.3533758195"/>
        <n v="2271354.803267096"/>
        <n v="4967644.52289783"/>
        <n v="160270.6872152575"/>
        <n v="4016304.5886344914"/>
        <n v="17012.51527"/>
        <n v="3266251.192756873"/>
        <n v="5.980744014463551E7"/>
        <n v="5083003.5840209685"/>
        <n v="105.0001"/>
        <n v="44853.6472740836"/>
        <n v="1.1998648372988708E7"/>
        <n v="1257176.614344529"/>
        <n v="8597057.352723973"/>
        <n v="4375947.6553296195"/>
        <n v="1.0767076450346833E7"/>
        <n v="3.616821932277324E7"/>
        <n v="2343682.1766621214"/>
        <n v="5973479.092043694"/>
        <n v="1752681.734111025"/>
        <n v="1691419.7090268605"/>
        <n v="1202432.7064286622"/>
        <n v="6537.2608"/>
        <n v="223637.52072"/>
        <n v="8564453.579265747"/>
        <n v="2420972.0955897355"/>
        <n v="7075387.569513494"/>
        <n v="7767062.625196724"/>
        <n v="2.790073270064084E7"/>
        <n v="287725.7686"/>
        <n v="7607059.260747373"/>
        <n v="1.2751935100499835E7"/>
        <n v="1205976.0773400085"/>
        <n v="9666029.169369327"/>
        <n v="490200.5592823739"/>
        <n v="1.0376856235622648E7"/>
        <n v="2.4637372195392903E7"/>
        <n v="96196.205521818"/>
        <n v="9897751.71654564"/>
        <n v="10.0"/>
        <n v="1777789.0804504848"/>
        <n v="32741.1"/>
        <n v="12741.0"/>
        <n v="27741.1"/>
        <n v="7669622.991030213"/>
        <n v="1.7394431087814342E7"/>
        <n v="1462553.2046127678"/>
        <n v="1774058.2108842062"/>
        <n v="741684.2711678819"/>
        <n v="9528437.06765272"/>
        <n v="5000.0"/>
        <n v="20708.8341525147"/>
        <n v="2405004.184851485"/>
        <n v="8589727.942633545"/>
        <n v="1.0469698783747932E7"/>
        <n v="1.1319202934961796E7"/>
        <n v="1.0757500133491058E7"/>
        <n v="2.1799859680688288E7"/>
        <n v="5.1"/>
        <n v="1.0403065271781659E7"/>
        <n v="10.0000001"/>
        <n v="591578.0769474191"/>
        <n v="9282888.327112835"/>
        <n v="335416.1258053582"/>
        <n v="49597.6707428057"/>
        <n v="7949509.53322787"/>
        <n v="1.3912353415797839E7"/>
        <n v="574.3"/>
        <n v="1.1836784393508028E7"/>
        <n v="2164853.1242166907"/>
        <n v="8321085.380210415"/>
        <n v="8496668.073803283"/>
        <n v="2029197.8157342088"/>
        <n v="1.3234063197890121E7"/>
        <n v="1.0866612314139314E7"/>
        <n v="1.0902545250796333E7"/>
        <n v="1.1892506619330889E7"/>
        <n v="3.615602047384298E7"/>
        <n v="1035357.3614992728"/>
        <n v="2360329.5508997575"/>
        <n v="1.30392772102238E7"/>
        <n v="1.0707989811922401E7"/>
        <n v="1441880.29251313"/>
        <n v="750254.5688472512"/>
        <n v="5.554697532729751E7"/>
        <n v="4214708.456740625"/>
        <n v="1573255.404904616"/>
        <n v="1.192526170680949E7"/>
        <n v="3120749.43144537"/>
        <n v="3029531.992731462"/>
        <n v="2560151.2917201086"/>
        <n v="1.4215047154586323E7"/>
        <n v="469179.9508784957"/>
        <n v="1.054669198594188E7"/>
        <n v="1.0902778199072879E7"/>
        <n v="7506281.359547438"/>
        <n v="1.0517214324763149E7"/>
        <n v="78191.1"/>
        <n v="1.3259460570952611E7"/>
        <n v="9617022.639728453"/>
        <n v="1.1687126732700344E7"/>
        <n v="7010.0"/>
        <n v="1508814.1225582366"/>
        <n v="1.3069205742926199E7"/>
        <n v="1759274.7082190136"/>
        <n v="1.1707775346271059E7"/>
        <n v="1.1301172215252753E7"/>
        <n v="1.0678793697015744E7"/>
        <n v="2290402.5680582365"/>
        <n v="1139827.406690996"/>
        <n v="1.4315844145121774E7"/>
        <n v="1.2446818670847822E7"/>
        <n v="4716779.223331273"/>
        <n v="1.555904530397792E7"/>
        <n v="1.5581247351948902E7"/>
        <n v="45005.2"/>
        <n v="1.078752271315139E7"/>
        <n v="1.5562634646787075E7"/>
        <n v="1.1182083817293655E7"/>
        <n v="1079535.4249467973"/>
        <n v="1.2612869943638694E7"/>
        <n v="343162.0886441372"/>
        <n v="109018.2"/>
        <n v="506801.5396327592"/>
        <n v="1.3408950321774285E7"/>
        <n v="2073723.9689864835"/>
        <n v="1.1070011057488974E7"/>
        <n v="4103318.8213073215"/>
        <n v="1.6109800952344524E7"/>
        <n v="1612050.1"/>
        <n v="4.505387733536229E7"/>
        <n v="3273022.3646644778"/>
        <n v="1063767.3631033082"/>
        <n v="1.3752258073958397E7"/>
        <n v="1.4755228009936797E7"/>
        <n v="1.1114664132716475E7"/>
        <n v="3985580.2302667242"/>
        <n v="5.828919923032874E7"/>
        <n v="1.1486700826510543E7"/>
        <n v="1226423.4874816907"/>
        <n v="3964552.313170689"/>
        <n v="1640840.3"/>
        <n v="1.8106506949889667E7"/>
        <n v="2738190.4208938363"/>
        <n v="1.5202322409474665E7"/>
        <n v="1.6348075971494554E7"/>
        <n v="3445767.816292549"/>
        <n v="4340440.159228561"/>
        <n v="1.831055537397765E7"/>
        <n v="1.2503451937641766E7"/>
        <n v="1.6234693658547647E7"/>
        <n v="329898.8097734942"/>
        <n v="4.2776238340737134E7"/>
        <n v="1.5662029021986814E7"/>
        <n v="3433779.6796261887"/>
        <n v="6482757.585845532"/>
        <n v="52575.1670582367"/>
        <n v="1.0275617990940167E7"/>
        <n v="1.1968360709720328E7"/>
        <n v="1.5308649734266505E7"/>
        <n v="1246164.7537619453"/>
        <n v="4248856.246321443"/>
        <n v="2.902016628297301E7"/>
        <n v="1321479.5707626857"/>
        <n v="1.1324511636341574E7"/>
        <n v="3.8092512063579015E7"/>
        <n v="1.2539129936206276E7"/>
        <n v="1.442516634810462E7"/>
        <n v="509855.6856913136"/>
        <n v="4768906.662421701"/>
        <n v="1640263.67898479"/>
        <n v="1404565.8430015205"/>
        <n v="6056471.904557891"/>
        <n v="1.2796975256897751E7"/>
        <n v="1.2402330771805251E7"/>
        <n v="4235390.459433627"/>
        <n v="1.28009436881704E7"/>
        <n v="1.3674840009084048E7"/>
        <n v="4.958257608666941E7"/>
        <n v="4.968111951148787E7"/>
        <n v="1729854.4601754772"/>
        <n v="5235595.222410884"/>
        <n v="7354478.307989768"/>
        <n v="1192044.9682169957"/>
        <n v="1284797.6662018285"/>
        <n v="2.8259576395204253E7"/>
        <n v="4.710742690177693E7"/>
        <n v="1.2400499771810254E7"/>
        <n v="9135.0"/>
        <n v="1247495.0517497743"/>
        <n v="2.8399895388290156E7"/>
        <n v="5.195158233001553E7"/>
        <n v="2.617005792020953E7"/>
        <n v="5.238445068349452E7"/>
        <n v="3.3114145150339477E7"/>
        <n v="4734227.804249804"/>
        <n v="5.1742061852086164E7"/>
        <n v="1.0792321612293271E7"/>
        <n v="5.212347067856228E7"/>
        <n v="7723574.912385896"/>
        <n v="2818709.3872152576"/>
        <n v="1963170.00000001"/>
        <n v="5.1957897560349055E7"/>
        <n v="5.181088581297835E7"/>
        <n v="5.164774212716589E7"/>
        <n v="1.3724175745954078E7"/>
        <n v="1.52383152540647E7"/>
        <n v="5.0204102782666706E7"/>
        <n v="1.5085473367583107E7"/>
        <n v="2673127.406456474"/>
        <n v="7536767.8619166175"/>
        <n v="1616171.3397688481"/>
        <n v="5.240465190775571E7"/>
        <n v="5.1651701090338744E7"/>
        <n v="6.5192955515835255E7"/>
        <n v="3.296648019878072E7"/>
        <n v="6.694311646115765E7"/>
        <n v="9957828.995687028"/>
        <n v="9959624.002530927"/>
        <n v="1.2455107305116015E7"/>
        <n v="6.712509456636864E7"/>
        <n v="1.4985053701613016E7"/>
        <n v="1.4732238635625483E7"/>
        <n v="1.2955056471889194E7"/>
        <n v="1160084.067439429"/>
        <n v="3.845368625001785E7"/>
        <n v="1.4889755656037E7"/>
        <n v="741892.3146520681"/>
        <n v="1904666.5772655963"/>
        <n v="1.2043104141175348E7"/>
        <n v="5150529.064133251"/>
        <n v="2880687.5613671164"/>
        <n v="3533785.757928237"/>
        <n v="1922098.1391802235"/>
        <n v="9559054.407856146"/>
        <n v="9081070.894132078"/>
        <n v="9079163.107378144"/>
        <n v="9066651.136159636"/>
        <n v="9056271.240118047"/>
        <n v="9072226.717987042"/>
        <n v="9096245.933938928"/>
        <n v="159094.2235388797"/>
        <n v="9046297.11486128"/>
        <n v="2049280.2389882293"/>
        <n v="1.4678337131542116E7"/>
        <n v="1.4061017817724539E7"/>
        <n v="1068235.7683779332"/>
        <n v="2.998679216326582E7"/>
        <n v="4082832.44442956"/>
        <n v="791064.4653407662"/>
        <n v="1.3020459373797458E7"/>
        <n v="4256236.002121974"/>
        <n v="1940628.4257413351"/>
        <n v="676917.0"/>
        <n v="1.2555287763410358E7"/>
        <n v="1290903.2647381595"/>
        <n v="54320.6865210526"/>
        <n v="1.3739780149511142E7"/>
        <n v="1.3567024466198064E7"/>
        <n v="1.1631872381211E7"/>
        <n v="1.216534161806062E7"/>
        <n v="41025.6078432547"/>
        <n v="1.5501114562934028E7"/>
        <n v="1.2772067327100229E7"/>
        <n v="1.4090210882136062E7"/>
        <n v="1.5664451232700586E7"/>
        <n v="2377607.5034548435"/>
        <n v="519658.0743996018"/>
        <n v="327389.0237545887"/>
        <n v="183939.6872152575"/>
        <n v="138903.5726849249"/>
        <n v="1290236.0674714393"/>
        <n v="4576366.465971193"/>
        <n v="1076030.0025477984"/>
        <n v="1.3562709451485574E7"/>
        <n v="3.3445472574286193E7"/>
        <n v="1032051.3668829323"/>
        <n v="4.726606633080685E7"/>
        <n v="1.9504448335955422E7"/>
        <n v="223081.331658338"/>
        <n v="3.0980686016067643E7"/>
        <n v="249230.6466693924"/>
        <n v="494514.9063194007"/>
        <n v="3909868.2863627267"/>
        <n v="269077.8850926468"/>
        <n v="274160.0845947794"/>
        <n v="1011940.9997326778"/>
        <n v="2.5844408056053836E7"/>
        <n v="3718934.734625527"/>
        <n v="518229.6316276019"/>
        <n v="2435626.2892413517"/>
        <n v="548003.4025731898"/>
        <n v="991871.0199275773"/>
        <n v="593090.0741094392"/>
        <n v="148096.4512357278"/>
        <n v="7.174655661314608E7"/>
        <n v="1232153.0395348016"/>
        <n v="587990.8043387294"/>
        <n v="1947502.7517093113"/>
        <n v="434227.0788443636"/>
        <n v="1643174.5648191678"/>
        <n v="199727.5300445778"/>
        <n v="9.037487260104667E7"/>
        <n v="2268266.183544674"/>
        <n v="6.879207631270073E7"/>
        <n v="1.5959565909464313E7"/>
        <n v="5.64248126469003E7"/>
        <n v="3060994.6768448106"/>
        <n v="990415.0810611297"/>
        <n v="4.104284651147102E7"/>
        <n v="2004005.13282276"/>
        <n v="1.5925742100863248E7"/>
        <n v="1785995.2537505461"/>
        <n v="5.601820622872928E7"/>
        <n v="198463.5944890484"/>
        <n v="2237044.38390566"/>
        <n v="1.4102289690303368E7"/>
        <n v="8487.6229564742"/>
        <n v="13720.3229564742"/>
        <n v="3922237.799207042"/>
        <n v="3255968.584409249"/>
        <n v="51230.7783225472"/>
        <n v="1.067607787113054E8"/>
        <n v="1056821.963673672"/>
        <n v="6106.795392146"/>
        <n v="1.4878924183481764E7"/>
        <n v="1.5928880587928142E7"/>
        <n v="115340.1235388797"/>
        <n v="1457685.9115545189"/>
        <n v="129349.1"/>
        <n v="1.5796416238974106E7"/>
        <n v="1581750.949735282"/>
        <n v="180610.4"/>
        <n v="1.7424925035762724E7"/>
        <n v="3280325.521998466"/>
        <n v="48542.1172469272"/>
        <n v="502942.2226682906"/>
        <n v="3.386080812082049E7"/>
        <n v="843143.4086192299"/>
        <n v="2016021.4524074956"/>
        <n v="1.3886662886210982E7"/>
        <n v="835780.8037159987"/>
        <n v="71721.4"/>
        <n v="1.2976897522523204E7"/>
        <n v="2325729.3055831124"/>
        <n v="3295541.098719417"/>
        <n v="4221080.091829964"/>
        <n v="2607401.555342589"/>
        <n v="3103851.1033711517"/>
        <n v="7.366352226072095E7"/>
        <n v="445563.0303651397"/>
        <n v="299701.5466367117"/>
        <n v="1.759836962362653E7"/>
        <n v="748126.5197692729"/>
        <n v="30924.1224320845"/>
        <n v="3.2422313720116742E7"/>
        <n v="2893180.59315726"/>
        <n v="39288.6491327239"/>
        <n v="3026891.7074693493"/>
        <n v="46698.1328023861"/>
        <n v="1810277.8976467736"/>
        <n v="220303.7503110687"/>
        <n v="75668.3"/>
        <n v="2535293.1090263296"/>
        <n v="1.61828016965831E7"/>
        <n v="92787.0"/>
        <n v="2282563.854972243"/>
        <n v="1640175.6834143007"/>
        <n v="1333409.4200803079"/>
        <n v="7241277.350319758"/>
        <n v="3519793.666109272"/>
        <n v="3.45893611948087E7"/>
        <n v="1.6301262817844503E7"/>
        <n v="5.832818711515067E7"/>
        <n v="142220.7314774661"/>
        <n v="2.6187490719611853E7"/>
        <n v="6.88151676518234E7"/>
        <n v="34229.4347398596"/>
        <n v="42906.1828939706"/>
        <n v="5025.0"/>
        <n v="15191.5197692729"/>
        <n v="1729945.4192483507"/>
        <n v="6723545.399670586"/>
        <n v="2838954.4808483417"/>
        <n v="53504.831794545"/>
        <n v="51196.0379381906"/>
        <n v="3014018.8719343133"/>
        <n v="38609.2946822493"/>
        <n v="684682.0307211586"/>
        <n v="2.603368014115487E7"/>
        <n v="1.3498337564439615E7"/>
        <n v="2.593014909355072E7"/>
        <n v="28004.5813519607"/>
        <n v="206887.8437225482"/>
        <n v="2.0855730529242102E7"/>
        <n v="1263754.677228831"/>
        <n v="372662.815051953"/>
        <n v="292798.7519139702"/>
        <n v="2.655225122037826E7"/>
        <n v="92983.4439517354"/>
        <n v="3759869.0438421885"/>
        <n v="1031565.9111568365"/>
        <n v="1.3615108885254264E7"/>
        <n v="957838.114828453"/>
        <n v="1055756.2962547285"/>
        <n v="385658.6745208935"/>
        <n v="2013647.7668576494"/>
        <n v="1.9163197123316977E7"/>
        <n v="6473991.74966195"/>
        <n v="923801.0892759097"/>
        <n v="1.94587240199342E7"/>
        <n v="478701.3205915881"/>
        <n v="6865133.212528083"/>
        <n v="8.353008094237557E7"/>
        <n v="1.7126203405532666E7"/>
        <n v="2.5237916481943272E7"/>
        <n v="4.145631963572467E7"/>
        <n v="2.530140256368919E7"/>
        <n v="1.9102702390154615E7"/>
        <n v="3179159.277383572"/>
        <n v="1165682.6549713127"/>
        <n v="6652881.660531809"/>
        <n v="348274.9235388797"/>
        <n v="1.8293311336277544E7"/>
        <n v="3.98226767309893E7"/>
        <n v="7257809.253490025"/>
        <n v="1.9611189027694996E7"/>
        <n v="7427176.814073392"/>
        <n v="2722032.897022489"/>
        <n v="343269.8584736719"/>
        <n v="36531.8376253017"/>
        <n v="2957130.8729039244"/>
        <n v="3.1551060377428513E7"/>
        <n v="7.252427399529381E7"/>
        <n v="1.2985730966137746E7"/>
        <n v="2426.0"/>
        <n v="3.5034033163067766E7"/>
        <n v="3.2649877025333583E7"/>
        <n v="4.7335480921400055E7"/>
        <n v="22.0"/>
        <n v="3.267506649973905E7"/>
        <n v="7601777.003720318"/>
        <n v="3.3513300727425277E7"/>
        <n v="1194965.752327497"/>
        <n v="2.2576365839067608E7"/>
        <n v="3.1387811959456928E7"/>
        <n v="1.3433586302915389E7"/>
        <n v="1099041.2946260439"/>
        <n v="2.6122980728841063E7"/>
        <n v="3.1575514884293318E7"/>
        <n v="2.5362440160063986E7"/>
        <n v="2.5072181173129573E7"/>
        <n v="25922.3579718795"/>
        <n v="3.2737453567175914E7"/>
        <n v="558210.6445514183"/>
        <n v="7938129.503976608"/>
        <n v="335520.1"/>
        <n v="2.635230953094221E7"/>
        <n v="444263.0355796187"/>
        <n v="30.0"/>
        <n v="3320740.2697620345"/>
        <n v="4183795.537339843"/>
        <n v="3.216677391766458E7"/>
        <n v="2.491657567396045E7"/>
        <n v="3.1417885871800378E7"/>
        <n v="3.0985409985731587E7"/>
        <n v="320201.1"/>
        <n v="17865.4"/>
        <n v="6409463.002484963"/>
        <n v="1.2726872899917431E7"/>
        <n v="5.2604431923161075E7"/>
        <n v="3656734.4859848544"/>
        <n v="3660220.937915298"/>
        <n v="23028.0"/>
        <n v="9316324.400581703"/>
        <n v="9315169.344027791"/>
        <n v="5886091.329236806"/>
        <n v="2798853.017290459"/>
        <n v="594274.4879075688"/>
        <n v="3.182076156662488E7"/>
        <n v="2.1916057864740487E7"/>
        <n v="392707.2075987436"/>
        <n v="6521571.552653668"/>
        <n v="38053.2"/>
        <n v="3724517.3345806785"/>
        <n v="23.1"/>
        <n v="3.1452291738306064E7"/>
        <n v="178421.2"/>
        <n v="5540634.367341298"/>
        <n v="1.3916645983815167E7"/>
        <n v="372833.5199173186"/>
        <n v="3.1948772835707758E7"/>
        <n v="5023.1"/>
        <n v="5005.0"/>
        <n v="1.3476547122945933E7"/>
        <n v="33.3"/>
        <n v="2.216339798449999E7"/>
        <n v="3.921767729863275E7"/>
        <n v="608418.2545786501"/>
        <n v="47.0"/>
        <n v="1.2966387487334192E7"/>
        <n v="3.116944949232355E7"/>
        <n v="13389.0"/>
        <n v="411.0"/>
        <n v="28.0"/>
        <n v="4245045.4"/>
        <n v="3.0659264254604824E7"/>
        <n v="9122.3"/>
        <n v="3.9103013579815164E7"/>
        <n v="3.2257257196865514E7"/>
        <n v="1571541.7769787938"/>
        <n v="1263435.791906932"/>
        <n v="1.6356422065604853E7"/>
        <n v="984680.2204936058"/>
        <n v="1.4113955204292133E7"/>
        <n v="3.2099806812853113E7"/>
        <n v="5.145359330163232E7"/>
        <n v="2.0111914626308676E7"/>
        <n v="3.8499633468227275E7"/>
        <n v="3.848989180822728E7"/>
        <n v="8402369.607681954"/>
        <n v="2.672429816877197E7"/>
        <n v="2.718939216641737E7"/>
        <n v="4595461.568473672"/>
        <n v="2958743.220243953"/>
        <n v="2.025174961227276E7"/>
        <n v="390626.5646103493"/>
        <n v="9599404.655175267"/>
        <n v="442442.5945580202"/>
        <n v="3.898326291764676E7"/>
        <n v="470869.3072553323"/>
        <n v="31.1"/>
        <n v="1.240873047163674E7"/>
        <n v="5.512957558617911E7"/>
        <n v="40778.7212407663"/>
        <n v="2.0059327841056097E7"/>
        <n v="204632.8342821433"/>
        <n v="5.0"/>
        <n v="405.0"/>
        <n v="14525.0"/>
        <n v="1.01613696854102E7"/>
        <n v="801029.2174738785"/>
        <n v="106445.6324945798"/>
        <n v="2.6162179712164328E7"/>
        <n v="744065.4174738785"/>
        <n v="3.0347663424330473E7"/>
        <n v="1196.0"/>
        <n v="46878.3"/>
        <n v="9996743.154909872"/>
        <n v="19751.0"/>
        <n v="5138907.336388397"/>
        <n v="5.191506205387039E7"/>
        <n v="1748.47397261"/>
        <n v="28883.4716256343"/>
        <n v="2.487942391017793E7"/>
        <n v="1446.0"/>
        <n v="9118.5"/>
        <n v="3.9556163659928724E7"/>
        <n v="2.2327079892141424E7"/>
        <n v="3.108380881877782E7"/>
        <n v="1.3563677540309118E7"/>
        <n v="1.4893682493592078E7"/>
        <n v="7615286.763612855"/>
        <n v="8218053.325840491"/>
        <n v="7570689.157407557"/>
        <n v="1.6023223024726236E7"/>
        <n v="23.0"/>
        <n v="3.443667832019693E7"/>
        <n v="2096110.6425523134"/>
        <n v="2825400.4"/>
        <n v="4106703.5566570326"/>
        <n v="3.38746780088174E7"/>
        <n v="7657903.340749044"/>
        <n v="4231914.1"/>
        <n v="4.132975088593362E7"/>
        <n v="7476564.452996895"/>
        <n v="1.0460258250284398E7"/>
        <n v="7440560.445870125"/>
        <n v="5961.0"/>
        <n v="207079.3110855102"/>
        <n v="9622996.245452465"/>
        <n v="27731.9744879636"/>
        <n v="3.213213326457736E7"/>
        <n v="3.4215433186257415E7"/>
        <n v="812.5515314894"/>
        <n v="720.5"/>
        <n v="19108.1"/>
        <n v="9.667777667217962E7"/>
        <n v="191315.2962761988"/>
        <n v="2.9161570687162135E7"/>
        <n v="1.1022767783419408E7"/>
        <n v="1.414381027093857E7"/>
        <n v="1.6772411892114349E7"/>
        <n v="4170599.676849735"/>
        <n v="3.776389686397966E7"/>
        <n v="2.224452409920007E7"/>
        <n v="250.1"/>
        <n v="3.094700321531193E7"/>
        <n v="4.1232293536559835E7"/>
        <n v="7818828.998011404"/>
        <n v="1.8323416329532683E7"/>
        <n v="1.6596257390018648E7"/>
        <n v="3475902.4384634397"/>
        <n v="1.1196965642755556E8"/>
        <n v="1.081933278161522E7"/>
        <n v="2915504.4"/>
        <n v="46382.0"/>
        <n v="9.282824099018067E7"/>
        <n v="3.42634157457223E7"/>
        <n v="5010.0"/>
        <n v="8952607.249189664"/>
        <n v="1.382094348954204E7"/>
        <n v="23304.6778999878"/>
        <n v="53871.0"/>
        <n v="3.3066902910544436E7"/>
        <n v="1.147490022E8"/>
        <n v="36424.0"/>
        <n v="2047673.4186460667"/>
        <n v="9.334026141438669E7"/>
        <n v="14627.7"/>
        <n v="2925983.4"/>
        <n v="121650.447091685"/>
        <n v="2247803.018810008"/>
        <n v="6034600.422956474"/>
        <n v="2.5942754393683117E7"/>
        <n v="5971.0"/>
        <n v="2.5868803394783117E7"/>
        <n v="8260429.914163536"/>
        <n v="1.9414708976194404E7"/>
        <n v="661763.1612801112"/>
        <n v="4.3742232492425986E7"/>
        <n v="3.2236091309944555E7"/>
        <n v="7821838.090409757"/>
        <n v="1.5288781150301762E7"/>
        <n v="1.3819595597115599E7"/>
        <n v="3.0211255084919125E7"/>
        <n v="33271.7292758749"/>
        <n v="41535.3464953539"/>
        <n v="7.156896590374537E7"/>
        <n v="344242.7006305647"/>
        <n v="8.801249470926648E7"/>
        <n v="1.9806581610338558E7"/>
        <n v="2.330219725503307E7"/>
        <n v="1.751666488923292E7"/>
        <n v="2.05555966462674E7"/>
        <n v="1.705371810116809E7"/>
        <n v="31152.6"/>
        <n v="9110.0"/>
        <n v="2991866.763655154"/>
        <n v="2.215065154657079E7"/>
        <n v="50678.1"/>
        <n v="3.5088982599753566E7"/>
        <n v="4354486.217597928"/>
        <n v="4168430.616260817"/>
        <n v="391694.221650452"/>
        <n v="7728762.216259887"/>
        <n v="2.7757511138398074E7"/>
        <n v="7957907.292237195"/>
        <n v="4.330465153545076E7"/>
        <n v="2106071.0"/>
        <n v="7470723.80043717"/>
        <n v="568470.6620228245"/>
        <n v="91197.556537823"/>
        <n v="5966.0"/>
        <n v="7826497.811663373"/>
        <n v="1.083686645598907E8"/>
        <n v="2.175933198173824E7"/>
        <n v="3.819927964074172E7"/>
        <n v="2.3585960069023427E7"/>
        <n v="2.4567148673105832E7"/>
        <n v="1.0537137211011989E7"/>
        <n v="9305675.542923385"/>
        <n v="4.06484365823587E7"/>
        <n v="2.7930125191729944E7"/>
        <n v="2.584166061841865E7"/>
        <n v="2.1663474913900807E7"/>
        <n v="7755112.223748097"/>
        <n v="4658758.144631243"/>
        <n v="3487717.553122979"/>
        <n v="7.270383965423349E7"/>
        <n v="3.6472197799814574E7"/>
        <n v="3.378371106816749E7"/>
        <n v="5675815.197525609"/>
        <n v="4614350.64858874"/>
        <n v="68.2882659981"/>
        <n v="60786.0616552183"/>
        <n v="6.111776766735148E7"/>
        <n v="6.953058545585497E7"/>
        <n v="6665.0"/>
        <n v="4.383770920827704E7"/>
        <n v="41584.8814301461"/>
        <n v="2123298.623768541"/>
        <n v="2.978150168888647E7"/>
        <n v="76010.101"/>
        <n v="4621720.852027668"/>
        <n v="168058.6270478275"/>
        <n v="19715.001"/>
        <n v="3.1604780024466682E7"/>
        <n v="3.4956384803095385E7"/>
        <n v="3.2192816949837215E7"/>
        <n v="2.2130882194698054E7"/>
        <n v="76838.1089106387"/>
        <n v="3.991197932212979E7"/>
        <n v="4011038.3556390903"/>
        <n v="20669.3329564742"/>
        <n v="2321428.466079483"/>
        <n v="4.317161291187236E7"/>
        <n v="4761507.40152918"/>
        <n v="3.729975560359289E7"/>
        <n v="4.3315335471190214E7"/>
        <n v="9107393.485401953"/>
        <n v="8.366618617295426E7"/>
        <n v="2.756072715990166E7"/>
        <n v="6.544976958510386E7"/>
        <n v="5641.2609611098"/>
        <n v="4.733991168560557E7"/>
        <n v="958.0"/>
        <n v="3062260.0462407796"/>
        <n v="3171961.3933324646"/>
        <n v="2.7302846867725503E7"/>
        <n v="5817232.455273741"/>
        <n v="5.4"/>
        <n v="4777783.264863747"/>
        <n v="1.003008066652733E8"/>
        <n v="1.3046086144728048E7"/>
        <n v="2.533842148748424E7"/>
        <n v="2.4724120166155975E7"/>
        <n v="9501737.075176442"/>
        <n v="5843036.974370962"/>
        <n v="5.082621323849587E7"/>
        <n v="5828006.166197433"/>
        <n v="94202.1596156803"/>
        <n v="5650098.6042949995"/>
        <n v="2.309169407134122E7"/>
        <n v="3.1201894372948196E7"/>
        <n v="37956.8366592061"/>
        <n v="35376.7366592061"/>
        <n v="18783.3334236112"/>
        <n v="2.9885998678728335E7"/>
        <n v="4.775391983550622E7"/>
        <n v="3327035.609488497"/>
        <n v="2.506769684437426E7"/>
        <n v="39175.6428592061"/>
        <n v="798430.3637472384"/>
        <n v="16746.8366592061"/>
        <n v="5012.0"/>
        <n v="69981.395132878"/>
        <n v="525973.7454940305"/>
        <n v="2.1905030843332157E7"/>
        <n v="2.168531844475686E7"/>
        <n v="23528.5062"/>
        <n v="2.144686405438903E7"/>
        <n v="537924.3172470513"/>
        <n v="4.3368109156400196E7"/>
        <n v="2.0508056846722465E7"/>
        <n v="5.010819812765766E7"/>
        <n v="2886290.2186717577"/>
        <n v="2.3484779307955507E7"/>
        <n v="2.1512927633711625E7"/>
        <n v="455814.9086820306"/>
        <n v="5.493134652911504E7"/>
        <n v="2.1552730533711627E7"/>
        <n v="5.2924320289406955E7"/>
        <n v="5948677.160152549"/>
        <n v="2.3894476806949638E7"/>
        <n v="2.350089888349939E7"/>
        <n v="2.3567871443882525E7"/>
        <n v="2.3491778633470815E7"/>
        <n v="3.473199162272547E7"/>
        <n v="2.4997802409163885E7"/>
        <n v="1658636.2"/>
        <n v="2.230211722810586E7"/>
        <n v="41.483746953"/>
        <n v="2.5309056707816344E7"/>
        <n v="2.360654182690565E7"/>
        <n v="192749.664890608"/>
        <n v="1.0080122739189742E7"/>
        <n v="1.1942977909799276E7"/>
        <n v="4.3064068548630334E7"/>
        <n v="3.975491512571219E7"/>
        <n v="5.803476569148749E7"/>
        <n v="6.322939609743233E7"/>
        <n v="3756171.3466196456"/>
        <n v="2.9034323458923686E7"/>
        <n v="2.1873725982819647E7"/>
        <n v="8.65092469118502E7"/>
        <n v="5748232.335227015"/>
        <n v="1.2440978047780747E7"/>
        <n v="5814775.371009293"/>
        <n v="2.3789253926238313E7"/>
        <n v="1.2872261933265276E7"/>
        <n v="252865.3221141733"/>
        <n v="2.416233963430201E7"/>
        <n v="83613.8828504351"/>
        <n v="4.726284809076761E7"/>
        <n v="17381.7366592061"/>
        <n v="8613446.516742706"/>
        <n v="20854.6166592061"/>
        <n v="4.838430726086274E7"/>
        <n v="4528903.200800433"/>
        <n v="1.3389748163220853E7"/>
        <n v="5.302582849092888E7"/>
        <n v="9.148724684579974E7"/>
        <n v="2.32155516350598E7"/>
        <n v="2.2348215841664053E7"/>
        <n v="2.899921392353888E7"/>
        <n v="3353228.802269163"/>
        <n v="1.3176841218994653E7"/>
        <n v="2.1390143523506284E7"/>
        <n v="7.464605180505179E7"/>
        <n v="98636.7601980858"/>
        <n v="167870.2049574174"/>
        <n v="6.234945963080625E7"/>
        <n v="9948148.595583422"/>
        <n v="5005.1"/>
        <n v="4912259.553760478"/>
        <n v="2127530.640755456"/>
        <n v="4.012680658389802E7"/>
        <n v="6.712854741213138E7"/>
        <n v="3.705543908161274E7"/>
        <n v="1.2054974531761313E7"/>
        <n v="5794953.267740667"/>
        <n v="5766703.29924283"/>
        <n v="2.525487938281826E7"/>
        <n v="1.8082205926292293E7"/>
        <n v="1.915749768483795E7"/>
        <n v="5.049148129406148E7"/>
        <n v="2.4980470300454736E7"/>
        <n v="5.9505441298735864E7"/>
        <n v="4582696.179555808"/>
        <n v="19638.7"/>
        <n v="2.0152115202814568E7"/>
        <n v="7.58361038378705E7"/>
        <n v="6.1175529510543786E7"/>
        <n v="5640435.882994104"/>
        <n v="2.4831296950877078E7"/>
        <n v="6.6972766347056925E7"/>
        <n v="2020558.5138999878"/>
        <n v="2.9216324088831674E7"/>
        <n v="2.2386375496318866E7"/>
        <n v="3.305881498292406E7"/>
        <n v="1.6467215472350204E7"/>
        <n v="3.1334985175350077E7"/>
        <n v="8727174.485836402"/>
        <n v="2.940499871007718E7"/>
        <n v="5638661.053746552"/>
        <n v="3.062206697650188E7"/>
        <n v="5571703.547091685"/>
        <n v="1.32285111351963E7"/>
        <n v="1.6104508265335433E7"/>
        <n v="33525.1"/>
        <n v="130696.2"/>
        <n v="20710.0"/>
        <n v="5328.0"/>
        <n v="10010.0"/>
        <n v="2043085.5138999878"/>
        <n v="6.516622196752669E7"/>
        <n v="2.4784879915610105E7"/>
        <n v="1.8697657937415715E7"/>
        <n v="3.366302156629117E7"/>
        <n v="2.5695092032748822E7"/>
        <n v="3.0524377217494633E7"/>
        <n v="4361712.270338599"/>
        <n v="7378618.592853783"/>
        <n v="2.7647118075518582E7"/>
        <n v="4542338.345821117"/>
        <n v="2.699060073678769E7"/>
        <n v="3.2028640026424035E7"/>
        <n v="15815.0"/>
        <n v="3.146947261461733E7"/>
        <n v="6.324291113811525E7"/>
        <n v="4.005570731403502E7"/>
        <n v="202272.1321141733"/>
        <n v="2.607773187635434E7"/>
        <n v="3742506.536428896"/>
        <n v="3.712956391638175E7"/>
        <n v="25358.2"/>
        <n v="5.167207041180262E7"/>
        <n v="64007.9725822371"/>
        <n v="6.508864600559431E7"/>
        <n v="5000.1"/>
        <n v="25328.0"/>
        <n v="2140819.908582237"/>
        <n v="2.5513900208870046E7"/>
        <n v="2.925645881205421E7"/>
        <n v="1.8078374008910637E7"/>
        <n v="2.0992180354435064E7"/>
        <n v="2.8234797104413066E7"/>
        <n v="1.596382826006326E7"/>
        <n v="5.1909537129117414E7"/>
        <n v="2.1942353803478725E7"/>
        <n v="3.884572976046336E7"/>
        <n v="1.828384394149814E7"/>
        <n v="5963602.51717663"/>
        <n v="3.4355758659686185E7"/>
        <n v="2.0967789327900674E7"/>
        <n v="3037648.1970005576"/>
        <n v="1.0013145593903597E7"/>
        <n v="2.1083345427900676E7"/>
        <n v="16183.0"/>
        <n v="2.3342658834099025E7"/>
        <n v="5.6843668107027516E7"/>
        <n v="5.6663366704520874E7"/>
        <n v="2900428.017457536"/>
        <n v="3.414248755660847E7"/>
        <n v="2.899138676083084E7"/>
        <n v="9.19030994241154E7"/>
        <n v="3.5677251953819685E7"/>
        <n v="3096529.444589304"/>
        <n v="4977454.910556596"/>
        <n v="1.7378840650662657E7"/>
        <n v="8268259.7"/>
        <n v="1.6802770710943364E7"/>
        <n v="1.1924586890376067E7"/>
        <n v="3.068899757756223E7"/>
        <n v="4.4508855179522246E7"/>
        <n v="2.592006677971009E7"/>
        <n v="5020.0"/>
        <n v="3.2276219185111746E7"/>
        <n v="3.066796778464855E7"/>
        <n v="1.457177966893674E7"/>
        <n v="6223987.119099883"/>
        <n v="1.796949580837788E7"/>
        <n v="1.5157732230042623E7"/>
        <n v="2.754797828497623E7"/>
        <n v="3.161142661294124E7"/>
        <n v="1.92674141819758E7"/>
        <n v="15010.0"/>
        <n v="6862359.375211464"/>
        <n v="1.4916874079011876E7"/>
        <n v="1.2038824493246403E7"/>
        <n v="2.686870726114731E7"/>
        <n v="5539919.940791254"/>
        <n v="3.0525098749028742E7"/>
        <n v="18021.0"/>
        <n v="2.504316403278928E7"/>
        <n v="4572153.188664729"/>
        <n v="3.0562914867422115E7"/>
        <n v="2.9183461279982984E7"/>
        <n v="1.7539657145806722E7"/>
        <n v="1.0617359428812961E8"/>
        <n v="2.446115211056826E7"/>
        <n v="2.3172484811070513E7"/>
        <n v="9758843.403050818"/>
        <n v="10096.8583229342"/>
        <n v="1.0033847897421302E7"/>
        <n v="1.044622999876112E7"/>
        <n v="3.266112396490465E7"/>
        <n v="3.7266925205946356E7"/>
        <n v="4.384248216768366E7"/>
        <n v="245574.1967"/>
        <n v="1.848150101495825E7"/>
        <n v="20079.9"/>
        <n v="6.4280033317419596E7"/>
        <n v="1.4377774758197915E7"/>
        <n v="5.281578560291058E7"/>
        <n v="5.481902685551743E7"/>
        <n v="4.9866714145237364E7"/>
        <n v="1.7494363437752873E7"/>
        <n v="7840576.930412034"/>
        <n v="3.541681840017177E7"/>
        <n v="6.1277493030766174E7"/>
        <n v="2.7204401698171422E7"/>
        <n v="4.480318973936463E7"/>
        <n v="5790148.114724727"/>
        <n v="4.726658707444416E7"/>
        <n v="1.861445582987247E7"/>
        <n v="4.129312372514595E7"/>
        <n v="4179800.4"/>
        <n v="5001.5"/>
        <n v="122469.347091685"/>
        <n v="6.577927397429651E7"/>
        <n v="7.620392941534226E7"/>
        <n v="4.827542966716493E7"/>
        <n v="8.538829949533108E7"/>
        <n v="5.854225159807532E7"/>
        <n v="5.681946017162896E7"/>
        <n v="2.2951442434670832E7"/>
        <n v="131.2"/>
        <n v="1.4690829467196686E7"/>
        <n v="2.0193025868401147E7"/>
        <n v="2.5191750257442147E7"/>
        <n v="3.0463544972519435E7"/>
        <n v="31755.5293039808"/>
        <n v="3.8876646862223305E7"/>
        <n v="1.419167245831307E7"/>
        <n v="2.8983649304180004E7"/>
        <n v="6.498808969827464E7"/>
        <n v="6415579.941641049"/>
        <n v="4210423.800197897"/>
        <n v="1042094.6920388797"/>
        <n v="10040.0235388797"/>
        <n v="1.4290521851749256E7"/>
        <n v="5011.0"/>
        <n v="1.4271890857905474E7"/>
        <n v="15093.3"/>
        <n v="2.2792924330419883E7"/>
        <n v="95010.0"/>
        <n v="338881.6"/>
        <n v="1.6934823097942166E7"/>
        <n v="5.94728601400756E7"/>
        <n v="4.34323382975346E7"/>
        <n v="1.8886714544908844E7"/>
        <n v="3.0416103351376027E7"/>
        <n v="4710482.18147676"/>
        <n v="5001.0"/>
        <n v="2.8612131200473703E7"/>
        <n v="2.675713120281671E7"/>
        <n v="8486268.505267145"/>
        <n v="1.7012883946284235E7"/>
        <n v="1.2990224464435706E7"/>
        <n v="3940159.4089449197"/>
        <n v="3817320.906353682"/>
        <n v="1.642760340086839E7"/>
        <n v="3.4330309243179E7"/>
        <n v="2.1233350407169E7"/>
        <n v="2.0928653382952884E7"/>
        <n v="5810.2"/>
        <n v="1.785439025270172E7"/>
        <n v="2.5524861819296535E7"/>
        <n v="4408734.035737605"/>
        <n v="1.7405952182594504E7"/>
        <n v="3.253418126598501E7"/>
        <n v="2.2763221646324214E7"/>
        <n v="9585797.83488937"/>
        <n v="5088.0"/>
        <n v="8235599.791783047"/>
        <n v="8890951.593239876"/>
        <n v="197006.506320041"/>
        <n v="1.7591339779180747E7"/>
        <n v="111577.05"/>
        <n v="4426626.188664729"/>
        <n v="1.2989730693496777E7"/>
        <n v="1.3326374232064448E7"/>
        <n v="4.732082685973311E7"/>
        <n v="2.3021817859414645E7"/>
        <n v="2.1831288386393353E7"/>
        <n v="8874190.295689393"/>
        <n v="1.3186134831855258E7"/>
        <n v="4563411.536778755"/>
        <n v="348682.6467"/>
        <n v="2087929.222976085"/>
        <n v="498558.7375446422"/>
        <n v="6171660.79258277"/>
        <n v="444460.6015007849"/>
        <n v="8782893.71006326"/>
        <n v="1054186.4462574802"/>
        <n v="316120.6182410822"/>
        <n v="21810.1"/>
        <n v="26805.2396381158"/>
        <n v="90005.7"/>
        <n v="40.65"/>
      </sharedItems>
    </cacheField>
    <cacheField name="Propose Date" numFmtId="172">
      <sharedItems containsSemiMixedTypes="0" containsDate="1" containsString="0">
        <d v="2023-06-13T00:00:00Z"/>
        <d v="2024-08-28T00:00:00Z"/>
        <d v="2024-09-03T00:00:00Z"/>
        <d v="2023-06-14T00:00:00Z"/>
        <d v="2024-09-08T00:00:00Z"/>
        <d v="2023-06-15T00:00:00Z"/>
        <d v="2023-06-16T00:00:00Z"/>
        <d v="2023-06-17T00:00:00Z"/>
        <d v="2023-06-18T00:00:00Z"/>
        <d v="2023-06-19T00:00:00Z"/>
        <d v="2023-06-20T00:00:00Z"/>
        <d v="2023-06-21T00:00:00Z"/>
        <d v="2023-06-22T00:00:00Z"/>
        <d v="2023-06-23T00:00:00Z"/>
        <d v="2023-06-24T00:00:00Z"/>
        <d v="2023-06-25T00:00:00Z"/>
        <d v="2023-06-26T00:00:00Z"/>
        <d v="2023-06-29T00:00:00Z"/>
        <d v="2023-06-30T00:00:00Z"/>
        <d v="2023-07-01T00:00:00Z"/>
        <d v="2023-07-02T00:00:00Z"/>
        <d v="2023-07-03T00:00:00Z"/>
        <d v="2023-07-04T00:00:00Z"/>
        <d v="2023-07-05T00:00:00Z"/>
        <d v="2023-07-06T00:00:00Z"/>
        <d v="2023-07-08T00:00:00Z"/>
        <d v="2023-07-11T00:00:00Z"/>
        <d v="2023-07-13T00:00:00Z"/>
        <d v="2023-07-14T00:00:00Z"/>
        <d v="2023-07-15T00:00:00Z"/>
        <d v="2023-07-16T00:00:00Z"/>
        <d v="2023-07-17T00:00:00Z"/>
        <d v="2023-07-18T00:00:00Z"/>
        <d v="2023-07-25T00:00:00Z"/>
        <d v="2024-08-07T00:00:00Z"/>
        <d v="2023-07-26T00:00:00Z"/>
        <d v="2023-07-29T00:00:00Z"/>
        <d v="2023-07-30T00:00:00Z"/>
        <d v="2023-07-31T00:00:00Z"/>
        <d v="2023-08-01T00:00:00Z"/>
        <d v="2023-08-02T00:00:00Z"/>
        <d v="2024-08-16T00:00:00Z"/>
        <d v="2023-08-05T00:00:00Z"/>
        <d v="2023-08-06T00:00:00Z"/>
        <d v="2023-08-09T00:00:00Z"/>
        <d v="2023-08-10T00:00:00Z"/>
        <d v="2023-08-12T00:00:00Z"/>
        <d v="2023-08-13T00:00:00Z"/>
        <d v="2023-08-14T00:00:00Z"/>
        <d v="2023-08-15T00:00:00Z"/>
        <d v="2023-08-16T00:00:00Z"/>
        <d v="2023-08-20T00:00:00Z"/>
        <d v="2023-08-21T00:00:00Z"/>
        <d v="2023-08-22T00:00:00Z"/>
        <d v="2023-08-23T00:00:00Z"/>
        <d v="2023-08-25T00:00:00Z"/>
        <d v="2023-08-28T00:00:00Z"/>
        <d v="2023-08-29T00:00:00Z"/>
        <d v="2023-09-02T00:00:00Z"/>
        <d v="2023-09-03T00:00:00Z"/>
        <d v="2023-09-04T00:00:00Z"/>
        <d v="2023-09-05T00:00:00Z"/>
        <d v="2023-09-06T00:00:00Z"/>
        <d v="2023-09-09T00:00:00Z"/>
        <d v="2023-09-10T00:00:00Z"/>
        <d v="2023-09-12T00:00:00Z"/>
        <d v="2023-09-13T00:00:00Z"/>
        <d v="2023-09-14T00:00:00Z"/>
        <d v="2023-09-16T00:00:00Z"/>
        <d v="2023-09-17T00:00:00Z"/>
        <d v="2023-09-18T00:00:00Z"/>
        <d v="2023-09-19T00:00:00Z"/>
        <d v="2023-09-21T00:00:00Z"/>
        <d v="2023-09-24T00:00:00Z"/>
        <d v="2023-09-25T00:00:00Z"/>
        <d v="2023-09-26T00:00:00Z"/>
        <d v="2023-09-27T00:00:00Z"/>
        <d v="2023-09-28T00:00:00Z"/>
        <d v="2023-09-29T00:00:00Z"/>
        <d v="2023-09-30T00:00:00Z"/>
        <d v="2023-10-01T00:00:00Z"/>
        <d v="2023-10-02T00:00:00Z"/>
        <d v="2023-10-03T00:00:00Z"/>
        <d v="2023-10-05T00:00:00Z"/>
        <d v="2023-10-06T00:00:00Z"/>
        <d v="2023-10-07T00:00:00Z"/>
        <d v="2023-10-08T00:00:00Z"/>
        <d v="2023-10-09T00:00:00Z"/>
        <d v="2023-10-11T00:00:00Z"/>
        <d v="2023-10-12T00:00:00Z"/>
        <d v="2023-10-14T00:00:00Z"/>
        <d v="2023-10-15T00:00:00Z"/>
        <d v="2023-10-16T00:00:00Z"/>
        <d v="2023-10-17T00:00:00Z"/>
        <d v="2023-10-18T00:00:00Z"/>
        <d v="2023-10-19T00:00:00Z"/>
        <d v="2023-10-20T00:00:00Z"/>
        <d v="2023-10-21T00:00:00Z"/>
        <d v="2023-10-22T00:00:00Z"/>
        <d v="2023-10-23T00:00:00Z"/>
        <d v="2023-10-24T00:00:00Z"/>
        <d v="2023-10-26T00:00:00Z"/>
        <d v="2023-10-27T00:00:00Z"/>
        <d v="2023-10-28T00:00:00Z"/>
        <d v="2023-10-29T00:00:00Z"/>
        <d v="2023-10-30T00:00:00Z"/>
        <d v="2023-11-01T00:00:00Z"/>
        <d v="2023-11-04T00:00:00Z"/>
        <d v="2023-11-05T00:00:00Z"/>
        <d v="2023-11-06T00:00:00Z"/>
        <d v="2023-11-07T00:00:00Z"/>
        <d v="2023-11-08T00:00:00Z"/>
        <d v="2023-11-09T00:00:00Z"/>
        <d v="2023-11-10T00:00:00Z"/>
        <d v="2023-11-11T00:00:00Z"/>
        <d v="2023-11-12T00:00:00Z"/>
        <d v="2023-11-13T00:00:00Z"/>
        <d v="2023-11-14T00:00:00Z"/>
        <d v="2023-11-15T00:00:00Z"/>
        <d v="2023-11-16T00:00:00Z"/>
        <d v="2023-11-17T00:00:00Z"/>
        <d v="2023-11-18T00:00:00Z"/>
        <d v="2023-11-19T00:00:00Z"/>
        <d v="2023-11-20T00:00:00Z"/>
        <d v="2023-11-21T00:00:00Z"/>
        <d v="2023-11-22T00:00:00Z"/>
        <d v="2023-11-23T00:00:00Z"/>
        <d v="2023-11-24T00:00:00Z"/>
        <d v="2023-11-25T00:00:00Z"/>
        <d v="2023-11-26T00:00:00Z"/>
        <d v="2023-11-27T00:00:00Z"/>
        <d v="2023-11-28T00:00:00Z"/>
        <d v="2023-11-29T00:00:00Z"/>
        <d v="2023-11-30T00:00:00Z"/>
        <d v="2023-12-02T00:00:00Z"/>
        <d v="2023-12-03T00:00:00Z"/>
        <d v="2023-12-04T00:00:00Z"/>
        <d v="2023-12-05T00:00:00Z"/>
        <d v="2023-12-06T00:00:00Z"/>
        <d v="2023-12-07T00:00:00Z"/>
        <d v="2023-12-08T00:00:00Z"/>
        <d v="2023-12-09T00:00:00Z"/>
        <d v="2023-12-11T00:00:00Z"/>
        <d v="2023-12-12T00:00:00Z"/>
        <d v="2023-12-13T00:00:00Z"/>
        <d v="2023-12-16T00:00:00Z"/>
        <d v="2023-12-17T00:00:00Z"/>
        <d v="2023-12-18T00:00:00Z"/>
        <d v="2023-12-19T00:00:00Z"/>
        <d v="2023-12-20T00:00:00Z"/>
        <d v="2023-12-22T00:00:00Z"/>
        <d v="2023-12-24T00:00:00Z"/>
        <d v="2023-12-25T00:00:00Z"/>
        <d v="2023-12-26T00:00:00Z"/>
        <d v="2023-12-27T00:00:00Z"/>
        <d v="2023-12-28T00:00:00Z"/>
        <d v="2023-12-30T00:00:00Z"/>
        <d v="2024-01-02T00:00:00Z"/>
        <d v="2024-01-03T00:00:00Z"/>
        <d v="2024-01-05T00:00:00Z"/>
        <d v="2024-01-06T00:00:00Z"/>
        <d v="2024-01-08T00:00:00Z"/>
        <d v="2024-01-09T00:00:00Z"/>
        <d v="2024-01-10T00:00:00Z"/>
        <d v="2024-01-12T00:00:00Z"/>
        <d v="2024-01-13T00:00:00Z"/>
        <d v="2024-01-14T00:00:00Z"/>
        <d v="2024-01-15T00:00:00Z"/>
        <d v="2024-01-16T00:00:00Z"/>
        <d v="2024-01-17T00:00:00Z"/>
        <d v="2024-01-20T00:00:00Z"/>
        <d v="2024-01-21T00:00:00Z"/>
        <d v="2024-01-22T00:00:00Z"/>
        <d v="2024-01-23T00:00:00Z"/>
        <d v="2024-01-24T00:00:00Z"/>
        <d v="2024-01-27T00:00:00Z"/>
        <d v="2024-01-28T00:00:00Z"/>
        <d v="2024-01-29T00:00:00Z"/>
        <d v="2024-01-31T00:00:00Z"/>
        <d v="2024-02-01T00:00:00Z"/>
        <d v="2024-02-02T00:00:00Z"/>
        <d v="2024-02-03T00:00:00Z"/>
        <d v="2024-02-04T00:00:00Z"/>
        <d v="2024-02-05T00:00:00Z"/>
        <d v="2024-02-06T00:00:00Z"/>
        <d v="2024-02-07T00:00:00Z"/>
        <d v="2024-02-08T00:00:00Z"/>
        <d v="2024-02-09T00:00:00Z"/>
        <d v="2024-02-10T00:00:00Z"/>
        <d v="2024-02-11T00:00:00Z"/>
        <d v="2024-02-12T00:00:00Z"/>
        <d v="2024-02-13T00:00:00Z"/>
        <d v="2024-02-14T00:00:00Z"/>
        <d v="2024-02-15T00:00:00Z"/>
        <d v="2024-02-16T00:00:00Z"/>
        <d v="2024-02-17T00:00:00Z"/>
        <d v="2024-02-18T00:00:00Z"/>
        <d v="2024-02-19T00:00:00Z"/>
        <d v="2024-02-20T00:00:00Z"/>
        <d v="2024-02-21T00:00:00Z"/>
        <d v="2024-02-22T00:00:00Z"/>
        <d v="2024-02-23T00:00:00Z"/>
        <d v="2024-02-24T00:00:00Z"/>
        <d v="2024-02-25T00:00:00Z"/>
        <d v="2024-02-26T00:00:00Z"/>
        <d v="2024-02-27T00:00:00Z"/>
        <d v="2024-02-28T00:00:00Z"/>
        <d v="2024-02-29T00:00:00Z"/>
        <d v="2024-03-01T00:00:00Z"/>
        <d v="2024-03-02T00:00:00Z"/>
        <d v="2024-03-03T00:00:00Z"/>
        <d v="2024-03-04T00:00:00Z"/>
        <d v="2024-03-05T00:00:00Z"/>
        <d v="2024-03-06T00:00:00Z"/>
        <d v="2024-03-07T00:00:00Z"/>
        <d v="2024-03-08T00:00:00Z"/>
        <d v="2024-03-09T00:00:00Z"/>
        <d v="2024-03-10T00:00:00Z"/>
        <d v="2024-03-11T00:00:00Z"/>
        <d v="2024-03-12T00:00:00Z"/>
        <d v="2024-03-13T00:00:00Z"/>
        <d v="2024-03-15T00:00:00Z"/>
        <d v="2024-03-16T00:00:00Z"/>
        <d v="2024-03-17T00:00:00Z"/>
        <d v="2024-03-18T00:00:00Z"/>
        <d v="2024-03-19T00:00:00Z"/>
        <d v="2024-03-20T00:00:00Z"/>
        <d v="2024-03-21T00:00:00Z"/>
        <d v="2024-03-22T00:00:00Z"/>
        <d v="2024-03-23T00:00:00Z"/>
        <d v="2024-03-24T00:00:00Z"/>
        <d v="2024-03-25T00:00:00Z"/>
        <d v="2024-03-26T00:00:00Z"/>
        <d v="2024-03-27T00:00:00Z"/>
        <d v="2024-03-29T00:00:00Z"/>
        <d v="2024-03-30T00:00:00Z"/>
        <d v="2024-03-31T00:00:00Z"/>
        <d v="2024-04-01T00:00:00Z"/>
        <d v="2024-04-02T00:00:00Z"/>
        <d v="2024-04-03T00:00:00Z"/>
        <d v="2024-04-05T00:00:00Z"/>
        <d v="2024-04-06T00:00:00Z"/>
        <d v="2024-04-07T00:00:00Z"/>
        <d v="2024-04-08T00:00:00Z"/>
        <d v="2024-04-09T00:00:00Z"/>
        <d v="2024-04-10T00:00:00Z"/>
        <d v="2024-04-12T00:00:00Z"/>
        <d v="2024-04-13T00:00:00Z"/>
        <d v="2024-04-14T00:00:00Z"/>
        <d v="2024-04-15T00:00:00Z"/>
        <d v="2024-04-16T00:00:00Z"/>
        <d v="2024-04-17T00:00:00Z"/>
        <d v="2024-04-18T00:00:00Z"/>
        <d v="2024-04-20T00:00:00Z"/>
        <d v="2024-04-21T00:00:00Z"/>
        <d v="2024-04-22T00:00:00Z"/>
        <d v="2024-04-23T00:00:00Z"/>
        <d v="2024-04-24T00:00:00Z"/>
        <d v="2024-04-25T00:00:00Z"/>
        <d v="2024-04-26T00:00:00Z"/>
        <d v="2024-04-27T00:00:00Z"/>
        <d v="2024-04-28T00:00:00Z"/>
        <d v="2024-04-29T00:00:00Z"/>
        <d v="2024-04-30T00:00:00Z"/>
        <d v="2024-05-01T00:00:00Z"/>
        <d v="2024-05-02T00:00:00Z"/>
        <d v="2024-05-04T00:00:00Z"/>
        <d v="2024-05-05T00:00:00Z"/>
        <d v="2024-05-06T00:00:00Z"/>
        <d v="2024-05-07T00:00:00Z"/>
        <d v="2024-05-08T00:00:00Z"/>
        <d v="2024-05-09T00:00:00Z"/>
        <d v="2024-05-10T00:00:00Z"/>
        <d v="2024-05-11T00:00:00Z"/>
        <d v="2024-05-12T00:00:00Z"/>
        <d v="2024-05-14T00:00:00Z"/>
        <d v="2024-05-15T00:00:00Z"/>
        <d v="2024-05-16T00:00:00Z"/>
        <d v="2024-05-18T00:00:00Z"/>
        <d v="2024-05-19T00:00:00Z"/>
        <d v="2024-05-20T00:00:00Z"/>
        <d v="2024-05-21T00:00:00Z"/>
        <d v="2024-05-22T00:00:00Z"/>
        <d v="2024-05-23T00:00:00Z"/>
        <d v="2024-05-25T00:00:00Z"/>
        <d v="2024-05-26T00:00:00Z"/>
        <d v="2024-05-27T00:00:00Z"/>
        <d v="2024-05-28T00:00:00Z"/>
        <d v="2024-05-29T00:00:00Z"/>
        <d v="2024-05-31T00:00:00Z"/>
        <d v="2024-06-01T00:00:00Z"/>
        <d v="2024-06-02T00:00:00Z"/>
        <d v="2024-06-03T00:00:00Z"/>
        <d v="2024-06-04T00:00:00Z"/>
        <d v="2024-06-05T00:00:00Z"/>
        <d v="2024-06-06T00:00:00Z"/>
        <d v="2024-06-07T00:00:00Z"/>
        <d v="2024-06-08T00:00:00Z"/>
        <d v="2024-06-09T00:00:00Z"/>
        <d v="2024-06-10T00:00:00Z"/>
        <d v="2024-06-11T00:00:00Z"/>
        <d v="2024-06-12T00:00:00Z"/>
        <d v="2024-06-13T00:00:00Z"/>
        <d v="2024-06-14T00:00:00Z"/>
        <d v="2024-06-15T00:00:00Z"/>
        <d v="2024-06-16T00:00:00Z"/>
        <d v="2024-06-17T00:00:00Z"/>
        <d v="2024-06-18T00:00:00Z"/>
        <d v="2024-06-19T00:00:00Z"/>
        <d v="2024-06-20T00:00:00Z"/>
        <d v="2024-06-21T00:00:00Z"/>
        <d v="2024-06-22T00:00:00Z"/>
        <d v="2024-06-23T00:00:00Z"/>
        <d v="2024-06-24T00:00:00Z"/>
        <d v="2024-06-25T00:00:00Z"/>
        <d v="2024-06-26T00:00:00Z"/>
        <d v="2024-06-27T00:00:00Z"/>
        <d v="2024-06-28T00:00:00Z"/>
        <d v="2024-06-29T00:00:00Z"/>
        <d v="2024-06-30T00:00:00Z"/>
        <d v="2024-07-01T00:00:00Z"/>
        <d v="2024-07-02T00:00:00Z"/>
        <d v="2024-07-03T00:00:00Z"/>
        <d v="2024-07-04T00:00:00Z"/>
        <d v="2024-07-05T00:00:00Z"/>
        <d v="2024-07-06T00:00:00Z"/>
        <d v="2024-07-07T00:00:00Z"/>
        <d v="2024-07-08T00:00:00Z"/>
        <d v="2024-07-09T00:00:00Z"/>
        <d v="2024-07-10T00:00:00Z"/>
        <d v="2024-07-11T00:00:00Z"/>
        <d v="2024-07-12T00:00:00Z"/>
        <d v="2024-07-13T00:00:00Z"/>
        <d v="2024-07-14T00:00:00Z"/>
        <d v="2024-07-15T00:00:00Z"/>
        <d v="2024-07-16T00:00:00Z"/>
        <d v="2024-07-17T00:00:00Z"/>
        <d v="2024-07-18T00:00:00Z"/>
        <d v="2024-07-19T00:00:00Z"/>
        <d v="2024-07-20T00:00:00Z"/>
        <d v="2024-07-21T00:00:00Z"/>
        <d v="2024-07-22T00:00:00Z"/>
        <d v="2024-07-23T00:00:00Z"/>
        <d v="2024-07-24T00:00:00Z"/>
        <d v="2024-07-26T00:00:00Z"/>
        <d v="2024-07-27T00:00:00Z"/>
        <d v="2024-07-29T00:00:00Z"/>
        <d v="2024-07-30T00:00:00Z"/>
        <d v="2024-07-31T00:00:00Z"/>
        <d v="2024-08-01T00:00:00Z"/>
        <d v="2024-08-02T00:00:00Z"/>
        <d v="2024-08-03T00:00:00Z"/>
        <d v="2024-08-04T00:00:00Z"/>
        <d v="2024-08-05T00:00:00Z"/>
        <d v="2024-08-06T00:00:00Z"/>
        <d v="2024-08-08T00:00:00Z"/>
        <d v="2024-08-09T00:00:00Z"/>
        <d v="2024-08-10T00:00:00Z"/>
        <d v="2024-08-11T00:00:00Z"/>
        <d v="2024-08-12T00:00:00Z"/>
        <d v="2024-08-13T00:00:00Z"/>
        <d v="2024-08-14T00:00:00Z"/>
        <d v="2024-08-15T00:00:00Z"/>
        <d v="2024-08-17T00:00:00Z"/>
        <d v="2024-08-18T00:00:00Z"/>
        <d v="2024-08-19T00:00:00Z"/>
        <d v="2024-08-20T00:00:00Z"/>
        <d v="2024-08-21T00:00:00Z"/>
        <d v="2024-08-22T00:00:00Z"/>
        <d v="2024-08-24T00:00:00Z"/>
        <d v="2024-08-25T00:00:00Z"/>
        <d v="2024-08-26T00:00:00Z"/>
        <d v="2024-08-27T00:00:00Z"/>
        <d v="2024-08-31T00:00:00Z"/>
        <d v="2024-09-02T00:00:00Z"/>
        <d v="2024-09-04T00:00:00Z"/>
        <d v="2024-09-07T00:00:00Z"/>
        <d v="2024-09-09T00:00:00Z"/>
        <d v="2024-09-10T00:00:00Z"/>
        <d v="2024-09-11T00:00:00Z"/>
        <d v="2024-09-14T00:00:00Z"/>
        <d v="2024-09-15T00:00:00Z"/>
        <d v="2024-09-16T00:00:00Z"/>
        <d v="2024-09-17T00:00:00Z"/>
        <d v="2024-09-18T00:00:00Z"/>
        <d v="2024-09-19T00:00:00Z"/>
        <d v="2024-09-21T00:00:00Z"/>
        <d v="2024-09-22T00:00:00Z"/>
        <d v="2024-09-23T00:00:00Z"/>
        <d v="2024-09-24T00:00:00Z"/>
        <d v="2024-09-25T00:00:00Z"/>
        <d v="2024-09-26T00:00:00Z"/>
        <d v="2024-09-27T00:00:00Z"/>
        <d v="2024-09-28T00:00:00Z"/>
        <d v="2024-09-29T00:00:00Z"/>
        <d v="2024-09-30T00:00:00Z"/>
      </sharedItems>
    </cacheField>
    <cacheField name="Last Update" numFmtId="172">
      <sharedItems containsSemiMixedTypes="0" containsDate="1" containsString="0">
        <d v="2023-06-27T00:00:00Z"/>
        <d v="2024-09-30T00:00:00Z"/>
        <d v="2023-07-11T00:00:00Z"/>
        <d v="2023-06-20T00:00:00Z"/>
        <d v="2023-07-08T00:00:00Z"/>
        <d v="2023-07-10T00:00:00Z"/>
        <d v="2023-07-13T00:00:00Z"/>
        <d v="2023-06-30T00:00:00Z"/>
        <d v="2023-07-15T00:00:00Z"/>
        <d v="2023-07-16T00:00:00Z"/>
        <d v="2023-07-18T00:00:00Z"/>
        <d v="2023-07-17T00:00:00Z"/>
        <d v="2023-06-26T00:00:00Z"/>
        <d v="2023-07-19T00:00:00Z"/>
        <d v="2023-07-22T00:00:00Z"/>
        <d v="2023-07-20T00:00:00Z"/>
        <d v="2023-06-28T00:00:00Z"/>
        <d v="2023-06-29T00:00:00Z"/>
        <d v="2023-07-07T00:00:00Z"/>
        <d v="2023-07-23T00:00:00Z"/>
        <d v="2023-07-24T00:00:00Z"/>
        <d v="2023-07-01T00:00:00Z"/>
        <d v="2023-07-02T00:00:00Z"/>
        <d v="2023-07-03T00:00:00Z"/>
        <d v="2023-07-27T00:00:00Z"/>
        <d v="2023-07-05T00:00:00Z"/>
        <d v="2023-07-06T00:00:00Z"/>
        <d v="2023-07-25T00:00:00Z"/>
        <d v="2023-08-02T00:00:00Z"/>
        <d v="2023-08-06T00:00:00Z"/>
        <d v="2023-08-10T00:00:00Z"/>
        <d v="2023-08-07T00:00:00Z"/>
        <d v="2023-08-12T00:00:00Z"/>
        <d v="2023-08-11T00:00:00Z"/>
        <d v="2023-07-21T00:00:00Z"/>
        <d v="2023-08-09T00:00:00Z"/>
        <d v="2023-08-23T00:00:00Z"/>
        <d v="2024-09-04T00:00:00Z"/>
        <d v="2023-08-21T00:00:00Z"/>
        <d v="2023-08-13T00:00:00Z"/>
        <d v="2023-08-25T00:00:00Z"/>
        <d v="2023-08-05T00:00:00Z"/>
        <d v="2023-08-28T00:00:00Z"/>
        <d v="2023-08-31T00:00:00Z"/>
        <d v="2023-08-26T00:00:00Z"/>
        <d v="2023-08-30T00:00:00Z"/>
        <d v="2023-09-03T00:00:00Z"/>
        <d v="2023-09-04T00:00:00Z"/>
        <d v="2023-08-27T00:00:00Z"/>
        <d v="2023-09-06T00:00:00Z"/>
        <d v="2023-09-08T00:00:00Z"/>
        <d v="2023-08-18T00:00:00Z"/>
        <d v="2023-09-10T00:00:00Z"/>
        <d v="2023-09-11T00:00:00Z"/>
        <d v="2023-08-17T00:00:00Z"/>
        <d v="2023-08-19T00:00:00Z"/>
        <d v="2023-09-07T00:00:00Z"/>
        <d v="2023-09-13T00:00:00Z"/>
        <d v="2023-09-17T00:00:00Z"/>
        <d v="2023-08-24T00:00:00Z"/>
        <d v="2023-09-14T00:00:00Z"/>
        <d v="2023-09-18T00:00:00Z"/>
        <d v="2023-09-20T00:00:00Z"/>
        <d v="2023-09-21T00:00:00Z"/>
        <d v="2023-09-15T00:00:00Z"/>
        <d v="2023-09-19T00:00:00Z"/>
        <d v="2023-09-27T00:00:00Z"/>
        <d v="2023-10-10T00:00:00Z"/>
        <d v="2023-09-29T00:00:00Z"/>
        <d v="2023-10-03T00:00:00Z"/>
        <d v="2023-09-12T00:00:00Z"/>
        <d v="2023-09-30T00:00:00Z"/>
        <d v="2023-10-07T00:00:00Z"/>
        <d v="2023-10-09T00:00:00Z"/>
        <d v="2023-09-26T00:00:00Z"/>
        <d v="2023-10-11T00:00:00Z"/>
        <d v="2023-09-16T00:00:00Z"/>
        <d v="2023-10-08T00:00:00Z"/>
        <d v="2023-10-14T00:00:00Z"/>
        <d v="2023-10-04T00:00:00Z"/>
        <d v="2023-10-16T00:00:00Z"/>
        <d v="2023-10-06T00:00:00Z"/>
        <d v="2023-10-12T00:00:00Z"/>
        <d v="2023-10-21T00:00:00Z"/>
        <d v="2023-10-15T00:00:00Z"/>
        <d v="2023-10-25T00:00:00Z"/>
        <d v="2023-10-20T00:00:00Z"/>
        <d v="2023-10-19T00:00:00Z"/>
        <d v="2023-10-05T00:00:00Z"/>
        <d v="2023-10-13T00:00:00Z"/>
        <d v="2023-10-02T00:00:00Z"/>
        <d v="2023-10-23T00:00:00Z"/>
        <d v="2023-11-04T00:00:00Z"/>
        <d v="2023-10-29T00:00:00Z"/>
        <d v="2023-10-18T00:00:00Z"/>
        <d v="2023-10-31T00:00:00Z"/>
        <d v="2023-10-22T00:00:00Z"/>
        <d v="2023-10-17T00:00:00Z"/>
        <d v="2023-10-30T00:00:00Z"/>
        <d v="2023-10-26T00:00:00Z"/>
        <d v="2023-11-03T00:00:00Z"/>
        <d v="2023-11-06T00:00:00Z"/>
        <d v="2023-10-27T00:00:00Z"/>
        <d v="2023-11-07T00:00:00Z"/>
        <d v="2023-10-28T00:00:00Z"/>
        <d v="2023-11-08T00:00:00Z"/>
        <d v="2023-11-05T00:00:00Z"/>
        <d v="2023-11-14T00:00:00Z"/>
        <d v="2023-11-01T00:00:00Z"/>
        <d v="2023-11-02T00:00:00Z"/>
        <d v="2023-11-20T00:00:00Z"/>
        <d v="2023-11-12T00:00:00Z"/>
        <d v="2023-11-10T00:00:00Z"/>
        <d v="2023-11-21T00:00:00Z"/>
        <d v="2023-11-11T00:00:00Z"/>
        <d v="2023-11-25T00:00:00Z"/>
        <d v="2023-11-13T00:00:00Z"/>
        <d v="2023-11-26T00:00:00Z"/>
        <d v="2023-12-02T00:00:00Z"/>
        <d v="2023-11-27T00:00:00Z"/>
        <d v="2023-11-15T00:00:00Z"/>
        <d v="2023-11-19T00:00:00Z"/>
        <d v="2023-12-04T00:00:00Z"/>
        <d v="2023-11-30T00:00:00Z"/>
        <d v="2023-12-06T00:00:00Z"/>
        <d v="2023-12-07T00:00:00Z"/>
        <d v="2023-12-08T00:00:00Z"/>
        <d v="2023-11-16T00:00:00Z"/>
        <d v="2023-12-09T00:00:00Z"/>
        <d v="2023-11-28T00:00:00Z"/>
        <d v="2023-12-01T00:00:00Z"/>
        <d v="2023-12-12T00:00:00Z"/>
        <d v="2023-11-22T00:00:00Z"/>
        <d v="2023-11-29T00:00:00Z"/>
        <d v="2023-12-14T00:00:00Z"/>
        <d v="2023-12-15T00:00:00Z"/>
        <d v="2023-12-16T00:00:00Z"/>
        <d v="2023-12-17T00:00:00Z"/>
        <d v="2023-12-19T00:00:00Z"/>
        <d v="2023-12-18T00:00:00Z"/>
        <d v="2023-12-13T00:00:00Z"/>
        <d v="2023-12-05T00:00:00Z"/>
        <d v="2023-12-10T00:00:00Z"/>
        <d v="2023-12-20T00:00:00Z"/>
        <d v="2023-12-03T00:00:00Z"/>
        <d v="2023-12-25T00:00:00Z"/>
        <d v="2023-12-11T00:00:00Z"/>
        <d v="2023-12-26T00:00:00Z"/>
        <d v="2023-12-31T00:00:00Z"/>
        <d v="2023-12-22T00:00:00Z"/>
        <d v="2023-12-28T00:00:00Z"/>
        <d v="2024-01-01T00:00:00Z"/>
        <d v="2023-12-24T00:00:00Z"/>
        <d v="2024-01-02T00:00:00Z"/>
        <d v="2024-01-03T00:00:00Z"/>
        <d v="2023-12-27T00:00:00Z"/>
        <d v="2023-12-21T00:00:00Z"/>
        <d v="2024-01-05T00:00:00Z"/>
        <d v="2024-01-08T00:00:00Z"/>
        <d v="2024-01-06T00:00:00Z"/>
        <d v="2024-01-10T00:00:00Z"/>
        <d v="2024-01-12T00:00:00Z"/>
        <d v="2024-01-07T00:00:00Z"/>
        <d v="2024-01-19T00:00:00Z"/>
        <d v="2024-01-09T00:00:00Z"/>
        <d v="2024-01-18T00:00:00Z"/>
        <d v="2024-01-30T00:00:00Z"/>
        <d v="2024-01-22T00:00:00Z"/>
        <d v="2024-01-15T00:00:00Z"/>
        <d v="2024-01-13T00:00:00Z"/>
        <d v="2024-01-24T00:00:00Z"/>
        <d v="2024-01-25T00:00:00Z"/>
        <d v="2024-01-29T00:00:00Z"/>
        <d v="2024-01-16T00:00:00Z"/>
        <d v="2024-01-20T00:00:00Z"/>
        <d v="2024-02-03T00:00:00Z"/>
        <d v="2024-01-31T00:00:00Z"/>
        <d v="2024-01-28T00:00:00Z"/>
        <d v="2024-02-05T00:00:00Z"/>
        <d v="2024-01-26T00:00:00Z"/>
        <d v="2024-02-08T00:00:00Z"/>
        <d v="2024-02-12T00:00:00Z"/>
        <d v="2024-01-21T00:00:00Z"/>
        <d v="2024-01-17T00:00:00Z"/>
        <d v="2024-02-06T00:00:00Z"/>
        <d v="2024-02-13T00:00:00Z"/>
        <d v="2024-02-09T00:00:00Z"/>
        <d v="2024-02-14T00:00:00Z"/>
        <d v="2024-02-07T00:00:00Z"/>
        <d v="2024-02-19T00:00:00Z"/>
        <d v="2024-02-18T00:00:00Z"/>
        <d v="2024-02-02T00:00:00Z"/>
        <d v="2024-02-21T00:00:00Z"/>
        <d v="2024-02-11T00:00:00Z"/>
        <d v="2024-02-26T00:00:00Z"/>
        <d v="2024-03-01T00:00:00Z"/>
        <d v="2024-02-29T00:00:00Z"/>
        <d v="2024-04-27T00:00:00Z"/>
        <d v="2024-02-27T00:00:00Z"/>
        <d v="2024-02-17T00:00:00Z"/>
        <d v="2024-02-23T00:00:00Z"/>
        <d v="2024-02-24T00:00:00Z"/>
        <d v="2024-02-25T00:00:00Z"/>
        <d v="2024-03-04T00:00:00Z"/>
        <d v="2024-03-07T00:00:00Z"/>
        <d v="2024-02-10T00:00:00Z"/>
        <d v="2024-03-03T00:00:00Z"/>
        <d v="2024-03-06T00:00:00Z"/>
        <d v="2024-03-29T00:00:00Z"/>
        <d v="2024-02-15T00:00:00Z"/>
        <d v="2024-03-08T00:00:00Z"/>
        <d v="2024-03-11T00:00:00Z"/>
        <d v="2024-03-13T00:00:00Z"/>
        <d v="2024-02-20T00:00:00Z"/>
        <d v="2024-02-16T00:00:00Z"/>
        <d v="2024-03-09T00:00:00Z"/>
        <d v="2024-03-16T00:00:00Z"/>
        <d v="2024-03-12T00:00:00Z"/>
        <d v="2024-03-05T00:00:00Z"/>
        <d v="2024-03-14T00:00:00Z"/>
        <d v="2024-03-18T00:00:00Z"/>
        <d v="2024-03-26T00:00:00Z"/>
        <d v="2024-03-19T00:00:00Z"/>
        <d v="2024-03-31T00:00:00Z"/>
        <d v="2024-02-22T00:00:00Z"/>
        <d v="2024-03-21T00:00:00Z"/>
        <d v="2024-03-22T00:00:00Z"/>
        <d v="2024-03-30T00:00:00Z"/>
        <d v="2024-03-23T00:00:00Z"/>
        <d v="2024-03-25T00:00:00Z"/>
        <d v="2024-03-17T00:00:00Z"/>
        <d v="2024-03-20T00:00:00Z"/>
        <d v="2024-03-27T00:00:00Z"/>
        <d v="2024-04-01T00:00:00Z"/>
        <d v="2024-03-24T00:00:00Z"/>
        <d v="2024-04-07T00:00:00Z"/>
        <d v="2024-04-03T00:00:00Z"/>
        <d v="2024-04-13T00:00:00Z"/>
        <d v="2024-04-06T00:00:00Z"/>
        <d v="2024-04-02T00:00:00Z"/>
        <d v="2024-04-10T00:00:00Z"/>
        <d v="2024-03-15T00:00:00Z"/>
        <d v="2024-04-11T00:00:00Z"/>
        <d v="2024-04-14T00:00:00Z"/>
        <d v="2024-04-17T00:00:00Z"/>
        <d v="2024-04-15T00:00:00Z"/>
        <d v="2024-04-08T00:00:00Z"/>
        <d v="2024-04-05T00:00:00Z"/>
        <d v="2024-04-16T00:00:00Z"/>
        <d v="2024-04-18T00:00:00Z"/>
        <d v="2024-04-19T00:00:00Z"/>
        <d v="2024-04-25T00:00:00Z"/>
        <d v="2024-04-04T00:00:00Z"/>
        <d v="2024-03-28T00:00:00Z"/>
        <d v="2024-04-21T00:00:00Z"/>
        <d v="2024-04-22T00:00:00Z"/>
        <d v="2024-04-20T00:00:00Z"/>
        <d v="2024-04-09T00:00:00Z"/>
        <d v="2024-04-23T00:00:00Z"/>
        <d v="2024-04-24T00:00:00Z"/>
        <d v="2024-04-26T00:00:00Z"/>
        <d v="2024-05-06T00:00:00Z"/>
        <d v="2024-05-08T00:00:00Z"/>
        <d v="2024-04-30T00:00:00Z"/>
        <d v="2024-05-04T00:00:00Z"/>
        <d v="2024-05-03T00:00:00Z"/>
        <d v="2024-05-01T00:00:00Z"/>
        <d v="2024-04-12T00:00:00Z"/>
        <d v="2024-04-29T00:00:00Z"/>
        <d v="2024-05-05T00:00:00Z"/>
        <d v="2024-05-11T00:00:00Z"/>
        <d v="2024-05-07T00:00:00Z"/>
        <d v="2024-05-13T00:00:00Z"/>
        <d v="2024-05-16T00:00:00Z"/>
        <d v="2024-05-10T00:00:00Z"/>
        <d v="2024-05-26T00:00:00Z"/>
        <d v="2024-05-15T00:00:00Z"/>
        <d v="2024-05-14T00:00:00Z"/>
        <d v="2024-05-20T00:00:00Z"/>
        <d v="2024-05-02T00:00:00Z"/>
        <d v="2024-05-12T00:00:00Z"/>
        <d v="2024-05-18T00:00:00Z"/>
        <d v="2024-05-17T00:00:00Z"/>
        <d v="2024-05-19T00:00:00Z"/>
        <d v="2024-05-24T00:00:00Z"/>
        <d v="2024-05-22T00:00:00Z"/>
        <d v="2024-05-23T00:00:00Z"/>
        <d v="2024-06-06T00:00:00Z"/>
        <d v="2024-05-25T00:00:00Z"/>
        <d v="2024-06-03T00:00:00Z"/>
        <d v="2024-05-31T00:00:00Z"/>
        <d v="2024-06-01T00:00:00Z"/>
        <d v="2024-05-27T00:00:00Z"/>
        <d v="2024-06-02T00:00:00Z"/>
        <d v="2024-05-28T00:00:00Z"/>
        <d v="2024-06-04T00:00:00Z"/>
        <d v="2024-06-05T00:00:00Z"/>
        <d v="2024-06-18T00:00:00Z"/>
        <d v="2024-06-13T00:00:00Z"/>
        <d v="2024-06-07T00:00:00Z"/>
        <d v="2024-06-15T00:00:00Z"/>
        <d v="2024-06-09T00:00:00Z"/>
        <d v="2024-06-08T00:00:00Z"/>
        <d v="2024-06-10T00:00:00Z"/>
        <d v="2024-06-17T00:00:00Z"/>
        <d v="2024-06-11T00:00:00Z"/>
        <d v="2024-05-21T00:00:00Z"/>
        <d v="2024-06-16T00:00:00Z"/>
        <d v="2024-05-29T00:00:00Z"/>
        <d v="2024-06-14T00:00:00Z"/>
        <d v="2024-06-19T00:00:00Z"/>
        <d v="2024-06-21T00:00:00Z"/>
        <d v="2024-06-20T00:00:00Z"/>
        <d v="2024-05-30T00:00:00Z"/>
        <d v="2024-06-22T00:00:00Z"/>
        <d v="2024-06-12T00:00:00Z"/>
        <d v="2024-06-24T00:00:00Z"/>
        <d v="2024-06-25T00:00:00Z"/>
        <d v="2024-06-28T00:00:00Z"/>
        <d v="2024-06-29T00:00:00Z"/>
        <d v="2024-06-30T00:00:00Z"/>
        <d v="2024-06-27T00:00:00Z"/>
        <d v="2024-07-01T00:00:00Z"/>
        <d v="2024-07-02T00:00:00Z"/>
        <d v="2024-07-05T00:00:00Z"/>
        <d v="2024-07-04T00:00:00Z"/>
        <d v="2024-07-03T00:00:00Z"/>
        <d v="2024-07-06T00:00:00Z"/>
        <d v="2024-07-07T00:00:00Z"/>
        <d v="2024-07-15T00:00:00Z"/>
        <d v="2024-06-26T00:00:00Z"/>
        <d v="2024-07-30T00:00:00Z"/>
        <d v="2024-07-17T00:00:00Z"/>
        <d v="2024-07-09T00:00:00Z"/>
        <d v="2024-07-11T00:00:00Z"/>
        <d v="2024-07-14T00:00:00Z"/>
        <d v="2024-07-13T00:00:00Z"/>
        <d v="2024-07-28T00:00:00Z"/>
        <d v="2024-07-12T00:00:00Z"/>
        <d v="2024-07-26T00:00:00Z"/>
        <d v="2024-07-16T00:00:00Z"/>
        <d v="2024-07-18T00:00:00Z"/>
        <d v="2024-07-08T00:00:00Z"/>
        <d v="2024-07-19T00:00:00Z"/>
        <d v="2024-07-21T00:00:00Z"/>
        <d v="2024-07-22T00:00:00Z"/>
        <d v="2024-07-23T00:00:00Z"/>
        <d v="2024-08-06T00:00:00Z"/>
        <d v="2024-07-25T00:00:00Z"/>
        <d v="2024-07-24T00:00:00Z"/>
        <d v="2024-08-01T00:00:00Z"/>
        <d v="2024-07-29T00:00:00Z"/>
        <d v="2024-08-04T00:00:00Z"/>
        <d v="2024-08-26T00:00:00Z"/>
        <d v="2024-07-31T00:00:00Z"/>
        <d v="2024-08-03T00:00:00Z"/>
        <d v="2024-08-05T00:00:00Z"/>
        <d v="2024-08-09T00:00:00Z"/>
        <d v="2024-08-07T00:00:00Z"/>
        <d v="2024-08-08T00:00:00Z"/>
        <d v="2024-08-10T00:00:00Z"/>
        <d v="2024-08-12T00:00:00Z"/>
        <d v="2024-07-27T00:00:00Z"/>
        <d v="2024-08-23T00:00:00Z"/>
        <d v="2024-08-11T00:00:00Z"/>
        <d v="2024-08-14T00:00:00Z"/>
        <d v="2024-08-15T00:00:00Z"/>
        <d v="2024-08-16T00:00:00Z"/>
        <d v="2024-08-02T00:00:00Z"/>
        <d v="2024-08-17T00:00:00Z"/>
        <d v="2024-08-18T00:00:00Z"/>
        <d v="2024-08-25T00:00:00Z"/>
        <d v="2024-08-28T00:00:00Z"/>
        <d v="2024-08-20T00:00:00Z"/>
        <d v="2024-08-19T00:00:00Z"/>
        <d v="2024-08-24T00:00:00Z"/>
        <d v="2024-08-13T00:00:00Z"/>
        <d v="2024-08-27T00:00:00Z"/>
        <d v="2024-08-29T00:00:00Z"/>
        <d v="2024-09-01T00:00:00Z"/>
        <d v="2024-09-03T00:00:00Z"/>
        <d v="2024-08-31T00:00:00Z"/>
        <d v="2024-09-02T00:00:00Z"/>
        <d v="2024-08-30T00:00:00Z"/>
        <d v="2024-08-21T00:00:00Z"/>
        <d v="2024-08-22T00:00:00Z"/>
        <d v="2024-09-08T00:00:00Z"/>
        <d v="2024-09-16T00:00:00Z"/>
        <d v="2024-09-19T00:00:00Z"/>
        <d v="2024-09-17T00:00:00Z"/>
        <d v="2024-09-20T00:00:00Z"/>
        <d v="2024-09-21T00:00:00Z"/>
        <d v="2024-09-22T00:00:00Z"/>
        <d v="2024-09-25T00:00:00Z"/>
        <d v="2024-09-23T00:00:00Z"/>
        <d v="2024-09-26T00:00:00Z"/>
        <d v="2024-09-29T00:00:00Z"/>
        <d v="2024-09-27T00:00:00Z"/>
        <d v="2024-09-11T00:00:00Z"/>
        <d v="2024-09-14T00:00:00Z"/>
        <d v="2024-09-15T00:00:00Z"/>
        <d v="2024-09-18T00:00:00Z"/>
        <d v="2024-09-28T00:00:00Z"/>
        <d v="2024-09-24T00:00:00Z"/>
      </sharedItems>
    </cacheField>
    <cacheField name="USD Last Update" numFmtId="164">
      <sharedItems containsSemiMixedTypes="0" containsString="0" containsNumber="1">
        <n v="0.0"/>
        <n v="440855.4411485431"/>
        <n v="11884.277657790184"/>
        <n v="35190.945004463196"/>
        <n v="91728.73687791824"/>
        <n v="320389.9754962921"/>
        <n v="1190097.118573392"/>
        <n v="411315.29848337173"/>
        <n v="31886.36612892151"/>
        <n v="654452.6672995662"/>
        <n v="175887.6853504847"/>
        <n v="21382.809224596025"/>
        <n v="240230.7023905106"/>
        <n v="201576.39384412766"/>
        <n v="138628.32171288013"/>
        <n v="264550.00537872314"/>
        <n v="354671.3139538765"/>
        <n v="45448.1049656868"/>
        <n v="17966.891866207123"/>
        <n v="216844.1944232826"/>
        <n v="963017.1459159851"/>
        <n v="425460.34812927246"/>
        <n v="140171.34282302856"/>
        <n v="1868.7286227226257"/>
        <n v="2493.1304454803467"/>
        <n v="209979.77878189087"/>
        <n v="804959.9990386963"/>
        <n v="64399.2428889656"/>
        <n v="529103.0425643921"/>
        <n v="100430.40020751953"/>
        <n v="79593.99656677246"/>
        <n v="376681.58445739746"/>
        <n v="4988.37175886631"/>
        <n v="660.2297973632812"/>
        <n v="22146.16540596008"/>
        <n v="377451.9663787822"/>
        <n v="182613.5992958975"/>
        <n v="189138.3763370514"/>
        <n v="24864.872765654563"/>
        <n v="41457.7880525589"/>
        <n v="534.7219944000244"/>
        <n v="5209.113121032715"/>
        <n v="1256.5122842788696"/>
        <n v="20515.915464401245"/>
        <n v="205.0587272644043"/>
        <n v="1188.584077835083"/>
        <n v="1337.4944925308228"/>
        <n v="552162.5462468147"/>
        <n v="139528.33678993178"/>
        <n v="514918.88523101807"/>
        <n v="482013.4768486023"/>
        <n v="88551.34182929993"/>
        <n v="61319.03359937668"/>
        <n v="519.7083950042725"/>
        <n v="56754.76063568592"/>
        <n v="5392.269264221191"/>
        <n v="75487.63888597488"/>
        <n v="144114.63950157166"/>
        <n v="107.95333862304688"/>
        <n v="62711.168772160054"/>
        <n v="295206.97983994486"/>
        <n v="5164.606246948242"/>
        <n v="151613.16738383067"/>
        <n v="64274.171760628225"/>
        <n v="33663.91652393341"/>
        <n v="282610.15407562256"/>
        <n v="152132.23749160767"/>
        <n v="1.7118068050563812E7"/>
        <n v="168976.15137195587"/>
        <n v="396.84497833251953"/>
        <n v="248.0281114578247"/>
        <n v="28545.543954849243"/>
        <n v="65529.43958248854"/>
        <n v="66620.98069190979"/>
        <n v="78382.6070806675"/>
        <n v="33646.34667538156"/>
        <n v="1121.9181418418884"/>
        <n v="187515.58480478288"/>
        <n v="424889.60845947266"/>
        <n v="257217.41010070036"/>
        <n v="10421.578921318054"/>
        <n v="199041.0256758802"/>
        <n v="44092.83866882324"/>
        <n v="337553.6029815674"/>
        <n v="361.59793853759766"/>
        <n v="167864.8402448416"/>
        <n v="778.7728910417557"/>
        <n v="961.7147463393211"/>
        <n v="2216.8214321136475"/>
        <n v="1596.9981596946716"/>
        <n v="68357.06049442291"/>
        <n v="108027.04679489136"/>
        <n v="17382.753705978394"/>
        <n v="114095.51201915741"/>
        <n v="170720.25636672974"/>
        <n v="84619.78737840356"/>
        <n v="1347.7179050445557"/>
        <n v="163412.5325917449"/>
        <n v="540550.4567193985"/>
        <n v="80320.12238917351"/>
        <n v="8.063699015604944E8"/>
        <n v="806366.1797876358"/>
        <n v="247959.49429035187"/>
        <n v="285650.86326408386"/>
        <n v="219775.71102316998"/>
        <n v="4043.890857696533"/>
        <n v="233197.6668100357"/>
        <n v="49553.997246555424"/>
        <n v="311756.41708374023"/>
        <n v="179972.68836021423"/>
        <n v="405.8725833892822"/>
        <n v="1035.489797592163"/>
        <n v="237339.79270119668"/>
        <n v="967831.6252560616"/>
        <n v="128606.73090932821"/>
        <n v="25153.181664819716"/>
        <n v="3496.8125549030306"/>
        <n v="55448.94446227455"/>
        <n v="82321.27532958984"/>
        <n v="183548.03500652313"/>
        <n v="23163.536529352667"/>
        <n v="903379.6771345139"/>
        <n v="130143.1534576416"/>
        <n v="60947.0469686985"/>
        <n v="745528.9821412325"/>
        <n v="91183.36183691025"/>
        <n v="81.48493766784668"/>
        <n v="141231.90055847168"/>
        <n v="25551.40493221283"/>
        <n v="19094.579084396362"/>
        <n v="60.84670543670654"/>
        <n v="18774.889707565308"/>
        <n v="60.70974111557007"/>
        <n v="288975.4856014252"/>
        <n v="504.91859372735024"/>
        <n v="52909.59660290241"/>
        <n v="324.51576232910156"/>
        <n v="166659.53242063522"/>
        <n v="158221.27057170868"/>
        <n v="1069418.0067055263"/>
        <n v="78255.69694519043"/>
        <n v="50720.82905292511"/>
        <n v="20306.99817252159"/>
        <n v="204157.68256092072"/>
        <n v="3646.7741203308105"/>
        <n v="378466.9846916199"/>
        <n v="8500.88589811325"/>
        <n v="57204.50577785969"/>
        <n v="171533.83743667603"/>
        <n v="48085.680753707886"/>
        <n v="930.2995204925537"/>
        <n v="20590.681063842774"/>
        <n v="2165483.5875606537"/>
        <n v="18371.574969291687"/>
        <n v="3721.2750911712646"/>
        <n v="4188.214194774628"/>
        <n v="3442.17945933342"/>
        <n v="792.9431915283203"/>
        <n v="3043.7909603118896"/>
        <n v="130575.70901672317"/>
        <n v="935330.6803665161"/>
        <n v="138130.9799194336"/>
        <n v="50535.850524902344"/>
        <n v="3106388.0979447365"/>
        <n v="1.1480887444565535E8"/>
        <n v="135908.1592054367"/>
        <n v="203577.8356552124"/>
        <n v="226079.1541337967"/>
        <n v="635.4608774185181"/>
        <n v="117356.78630256653"/>
        <n v="9157.239246368408"/>
        <n v="105414.0174993301"/>
        <n v="284868.0763871622"/>
        <n v="1758.5296641254424"/>
        <n v="10389.19851257801"/>
        <n v="80852.26232767105"/>
        <n v="5703.471712589264"/>
        <n v="27182.742474079132"/>
        <n v="18391.639382839203"/>
        <n v="132358.3769440651"/>
        <n v="89601.52673721313"/>
        <n v="8699.747411727905"/>
        <n v="8349.085807800293"/>
        <n v="1641.8591737747192"/>
        <n v="314906.35774847027"/>
        <n v="731101.0220732689"/>
        <n v="38795.41872024536"/>
        <n v="2767.705464363098"/>
        <n v="32341.10360956192"/>
        <n v="726130.7726783752"/>
        <n v="5291220.188140869"/>
        <n v="161959.54506988524"/>
        <n v="513103.2653764343"/>
        <n v="47427.073669433594"/>
        <n v="89754.67777347565"/>
        <n v="23045.113191604614"/>
        <n v="16227.429418087006"/>
        <n v="56214.271577871325"/>
        <n v="110455.63011169434"/>
        <n v="541250.259411335"/>
        <n v="2621.1016178131104"/>
        <n v="130423.0824637413"/>
        <n v="1306.6195678710938"/>
        <n v="31943.193459033966"/>
        <n v="118272.8529725647"/>
        <n v="35577.21670865535"/>
        <n v="35618.89410018921"/>
        <n v="1625.1878471088407"/>
        <n v="5242.203235626221"/>
        <n v="122929.61944913864"/>
        <n v="43726.35269165039"/>
        <n v="4792.046475591659"/>
        <n v="28131.635189056396"/>
        <n v="11645.587386131287"/>
        <n v="5133632.7714829445"/>
        <n v="639.6103477478027"/>
        <n v="3369.573913660049"/>
        <n v="23144.556258544922"/>
        <n v="28403.631734848022"/>
        <n v="14489.015617222785"/>
        <n v="21733.55780447483"/>
        <n v="9345.329209804535"/>
        <n v="11193.685396194458"/>
        <n v="3346.193638086319"/>
        <n v="173463.07664935113"/>
        <n v="68091.73227890015"/>
        <n v="65012.438703083986"/>
        <n v="30044.30494112492"/>
        <n v="67587.137196064"/>
        <n v="20067.617797851562"/>
        <n v="66382.00737380981"/>
        <n v="49854.62370366096"/>
        <n v="1.2086651802062988E-9"/>
        <n v="39270.812900066376"/>
        <n v="50988.47222137451"/>
        <n v="27597.103930950165"/>
        <n v="4.492052628974915E-5"/>
        <n v="449205.26289749146"/>
        <n v="199893.310546875"/>
        <n v="243525.69580078125"/>
        <n v="227032.60002565384"/>
        <n v="70463.06467151642"/>
        <n v="852314.0514621735"/>
        <n v="1095.0079917907715"/>
        <n v="338968.53231811523"/>
        <n v="94649.38012933731"/>
        <n v="18.73999786376953"/>
        <n v="59076.24592781067"/>
        <n v="3176.135282006264"/>
        <n v="556365.502512455"/>
        <n v="547328.6936626434"/>
        <n v="561624.5739340782"/>
        <n v="5911.51286380291"/>
        <n v="712.3778820037842"/>
        <n v="445.9104919433594"/>
        <n v="5438.993310928345"/>
        <n v="237685.1772427559"/>
        <n v="60881.42395019531"/>
        <n v="300.8437919616699"/>
        <n v="90253.13758850098"/>
        <n v="294728.0863070488"/>
        <n v="187550.28578281403"/>
        <n v="69560.47089242935"/>
        <n v="113382.04055786133"/>
        <n v="6839.678764343262"/>
        <n v="42063.47942352295"/>
        <n v="55615.090220451355"/>
        <n v="8305492.200950623"/>
        <n v="70933.28332901001"/>
        <n v="630603.3177213669"/>
        <n v="38791.37742519379"/>
        <n v="1016502.2154192924"/>
        <n v="232424.17905807495"/>
        <n v="80233.32316684723"/>
        <n v="143491.3900823593"/>
        <n v="156356.79960250854"/>
        <n v="4243.613085746765"/>
        <n v="3353.1500120162964"/>
        <n v="836667.7529335022"/>
        <n v="3094.0776586532593"/>
        <n v="13446.874380111694"/>
        <n v="449897.15695381165"/>
        <n v="165678.6430835724"/>
        <n v="90354.11908721924"/>
        <n v="7085.906982421875"/>
        <n v="345528.823677063"/>
        <n v="78827.49714700603"/>
        <n v="182386.0669255066"/>
        <n v="3471.3475704193115"/>
        <n v="211695.50481233367"/>
        <n v="20731.563568115234"/>
        <n v="199130.61891174316"/>
        <n v="2460014.033317566"/>
        <n v="1480403.8563461304"/>
        <n v="2352.4765434265137"/>
        <n v="14331.968091011047"/>
        <n v="332241.49905347824"/>
        <n v="77860.96796979904"/>
        <n v="331439.63108577725"/>
        <n v="205622.93027251243"/>
        <n v="130660.90535736084"/>
        <n v="1871824.6919622933"/>
        <n v="460581.38894587994"/>
        <n v="586962.711227417"/>
        <n v="348.12278747558594"/>
        <n v="726340.8530712128"/>
        <n v="385360.6036603975"/>
        <n v="181662.5747680664"/>
        <n v="19074.618577957153"/>
        <n v="27564.14668893814"/>
        <n v="671383.8305110931"/>
        <n v="74935.81209182739"/>
        <n v="486085.0705318451"/>
        <n v="146587.23357725143"/>
        <n v="62807.127356529236"/>
        <n v="2.9462561386234283E7"/>
        <n v="4255.996999740601"/>
        <n v="294625.61386234284"/>
        <n v="788.1475925445557"/>
        <n v="4905.345916748047"/>
        <n v="12665.849685668945"/>
        <n v="18309.959193940165"/>
        <n v="1703.0866384506226"/>
        <n v="378.4636974334717"/>
        <n v="264269.3607006073"/>
        <n v="11153.223294258118"/>
        <n v="1016.708984375"/>
        <n v="1307.230224609375"/>
        <n v="87606.16467905045"/>
        <n v="70133.04677009583"/>
        <n v="376714.65587615967"/>
        <n v="451201.43218040466"/>
        <n v="21597.210963349342"/>
        <n v="396487.4529838562"/>
        <n v="352867.6115179062"/>
        <n v="6874.605178833008"/>
        <n v="68705.30662536621"/>
        <n v="1588.6077880859375"/>
        <n v="4581.325155735016"/>
        <n v="1559.150221824646"/>
        <n v="6453.38236284256"/>
        <n v="13054.452890367507"/>
        <n v="56962.94512939453"/>
        <n v="85618.36586236954"/>
        <n v="130472.71211901188"/>
        <n v="126.65849685668945"/>
        <n v="765758.1806182861"/>
        <n v="3595745.56350708"/>
        <n v="516.7873764038086"/>
        <n v="99574.88661336899"/>
        <n v="3668.635892868042"/>
        <n v="287230.9412097931"/>
        <n v="719149.112701416"/>
        <n v="1000.8687257766724"/>
        <n v="262774.31801802997"/>
        <n v="199569.17034387589"/>
        <n v="86155.50398826599"/>
        <n v="323571.4605998993"/>
        <n v="1727363.9624118805"/>
        <n v="6267227.057719231"/>
        <n v="811090.5866394043"/>
        <n v="62805.44242295456"/>
        <n v="532581.1870918274"/>
        <n v="306261.42416000366"/>
        <n v="825502.4909973145"/>
        <n v="6677.962108612061"/>
        <n v="13112.6673579216"/>
        <n v="214775.07469177246"/>
        <n v="413597.0618057251"/>
        <n v="575.3192901611328"/>
        <n v="1546.6411590576172"/>
        <n v="132353.61122131348"/>
        <n v="263702.100276947"/>
        <n v="266963.80615234375"/>
        <n v="6611.456823348999"/>
        <n v="7096.012115478516"/>
        <n v="5539.296886224746"/>
        <n v="67676.24457836151"/>
        <n v="1920117.8267564392"/>
        <n v="1469.2126274108887"/>
        <n v="10278.813362121582"/>
        <n v="587.6850509643555"/>
        <n v="1496.5782165527344"/>
        <n v="1835116.447108202"/>
        <n v="322392.94765075686"/>
        <n v="74243.94844293594"/>
        <n v="6892.440319061279"/>
        <n v="198223.41918945312"/>
        <n v="7465.518841266632"/>
        <n v="556299.6579713821"/>
        <n v="317417.2375488281"/>
        <n v="685296.2817649841"/>
        <n v="466913.5783029556"/>
        <n v="54191.81823730469"/>
        <n v="417130.9471130371"/>
        <n v="331091.30859375"/>
        <n v="508257.060546875"/>
        <n v="7563.416004180908"/>
        <n v="1037005.4662789197"/>
        <n v="574892.2698608398"/>
        <n v="1744.283454724015"/>
        <n v="536331.2721252441"/>
        <n v="2725102.2913074493"/>
        <n v="122202.55012512207"/>
        <n v="7315.996848917008"/>
        <n v="7468.303203582764"/>
        <n v="3347441.577911377"/>
        <n v="54912.51806415558"/>
        <n v="296305.302734375"/>
        <n v="729.3909072875977"/>
        <n v="14053.964138031006"/>
        <n v="7.837951660156251E-7"/>
        <n v="80432.73624420166"/>
        <n v="95806.37893867493"/>
        <n v="1056.9041740216637"/>
        <n v="2.3609445095062258E-4"/>
        <n v="2229814.5294189453"/>
        <n v="5.540664574909211E-6"/>
        <n v="85667.00112946094"/>
        <n v="959623.5275268555"/>
        <n v="3.773815484352112E-5"/>
        <n v="302281.4111709595"/>
        <n v="783.795166015625"/>
        <n v="331657.97014045715"/>
        <n v="38354.97998046875"/>
        <n v="135185.2431256485"/>
        <n v="2.0557626724243163E-7"/>
        <n v="880478.2604961395"/>
        <n v="34170.69396972656"/>
        <n v="263126.90505981445"/>
        <n v="3.322150802612305E-5"/>
        <n v="296017.76819229126"/>
        <n v="1449112.3947343826"/>
        <n v="310852.76851882937"/>
        <n v="541579.5109577179"/>
        <n v="10726.625442504883"/>
        <n v="8389035.22491455"/>
        <n v="8389035.224914549"/>
        <n v="292322.4540710449"/>
        <n v="6.416129473114013E-6"/>
        <n v="69917.49607086182"/>
        <n v="79695.83463668823"/>
        <n v="8727.157974243164"/>
        <n v="216.76727294921875"/>
        <n v="2.6497650403213502E-5"/>
        <n v="272566.48607444763"/>
        <n v="611698.2231445312"/>
        <n v="5687.193984985352"/>
        <n v="100585.54290962219"/>
        <n v="707799.1305651856"/>
        <n v="198.14796447753906"/>
        <n v="6869346.141815186"/>
        <n v="111711.32175922394"/>
        <n v="1667839.7744413202"/>
        <n v="1209674.120432971"/>
        <n v="713.5406494140625"/>
        <n v="84335.54649353027"/>
        <n v="2.491375777578354E-5"/>
        <n v="179.64178085327148"/>
        <n v="187.38618850708008"/>
        <n v="327676.18657547934"/>
        <n v="3343.8289165496826"/>
        <n v="3567514.419555664"/>
        <n v="387553.1917362213"/>
        <n v="37652.19421386719"/>
        <n v="79710.15886688232"/>
        <n v="362582.6869749069"/>
        <n v="40253.754930496216"/>
        <n v="9.642625808715819E-7"/>
        <n v="8.70672607421875E-7"/>
        <n v="8706.72607421875"/>
        <n v="9642.62580871582"/>
        <n v="8863.756141662598"/>
        <n v="315931.8970413208"/>
        <n v="190.3356170654297"/>
        <n v="312933.0634903908"/>
        <n v="1039523.2200622559"/>
        <n v="428930.6640625"/>
        <n v="1943013.6346817017"/>
        <n v="149164.6519241333"/>
        <n v="139792.06814956665"/>
        <n v="18503.687727479934"/>
        <n v="5817.008123588563"/>
        <n v="6359.6087453842165"/>
        <n v="192.8525161743164"/>
        <n v="110461.22982398987"/>
        <n v="49132.236557006836"/>
        <n v="8221.25452041626"/>
        <n v="37815.65284729004"/>
        <n v="964.262580871582"/>
        <n v="167.78070449829102"/>
        <n v="118434.50736999512"/>
        <n v="53626.45076751709"/>
        <n v="69959.59631824493"/>
        <n v="213157.60334157944"/>
        <n v="8660.052299490852"/>
        <n v="671.1228179931641"/>
        <n v="235410.55987262726"/>
        <n v="8401.010855255126"/>
        <n v="6422237.873077393"/>
        <n v="6824516.040802002"/>
        <n v="176465.82658290863"/>
        <n v="730678.4152984619"/>
        <n v="453963.42182521825"/>
        <n v="1.5363803105163574E-5"/>
        <n v="6869.346141815186"/>
        <n v="241844.73929177283"/>
        <n v="42018.60427856445"/>
        <n v="227461.93294525146"/>
        <n v="61340.678367614746"/>
        <n v="57566.5656536293"/>
        <n v="1122.3687744140625"/>
        <n v="304.125732421875"/>
        <n v="3.7823893139362332E-6"/>
        <n v="34455.30618906021"/>
        <n v="646235.1382727623"/>
        <n v="110847.84743452072"/>
        <n v="113880.58637094498"/>
        <n v="549.5476913452148"/>
        <n v="3732.037615776062"/>
        <n v="530843.5537233353"/>
        <n v="145508.92766571045"/>
        <n v="537.0024871826172"/>
        <n v="6154.469304561615"/>
        <n v="66148.3999671936"/>
        <n v="5945.327813625336"/>
        <n v="5961.032665252686"/>
        <n v="201278.24343884469"/>
        <n v="862508.809337616"/>
        <n v="17499.748046398163"/>
        <n v="68468.27041625977"/>
        <n v="1646.9685745239258"/>
        <n v="142.70057678222656"/>
        <n v="559280.6775851505"/>
        <n v="7196755.886077881"/>
        <n v="320723.7566728592"/>
        <n v="322287.8837585449"/>
        <n v="547006.5241241455"/>
        <n v="215918.55821228027"/>
        <n v="3468767.4045562744"/>
        <n v="242071.45509147644"/>
        <n v="1.150823616027832E-5"/>
        <n v="2.262704140253067E-5"/>
        <n v="124594.09097290039"/>
        <n v="208898.57222366333"/>
        <n v="574406.0542068481"/>
        <n v="133424.63614062278"/>
        <n v="68.35916449170344"/>
        <n v="2807333.188522339"/>
        <n v="7285.116195678711"/>
        <n v="4656.12245798111"/>
        <n v="1363694.7931671143"/>
        <n v="1488369.7701263428"/>
        <n v="244.34801983833313"/>
        <n v="131.83465957641602"/>
        <n v="7428137.77923584"/>
        <n v="106442.31845350743"/>
        <n v="320032.9130115509"/>
        <n v="4341.929252624512"/>
        <n v="73720.1905002594"/>
        <n v="3.876193356513977E-7"/>
        <n v="4019.326066970825"/>
        <n v="3.428402066230774E-7"/>
        <n v="3428.402066230774"/>
        <n v="199823.08615207672"/>
        <n v="1088.2651805877686"/>
        <n v="637888.0462646484"/>
        <n v="1049878.2674679707"/>
        <n v="8.830690005874634E-6"/>
        <n v="92552.53884124756"/>
        <n v="59481.187398433685"/>
        <n v="416094.5658416748"/>
        <n v="967618.7876639366"/>
        <n v="71702.70205640793"/>
        <n v="76282.91130065918"/>
        <n v="968942.6153392792"/>
        <n v="24997.04909324646"/>
        <n v="21306.466939155554"/>
        <n v="357100.7013320923"/>
        <n v="540075.9947309494"/>
        <n v="55094.15142440796"/>
        <n v="4627.188558769227"/>
        <n v="264399.8936829567"/>
        <n v="66.22914888819314"/>
        <n v="135964.913977623"/>
        <n v="258430.23341417313"/>
        <n v="242006.27492523193"/>
        <n v="1272957.3502349854"/>
        <n v="247415.71657746792"/>
        <n v="3222.878837585449"/>
        <n v="88162.14821720123"/>
        <n v="324.04267234802245"/>
        <n v="78910.52069616318"/>
        <n v="177981.32514953613"/>
        <n v="1.0300641551208496E-5"/>
        <n v="99859.64012050629"/>
        <n v="325372.3382949829"/>
        <n v="540604.7917079926"/>
        <n v="5794211.864471436"/>
        <n v="313096.19440270425"/>
        <n v="1078483.2119941711"/>
        <n v="138.75069618225098"/>
        <n v="50375.90036130734"/>
        <n v="7329.517050266266"/>
        <n v="7599.261079311371"/>
        <n v="6039.630308471829"/>
        <n v="183705.48716306686"/>
        <n v="7058611.869812012"/>
        <n v="7244290.828704834"/>
        <n v="17326.952934265137"/>
        <n v="17978.788414001465"/>
        <n v="30461.302161216736"/>
        <n v="7.244290828704834"/>
        <n v="2805531.0249328613"/>
        <n v="2805525.4138708115"/>
        <n v="18955.68651008606"/>
        <n v="367052.7576508522"/>
        <n v="24977.36747264862"/>
        <n v="589.3658447265625"/>
        <n v="49799.23912715912"/>
        <n v="54819.03844976425"/>
        <n v="20829.652276039124"/>
        <n v="6227.234549045563"/>
        <n v="9.435797810554504E10"/>
        <n v="84716.17698669434"/>
        <n v="15737.2081439209"/>
        <n v="3.827938270568847E-6"/>
        <n v="34765.27118682861"/>
        <n v="9.470763847351076E-6"/>
        <n v="53796.368242263794"/>
        <n v="564.6889495849609"/>
        <n v="329322.3484969139"/>
        <n v="62814.44072723389"/>
        <n v="26013.53200531006"/>
        <n v="5.960229949951172E7"/>
        <n v="477687.5974386725"/>
        <n v="149840.8842086792"/>
        <n v="2609.3517499923705"/>
        <n v="310163.98537259904"/>
        <n v="349858.89370991907"/>
        <n v="37775.31146021175"/>
        <n v="585975.5795717239"/>
        <n v="26447.66407394409"/>
        <n v="3.7256846334457395E-6"/>
        <n v="74927.69299507141"/>
        <n v="154788.60626220703"/>
        <n v="37971.795959472656"/>
        <n v="148810.68649291992"/>
        <n v="2798.431739807129"/>
        <n v="53844.99599933624"/>
        <n v="13350.86169416399"/>
        <n v="82368.14844989777"/>
        <n v="111237.64600988389"/>
        <n v="2148.9548344135283"/>
        <n v="286798.81490421295"/>
        <n v="48515.22442102432"/>
        <n v="9223.884477615356"/>
        <n v="47085.70476913452"/>
        <n v="485.91320037841797"/>
        <n v="8078419.132184029"/>
        <n v="826607.3460969925"/>
        <n v="116622.96014104845"/>
        <n v="40688.4070023861"/>
        <n v="162463.92726898193"/>
        <n v="636340.5299231338"/>
        <n v="254347.02597522736"/>
        <n v="104798.05621402932"/>
        <n v="3886137.140274048"/>
        <n v="771814.6473407745"/>
        <n v="215768.5947418213"/>
        <n v="1045558.4641002415"/>
        <n v="259.3332452774048"/>
        <n v="885101.1794228554"/>
        <n v="4552.665035028457"/>
        <n v="449393.0377960205"/>
        <n v="169663.35563993454"/>
        <n v="0.09632377681732178"/>
        <n v="6072.34001159668"/>
        <n v="53804.46502957929"/>
        <n v="98188.16337442398"/>
        <n v="194778.2757320404"/>
        <n v="2876999.616622925"/>
        <n v="214973.37083482742"/>
        <n v="824486.0903048515"/>
        <n v="583079.2220377922"/>
        <n v="162582.69772052765"/>
        <n v="84116.32449450248"/>
        <n v="159573.90238073803"/>
        <n v="270660.76830976986"/>
        <n v="35499.24475464701"/>
        <n v="191908.91302106448"/>
        <n v="419863.6382987325"/>
        <n v="5178992.419358541"/>
        <n v="295.3131437301636"/>
        <n v="87984.08918380737"/>
        <n v="1331772.0031738281"/>
        <n v="450383.671931809"/>
        <n v="50371.0912027359"/>
        <n v="489.1263961791992"/>
        <n v="14892.255663871765"/>
        <n v="45931.75816871826"/>
        <n v="936.6012096405029"/>
        <n v="2531.231117248535"/>
        <n v="4696.390066146851"/>
        <n v="34639.51149627208"/>
        <n v="33942.19262064762"/>
        <n v="35274.52405529336"/>
        <n v="1802772.7127075195"/>
        <n v="5492.771524429321"/>
        <n v="124.88016128540039"/>
        <n v="48808.8321685791"/>
        <n v="57.539992332458496"/>
        <n v="69464.72994232178"/>
        <n v="78685.56409265727"/>
        <n v="1838435.8683919907"/>
        <n v="507.537841796875"/>
        <n v="370514.61094805715"/>
        <n v="1758584.3870744705"/>
        <n v="174125.1266899109"/>
        <n v="234272.93213648797"/>
        <n v="336870.00732421875"/>
        <n v="33433.06989126331"/>
        <n v="144390.4428685136"/>
        <n v="137541.0413257891"/>
        <n v="0.8768170713088954"/>
        <n v="126890.08858859062"/>
        <n v="433825.0189189911"/>
        <n v="14007.68464833323"/>
        <n v="2915.541887283325"/>
        <n v="460.31993865966797"/>
        <n v="5.522171974182129E-10"/>
        <n v="17908.060336112976"/>
        <n v="88726.48620605469"/>
        <n v="199.06203420140145"/>
        <n v="764195.8477973271"/>
        <n v="58671.13471031189"/>
        <n v="457.7140808105469"/>
        <n v="144675.54048156738"/>
        <n v="18749.66338634491"/>
        <n v="43547.46657180786"/>
        <n v="435790.2669906616"/>
        <n v="1752346.8017578125"/>
        <n v="119571.08431345326"/>
        <n v="233177.47473716736"/>
        <n v="186.9380765203455"/>
        <n v="183719.5118408203"/>
        <n v="2615.839624404907"/>
        <n v="4587.265968322754"/>
        <n v="47.560720443725586"/>
        <n v="3742.713070693635"/>
        <n v="319386.29150390625"/>
        <n v="95.75342178344727"/>
        <n v="258791.12045288086"/>
        <n v="4.587265968322754"/>
        <n v="150843.15898488797"/>
        <n v="136405.22967481613"/>
        <n v="95.12144088745117"/>
        <n v="100218.7183725132"/>
        <n v="4.282610893249512"/>
        <n v="11.878412961959839"/>
        <n v="5375590.95815596"/>
        <n v="8952.363902330399"/>
        <n v="1.8728297770023346E-6"/>
        <n v="950.2496595280262"/>
        <n v="10908.213017940521"/>
        <n v="1743.6686990423098"/>
        <n v="0.8710836172103882"/>
        <n v="34813.824940037724"/>
        <n v="93305.90141962178"/>
        <n v="197.38476991653442"/>
        <n v="1027.3593139648438"/>
        <n v="45169.441597944526"/>
        <n v="458563.7828511707"/>
        <n v="4693.690776824951"/>
        <n v="110945.52606386213"/>
        <n v="345863.7502133846"/>
        <n v="23801.513524900554"/>
        <n v="351.2861633300781"/>
        <n v="27736.38151596553"/>
        <n v="166853.01147291213"/>
        <n v="37298.974485248764"/>
        <n v="148891.94700717926"/>
        <n v="4898.672103881836"/>
        <n v="85997.67444960044"/>
        <n v="2032.799229849199"/>
        <n v="104322.07343569674"/>
        <n v="4824.508190155029"/>
        <n v="1167.4537658691406"/>
        <n v="19107.085332870483"/>
        <n v="59068.7574634552"/>
        <n v="557615.8851134726"/>
        <n v="105303.27954362663"/>
        <n v="221715.07249028725"/>
        <n v="17783.167791366577"/>
        <n v="48200.712371349335"/>
        <n v="6874422.790050507"/>
        <n v="3781.53369140625"/>
        <n v="367780.76495910494"/>
        <n v="157680.1274181246"/>
        <n v="434838.22977018356"/>
        <n v="393939.6341722918"/>
        <n v="7.176371407318116E-5"/>
        <n v="810312.4799499512"/>
        <n v="42007.49176258122"/>
        <n v="79.18941974639893"/>
        <n v="96325.68359375"/>
        <n v="3391812.1320783948"/>
        <n v="508779.01039808145"/>
        <n v="1015.7275199890137"/>
        <n v="2199878.523196253"/>
        <n v="81.47255897521973"/>
        <n v="1915.3107404708862"/>
        <n v="4076.6329765319824"/>
        <n v="35447.64627170563"/>
        <n v="83.83303642272949"/>
        <n v="364134.5443758011"/>
        <n v="48058.95805358887"/>
        <n v="118057.75962909823"/>
        <n v="160113.26203746395"/>
        <n v="381324.5018398509"/>
        <n v="77703.27077261414"/>
        <n v="415850.79916000366"/>
        <n v="4465.049865083694"/>
        <n v="4169.034957885742"/>
        <n v="581.0800924301147"/>
        <n v="58131.06332382782"/>
        <n v="4255.255222320557"/>
        <n v="26711.25835418701"/>
        <n v="19812.30024590855"/>
        <n v="831801.4144897461"/>
        <n v="867.4715995788574"/>
        <n v="96.32568359375"/>
        <n v="270335.4597091675"/>
        <n v="4218.929178323746"/>
        <n v="69089.42548751831"/>
        <n v="19662.79912080992"/>
        <n v="4635.497093200684"/>
        <n v="27937.63783327559"/>
        <n v="69427.26163201332"/>
        <n v="222287.50360250473"/>
        <n v="19200.0"/>
        <n v="27865.347385406494"/>
        <n v="391.3644027709961"/>
        <n v="101980.93605041504"/>
        <n v="1202714.1422319412"/>
        <n v="59094.8214100887"/>
        <n v="354462.7318387508"/>
        <n v="11722.541048431396"/>
        <n v="197960.04432377816"/>
        <n v="1039.7517681121826"/>
        <n v="20795.035362243652"/>
      </sharedItems>
    </cacheField>
    <cacheField name="Category" numFmtId="0">
      <sharedItems containsBlank="1">
        <s v=""/>
        <m/>
        <s v="Outreach"/>
        <s v="Development"/>
        <s v="Operations"/>
        <s v="Talent &amp; Education"/>
        <s v="Research"/>
        <s v="Economy"/>
      </sharedItems>
    </cacheField>
    <cacheField name="Subcategory" numFmtId="0">
      <sharedItems containsBlank="1">
        <s v=""/>
        <m/>
        <s v="Media"/>
        <s v="Protocol Subsidies"/>
        <s v="Multisig"/>
        <s v="Other"/>
        <s v="Wallets"/>
        <s v="Governance"/>
        <s v="Trainings &amp; Hackathon"/>
        <s v="Data Services &amp; Indexing"/>
        <s v="Explorers"/>
        <s v="Smart Contracts"/>
        <s v="RPCs and Nodes"/>
        <s v="Education"/>
        <s v="Software Development"/>
        <s v="Light Clients"/>
        <s v="Polkadot Protocol &amp; SDK"/>
        <s v="SDKs"/>
        <s v="Advertising"/>
        <s v="Community Building"/>
        <s v="Recruiting"/>
        <s v="Games"/>
        <s v="Business Development"/>
        <s v="Incubation"/>
        <s v="Research"/>
        <s v="Advertising/Digital Ads"/>
        <s v="Events/Conference Attendance &amp; Side Events"/>
        <s v="PR"/>
        <s v="Advertising/Influencers"/>
        <s v="Events/Conference Hosting"/>
        <s v="Staking"/>
        <s v="Events/Meetups"/>
        <s v="Software Services"/>
        <s v="Privacy"/>
        <s v="Loans"/>
        <s v="Advertising/Physical Ads"/>
        <s v="Stablecoins"/>
        <s v="Infrastructure"/>
        <s v="Advertising/Sponsorships"/>
        <s v="Market Operations"/>
        <s v="Ecosystem Services"/>
        <s v="Events"/>
        <s v="Security"/>
        <s v="Advertising/Platform Integrations"/>
        <s v="Bridge"/>
        <s v="Legal"/>
      </sharedItems>
    </cacheField>
    <cacheField name="hide from income statement (represented via child bounties and/or via the balance sheet)" numFmtId="0">
      <sharedItems containsBlank="1">
        <m/>
        <s v="x"/>
      </sharedItems>
    </cacheField>
    <cacheField name="bounty-related" numFmtId="0">
      <sharedItems containsBlank="1">
        <m/>
        <s v="x"/>
      </sharedItems>
    </cacheField>
    <cacheField name="recurring" numFmtId="0">
      <sharedItems containsBlank="1">
        <m/>
        <s v="x"/>
      </sharedItems>
    </cacheField>
    <cacheField name="Notes" numFmtId="0">
      <sharedItems containsBlank="1">
        <m/>
        <s v="did not properly execute"/>
        <s v="failed to execute"/>
      </sharedItems>
    </cacheField>
    <cacheField name="year" numFmtId="3">
      <sharedItems>
        <s v="2023"/>
        <s v="2024"/>
      </sharedItems>
    </cacheField>
    <cacheField name="month" numFmtId="3">
      <sharedItems containsSemiMixedTypes="0" containsString="0" containsNumber="1" containsInteger="1">
        <n v="6.0"/>
        <n v="9.0"/>
        <n v="7.0"/>
        <n v="8.0"/>
        <n v="10.0"/>
        <n v="11.0"/>
        <n v="12.0"/>
        <n v="1.0"/>
        <n v="2.0"/>
        <n v="3.0"/>
        <n v="4.0"/>
        <n v="5.0"/>
      </sharedItems>
    </cacheField>
    <cacheField name="quarter" numFmtId="3">
      <sharedItems>
        <s v="2023-Q2"/>
        <s v="2024-Q3"/>
        <s v="2023-Q3"/>
        <s v="2023-Q4"/>
        <s v="2024-Q1"/>
        <s v="2024-Q2"/>
      </sharedItems>
    </cacheField>
    <cacheField name="year-month" numFmtId="3">
      <sharedItems>
        <s v="2023-06"/>
        <s v="2024-09"/>
        <s v="2023-07"/>
        <s v="2023-08"/>
        <s v="2023-09"/>
        <s v="2023-10"/>
        <s v="2023-11"/>
        <s v="2023-12"/>
        <s v="2024-01"/>
        <s v="2024-02"/>
        <s v="2024-03"/>
        <s v="2024-04"/>
        <s v="2024-05"/>
        <s v="2024-06"/>
        <s v="2024-07"/>
        <s v="2024-08"/>
      </sharedItems>
    </cacheField>
    <cacheField name="half-years" numFmtId="0">
      <sharedItems>
        <s v="2023-H1"/>
        <s v="2024-H2"/>
        <s v="2023-H2"/>
        <s v="2024-H1"/>
      </sharedItems>
    </cacheField>
    <cacheField name="error - please vote nay" numFmtId="0">
      <sharedItems containsBlank="1">
        <m/>
        <s v="x"/>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W2166" sheet="Child Bounties"/>
  </cacheSource>
  <cacheFields>
    <cacheField name="#" numFmtId="0">
      <sharedItems containsSemiMixedTypes="0" containsString="0" containsNumber="1" containsInteger="1">
        <n v="0.0"/>
        <n v="1.0"/>
        <n v="2.0"/>
        <n v="3.0"/>
        <n v="4.0"/>
        <n v="5.0"/>
        <n v="6.0"/>
        <n v="7.0"/>
        <n v="8.0"/>
        <n v="9.0"/>
        <n v="10.0"/>
        <n v="11.0"/>
        <n v="12.0"/>
        <n v="13.0"/>
        <n v="14.0"/>
        <n v="15.0"/>
        <n v="16.0"/>
        <n v="17.0"/>
        <n v="18.0"/>
        <n v="19.0"/>
        <n v="20.0"/>
        <n v="21.0"/>
        <n v="22.0"/>
        <n v="23.0"/>
        <n v="24.0"/>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n v="68.0"/>
        <n v="69.0"/>
        <n v="70.0"/>
        <n v="71.0"/>
        <n v="72.0"/>
        <n v="73.0"/>
        <n v="74.0"/>
        <n v="75.0"/>
        <n v="76.0"/>
        <n v="77.0"/>
        <n v="78.0"/>
        <n v="79.0"/>
        <n v="80.0"/>
        <n v="81.0"/>
        <n v="82.0"/>
        <n v="83.0"/>
        <n v="84.0"/>
        <n v="85.0"/>
        <n v="86.0"/>
        <n v="87.0"/>
        <n v="88.0"/>
        <n v="89.0"/>
        <n v="90.0"/>
        <n v="91.0"/>
        <n v="92.0"/>
        <n v="93.0"/>
        <n v="94.0"/>
        <n v="95.0"/>
        <n v="96.0"/>
        <n v="97.0"/>
        <n v="98.0"/>
        <n v="99.0"/>
        <n v="100.0"/>
        <n v="101.0"/>
        <n v="102.0"/>
        <n v="103.0"/>
        <n v="104.0"/>
        <n v="105.0"/>
        <n v="106.0"/>
        <n v="107.0"/>
        <n v="108.0"/>
        <n v="109.0"/>
        <n v="110.0"/>
        <n v="111.0"/>
        <n v="112.0"/>
        <n v="113.0"/>
        <n v="114.0"/>
        <n v="115.0"/>
        <n v="116.0"/>
        <n v="117.0"/>
        <n v="118.0"/>
        <n v="119.0"/>
        <n v="120.0"/>
        <n v="121.0"/>
        <n v="122.0"/>
        <n v="123.0"/>
        <n v="124.0"/>
        <n v="125.0"/>
        <n v="126.0"/>
        <n v="127.0"/>
        <n v="128.0"/>
        <n v="129.0"/>
        <n v="130.0"/>
        <n v="131.0"/>
        <n v="132.0"/>
        <n v="133.0"/>
        <n v="134.0"/>
        <n v="135.0"/>
        <n v="136.0"/>
        <n v="137.0"/>
        <n v="138.0"/>
        <n v="139.0"/>
        <n v="140.0"/>
        <n v="141.0"/>
        <n v="142.0"/>
        <n v="143.0"/>
        <n v="144.0"/>
        <n v="145.0"/>
        <n v="146.0"/>
        <n v="147.0"/>
        <n v="148.0"/>
        <n v="149.0"/>
        <n v="150.0"/>
        <n v="151.0"/>
        <n v="152.0"/>
        <n v="153.0"/>
        <n v="154.0"/>
        <n v="155.0"/>
        <n v="156.0"/>
        <n v="157.0"/>
        <n v="158.0"/>
        <n v="159.0"/>
        <n v="160.0"/>
        <n v="161.0"/>
        <n v="162.0"/>
        <n v="163.0"/>
        <n v="164.0"/>
        <n v="165.0"/>
        <n v="166.0"/>
        <n v="167.0"/>
        <n v="168.0"/>
        <n v="169.0"/>
        <n v="170.0"/>
        <n v="171.0"/>
        <n v="172.0"/>
        <n v="173.0"/>
        <n v="174.0"/>
        <n v="175.0"/>
        <n v="176.0"/>
        <n v="177.0"/>
        <n v="178.0"/>
        <n v="179.0"/>
        <n v="180.0"/>
        <n v="181.0"/>
        <n v="182.0"/>
        <n v="183.0"/>
        <n v="184.0"/>
        <n v="185.0"/>
        <n v="186.0"/>
        <n v="187.0"/>
        <n v="188.0"/>
        <n v="189.0"/>
        <n v="190.0"/>
        <n v="191.0"/>
        <n v="192.0"/>
        <n v="193.0"/>
        <n v="194.0"/>
        <n v="195.0"/>
        <n v="196.0"/>
        <n v="197.0"/>
        <n v="198.0"/>
        <n v="199.0"/>
        <n v="200.0"/>
        <n v="201.0"/>
        <n v="202.0"/>
        <n v="203.0"/>
        <n v="204.0"/>
        <n v="205.0"/>
        <n v="206.0"/>
        <n v="207.0"/>
        <n v="208.0"/>
        <n v="209.0"/>
        <n v="210.0"/>
        <n v="211.0"/>
        <n v="212.0"/>
        <n v="213.0"/>
        <n v="214.0"/>
        <n v="215.0"/>
        <n v="216.0"/>
        <n v="217.0"/>
        <n v="218.0"/>
        <n v="219.0"/>
        <n v="220.0"/>
        <n v="221.0"/>
        <n v="222.0"/>
        <n v="223.0"/>
        <n v="224.0"/>
        <n v="225.0"/>
        <n v="226.0"/>
        <n v="227.0"/>
        <n v="228.0"/>
        <n v="229.0"/>
        <n v="230.0"/>
        <n v="231.0"/>
        <n v="232.0"/>
        <n v="233.0"/>
        <n v="234.0"/>
        <n v="235.0"/>
        <n v="236.0"/>
        <n v="237.0"/>
        <n v="238.0"/>
        <n v="239.0"/>
        <n v="240.0"/>
        <n v="241.0"/>
        <n v="242.0"/>
        <n v="243.0"/>
        <n v="244.0"/>
        <n v="245.0"/>
        <n v="246.0"/>
        <n v="247.0"/>
        <n v="248.0"/>
        <n v="249.0"/>
        <n v="250.0"/>
        <n v="251.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n v="410.0"/>
        <n v="411.0"/>
        <n v="412.0"/>
        <n v="413.0"/>
        <n v="414.0"/>
        <n v="415.0"/>
        <n v="416.0"/>
        <n v="417.0"/>
        <n v="418.0"/>
        <n v="419.0"/>
        <n v="420.0"/>
        <n v="421.0"/>
        <n v="422.0"/>
        <n v="423.0"/>
        <n v="424.0"/>
        <n v="425.0"/>
        <n v="426.0"/>
        <n v="427.0"/>
        <n v="428.0"/>
        <n v="429.0"/>
        <n v="430.0"/>
        <n v="431.0"/>
        <n v="432.0"/>
        <n v="433.0"/>
        <n v="434.0"/>
        <n v="435.0"/>
        <n v="436.0"/>
        <n v="437.0"/>
        <n v="438.0"/>
        <n v="439.0"/>
        <n v="440.0"/>
        <n v="441.0"/>
        <n v="442.0"/>
        <n v="443.0"/>
        <n v="444.0"/>
        <n v="445.0"/>
        <n v="446.0"/>
        <n v="447.0"/>
        <n v="448.0"/>
        <n v="449.0"/>
        <n v="450.0"/>
        <n v="451.0"/>
        <n v="452.0"/>
        <n v="453.0"/>
        <n v="454.0"/>
        <n v="455.0"/>
        <n v="456.0"/>
        <n v="457.0"/>
        <n v="458.0"/>
        <n v="459.0"/>
        <n v="460.0"/>
        <n v="461.0"/>
        <n v="462.0"/>
        <n v="463.0"/>
        <n v="464.0"/>
        <n v="465.0"/>
        <n v="466.0"/>
        <n v="467.0"/>
        <n v="468.0"/>
        <n v="469.0"/>
        <n v="470.0"/>
        <n v="471.0"/>
        <n v="472.0"/>
        <n v="473.0"/>
        <n v="474.0"/>
        <n v="475.0"/>
        <n v="476.0"/>
        <n v="477.0"/>
        <n v="478.0"/>
        <n v="479.0"/>
        <n v="480.0"/>
        <n v="481.0"/>
        <n v="482.0"/>
        <n v="483.0"/>
        <n v="484.0"/>
        <n v="485.0"/>
        <n v="486.0"/>
        <n v="487.0"/>
        <n v="488.0"/>
        <n v="489.0"/>
        <n v="490.0"/>
        <n v="491.0"/>
        <n v="492.0"/>
        <n v="493.0"/>
        <n v="494.0"/>
        <n v="495.0"/>
        <n v="496.0"/>
        <n v="497.0"/>
        <n v="498.0"/>
        <n v="499.0"/>
        <n v="500.0"/>
        <n v="501.0"/>
        <n v="502.0"/>
        <n v="503.0"/>
        <n v="504.0"/>
        <n v="505.0"/>
        <n v="506.0"/>
        <n v="507.0"/>
        <n v="508.0"/>
        <n v="509.0"/>
        <n v="510.0"/>
        <n v="511.0"/>
        <n v="512.0"/>
        <n v="513.0"/>
        <n v="514.0"/>
        <n v="515.0"/>
        <n v="516.0"/>
        <n v="517.0"/>
        <n v="518.0"/>
        <n v="519.0"/>
        <n v="520.0"/>
        <n v="521.0"/>
        <n v="522.0"/>
        <n v="523.0"/>
        <n v="524.0"/>
        <n v="525.0"/>
        <n v="526.0"/>
        <n v="527.0"/>
        <n v="528.0"/>
        <n v="529.0"/>
        <n v="530.0"/>
        <n v="531.0"/>
        <n v="532.0"/>
        <n v="533.0"/>
        <n v="534.0"/>
        <n v="535.0"/>
        <n v="536.0"/>
        <n v="537.0"/>
        <n v="538.0"/>
        <n v="539.0"/>
        <n v="540.0"/>
        <n v="541.0"/>
        <n v="542.0"/>
        <n v="543.0"/>
        <n v="544.0"/>
        <n v="545.0"/>
        <n v="546.0"/>
        <n v="547.0"/>
        <n v="548.0"/>
        <n v="549.0"/>
        <n v="550.0"/>
        <n v="551.0"/>
        <n v="552.0"/>
        <n v="553.0"/>
        <n v="554.0"/>
        <n v="555.0"/>
        <n v="556.0"/>
        <n v="557.0"/>
        <n v="558.0"/>
        <n v="559.0"/>
        <n v="560.0"/>
        <n v="561.0"/>
        <n v="562.0"/>
        <n v="563.0"/>
        <n v="564.0"/>
        <n v="565.0"/>
        <n v="566.0"/>
        <n v="567.0"/>
        <n v="568.0"/>
        <n v="569.0"/>
        <n v="570.0"/>
        <n v="571.0"/>
        <n v="572.0"/>
        <n v="573.0"/>
        <n v="574.0"/>
        <n v="575.0"/>
        <n v="576.0"/>
        <n v="577.0"/>
        <n v="578.0"/>
        <n v="579.0"/>
        <n v="580.0"/>
        <n v="581.0"/>
        <n v="582.0"/>
        <n v="583.0"/>
        <n v="584.0"/>
        <n v="585.0"/>
        <n v="586.0"/>
        <n v="587.0"/>
        <n v="588.0"/>
        <n v="589.0"/>
        <n v="590.0"/>
        <n v="591.0"/>
        <n v="592.0"/>
        <n v="593.0"/>
        <n v="594.0"/>
        <n v="595.0"/>
        <n v="596.0"/>
        <n v="597.0"/>
        <n v="598.0"/>
        <n v="599.0"/>
        <n v="600.0"/>
        <n v="601.0"/>
        <n v="602.0"/>
        <n v="603.0"/>
        <n v="604.0"/>
        <n v="605.0"/>
        <n v="606.0"/>
        <n v="607.0"/>
        <n v="608.0"/>
        <n v="609.0"/>
        <n v="610.0"/>
        <n v="611.0"/>
        <n v="612.0"/>
        <n v="613.0"/>
        <n v="614.0"/>
        <n v="615.0"/>
        <n v="616.0"/>
        <n v="617.0"/>
        <n v="618.0"/>
        <n v="619.0"/>
        <n v="620.0"/>
        <n v="621.0"/>
        <n v="622.0"/>
        <n v="623.0"/>
        <n v="624.0"/>
        <n v="625.0"/>
        <n v="626.0"/>
        <n v="627.0"/>
        <n v="628.0"/>
        <n v="629.0"/>
        <n v="630.0"/>
        <n v="631.0"/>
        <n v="632.0"/>
        <n v="633.0"/>
        <n v="634.0"/>
        <n v="635.0"/>
        <n v="636.0"/>
        <n v="637.0"/>
        <n v="638.0"/>
        <n v="639.0"/>
        <n v="640.0"/>
        <n v="641.0"/>
        <n v="642.0"/>
        <n v="643.0"/>
        <n v="644.0"/>
        <n v="645.0"/>
        <n v="646.0"/>
        <n v="647.0"/>
        <n v="648.0"/>
        <n v="649.0"/>
        <n v="650.0"/>
        <n v="651.0"/>
        <n v="652.0"/>
        <n v="653.0"/>
        <n v="654.0"/>
        <n v="655.0"/>
        <n v="656.0"/>
        <n v="657.0"/>
        <n v="658.0"/>
        <n v="659.0"/>
        <n v="660.0"/>
        <n v="661.0"/>
        <n v="662.0"/>
        <n v="663.0"/>
        <n v="664.0"/>
        <n v="665.0"/>
        <n v="666.0"/>
        <n v="667.0"/>
        <n v="668.0"/>
        <n v="669.0"/>
        <n v="670.0"/>
        <n v="671.0"/>
        <n v="672.0"/>
        <n v="673.0"/>
        <n v="674.0"/>
        <n v="675.0"/>
        <n v="676.0"/>
        <n v="677.0"/>
        <n v="678.0"/>
        <n v="679.0"/>
        <n v="680.0"/>
        <n v="681.0"/>
        <n v="682.0"/>
        <n v="683.0"/>
        <n v="684.0"/>
        <n v="685.0"/>
        <n v="686.0"/>
        <n v="687.0"/>
        <n v="688.0"/>
        <n v="689.0"/>
        <n v="690.0"/>
        <n v="691.0"/>
        <n v="692.0"/>
        <n v="693.0"/>
        <n v="694.0"/>
        <n v="695.0"/>
        <n v="696.0"/>
        <n v="697.0"/>
        <n v="698.0"/>
        <n v="699.0"/>
        <n v="700.0"/>
        <n v="701.0"/>
        <n v="702.0"/>
        <n v="703.0"/>
        <n v="704.0"/>
        <n v="705.0"/>
        <n v="706.0"/>
        <n v="707.0"/>
        <n v="708.0"/>
        <n v="709.0"/>
        <n v="710.0"/>
        <n v="711.0"/>
        <n v="712.0"/>
        <n v="713.0"/>
        <n v="714.0"/>
        <n v="715.0"/>
        <n v="716.0"/>
        <n v="717.0"/>
        <n v="718.0"/>
        <n v="719.0"/>
        <n v="720.0"/>
        <n v="721.0"/>
        <n v="722.0"/>
        <n v="723.0"/>
        <n v="724.0"/>
        <n v="725.0"/>
        <n v="726.0"/>
        <n v="727.0"/>
        <n v="728.0"/>
        <n v="729.0"/>
        <n v="730.0"/>
        <n v="731.0"/>
        <n v="732.0"/>
        <n v="733.0"/>
        <n v="734.0"/>
        <n v="735.0"/>
        <n v="736.0"/>
        <n v="737.0"/>
        <n v="738.0"/>
        <n v="739.0"/>
        <n v="740.0"/>
        <n v="741.0"/>
        <n v="742.0"/>
        <n v="743.0"/>
        <n v="744.0"/>
        <n v="745.0"/>
        <n v="746.0"/>
        <n v="747.0"/>
        <n v="748.0"/>
        <n v="749.0"/>
        <n v="750.0"/>
        <n v="751.0"/>
        <n v="752.0"/>
        <n v="753.0"/>
        <n v="754.0"/>
        <n v="755.0"/>
        <n v="756.0"/>
        <n v="757.0"/>
        <n v="758.0"/>
        <n v="759.0"/>
        <n v="760.0"/>
        <n v="761.0"/>
        <n v="762.0"/>
        <n v="763.0"/>
        <n v="764.0"/>
        <n v="765.0"/>
        <n v="766.0"/>
        <n v="767.0"/>
        <n v="768.0"/>
        <n v="769.0"/>
        <n v="770.0"/>
        <n v="771.0"/>
        <n v="772.0"/>
        <n v="773.0"/>
        <n v="774.0"/>
        <n v="775.0"/>
        <n v="776.0"/>
        <n v="777.0"/>
        <n v="778.0"/>
        <n v="779.0"/>
        <n v="780.0"/>
        <n v="781.0"/>
        <n v="782.0"/>
        <n v="783.0"/>
        <n v="784.0"/>
        <n v="785.0"/>
        <n v="786.0"/>
        <n v="787.0"/>
        <n v="788.0"/>
        <n v="789.0"/>
        <n v="790.0"/>
        <n v="791.0"/>
        <n v="792.0"/>
        <n v="793.0"/>
        <n v="794.0"/>
        <n v="795.0"/>
        <n v="796.0"/>
        <n v="797.0"/>
        <n v="798.0"/>
        <n v="799.0"/>
        <n v="800.0"/>
        <n v="801.0"/>
        <n v="802.0"/>
        <n v="803.0"/>
        <n v="804.0"/>
        <n v="805.0"/>
        <n v="806.0"/>
        <n v="807.0"/>
        <n v="808.0"/>
        <n v="809.0"/>
        <n v="810.0"/>
        <n v="811.0"/>
        <n v="812.0"/>
        <n v="813.0"/>
        <n v="814.0"/>
        <n v="815.0"/>
        <n v="816.0"/>
        <n v="817.0"/>
        <n v="818.0"/>
        <n v="819.0"/>
        <n v="820.0"/>
        <n v="821.0"/>
        <n v="822.0"/>
        <n v="823.0"/>
        <n v="824.0"/>
        <n v="825.0"/>
        <n v="826.0"/>
        <n v="827.0"/>
        <n v="828.0"/>
        <n v="829.0"/>
        <n v="830.0"/>
        <n v="831.0"/>
        <n v="832.0"/>
        <n v="833.0"/>
        <n v="834.0"/>
        <n v="835.0"/>
        <n v="836.0"/>
        <n v="837.0"/>
        <n v="838.0"/>
        <n v="839.0"/>
        <n v="840.0"/>
        <n v="841.0"/>
        <n v="842.0"/>
        <n v="843.0"/>
        <n v="844.0"/>
        <n v="845.0"/>
        <n v="846.0"/>
        <n v="847.0"/>
        <n v="848.0"/>
        <n v="849.0"/>
        <n v="850.0"/>
        <n v="851.0"/>
        <n v="852.0"/>
        <n v="853.0"/>
        <n v="854.0"/>
        <n v="855.0"/>
        <n v="856.0"/>
        <n v="857.0"/>
        <n v="858.0"/>
        <n v="859.0"/>
        <n v="860.0"/>
        <n v="861.0"/>
        <n v="862.0"/>
        <n v="863.0"/>
        <n v="864.0"/>
        <n v="865.0"/>
        <n v="866.0"/>
        <n v="867.0"/>
        <n v="868.0"/>
        <n v="869.0"/>
        <n v="870.0"/>
        <n v="871.0"/>
        <n v="872.0"/>
        <n v="873.0"/>
        <n v="874.0"/>
        <n v="875.0"/>
        <n v="876.0"/>
        <n v="877.0"/>
        <n v="878.0"/>
        <n v="879.0"/>
        <n v="880.0"/>
        <n v="881.0"/>
        <n v="882.0"/>
        <n v="883.0"/>
        <n v="884.0"/>
        <n v="885.0"/>
        <n v="886.0"/>
        <n v="887.0"/>
        <n v="888.0"/>
        <n v="889.0"/>
        <n v="890.0"/>
        <n v="891.0"/>
        <n v="892.0"/>
        <n v="893.0"/>
        <n v="894.0"/>
        <n v="895.0"/>
        <n v="896.0"/>
        <n v="897.0"/>
        <n v="898.0"/>
        <n v="899.0"/>
        <n v="900.0"/>
        <n v="901.0"/>
        <n v="902.0"/>
        <n v="903.0"/>
        <n v="904.0"/>
        <n v="905.0"/>
        <n v="906.0"/>
        <n v="907.0"/>
        <n v="908.0"/>
        <n v="909.0"/>
        <n v="910.0"/>
        <n v="911.0"/>
        <n v="912.0"/>
        <n v="913.0"/>
        <n v="914.0"/>
        <n v="915.0"/>
        <n v="916.0"/>
        <n v="917.0"/>
        <n v="918.0"/>
        <n v="919.0"/>
        <n v="920.0"/>
        <n v="921.0"/>
        <n v="922.0"/>
        <n v="923.0"/>
        <n v="924.0"/>
        <n v="925.0"/>
        <n v="926.0"/>
        <n v="927.0"/>
        <n v="928.0"/>
        <n v="929.0"/>
        <n v="930.0"/>
        <n v="931.0"/>
        <n v="932.0"/>
        <n v="933.0"/>
        <n v="934.0"/>
        <n v="935.0"/>
        <n v="936.0"/>
        <n v="937.0"/>
        <n v="938.0"/>
        <n v="939.0"/>
        <n v="940.0"/>
        <n v="941.0"/>
        <n v="942.0"/>
        <n v="943.0"/>
        <n v="944.0"/>
        <n v="945.0"/>
        <n v="946.0"/>
        <n v="947.0"/>
        <n v="948.0"/>
        <n v="949.0"/>
        <n v="950.0"/>
        <n v="951.0"/>
        <n v="952.0"/>
        <n v="953.0"/>
        <n v="954.0"/>
        <n v="955.0"/>
        <n v="956.0"/>
        <n v="957.0"/>
        <n v="958.0"/>
        <n v="959.0"/>
        <n v="960.0"/>
        <n v="961.0"/>
        <n v="962.0"/>
        <n v="963.0"/>
        <n v="964.0"/>
        <n v="965.0"/>
        <n v="966.0"/>
        <n v="967.0"/>
        <n v="968.0"/>
        <n v="969.0"/>
        <n v="970.0"/>
        <n v="971.0"/>
        <n v="972.0"/>
        <n v="973.0"/>
        <n v="974.0"/>
        <n v="975.0"/>
        <n v="976.0"/>
        <n v="977.0"/>
        <n v="978.0"/>
        <n v="979.0"/>
        <n v="980.0"/>
        <n v="981.0"/>
        <n v="982.0"/>
        <n v="983.0"/>
        <n v="984.0"/>
        <n v="985.0"/>
        <n v="986.0"/>
        <n v="987.0"/>
        <n v="988.0"/>
        <n v="989.0"/>
        <n v="990.0"/>
        <n v="991.0"/>
        <n v="992.0"/>
        <n v="993.0"/>
        <n v="994.0"/>
        <n v="995.0"/>
        <n v="996.0"/>
        <n v="997.0"/>
        <n v="998.0"/>
        <n v="999.0"/>
        <n v="1000.0"/>
        <n v="1001.0"/>
        <n v="1002.0"/>
        <n v="1003.0"/>
        <n v="1004.0"/>
        <n v="1005.0"/>
        <n v="1006.0"/>
        <n v="1007.0"/>
        <n v="1008.0"/>
        <n v="1009.0"/>
        <n v="1010.0"/>
        <n v="1011.0"/>
        <n v="1012.0"/>
        <n v="1013.0"/>
        <n v="1014.0"/>
        <n v="1015.0"/>
        <n v="1016.0"/>
        <n v="1017.0"/>
        <n v="1018.0"/>
        <n v="1019.0"/>
        <n v="1020.0"/>
        <n v="1021.0"/>
        <n v="1022.0"/>
        <n v="1023.0"/>
        <n v="1024.0"/>
        <n v="1025.0"/>
        <n v="1026.0"/>
        <n v="1027.0"/>
        <n v="1028.0"/>
        <n v="1029.0"/>
        <n v="1030.0"/>
        <n v="1031.0"/>
        <n v="1032.0"/>
        <n v="1033.0"/>
        <n v="1034.0"/>
        <n v="1035.0"/>
        <n v="1036.0"/>
        <n v="1037.0"/>
        <n v="1038.0"/>
        <n v="1039.0"/>
        <n v="1040.0"/>
        <n v="1041.0"/>
        <n v="1042.0"/>
        <n v="1043.0"/>
        <n v="1044.0"/>
        <n v="1045.0"/>
        <n v="1046.0"/>
        <n v="1047.0"/>
        <n v="1048.0"/>
        <n v="1049.0"/>
        <n v="1050.0"/>
        <n v="1051.0"/>
        <n v="1052.0"/>
        <n v="1053.0"/>
        <n v="1054.0"/>
        <n v="1055.0"/>
        <n v="1056.0"/>
        <n v="1057.0"/>
        <n v="1058.0"/>
        <n v="1059.0"/>
        <n v="1060.0"/>
        <n v="1061.0"/>
        <n v="1062.0"/>
        <n v="1063.0"/>
        <n v="1064.0"/>
        <n v="1065.0"/>
        <n v="1066.0"/>
        <n v="1067.0"/>
        <n v="1068.0"/>
        <n v="1069.0"/>
        <n v="1070.0"/>
        <n v="1071.0"/>
        <n v="1072.0"/>
        <n v="1073.0"/>
        <n v="1074.0"/>
        <n v="1075.0"/>
        <n v="1076.0"/>
        <n v="1077.0"/>
        <n v="1078.0"/>
        <n v="1079.0"/>
        <n v="1080.0"/>
        <n v="1081.0"/>
        <n v="1082.0"/>
        <n v="1083.0"/>
        <n v="1084.0"/>
        <n v="1085.0"/>
        <n v="1086.0"/>
        <n v="1087.0"/>
        <n v="1088.0"/>
        <n v="1089.0"/>
        <n v="1090.0"/>
        <n v="1091.0"/>
        <n v="1092.0"/>
        <n v="1093.0"/>
        <n v="1094.0"/>
        <n v="1095.0"/>
        <n v="1096.0"/>
        <n v="1097.0"/>
        <n v="1098.0"/>
        <n v="1099.0"/>
        <n v="1100.0"/>
        <n v="1101.0"/>
        <n v="1102.0"/>
        <n v="1103.0"/>
        <n v="1104.0"/>
        <n v="1105.0"/>
        <n v="1106.0"/>
        <n v="1107.0"/>
        <n v="1108.0"/>
        <n v="1109.0"/>
        <n v="1110.0"/>
        <n v="1111.0"/>
        <n v="1112.0"/>
        <n v="1113.0"/>
        <n v="1114.0"/>
        <n v="1115.0"/>
        <n v="1116.0"/>
        <n v="1117.0"/>
        <n v="1118.0"/>
        <n v="1119.0"/>
        <n v="1120.0"/>
        <n v="1121.0"/>
        <n v="1122.0"/>
        <n v="1123.0"/>
        <n v="1124.0"/>
        <n v="1125.0"/>
        <n v="1126.0"/>
        <n v="1127.0"/>
        <n v="1128.0"/>
        <n v="1129.0"/>
        <n v="1130.0"/>
        <n v="1131.0"/>
        <n v="1132.0"/>
        <n v="1133.0"/>
        <n v="1134.0"/>
        <n v="1135.0"/>
        <n v="1136.0"/>
        <n v="1137.0"/>
        <n v="1138.0"/>
        <n v="1139.0"/>
        <n v="1140.0"/>
        <n v="1141.0"/>
        <n v="1142.0"/>
        <n v="1143.0"/>
        <n v="1144.0"/>
        <n v="1145.0"/>
        <n v="1146.0"/>
        <n v="1147.0"/>
        <n v="1148.0"/>
        <n v="1149.0"/>
        <n v="1150.0"/>
        <n v="1151.0"/>
        <n v="1152.0"/>
        <n v="1153.0"/>
        <n v="1154.0"/>
        <n v="1155.0"/>
        <n v="1156.0"/>
        <n v="1157.0"/>
        <n v="1158.0"/>
        <n v="1159.0"/>
        <n v="1160.0"/>
        <n v="1161.0"/>
        <n v="1162.0"/>
        <n v="1163.0"/>
        <n v="1164.0"/>
        <n v="1165.0"/>
        <n v="1166.0"/>
        <n v="1167.0"/>
        <n v="1168.0"/>
        <n v="1169.0"/>
        <n v="1170.0"/>
        <n v="1171.0"/>
        <n v="1172.0"/>
        <n v="1173.0"/>
        <n v="1174.0"/>
        <n v="1175.0"/>
        <n v="1176.0"/>
        <n v="1177.0"/>
        <n v="1178.0"/>
        <n v="1179.0"/>
        <n v="1180.0"/>
        <n v="1181.0"/>
        <n v="1182.0"/>
        <n v="1183.0"/>
        <n v="1184.0"/>
        <n v="1185.0"/>
        <n v="1186.0"/>
        <n v="1187.0"/>
        <n v="1188.0"/>
        <n v="1189.0"/>
        <n v="1190.0"/>
        <n v="1191.0"/>
        <n v="1192.0"/>
        <n v="1193.0"/>
        <n v="1194.0"/>
        <n v="1195.0"/>
        <n v="1196.0"/>
        <n v="1197.0"/>
        <n v="1198.0"/>
        <n v="1199.0"/>
        <n v="1200.0"/>
        <n v="1201.0"/>
        <n v="1202.0"/>
        <n v="1203.0"/>
        <n v="1204.0"/>
        <n v="1205.0"/>
        <n v="1206.0"/>
        <n v="1207.0"/>
        <n v="1208.0"/>
        <n v="1209.0"/>
        <n v="1210.0"/>
        <n v="1211.0"/>
        <n v="1212.0"/>
        <n v="1213.0"/>
        <n v="1214.0"/>
        <n v="1215.0"/>
        <n v="1216.0"/>
        <n v="1217.0"/>
        <n v="1218.0"/>
        <n v="1219.0"/>
        <n v="1220.0"/>
        <n v="1221.0"/>
        <n v="1222.0"/>
        <n v="1223.0"/>
        <n v="1224.0"/>
        <n v="1225.0"/>
        <n v="1226.0"/>
        <n v="1227.0"/>
        <n v="1228.0"/>
        <n v="1229.0"/>
        <n v="1230.0"/>
        <n v="1231.0"/>
        <n v="1232.0"/>
        <n v="1233.0"/>
        <n v="1234.0"/>
        <n v="1235.0"/>
        <n v="1236.0"/>
        <n v="1237.0"/>
        <n v="1238.0"/>
        <n v="1239.0"/>
        <n v="1240.0"/>
        <n v="1241.0"/>
        <n v="1242.0"/>
        <n v="1243.0"/>
        <n v="1244.0"/>
        <n v="1245.0"/>
        <n v="1246.0"/>
        <n v="1247.0"/>
        <n v="1248.0"/>
        <n v="1249.0"/>
        <n v="1250.0"/>
        <n v="1251.0"/>
        <n v="1252.0"/>
        <n v="1253.0"/>
        <n v="1254.0"/>
        <n v="1255.0"/>
        <n v="1256.0"/>
        <n v="1257.0"/>
        <n v="1258.0"/>
        <n v="1259.0"/>
        <n v="1260.0"/>
        <n v="1261.0"/>
        <n v="1262.0"/>
        <n v="1263.0"/>
        <n v="1264.0"/>
        <n v="1265.0"/>
        <n v="1266.0"/>
        <n v="1267.0"/>
        <n v="1268.0"/>
        <n v="1269.0"/>
        <n v="1270.0"/>
        <n v="1271.0"/>
        <n v="1272.0"/>
        <n v="1273.0"/>
        <n v="1274.0"/>
        <n v="1275.0"/>
        <n v="1276.0"/>
        <n v="1277.0"/>
        <n v="1278.0"/>
        <n v="1279.0"/>
        <n v="1280.0"/>
        <n v="1281.0"/>
        <n v="1282.0"/>
        <n v="1283.0"/>
        <n v="1284.0"/>
        <n v="1285.0"/>
        <n v="1286.0"/>
        <n v="1287.0"/>
        <n v="1288.0"/>
        <n v="1289.0"/>
        <n v="1290.0"/>
        <n v="1291.0"/>
        <n v="1292.0"/>
        <n v="1293.0"/>
        <n v="1294.0"/>
        <n v="1295.0"/>
        <n v="1296.0"/>
        <n v="1297.0"/>
        <n v="1298.0"/>
        <n v="1299.0"/>
        <n v="1300.0"/>
        <n v="1301.0"/>
        <n v="1302.0"/>
        <n v="1303.0"/>
        <n v="1304.0"/>
        <n v="1305.0"/>
        <n v="1306.0"/>
        <n v="1307.0"/>
        <n v="1308.0"/>
        <n v="1309.0"/>
        <n v="1310.0"/>
        <n v="1311.0"/>
        <n v="1312.0"/>
        <n v="1313.0"/>
        <n v="1314.0"/>
        <n v="1315.0"/>
        <n v="1316.0"/>
        <n v="1317.0"/>
        <n v="1318.0"/>
        <n v="1319.0"/>
        <n v="1320.0"/>
        <n v="1321.0"/>
        <n v="1322.0"/>
        <n v="1323.0"/>
        <n v="1324.0"/>
        <n v="1325.0"/>
        <n v="1326.0"/>
        <n v="1327.0"/>
        <n v="1328.0"/>
        <n v="1329.0"/>
        <n v="1330.0"/>
        <n v="1331.0"/>
        <n v="1332.0"/>
        <n v="1333.0"/>
        <n v="1334.0"/>
        <n v="1335.0"/>
        <n v="1336.0"/>
        <n v="1337.0"/>
        <n v="1338.0"/>
        <n v="1339.0"/>
        <n v="1340.0"/>
        <n v="1341.0"/>
        <n v="1342.0"/>
        <n v="1343.0"/>
        <n v="1344.0"/>
        <n v="1345.0"/>
        <n v="1346.0"/>
        <n v="1347.0"/>
        <n v="1348.0"/>
        <n v="1349.0"/>
        <n v="1350.0"/>
        <n v="1351.0"/>
        <n v="1352.0"/>
        <n v="1353.0"/>
        <n v="1354.0"/>
        <n v="1355.0"/>
        <n v="1356.0"/>
        <n v="1357.0"/>
        <n v="1358.0"/>
        <n v="1359.0"/>
        <n v="1360.0"/>
        <n v="1361.0"/>
        <n v="1362.0"/>
        <n v="1363.0"/>
        <n v="1364.0"/>
        <n v="1365.0"/>
        <n v="1366.0"/>
        <n v="1367.0"/>
        <n v="1368.0"/>
        <n v="1369.0"/>
        <n v="1370.0"/>
        <n v="1371.0"/>
        <n v="1372.0"/>
        <n v="1373.0"/>
        <n v="1374.0"/>
        <n v="1375.0"/>
        <n v="1376.0"/>
        <n v="1377.0"/>
        <n v="1378.0"/>
        <n v="1379.0"/>
        <n v="1380.0"/>
        <n v="1381.0"/>
        <n v="1382.0"/>
        <n v="1383.0"/>
        <n v="1384.0"/>
        <n v="1385.0"/>
        <n v="1386.0"/>
        <n v="1387.0"/>
        <n v="1388.0"/>
        <n v="1389.0"/>
        <n v="1390.0"/>
        <n v="1391.0"/>
        <n v="1392.0"/>
        <n v="1393.0"/>
        <n v="1394.0"/>
        <n v="1395.0"/>
        <n v="1396.0"/>
        <n v="1397.0"/>
        <n v="1398.0"/>
        <n v="1399.0"/>
        <n v="1400.0"/>
        <n v="1401.0"/>
        <n v="1402.0"/>
        <n v="1403.0"/>
        <n v="1404.0"/>
        <n v="1405.0"/>
        <n v="1406.0"/>
        <n v="1407.0"/>
        <n v="1408.0"/>
        <n v="1409.0"/>
        <n v="1410.0"/>
        <n v="1411.0"/>
        <n v="1412.0"/>
        <n v="1413.0"/>
        <n v="1414.0"/>
        <n v="1415.0"/>
        <n v="1416.0"/>
        <n v="1417.0"/>
        <n v="1418.0"/>
        <n v="1419.0"/>
        <n v="1420.0"/>
        <n v="1421.0"/>
        <n v="1422.0"/>
        <n v="1423.0"/>
        <n v="1424.0"/>
        <n v="1425.0"/>
        <n v="1427.0"/>
        <n v="1428.0"/>
        <n v="1429.0"/>
        <n v="1430.0"/>
        <n v="1432.0"/>
        <n v="1433.0"/>
        <n v="1434.0"/>
        <n v="1435.0"/>
        <n v="1436.0"/>
        <n v="1437.0"/>
        <n v="1438.0"/>
        <n v="1439.0"/>
        <n v="1440.0"/>
        <n v="1441.0"/>
        <n v="1442.0"/>
        <n v="1443.0"/>
        <n v="1444.0"/>
        <n v="1445.0"/>
        <n v="1446.0"/>
        <n v="1447.0"/>
        <n v="1448.0"/>
        <n v="1449.0"/>
        <n v="1450.0"/>
        <n v="1451.0"/>
        <n v="1452.0"/>
        <n v="1453.0"/>
        <n v="1454.0"/>
        <n v="1455.0"/>
        <n v="1456.0"/>
        <n v="1457.0"/>
        <n v="1458.0"/>
        <n v="1459.0"/>
        <n v="1460.0"/>
        <n v="1461.0"/>
        <n v="1462.0"/>
        <n v="1463.0"/>
        <n v="1464.0"/>
        <n v="1465.0"/>
        <n v="1466.0"/>
        <n v="1467.0"/>
        <n v="1468.0"/>
        <n v="1469.0"/>
        <n v="1470.0"/>
        <n v="1471.0"/>
        <n v="1472.0"/>
        <n v="1473.0"/>
        <n v="1474.0"/>
        <n v="1475.0"/>
        <n v="1476.0"/>
        <n v="1477.0"/>
        <n v="1478.0"/>
        <n v="1479.0"/>
        <n v="1480.0"/>
        <n v="1481.0"/>
        <n v="1482.0"/>
        <n v="1483.0"/>
        <n v="1484.0"/>
        <n v="1485.0"/>
        <n v="1486.0"/>
        <n v="1487.0"/>
        <n v="1488.0"/>
        <n v="1489.0"/>
        <n v="1490.0"/>
        <n v="1491.0"/>
        <n v="1492.0"/>
        <n v="1493.0"/>
        <n v="1494.0"/>
        <n v="1495.0"/>
        <n v="1496.0"/>
        <n v="1497.0"/>
        <n v="1498.0"/>
        <n v="1499.0"/>
        <n v="1500.0"/>
        <n v="1501.0"/>
        <n v="1502.0"/>
        <n v="1503.0"/>
        <n v="1504.0"/>
        <n v="1505.0"/>
        <n v="1506.0"/>
        <n v="1507.0"/>
        <n v="1508.0"/>
        <n v="1509.0"/>
        <n v="1510.0"/>
        <n v="1511.0"/>
        <n v="1512.0"/>
        <n v="1513.0"/>
        <n v="1514.0"/>
        <n v="1515.0"/>
        <n v="1516.0"/>
        <n v="1517.0"/>
        <n v="1518.0"/>
        <n v="1519.0"/>
        <n v="1520.0"/>
        <n v="1521.0"/>
        <n v="1522.0"/>
        <n v="1523.0"/>
        <n v="1524.0"/>
        <n v="1525.0"/>
        <n v="1526.0"/>
        <n v="1527.0"/>
        <n v="1528.0"/>
        <n v="1529.0"/>
        <n v="1530.0"/>
        <n v="1531.0"/>
        <n v="1532.0"/>
        <n v="1533.0"/>
        <n v="1534.0"/>
        <n v="1535.0"/>
        <n v="1536.0"/>
        <n v="1537.0"/>
        <n v="1538.0"/>
        <n v="1539.0"/>
        <n v="1540.0"/>
        <n v="1541.0"/>
        <n v="1542.0"/>
        <n v="1543.0"/>
        <n v="1544.0"/>
        <n v="1545.0"/>
        <n v="1546.0"/>
        <n v="1547.0"/>
        <n v="1548.0"/>
        <n v="1549.0"/>
        <n v="1550.0"/>
        <n v="1551.0"/>
        <n v="1552.0"/>
        <n v="1553.0"/>
        <n v="1554.0"/>
        <n v="1555.0"/>
        <n v="1556.0"/>
        <n v="1557.0"/>
        <n v="1558.0"/>
        <n v="1559.0"/>
        <n v="1560.0"/>
        <n v="1561.0"/>
        <n v="1562.0"/>
        <n v="1563.0"/>
        <n v="1564.0"/>
        <n v="1565.0"/>
        <n v="1566.0"/>
        <n v="1567.0"/>
        <n v="1568.0"/>
        <n v="1569.0"/>
        <n v="1570.0"/>
        <n v="1571.0"/>
        <n v="1572.0"/>
        <n v="1573.0"/>
        <n v="1574.0"/>
        <n v="1575.0"/>
        <n v="1576.0"/>
        <n v="1577.0"/>
        <n v="1578.0"/>
        <n v="1579.0"/>
        <n v="1580.0"/>
        <n v="1581.0"/>
        <n v="1582.0"/>
        <n v="1583.0"/>
        <n v="1584.0"/>
        <n v="1585.0"/>
        <n v="1586.0"/>
        <n v="1587.0"/>
        <n v="1588.0"/>
        <n v="1589.0"/>
        <n v="1590.0"/>
        <n v="1591.0"/>
        <n v="1592.0"/>
        <n v="1593.0"/>
        <n v="1594.0"/>
        <n v="1595.0"/>
        <n v="1596.0"/>
        <n v="1597.0"/>
        <n v="1598.0"/>
        <n v="1599.0"/>
        <n v="1600.0"/>
        <n v="1601.0"/>
        <n v="1602.0"/>
        <n v="1603.0"/>
        <n v="1604.0"/>
        <n v="1605.0"/>
        <n v="1606.0"/>
        <n v="1607.0"/>
        <n v="1608.0"/>
        <n v="1609.0"/>
        <n v="1610.0"/>
        <n v="1611.0"/>
        <n v="1612.0"/>
        <n v="1613.0"/>
        <n v="1614.0"/>
        <n v="1615.0"/>
        <n v="1616.0"/>
        <n v="1617.0"/>
        <n v="1618.0"/>
        <n v="1619.0"/>
        <n v="1620.0"/>
        <n v="1621.0"/>
        <n v="1622.0"/>
        <n v="1623.0"/>
        <n v="1624.0"/>
        <n v="1625.0"/>
        <n v="1626.0"/>
        <n v="1627.0"/>
        <n v="1628.0"/>
        <n v="1629.0"/>
        <n v="1630.0"/>
        <n v="1631.0"/>
        <n v="1632.0"/>
        <n v="1633.0"/>
        <n v="1634.0"/>
        <n v="1635.0"/>
        <n v="1636.0"/>
        <n v="1637.0"/>
        <n v="1638.0"/>
        <n v="1639.0"/>
        <n v="1640.0"/>
        <n v="1641.0"/>
        <n v="1642.0"/>
        <n v="1643.0"/>
        <n v="1644.0"/>
        <n v="1645.0"/>
        <n v="1646.0"/>
        <n v="1647.0"/>
        <n v="1648.0"/>
        <n v="1649.0"/>
        <n v="1650.0"/>
        <n v="1651.0"/>
        <n v="1652.0"/>
        <n v="1653.0"/>
        <n v="1654.0"/>
        <n v="1655.0"/>
        <n v="1656.0"/>
        <n v="1658.0"/>
        <n v="1659.0"/>
        <n v="1660.0"/>
        <n v="1661.0"/>
        <n v="1663.0"/>
        <n v="1664.0"/>
        <n v="1665.0"/>
        <n v="1666.0"/>
        <n v="1667.0"/>
        <n v="1668.0"/>
        <n v="1669.0"/>
        <n v="1670.0"/>
        <n v="1671.0"/>
        <n v="1672.0"/>
        <n v="1673.0"/>
        <n v="1674.0"/>
        <n v="1675.0"/>
        <n v="1676.0"/>
        <n v="1677.0"/>
        <n v="1678.0"/>
        <n v="1679.0"/>
        <n v="1680.0"/>
        <n v="1681.0"/>
        <n v="1682.0"/>
        <n v="1683.0"/>
        <n v="1684.0"/>
        <n v="1685.0"/>
        <n v="1686.0"/>
        <n v="1687.0"/>
        <n v="1688.0"/>
        <n v="1689.0"/>
        <n v="1690.0"/>
        <n v="1691.0"/>
        <n v="1692.0"/>
        <n v="1693.0"/>
        <n v="1694.0"/>
        <n v="1695.0"/>
        <n v="1696.0"/>
        <n v="1697.0"/>
        <n v="1698.0"/>
        <n v="1699.0"/>
        <n v="1700.0"/>
        <n v="1701.0"/>
        <n v="1702.0"/>
        <n v="1703.0"/>
        <n v="1705.0"/>
        <n v="1706.0"/>
        <n v="1707.0"/>
        <n v="1708.0"/>
        <n v="1709.0"/>
        <n v="1710.0"/>
        <n v="1711.0"/>
        <n v="1712.0"/>
        <n v="1713.0"/>
        <n v="1714.0"/>
        <n v="1715.0"/>
        <n v="1716.0"/>
        <n v="1717.0"/>
        <n v="1718.0"/>
        <n v="1719.0"/>
        <n v="1720.0"/>
        <n v="1721.0"/>
        <n v="1722.0"/>
        <n v="1723.0"/>
        <n v="1724.0"/>
        <n v="1725.0"/>
        <n v="1726.0"/>
        <n v="1727.0"/>
        <n v="1728.0"/>
        <n v="1729.0"/>
        <n v="1730.0"/>
        <n v="1731.0"/>
        <n v="1733.0"/>
        <n v="1734.0"/>
        <n v="1735.0"/>
        <n v="1736.0"/>
        <n v="1737.0"/>
        <n v="1738.0"/>
        <n v="1739.0"/>
        <n v="1740.0"/>
        <n v="1741.0"/>
        <n v="1742.0"/>
        <n v="1743.0"/>
        <n v="1744.0"/>
        <n v="1745.0"/>
        <n v="1746.0"/>
        <n v="1747.0"/>
        <n v="1748.0"/>
        <n v="1749.0"/>
        <n v="1750.0"/>
        <n v="1751.0"/>
        <n v="1752.0"/>
        <n v="1753.0"/>
        <n v="1754.0"/>
        <n v="1755.0"/>
        <n v="1756.0"/>
        <n v="1757.0"/>
        <n v="1758.0"/>
        <n v="1759.0"/>
        <n v="1760.0"/>
        <n v="1761.0"/>
        <n v="1762.0"/>
        <n v="1763.0"/>
        <n v="1764.0"/>
        <n v="1765.0"/>
        <n v="1766.0"/>
        <n v="1767.0"/>
        <n v="1768.0"/>
        <n v="1769.0"/>
        <n v="1770.0"/>
        <n v="1771.0"/>
        <n v="1772.0"/>
        <n v="1773.0"/>
        <n v="1774.0"/>
        <n v="1775.0"/>
        <n v="1777.0"/>
        <n v="1778.0"/>
        <n v="1779.0"/>
        <n v="1780.0"/>
        <n v="1781.0"/>
        <n v="1782.0"/>
        <n v="1783.0"/>
        <n v="1784.0"/>
        <n v="1785.0"/>
        <n v="1786.0"/>
        <n v="1787.0"/>
        <n v="1788.0"/>
        <n v="1789.0"/>
        <n v="1790.0"/>
        <n v="1791.0"/>
        <n v="1792.0"/>
        <n v="1793.0"/>
        <n v="1794.0"/>
        <n v="1795.0"/>
        <n v="1796.0"/>
        <n v="1797.0"/>
        <n v="1798.0"/>
        <n v="1799.0"/>
        <n v="1800.0"/>
        <n v="1801.0"/>
        <n v="1802.0"/>
        <n v="1803.0"/>
        <n v="1804.0"/>
        <n v="1805.0"/>
        <n v="1806.0"/>
        <n v="1807.0"/>
        <n v="1808.0"/>
        <n v="1809.0"/>
        <n v="1810.0"/>
        <n v="1811.0"/>
        <n v="1812.0"/>
        <n v="1813.0"/>
        <n v="1814.0"/>
        <n v="1815.0"/>
        <n v="1816.0"/>
        <n v="1817.0"/>
        <n v="1818.0"/>
        <n v="1819.0"/>
        <n v="1820.0"/>
        <n v="1821.0"/>
        <n v="1822.0"/>
        <n v="1823.0"/>
        <n v="1824.0"/>
        <n v="1825.0"/>
        <n v="1826.0"/>
        <n v="1827.0"/>
        <n v="1828.0"/>
        <n v="1829.0"/>
        <n v="1830.0"/>
        <n v="1831.0"/>
        <n v="1832.0"/>
        <n v="1833.0"/>
        <n v="1834.0"/>
        <n v="1836.0"/>
        <n v="1837.0"/>
        <n v="1838.0"/>
        <n v="1839.0"/>
        <n v="1840.0"/>
        <n v="1841.0"/>
        <n v="1842.0"/>
        <n v="1843.0"/>
        <n v="1844.0"/>
        <n v="1846.0"/>
        <n v="1847.0"/>
        <n v="1848.0"/>
        <n v="1849.0"/>
        <n v="1850.0"/>
        <n v="1852.0"/>
        <n v="1853.0"/>
        <n v="1854.0"/>
        <n v="1856.0"/>
        <n v="1857.0"/>
        <n v="1858.0"/>
        <n v="1859.0"/>
        <n v="1861.0"/>
        <n v="1862.0"/>
        <n v="1863.0"/>
        <n v="1864.0"/>
        <n v="1865.0"/>
        <n v="1866.0"/>
        <n v="1868.0"/>
        <n v="1869.0"/>
        <n v="1870.0"/>
        <n v="1871.0"/>
        <n v="1872.0"/>
        <n v="1873.0"/>
        <n v="1875.0"/>
        <n v="1876.0"/>
        <n v="1877.0"/>
        <n v="1878.0"/>
        <n v="1879.0"/>
        <n v="1883.0"/>
        <n v="1884.0"/>
        <n v="1885.0"/>
        <n v="1886.0"/>
        <n v="1887.0"/>
        <n v="1888.0"/>
        <n v="1889.0"/>
        <n v="1890.0"/>
        <n v="1891.0"/>
        <n v="1892.0"/>
        <n v="1893.0"/>
        <n v="1894.0"/>
        <n v="1895.0"/>
        <n v="1897.0"/>
        <n v="1898.0"/>
        <n v="1899.0"/>
        <n v="1900.0"/>
        <n v="1901.0"/>
        <n v="1902.0"/>
        <n v="1904.0"/>
        <n v="1907.0"/>
        <n v="1908.0"/>
        <n v="1909.0"/>
        <n v="1910.0"/>
        <n v="1912.0"/>
        <n v="1913.0"/>
        <n v="1917.0"/>
        <n v="1918.0"/>
        <n v="1919.0"/>
        <n v="1920.0"/>
        <n v="1921.0"/>
        <n v="1922.0"/>
        <n v="1923.0"/>
        <n v="1924.0"/>
        <n v="1925.0"/>
        <n v="1926.0"/>
        <n v="1927.0"/>
        <n v="1928.0"/>
        <n v="1929.0"/>
        <n v="1930.0"/>
        <n v="1931.0"/>
        <n v="1932.0"/>
        <n v="1933.0"/>
        <n v="1934.0"/>
        <n v="1935.0"/>
        <n v="1936.0"/>
        <n v="1937.0"/>
        <n v="1938.0"/>
        <n v="1939.0"/>
        <n v="1940.0"/>
        <n v="1941.0"/>
        <n v="1942.0"/>
        <n v="1943.0"/>
        <n v="1944.0"/>
        <n v="1945.0"/>
        <n v="1946.0"/>
        <n v="1947.0"/>
        <n v="1948.0"/>
        <n v="1949.0"/>
        <n v="1950.0"/>
        <n v="1951.0"/>
        <n v="1952.0"/>
        <n v="1953.0"/>
        <n v="1954.0"/>
        <n v="1955.0"/>
        <n v="1956.0"/>
        <n v="1957.0"/>
        <n v="1958.0"/>
        <n v="1959.0"/>
        <n v="1960.0"/>
        <n v="1961.0"/>
        <n v="1962.0"/>
        <n v="1963.0"/>
        <n v="1964.0"/>
        <n v="1965.0"/>
        <n v="1967.0"/>
        <n v="1968.0"/>
        <n v="1969.0"/>
        <n v="1970.0"/>
        <n v="1971.0"/>
        <n v="1973.0"/>
        <n v="1974.0"/>
        <n v="1975.0"/>
        <n v="1976.0"/>
        <n v="1977.0"/>
        <n v="1978.0"/>
        <n v="1979.0"/>
        <n v="1980.0"/>
        <n v="1981.0"/>
        <n v="1982.0"/>
        <n v="1983.0"/>
        <n v="1984.0"/>
        <n v="1985.0"/>
        <n v="1986.0"/>
        <n v="1987.0"/>
        <n v="1988.0"/>
        <n v="1989.0"/>
        <n v="1990.0"/>
        <n v="1991.0"/>
        <n v="1992.0"/>
        <n v="1993.0"/>
        <n v="1994.0"/>
        <n v="1996.0"/>
        <n v="1997.0"/>
        <n v="1998.0"/>
        <n v="1999.0"/>
        <n v="2000.0"/>
        <n v="2001.0"/>
        <n v="2002.0"/>
        <n v="2003.0"/>
        <n v="2004.0"/>
        <n v="2005.0"/>
        <n v="2006.0"/>
        <n v="2008.0"/>
        <n v="2009.0"/>
        <n v="2012.0"/>
        <n v="2013.0"/>
        <n v="2014.0"/>
        <n v="2015.0"/>
        <n v="2016.0"/>
        <n v="2017.0"/>
        <n v="2018.0"/>
        <n v="2019.0"/>
        <n v="2020.0"/>
        <n v="2021.0"/>
        <n v="2022.0"/>
        <n v="2023.0"/>
        <n v="2024.0"/>
        <n v="2025.0"/>
        <n v="2026.0"/>
        <n v="2027.0"/>
        <n v="2028.0"/>
        <n v="2029.0"/>
        <n v="2030.0"/>
        <n v="2031.0"/>
        <n v="2032.0"/>
        <n v="2033.0"/>
        <n v="2034.0"/>
        <n v="2035.0"/>
        <n v="2036.0"/>
        <n v="2037.0"/>
        <n v="2038.0"/>
        <n v="2039.0"/>
        <n v="2040.0"/>
        <n v="2041.0"/>
        <n v="2042.0"/>
        <n v="2043.0"/>
        <n v="2044.0"/>
        <n v="2045.0"/>
        <n v="2046.0"/>
        <n v="2047.0"/>
        <n v="2048.0"/>
        <n v="2049.0"/>
        <n v="2050.0"/>
        <n v="2051.0"/>
        <n v="2052.0"/>
        <n v="2053.0"/>
        <n v="2054.0"/>
        <n v="2055.0"/>
        <n v="2056.0"/>
        <n v="2057.0"/>
        <n v="2058.0"/>
        <n v="2059.0"/>
        <n v="2060.0"/>
        <n v="2061.0"/>
        <n v="2062.0"/>
        <n v="2063.0"/>
        <n v="2064.0"/>
        <n v="2065.0"/>
        <n v="2066.0"/>
        <n v="2067.0"/>
        <n v="2068.0"/>
        <n v="2069.0"/>
        <n v="2070.0"/>
        <n v="2071.0"/>
        <n v="2073.0"/>
        <n v="2075.0"/>
        <n v="2076.0"/>
        <n v="2077.0"/>
        <n v="2078.0"/>
        <n v="2079.0"/>
        <n v="2080.0"/>
        <n v="2081.0"/>
        <n v="2084.0"/>
        <n v="2085.0"/>
        <n v="2086.0"/>
        <n v="2087.0"/>
        <n v="2088.0"/>
        <n v="2089.0"/>
        <n v="2090.0"/>
        <n v="2092.0"/>
        <n v="2093.0"/>
        <n v="2094.0"/>
        <n v="2095.0"/>
        <n v="2097.0"/>
        <n v="2099.0"/>
        <n v="2100.0"/>
        <n v="2102.0"/>
        <n v="2103.0"/>
        <n v="2104.0"/>
        <n v="2105.0"/>
        <n v="2106.0"/>
        <n v="2108.0"/>
        <n v="2109.0"/>
        <n v="2110.0"/>
        <n v="2111.0"/>
        <n v="2116.0"/>
        <n v="2117.0"/>
        <n v="2118.0"/>
        <n v="2119.0"/>
        <n v="2120.0"/>
        <n v="2121.0"/>
        <n v="2122.0"/>
        <n v="2123.0"/>
        <n v="2124.0"/>
        <n v="2125.0"/>
        <n v="2126.0"/>
        <n v="2129.0"/>
        <n v="2130.0"/>
        <n v="2131.0"/>
        <n v="2132.0"/>
        <n v="2133.0"/>
        <n v="2134.0"/>
        <n v="2136.0"/>
        <n v="2137.0"/>
        <n v="2138.0"/>
        <n v="2139.0"/>
        <n v="2140.0"/>
        <n v="2141.0"/>
        <n v="2142.0"/>
        <n v="2143.0"/>
        <n v="2145.0"/>
        <n v="2146.0"/>
        <n v="2147.0"/>
        <n v="2148.0"/>
        <n v="2149.0"/>
        <n v="2150.0"/>
        <n v="2151.0"/>
        <n v="2152.0"/>
        <n v="2153.0"/>
        <n v="2154.0"/>
        <n v="2155.0"/>
        <n v="2156.0"/>
        <n v="2157.0"/>
        <n v="2159.0"/>
        <n v="2160.0"/>
        <n v="2161.0"/>
        <n v="2162.0"/>
        <n v="2163.0"/>
        <n v="2164.0"/>
        <n v="2165.0"/>
        <n v="2166.0"/>
        <n v="2167.0"/>
        <n v="2168.0"/>
        <n v="2169.0"/>
        <n v="2170.0"/>
        <n v="2171.0"/>
        <n v="2172.0"/>
        <n v="2173.0"/>
        <n v="2174.0"/>
        <n v="2175.0"/>
        <n v="2176.0"/>
        <n v="2177.0"/>
        <n v="2178.0"/>
        <n v="2179.0"/>
        <n v="2180.0"/>
        <n v="2181.0"/>
        <n v="2182.0"/>
        <n v="2183.0"/>
        <n v="2184.0"/>
        <n v="2185.0"/>
        <n v="2187.0"/>
        <n v="2189.0"/>
        <n v="2191.0"/>
        <n v="2192.0"/>
        <n v="2193.0"/>
        <n v="2194.0"/>
        <n v="2198.0"/>
        <n v="2199.0"/>
        <n v="2200.0"/>
        <n v="2201.0"/>
        <n v="2202.0"/>
        <n v="2203.0"/>
        <n v="2204.0"/>
        <n v="2205.0"/>
        <n v="2206.0"/>
        <n v="2207.0"/>
        <n v="2208.0"/>
        <n v="2209.0"/>
        <n v="2210.0"/>
        <n v="2211.0"/>
        <n v="2212.0"/>
        <n v="2213.0"/>
        <n v="2214.0"/>
        <n v="2215.0"/>
        <n v="2216.0"/>
        <n v="2217.0"/>
        <n v="2218.0"/>
        <n v="2219.0"/>
      </sharedItems>
    </cacheField>
    <cacheField name="parentBountyID" numFmtId="0">
      <sharedItems containsSemiMixedTypes="0" containsString="0" containsNumber="1" containsInteger="1">
        <n v="11.0"/>
        <n v="13.0"/>
        <n v="17.0"/>
        <n v="10.0"/>
        <n v="19.0"/>
        <n v="24.0"/>
        <n v="22.0"/>
        <n v="33.0"/>
        <n v="32.0"/>
        <n v="27.0"/>
        <n v="37.0"/>
        <n v="38.0"/>
        <n v="31.0"/>
        <n v="42.0"/>
        <n v="43.0"/>
        <n v="46.0"/>
        <n v="36.0"/>
        <n v="50.0"/>
        <n v="39.0"/>
        <n v="40.0"/>
      </sharedItems>
    </cacheField>
    <cacheField name="status" numFmtId="0">
      <sharedItems>
        <s v="Claimed"/>
        <s v="Canceled"/>
        <s v="PendingPayout"/>
      </sharedItems>
    </cacheField>
    <cacheField name="description" numFmtId="0">
      <sharedItems>
        <s v="Child Bounty 1 - March 2022 - Dubstard"/>
        <s v="Child Bounty 1 - March 2022 - pastaMan"/>
        <s v="Child Bounty 1 - March 2022 - frankywild"/>
        <s v="Child Bounty 10 - March and April reward for General Curator Mark Crince"/>
        <s v="Child Bounty 10 - March and April reward for General Curator Abdulbee"/>
        <s v="Child Bounty 1 - April 2022 - Dubstard"/>
        <s v="Child Bounty 1 - April 2022 - pastaMan"/>
        <s v="Child Bounty 1 - April 2022 - frankywild"/>
        <s v="Child Bounty 1 - April 2022 - Vegas_life"/>
        <s v="Child Bounty 11 - April 2022 - Vegas life"/>
        <s v="Child Bounty 11 - April 2022 - Dubstard"/>
        <s v="Child Bounty 11 - April 2022 - Frankywild"/>
        <s v="Child Bounty 11 - April 2022 - pastaMan"/>
        <s v="Task 10 - May 2022 - Mark Crince Dot Control"/>
        <s v="Task 10 - May 2022 - Abdulbee"/>
        <s v="Task 1 - May 2022 - franky wild"/>
        <s v="Task1- May 2022 - pastaman"/>
        <s v="Task 11 - May 2022 - frankywild"/>
        <s v="Task 11 - May 2022 - pastaman"/>
        <s v="Task 2b - Database for sites takedown - pastaMan"/>
        <s v="Task 10 - June 2022 - Mark Crince"/>
        <s v="Task 11 - June 2022 - Frankywild"/>
        <s v="Task 11 - June 2022 - PastaMan"/>
        <s v="Task 10 - June 2022 - Abdulbee"/>
        <s v="Task 1 - June 2022 - Frankywild"/>
        <s v="Task 1 - June 2022 - PastaMan"/>
        <s v="Task 1 - June 2022 - Tim Janssen"/>
        <s v="Task 2b - July 2022 - Tim Janssen"/>
        <s v="July 2022 - Task 10 - Abdulbee"/>
        <s v="July 2022 - Task 11 - Frankywild"/>
        <s v="July 2022 - Task 11 - pastaMan"/>
        <s v="July 2022 - Task 11 - Tim Janssen"/>
        <s v="https://github.com/paritytech/frontier/security/advisories/GHSA-hc8w-mx86-9fcj"/>
        <s v="Typeform yearly subscription"/>
        <s v="Task 11 - July 2022 - PastaMan"/>
        <s v="Task 11 - July 2022 - Frankywild"/>
        <s v="Task 11 - July 2022 - Tim Jansen"/>
        <s v="Task 1 - August 2022 - PastaMan"/>
        <s v="Task 1 - August 2022 - Frankywild"/>
        <s v="Task 1 - August 2022 - Tim Janssen"/>
        <s v="Task 11 - August 2022 - frankywild"/>
        <s v="Task 11 - August 2022 - pastaMan"/>
        <s v="Task 11 - August 2022 - Tim Janssen"/>
        <s v="Task 10 - August 2022 - Abdulbee"/>
        <s v="Task 10 - August 2022 - BERRYZ"/>
        <s v="Task 2c - Educational material on how to detect scam sites and submit them for takedown - frankywild"/>
        <s v="Polkadot Metaverse Olympics - Budapest - Six"/>
        <s v="Polkadot World conference - Madrid - Albert Burgos"/>
        <s v="April Event in Paris; &quot;Polkadot Ecosystem Talks; Parachains and Beyond&quot; Zoe Meckbach"/>
        <s v="Polkadot Event in Berlin (May) - Polkadot Ecosystem talks - Building Metaverse and NFT Infrastructure- Zoe Meckbach"/>
        <s v="September Event in Berlin; &quot;UI/UX in Web3 and Beyond&quot; Zoe Meckbach"/>
        <s v="Vietnam Blockchain Summit side event - October'22 - SubWallet + ecosystem partners"/>
        <s v="Task 1 - September 2022 - PastaMan"/>
        <s v="Task 1 - September 2022 - Frankywild"/>
        <s v="Task 1 - September 2022 - Tim Janssen"/>
        <s v="Task 10 - Septebmer 2022 - BERRYZ"/>
        <s v="Task 10 General curator reward- Abdulbee"/>
        <s v="Task 11: Maintenance of phishing repo- frankywild "/>
        <s v="Task 11: Maintenance of phishing repo- pastaMan"/>
        <s v="Task 11: Maintenance of phishing repo- Tim Janssen"/>
        <s v="Task 2b - October 2022 - Tim Janssen"/>
        <s v="Polkadot meetups in Dodoma - Nicholaus Ngailo"/>
        <s v="DOTBrno - Damsky - November 10 2022"/>
        <s v="Sub0 side events: Breakfasts - November 28-29 - Alexandra Heller"/>
        <s v="Sub0 Dinner - Appilon - Phala - Lisbon Nov. 29"/>
        <s v="Task 5 - October 2022 - Frankywild"/>
        <s v="Task 5 - October 2022 - Tim Janssen"/>
        <s v="Task 11 - October 2022 - Frankywild"/>
        <s v="Task 11 - October 2022 - PastaMan"/>
        <s v="Task 11 - October 2022 - Tim Janssen"/>
        <s v="Task 10 - October 2022 - BerryZ"/>
        <s v="Task 1: Detection and takedown of scam/phishing sites- pastaMan"/>
        <s v="Task 1: Detection and takedown of scam/phishing sites- frankywild"/>
        <s v="Task 1: Detection and takedown of scam/phishing sites- Tim Janssen"/>
        <s v="Task 10 - October 2022 - Abdulbee"/>
        <s v="Task 2b: Database for DNS registrars- Tim Janssen"/>
        <s v="Polkadot Meetups in Munich - September and October - Saro Posa"/>
        <s v="Task 7 - Milestone 1 - Themanwithoutaname"/>
        <s v="Task 7 - Milestone 1 - Tim Janssen"/>
        <s v="Task 7 - Milestone 1 - Maarmapa"/>
        <s v="Polkadot Meetup at the Nile University in Abuja on May 12 by Maimunat Ibrahim"/>
        <s v="Polkadot Meetups in Kampala - From March 31 to October 28, 2022 - Kamala Immaculate"/>
        <s v="Introduction to Polkadot for developers - with the Macedonia Blockchain Group - October 12 - Dimche Risteski"/>
        <s v="Vietnam Blockchain Summit side event - Second distribution - October'22 - SubWallet + ecosystem partners "/>
        <s v="Sub0 Side Event - Closing Party - 28 November 2022 - Matheus Braga de Moraes and ecosystem teams"/>
        <s v="Polkadot Meetup in Brno - May 16, 2022 - Petr Mensik"/>
        <s v="Polkadot Community Meetup in Berlin - Nov 7, 2022 - Carina Hahn"/>
        <s v="Polkadot meetups in Kigali - From January 26 to September 30, 2022 - Joab Niwagaba"/>
        <s v="Polkameetup Latam in Santiago - January 14, 2022 - Maarmapa Maldonado"/>
        <s v="Polkadot meetup in Madrid - July 28, 2022 - Guillitolmo"/>
        <s v="Task 4: Discord Tools-Milestone1-Bread"/>
        <s v="The Sub0 Well-Being Retreat - Nov. 27-29, 2022 - Yip Ta"/>
        <s v="Sub0 Opening Event - Lisbon - 27th November 2022"/>
        <s v="ParisDotComm - July 29-21, 2022 - Team rewards"/>
        <s v="ParisDotComm - July 29-21, 2022 - Team rewards (part 2 - issue with plancks on child bounty 93)"/>
        <s v="Polkadot LATAM Day - December 15 - Mario Maldonado"/>
        <s v="Polkadot Meetup in Mexico - December 17 - Polkadot Mexico"/>
        <s v="Polkadot Meetups in Madrid - July 18 and Sept 1 - Guillermo and Rossmarie"/>
        <s v="reimbursement of funds for setting up anti-scam executive team accounts - Frankywild"/>
        <s v="Task 1 - November 2022 - Pastaman"/>
        <s v="Task 1 - November 2022 - Frankywild"/>
        <s v="Task 1 - November 2022 - Tim Janssen"/>
        <s v="Task 10 (General curator reward) - November 2022 - Mims4life"/>
        <s v="Task 11: Maintenance of phishing repo- frankywild"/>
        <s v="Polkadot Unbounded in BKK - Demember 10th - Phala and Polkadot Ambassadors"/>
        <s v="Task 10 (General curator reward) - November 2022 - Kamala Immaculate"/>
        <s v="Task 5 - Fixed child curator reward - November 2022 - Mims4life"/>
        <s v="Task 10 (General curator reward) - November 2022 - Abdulbee"/>
        <s v="Task 2b (Database for DNS registrars) - November 2022 - Tim Janssen"/>
        <s v="3 side events during the Polkadot Blockchain Academy in BA"/>
        <s v="Polkadot Metaverse Olympics - Budapest - Six - second payout"/>
        <s v="Polkadot World - Madrid - Albert - 2nd payout"/>
        <s v="Task 2b- Database of DNS registrars- Tim Janssen- December 2022"/>
        <s v="Task 11 - December 2022 - frankywild"/>
        <s v="Task 11 - December 2022 - PastaMan"/>
        <s v="Task 11 - December 2022 - Tim Janssen"/>
        <s v="Task 1: Detection and takedown of scam/phishing sites -December 2022 - pastaMan"/>
        <s v="Task 1: Detection and takedown of scam/phishing sites -December 2022 -frankywild"/>
        <s v="Task 1: Detection and takedown of scam/phishing sites -December 2022 - Tim Janssen"/>
        <s v="Task 5 - December 2022 - Tim Janssen"/>
        <s v="Task 5 - December 2022 - Frankywild"/>
        <s v="Bond for Anti-Scam bounty top-up"/>
        <s v="Polkadot Meetups in Gulu - Brian Ahimbisibwe - Jan.30 - April 3 - June 12 2022"/>
        <s v="Polkadot Meetups in Goma - Abraham Mugisha - Jan.30 -&gt; Sept 31 2022"/>
        <s v="Academy Open Nights - Jose Belossi (Pepe) - Jan 19th, 25th, and Feb 1st, 2023"/>
        <s v="Polkadot Event Mexico City - Cesar Garcia Escobedo - Aug 20-22, 2022"/>
        <s v="Polkadot in USe - EthDenver side event - by WebZero"/>
        <s v="Polkadot meetup in Soroti - Sept. 17, 2022 - Okot Joshua"/>
        <s v="Bounty Curator Fee: September - December 2022 - Zoe Meckbach"/>
        <s v="Bounty Curator Fee: September - December 2022 - Mark Ryan"/>
        <s v="Polkadot World 2nd Edition - Feb. 24 in Madrid - Rossmarie and Georgi"/>
        <s v="The Future of Polkadot event - Sub0 - November 30, 2022"/>
        <s v="Polkadot Meetup Feb. 11, 2023 - Central Asia - Alex PromoTeam"/>
        <s v="MetTel Innovation Summit 2023: Polkadot Sponsorship - April 25 - Alan Vey"/>
        <s v="Paris Blockchain Week: Women in Web3 Dinner - March 23 - Lea Narzis"/>
        <s v="Task 1 (sites takedown) - January and February 2023 - Pastaman"/>
        <s v="Task 1 (sites takedown) - January and February 2023 - Frankywild"/>
        <s v="Task 1 (sites takedown) - January and February 2023 - Tim Janssen"/>
        <s v="Rewards for 2 Meetups in Colombia - Simon Leon"/>
        <s v="Rewards for Introduction of Polkadot in Kigali City - Joab Niwagaba"/>
        <s v="13th Polkadot Meetup in Hungary - Vktrometer#8040"/>
        <s v="Rewards for 2 Polkadot Meetups in Munich - Saro Posa"/>
        <s v="1st Meetup at the Polkadot Hub in Bali - Gabor"/>
        <s v="Rewards for Central Asia Polkadot Days - Alex Promoteam"/>
        <s v="14th Polkadot Hungary Meetup in Budapest - Vktrometer#8040"/>
        <s v="Rewards for Polkadot World meetup in Madrid - Georgi Ivanov"/>
        <s v="Task 10 (General curator reward) - December 2022, January/February 2023 - Mims4life"/>
        <s v="Task 10 (General curator reward) - Second half of February 2022 - Cappex"/>
        <s v="Task 11- Maintenance of phishing repo (January and February reward)- frankywild"/>
        <s v="Task 11-Maintenance of phishing repo (January and February reward)- pastaMan "/>
        <s v="Task 11-Maintenance of phishing repo (January and February reward) - Tim Janssen "/>
        <s v="Task 10 General Curator reward (December, January and February)- KANDY"/>
        <s v="Task 10- GC- Abdulbee- December, February, January"/>
        <s v="Polkadot Side Event during Web3 festival in Hong Kong - Hao Ding - April 11, 2023"/>
        <s v="Lightning Boat - Dam Sky - December 5, 2022"/>
        <s v="EU Ambassador Gathering - Barcelona - Mimi and Albert"/>
        <s v="Polkasunset - Feb 6th, 2023, Jose Belossi"/>
        <s v="Task 5- Taking down sites- Tim Janssen- January and Febuary"/>
        <s v="Task 5- Taking down sites- frankywild-January February"/>
        <s v="Task 2b- Database of DNS Registrars(January and February rewards)- Tim Janssen "/>
        <s v="ZK Hackathon - Lisbon - Hector "/>
        <s v="Beyond The Chain Vietnam: Stepping Into Web3 With Polkadot - April 8, 2023 - Mabel Nguyen"/>
        <s v="2 Polkadot Meetups in Dubai - Angela K. - January 26 and March 4, 2023"/>
        <s v="Meetup rewards - Polkadot Meetup in Dubai - January 26, 2023 - Angela K."/>
        <s v="Meetup rewards - 3 Polkadot Meetups in Ljubljana - October - February 2023 - Patrik K."/>
        <s v="Meetup rewards - Polkadot Meetup in Zagreb - February 16 2023 - Patrik K."/>
        <s v="Blockchain Week - Rome - May - Marco"/>
        <s v="3 side events during the Polkadot Blockchain Academy in BA - payout difference minus leftover budget"/>
        <s v="Zprize collab winners 1"/>
        <s v="Zprize collab winners 2"/>
        <s v="Zprize collab winners 3"/>
        <s v="Task 5 - March 2023 - Frankywild"/>
        <s v="Task 5 - March 2023 - Tim Janssen"/>
        <s v="Task 10 (GC Reward) - March 2023 - Cappex"/>
        <s v="Task 1-Detection and takedown of scam/phishing sites march 2023 reward-pastaMan "/>
        <s v="Task 1-Detection and takedown of scam/phishing sites march 2023 reward- frankywild"/>
        <s v="Task 1-Detection and takedown of scam/phishing sites march 2023 reward- Tim Janssen"/>
        <s v="Task 10- General curator reward march 2023- Abdulbee"/>
        <s v="Task 2b- Databases for DNS Registrars March 2023 reward- Tim Janssen"/>
        <s v="Task 10 - March 2023 - General Curator rewards - Mims4life"/>
        <s v="Berlin Blockchain Week - WebZero - second payout"/>
        <s v="Academy Open Nights - Jose Belossi (Pepe) - second payout"/>
        <s v="Task 10 - March 2023 - General Curator rewards - Kamala"/>
        <s v="Task 7 - Milestone 2+3 - Paradox"/>
        <s v="Task 7 - Milestone 2+3 - cmalize"/>
        <s v="Task 7 - Milestone 2+3 - themanwithoutaame"/>
        <s v="Task 7 Milestone 2+3 - Tim Janssen"/>
        <s v="Task 7 Milestone 2+3 - Maarmapa "/>
        <s v="Task 11 - March 2023 - Frankywild"/>
        <s v="Task 11 - March 2023 - Pastaman"/>
        <s v="Task 11 - March 2023 - Tim Janssen"/>
        <s v="Task 6- Have different entities add the GH phishing repo to their databases (one-off) milestones 1 +2  rewards -Maarmapa "/>
        <s v="Paris Blockchain Week: Women in Web3 Dinner - Lea Narzis - Outstanding Reward"/>
        <s v="6 to 8 Polkadot Meetups in the Adriatic region - Patrik K - From April to August, 2023"/>
        <s v="PolkadotBled Mini-Conference - Damsky  - April 29, 2023"/>
        <s v="Polkadot Side event - Austin Consensus - WebZero"/>
        <s v="Polkadot in USe - Denver - 2nd payout - WebZero"/>
        <s v="https://github.com/paritytech/frontier/security/advisories/GHSA-fcmm-54jp-7vf6"/>
        <s v="Polkadot at BlockSplit: sponsorship and side event - May 22-24 - Xylo Drone"/>
        <s v="Polkadot Workshop in Spanish (Rust, Ink! and Substrate courses) in Mexico City - June 7-9 - Polkadot Hub"/>
        <s v="6 Polkadot Meetups in San Francisco with Ecosystem Teams - from April 24 - Yuvia Mendoza"/>
        <s v="HackaDOT 2023 - June 9-11 - Soyoun(Raf)Jung"/>
        <s v="Task 1 (sites takedown) - April 2023 - Pastaman"/>
        <s v="Task 1 (sites takedown) - April 2023 - Frankywild"/>
        <s v="Task 1 (sites takedown) - April 2023 - Tim Janssen"/>
        <s v="General curator reward - Cappex - April 2023"/>
        <s v="General Curator Reward -  Abdulbee - April 2023"/>
        <s v="General Adminstration task reward - Abdulbee - April 2023"/>
        <s v="General Adminstration task reward - FrankyWild - April 2023"/>
        <s v="General Adminstration task reward - Paradox - April 2023"/>
        <s v="General Adminstration task reward - Tim Janssen - April 2023"/>
        <s v="Task 11 - April 2023 - Frankywild"/>
        <s v="Task 11 - April 2023 - Pastaman"/>
        <s v="Task 11 - April 2023 - Tim Janssen"/>
        <s v="General Curator reward-April 2023- Kamala Immaculate"/>
        <s v="General Administration reward-Cmalize-April 2023"/>
        <s v="Task 2b (Database for DNS registrars) - April 2023 - Tim Janssen"/>
        <s v="Task 7 (Education) - Milestone 4 - Tim Janssen"/>
        <s v="Task 7 (Education) - Milestone 4 - cmalize"/>
        <s v="Task 7 (Education) - Milestone 4 - Maarmapa"/>
        <s v="Task 7 (Education) - Milestone 4 - Javier"/>
        <s v="General administration task - April 2023 - Pastaman"/>
        <s v="Online event: Polkadot Blockchain Academy Q&amp;A - Dimche R - April 3"/>
        <s v="Polkadot Meetup Ljubljana - Patrik K. - April 12"/>
        <s v="Polkadot Meetup Zagreb - Patrik K. - April 25"/>
        <s v="Polkadot Hub Meetup oin Bali - Kresna S. - February 16"/>
        <s v="Introduction to Polkadot's interoperability protocol: XCMP - Viktor V. - March 31"/>
        <s v="Polkadot Meetup in Medellin - Donatello L. - February 23"/>
        <s v="6 Polkadot Meetups in Arusha - Danson T. February - November 2022"/>
        <s v="Limechain - Polkadot Java Host"/>
        <s v="Decoded Viewing Party - Maracaibo, Venezuela - Arlette S."/>
        <s v="Decoded Viewing Party - Hanoi, Vietnam - DJ Ha Trang"/>
        <s v="Decoded Viewing Party - Bogota, Colombia - Santiago G."/>
        <s v="NFTs in Prague - KodaCon - June"/>
        <s v="Polkadot Prague - June 5 - KodaCon team"/>
        <s v="Polkadot sponsorship UTXO.23 Prague - June 3 - KodaCon"/>
        <s v="Primavera Pro Madrid - PolkaHaus - May 2023"/>
        <s v="Web3 Foundation - Messari Mainnet - 22 September, 2022"/>
        <s v="Web3 Foundation - BarCamp - 30 November and 1 December 2022"/>
        <s v="Task 1 - May 2023 - Pastaman"/>
        <s v="Task 1 - May 2023 - Frankywild"/>
        <s v="Task 1 - May 2023 - Tim Janssen"/>
        <s v="General administration reward - May 2023 - Frankywild"/>
        <s v="General Curator Reward -  Abdulbee - May 2023"/>
        <s v="General Adminstration task reward - Abdulbee - May 2023"/>
        <s v="General Curator Reward- May 2023-Kamala"/>
        <s v="General Admin Reward-May 2023- Pastaman"/>
        <s v="General Admin Reward-May 2023-Cmalize"/>
        <s v="ParisDotComm - July - Polkadot Francophonie"/>
        <s v="Polkadot Blockchain Academy - Buenos Aires - PolkaSunset 2nd payout"/>
        <s v="General Adminstration task reward - Paradox - May 2023"/>
        <s v="General Adminstration task reward - Tim Janssen - May 2023"/>
        <s v="GC reward - May 2023 - Cappex"/>
        <s v="General Curator Reward - Grizzly - May 2023"/>
        <s v="Task 11 - May 2023 - Frankywild"/>
        <s v="Task 11 - May 2023 - Pastaman"/>
        <s v="Task 11 - May 2023 - Tim Janssen"/>
        <s v="Task 5 May 2023 - Tim"/>
        <s v="POLKADOT JAPAN TOUR 2023 - June 28 - July 26 - Shunsuke Yoshioka"/>
        <s v="Polkadot @ NFT Biarritz - August 21 - G'"/>
        <s v="Polkadot Meetup @ BUIDL Vietnam 2023 - Cris Nguyen - June 26, 2023"/>
        <s v="sub0 Side event Closing Party - t3rn - November 28, 2022"/>
        <s v="Polkadot Blockchain Academy: Side Event in San Francisco - March 29, 2023"/>
        <s v="Polkadot Decoded Satellite Event in Hanoi - July 2023 - Trang Nguyen Subwallet Team"/>
        <s v="Polkadot Decoded Satellite Event in Buenos Aires - July 6 - Polkadot Hub LATAM"/>
        <s v="Decoded 2023 - Viewing Party in Helsinki, Finland"/>
        <s v="Decoded 2023 - Viewing Party in Buenos Aires, Argentina"/>
        <s v="Decoded 2023 - Viewing Party in Guadalajara, Mexico"/>
        <s v="Decoded 2023 - Viewing Party in Monterrey, Mexico"/>
        <s v="Decoded 2023 - Viewing Party in Lima, Peru"/>
        <s v="Decoded 2023 - Viewing Party in Curitiba, Brazil"/>
        <s v="Decoded 2023 - Viewing Party in Omaha, Nebraska, USA"/>
        <s v="Decoded 2023 - Viewing Party in Patagonia, Argentina"/>
        <s v="Decoded 2023 - Viewing Party in Arusha, Tanzania"/>
        <s v="Decoded 2023 - Viewing Party in Mexico City, Mexico"/>
        <s v="Decoded 2023 - Viewing Party in Kigali, Rwanda"/>
        <s v="Decoded 2023 - Viewing Party in Kampala, Uganda"/>
        <s v="Decoded 2023 - Viewing Party in New York City, USA"/>
        <s v="Decoded 2023 - Viewing Party in Colombo, Sri Lanka"/>
        <s v="Decoded 2023 - Viewing Party in Indianapolis, USA"/>
        <s v="Decoded 2023 - Viewing Party in Coimbatore, India"/>
        <s v="Decoded 2023 - Viewing Party in Tampa, USA"/>
        <s v="Decoded 2023 - Viewing Party in Taipei, Taiwan"/>
        <s v="Decoded 2023 - Makati City, Metro Manila, Philippines"/>
        <s v="Decoded 2023 - Viewing Party in Rio Grande, Argentina"/>
        <s v="Decoded 2023 - Viewing Party in Bangalore, India"/>
        <s v="Decoded 2023 - Viewing Party in Makati City, Metro Manila, Philippines"/>
        <s v="Decoded 2023 - Viewing Party in Dallas, USA"/>
        <s v="Decoded 2023 Viewing Party in Madrid, Spain"/>
        <s v="Decoded 2023 Viewing Party in Goma, DRC"/>
        <s v="Decoded 2023 Viewing Party in Singapore"/>
        <s v="Decoded 2023 Viewing Party in Bali, Indonesia"/>
        <s v="Polkadot Decoded extraordinary Side Event 2023 - Dubai - Hatem"/>
        <s v="Decoded Viewing Party - Aba Nigeria - Malize fred"/>
        <s v="Decoded Viewing Party - Rio de Janeiro - Raphael Kling"/>
        <s v="Decoded Viewing Party - Tashkent, Uzbekistan - Alex PromoTeam"/>
        <s v="Decoded Viewing Party - Ashley Wright - Toronto Canada"/>
        <s v="Decoded 2023 Viewing Party in Montreal, Quebec, Canada"/>
        <s v="Decoded 2023 Viewing Party in Belgrade, Serbia"/>
        <s v="Decoded 2023 Viewing Party in Budapest, Hungary"/>
        <s v="Decoded 2023 Viewing Party in Stamford Connecticut, USA"/>
        <s v="Decoded 2023 Viewing Party in Sao Paulo, Brazil"/>
        <s v="Polkadot in Blockchain Sao Paulo - Eduardo Cardoso, Maarapa, and Lui5 - June 2023"/>
        <s v="Panel and Networking Event for the Polkadot Ecosystem - Polkadot Decoded Side Event - June 29 - WebZero"/>
        <s v="Social Hour @ Polkadot Decoded 2023 - June 27 - Zoe Meckbach"/>
        <s v="ParisDotComm 2023 - 2nd allocation - July 18-20"/>
        <s v="Task 1 - June 2023 - Pastaman"/>
        <s v="Task 1 - June 2023 - Frankywild"/>
        <s v="Task 1 - June 2023 - Tim Janssen"/>
        <s v="Task 2b - June 2023 - Tim Janssen"/>
        <s v="Task 10 - June 2023 - Cappex"/>
        <s v="General Administration Task Reward- Kamala- June 2023"/>
        <s v="General Administration Task Reward- CMalize- June 2023"/>
        <s v="General Administration Task Reward- Pastaman- June 2023"/>
        <s v="General Adminstration task reward - Paradox - June 2023"/>
        <s v="General Adminstration task reward - Tim Janssen - June 2023"/>
        <s v="General Curator Reward - Grizzly - June 2023"/>
        <s v="Task 10 - June 2023 - Abdulbee"/>
        <s v="General Adminstartion Task - Abdulbee"/>
        <s v="General Adminstartion Task - frankywild"/>
        <s v="Task 5 June 2023 - Tim"/>
        <s v="Task 5 June 2023 - FrankyWild"/>
        <s v="Task 11 - June 2023 - Frankywild"/>
        <s v="Task 11 - June 2023 - Pastaman"/>
        <s v="Task 11 - June 2023 - Tim Janssen"/>
        <s v="PBA Opening Pary - Nodle and PolkaHaus - San Fransisco, CA"/>
        <s v="sub0 side event closing party - 2nd allocation - November 28, 2022"/>
        <s v="Polkadot Meetup in Zug - May 31 - David Bakk"/>
        <s v="Polkadot Meetup in Munich #5 - June 2nd - Saro Posa"/>
        <s v="Polkadot Meetup in Bulgaria - June 17 - Kristiyan G"/>
        <s v="Performance Improvements for Reed Solomon Erasure Coding - M1"/>
        <s v="Polkadot Meetup in Montevideo - February 23 - Mario Maldonado"/>
        <s v="Web3 Weekends Tashkent - March 2023 - Alex Morozov "/>
        <s v="Polkadot Meetup Ljubljana - June 15 - Patrik Kogoj "/>
        <s v="Web3 Hackfest 2023 - Ho Chi Minh, Vietnam - Subwallet Team"/>
        <s v="Protocol Berg, 2023 - Kreuzberg, Berlin -Raul Romanutti "/>
        <s v="Blockchain Futurist Conf. Side Event with PizzaDAO - Toronto, Canada - AJ Recana"/>
        <s v="PBA Closing Party - San Fransisco, USA - Oak Network"/>
        <s v="GC reward - July 2023 - Grizzly"/>
        <s v="Task 2b - July 2023 - Tim Janssen"/>
        <s v="Task 7 - Milestone 5 (Quiz) - Tim janssen"/>
        <s v="Task 7 - Milestone 5 (infographic) - cmalize"/>
        <s v="Task 7 - milestone 5 - Video + task management - maarmaapa"/>
        <s v="Task 7 - milestone 5 (article) - Javier"/>
        <s v="Task 7 - milestone 5 (slides) - Paradox"/>
        <s v="Task 7 - Milestone 5 (Editing/proofreading) - Michelle"/>
        <s v="General Adminstration task reward - Abdulbee - July 2023"/>
        <s v="General Adminstration task reward - Franky - July 2023"/>
        <s v="General Curator Reward - Abdulbee - July 2023"/>
        <s v="General Curator reward -July 2023 - Cappex"/>
        <s v="General Admin Task - July 2023 - Paradox"/>
        <s v="General Admin Task -July 2023 - Tim"/>
        <s v="Task 11 - July 2023 - Frankywild"/>
        <s v="Task 11 - July 2023 - Pastaman"/>
        <s v="Task 11 - July 2023 - Tim Janssen"/>
        <s v="Task 1 Rewards- July 2023- Pastaman"/>
        <s v="Task 1 Rewards- July 2023- FrankyWild"/>
        <s v="Task 1 Rewareds- July 2023- Tim Janssen"/>
        <s v="Task 1 Rewards- July 2023- Cmalize"/>
        <s v="Task 5- Taking down sites - Jully 2023  reward - Tim"/>
        <s v="Task 5 - Taking down sites - July 2023 reward - FrankyWild"/>
        <s v="Task 1 rewards- July 2023- Tim Janssen"/>
        <s v="General Curator Rewards- July 2023- Kamala"/>
        <s v="General Curator Rewards- July 2023- Pastaman"/>
        <s v="General Curator Rewards- July 2023- Cmalize "/>
        <s v="Polkadot @ Bali Blockchain Week SOULBOUND - Kresna Sucandra - August 22-23"/>
        <s v="Web3Foundation - Wanxiang Blockchain Week - September 2022"/>
        <s v="Polkadot Prodigy Hackathon - Georgi Ivanov - September 2023"/>
        <s v="Events Bounty Curator Reward - Zoe Mechbach - Jan-April 2023"/>
        <s v="Events Bounty Curator Reward - Mark Ryan - Jan-April 2023"/>
        <s v="Polkadot @ Blockchain Rio 2023 - Sept 12-14, 2023 - John Rhodel"/>
        <s v="House of Chaos - Berlin Blockchain Week - WebZero"/>
        <s v="General Administration - August 2023 - Pastaman"/>
        <s v="General Administration - August 2023 - Tim Janssen"/>
        <s v="General Curation - August 2023 - Grizzly"/>
        <s v="General administration abdulbee - august 2023"/>
        <s v="General administration frankywild - august 2023"/>
        <s v="General administration cmalize - august 2023"/>
        <s v="General curation abdulbee - august 2023"/>
        <s v="General Curation- Kamala Immaculate#5476- August 2023"/>
        <s v="Maintenance of phishing repo- Tim Janssen (Won't DM)#8682- August 2023"/>
        <s v="Maintenance of phishing repo- frankywild#8573- August 2023"/>
        <s v="Maintenance of phishing repo- pastaMan#9738- August 2023 "/>
        <s v="General Curator Reward- Cappex-August 2023"/>
        <s v="Task 2b (DNS registrars) - August 2023 - Tim Janssen"/>
        <s v="Task 1 Reward- FrankyWild- August 2023"/>
        <s v="Task 1 Rward - PastaMan-August 2023"/>
        <s v="Task 1 Reward- Tim Janssen"/>
        <s v="Task 1 FrankyWild- August 2023"/>
        <s v="Task 1 Reward- PastaMan"/>
        <s v="Task 5 Reward-FrankyWild- August 2023"/>
        <s v="Task 5 Reward- Tim Janssen- August 2023"/>
        <s v="Mainnet New York - Polkadot and Frens Dinner - AJ and Dillon"/>
        <s v="EthRome sponsorship and hackathon - Rome- Pepe Senior Ambassador "/>
        <s v="Sub0 breakfast - Lisbon - Aurora KodaDot"/>
        <s v="Cosmoverse sponsorship - Istanbul - Composable finance "/>
        <s v="Sub0 opening party - Lisbon - WebZero"/>
        <s v=" Sub0 breakfast - Lisbon - Aurora KodaDot"/>
        <s v="EthRome sponsorship and hackathon - Rome- Pepe Senior Ambassador"/>
        <s v=" Cosmoverse sponsorship - Istanbul - Composable finance"/>
        <s v="Sub0 Closing Party - WebZero - Lisbon"/>
        <s v="DOT HK Day - Vincent Chan - Honk Kong"/>
        <s v="Polkadot @Messari Mainnet - W3F - New York City"/>
        <s v="General Adminstration task reward - Abdulbee - September 2023"/>
        <s v="General Adminstration task reward - Tim - September 2023"/>
        <s v="General Curator Reward - Abdulbee - September 2023"/>
        <s v="General Admin bounty - September 2023 - Paradox"/>
        <s v="General Curator reward - September 2023 - Cappex"/>
        <s v="Maintenance of Phishing repo - September 2023 - Frankywild"/>
        <s v="Maintenance of Phishing repo - September 2023 - Pastaman"/>
        <s v="Maintenance of Phishing repo - September 2023 - Tim Janssen"/>
        <s v="General Admin Task - September 2023 - PastaMan"/>
        <s v="General Adim Task - September 2023 - FrankyWild "/>
        <s v="General Curator Rewad - September 2023 - Grizzly"/>
        <s v="General Administration-September 2023- CMalize"/>
        <s v="General Curation- September 2023- Kamala "/>
        <s v="Task 2b (DNS registrars) - September 2023 - Tim Janssen"/>
        <s v="Task 1 rewards- September 2023- Pastaman"/>
        <s v="Task 1 rewards- September 2023- Frankywild"/>
        <s v="Task 1 rewards- September 2023- TimJanssen"/>
        <s v="Test transaction to Facilitator address"/>
        <s v="Task 5 - Social Media Takedown - September 2023- Tim Janssen"/>
        <s v="Task 5 - Social Media Takedown - September 2023- FrankyWild"/>
        <s v="Payment to MuFi for achitecture milestone"/>
        <s v="Payment to OpenZeppelin for OpenBrush security review"/>
        <s v="Hackadot 2023 -  Sang-Hyun Rhee - South Korea"/>
        <s v="Polkadot Championship 2023 - David Pethes - Budapest"/>
        <s v="Cryto Expo Milan - Patrizia De Bella - Milan"/>
        <s v="Fintech Summit Online Sponsorship - Petr Mensik - Czech Republic"/>
        <s v="Moderation team bounty - 1/2August + September - Frankywild"/>
        <s v="Moderation team bounty - 1/2August + September - LV"/>
        <s v="Moderation team bounty - 1/2August + September - MC"/>
        <s v="Moderation team bounty - 1/2August + September - Mudlebee"/>
        <s v="Moderation team bounty - 1/2August + September - PastaMan"/>
        <s v="Moderation team bounty/curation - 1/2August + September - Abdulbee"/>
        <s v="Moderation team bounty/curation - 1/2August + September - GrizzlyAdams"/>
        <s v="Moderation team bounty - 1/2August + September - Cappex"/>
        <s v="Moderation team bounty - 1/2August + September - Gr33n"/>
        <s v="Moderation team bounty - 1/2August + September - Maarmapa"/>
        <s v="Moderation team bounty - 1/2August + September - MisterCole"/>
        <s v="Moderation team bounty - 1/2August + September - Paradox"/>
        <s v="Moderation team bounty - 1/2August + September - Tim Janssen"/>
        <s v="The second tranche of the Fruhzin/Limechain"/>
        <s v="Payment to Bright Inventions for Milestone 1"/>
        <s v="Payment to Protofire for Milestone 1"/>
        <s v="Payment to Starlay Finance for Milestone 1-1 and 1-2"/>
        <s v="Payment to ChainIDE + Polkaholic for Milestone 1"/>
        <s v="Moderation team bounty - october 2023 - Gr33n"/>
        <s v="Moderation team bounty - october 2023 - Maarmapa"/>
        <s v="Moderation team bounty - october 2023 - MC"/>
        <s v="Moderation team bounty - october 2023 - Mudlebee"/>
        <s v="Moderation team bounty - october 2023 - Paradox"/>
        <s v="Moderation Team reward - October 2023 - Bounty Curator abdulbee"/>
        <s v="Moderation Team reward - October 2023 - Bounty Curator GrizzlyAdams"/>
        <s v="Moderation team bounty- Oct 2023- Cappex"/>
        <s v="Moderation team bounty- Oct 2023- FrankyWild"/>
        <s v="Moderation team bounty- Oct 2023- LV"/>
        <s v="Moderation team bounty- Oct 2023- Mister_Cole"/>
        <s v="Moderation team bounty- Oct 2023- PastaMan"/>
        <s v="Moderation team bounty- Oct 2023- Tim Janssen"/>
        <s v="General curation - Cappex - October 2023"/>
        <s v="Educational track management - Maarmapa - September and October 2023"/>
        <s v="Payment to Archisinal for Milestone 1"/>
        <s v="General administration October 2023 abdulbee"/>
        <s v="General administration October 2023 Tim Janssen"/>
        <s v="General curation October 2023 abdulbee"/>
        <s v="Website hosting October 2023 frankywild"/>
        <s v="Payment to Oak Security for Starlay Finance Security Audit"/>
        <s v="General administration Task- Pastaman - October 2023"/>
        <s v="General administration Task- FrankyWild- October 2023"/>
        <s v="General Curator- Grizzly- October 2023"/>
        <s v="one-time-task- Maarmapa- October 2023"/>
        <s v="General Administration- Oct 2023- Cmalize"/>
        <s v="General Curation- Oct 2023- Kamala"/>
        <s v="Task 1 - October 2023 - Pastaman"/>
        <s v="Task 1 - October 2023 - Tim Janssen"/>
        <s v="Task 1 - October 2023 - Frankywild"/>
        <s v="Task 5 - October 2023 Tim Janssen"/>
        <s v="Task 2b (DNS registrars) - October 2023 - Tim Janssen"/>
        <s v="Maintenance of repo- October 2023- Pastaman"/>
        <s v="Maintenance of repo- October 2023- Frankywild"/>
        <s v="Maintenance of repo- October 2023- TimJanssen"/>
        <s v="Payment to Decentralized Oracles - Milestone 1 - VRF"/>
        <s v="Payment to Starlay Finance for Milestone 2"/>
        <s v="abdulbee#4681 - Curator Reward - November 2023"/>
        <s v="GrizzlyAdams[3/75]#4892 - Curator Reward - November 2023"/>
        <s v="Moderation bounty- November 2023- Gr33nHatt3r"/>
        <s v="Moderation bounty- November 2023- Maarmapa"/>
        <s v="Moderation bounty- November 2023- MC"/>
        <s v="Moderation bounty- November 2023- Muddlebee"/>
        <s v="Moderation bounty- November 2023- Paradox"/>
        <s v="Moderation team bounty - November 2023 - Cappex"/>
        <s v="Moderation team bounty - November 2023 - LV"/>
        <s v="Moderation team bounty - November 2023 - Mister_cole"/>
        <s v="Moderation team bounty - November 2023 - Pastaman"/>
        <s v="Moderation team bounty - November 2023 - Frankywild"/>
        <s v="Moderation team bounty - November 2023 - Tim Janssen"/>
        <s v="Java Host (Fruzhin) Phase 2 child bounty 1st tranche"/>
        <s v="General Administration Task - Paradox - November 2023"/>
        <s v="General Curator - Cappex - November 2023"/>
        <s v="General Admin reward - Pastaman - November 2023"/>
        <s v="General Admin reward - Cmalize - November 2023"/>
        <s v="General curation reward - Grizzly - November 2023"/>
        <s v="Maintenance of phishing repo - November 2023 - Tim Janssen"/>
        <s v="Maintenance of phishing repo - November 2023 - Frankywild"/>
        <s v="Maintenance of phishing repo - November 2023 - Pastaman"/>
        <s v="General curation November 2023 Abdulbee"/>
        <s v="Admin-Op track November 2023 Abdulbee"/>
        <s v="Educational track October 2023 Maarmapa"/>
        <s v="Outreach track November 2023 Grizzlyadams"/>
        <s v="General curation- November 2023- KamalaImmaculate"/>
        <s v="Proactive track Management-November 2023- FrankyWild"/>
        <s v="Reactive track management- November 2023- TimJanssen"/>
        <s v="Task 1 - November 2023 - Frankywild"/>
        <s v="Task 1 - November 2023 - Pastaman"/>
        <s v="Task 1 - November 2023 - Tim Janssen"/>
        <s v="curator expenses"/>
        <s v="Task 5- Social media take down rewards- November 2023- TimJanssen"/>
        <s v="Soulbound Bali - Kreshna Sucandra - August 2023"/>
        <s v="Polkadot Now India - Rish Kumar - April 2023"/>
        <s v="Events Bounty Curator Reward - Zoe Mechbach - May-August 2023"/>
        <s v="Events Bounty Curator Reward - Mark Ryan - May-August 2023"/>
        <s v="Polkadot Bled Mini conf - KodaDot - April 2023"/>
        <s v="The Future of Polkadot - KodaDot - November 2022"/>
        <s v="NFTs In Prague - KodaDot - June 2023"/>
        <s v="KODA. Onchain Exhibition - KodaDot - September 2023"/>
        <s v="Sub0 closing Party - WebZero - September 2023"/>
        <s v="Berlin House of Chaos - WebZero - September 2023"/>
        <s v="Monetvideo Meetup Difference - Mario Maarmapa - February 2023"/>
        <s v="Blockchain Sao Paolo difference - Mario Maarmapa - June 2023"/>
        <s v="Payment to Bright Inventions for Milestone 2"/>
        <s v="Mod team bounty - December 2023 - Mister_cole"/>
        <s v="Mod team bounty - December 2023 - Paradox"/>
        <s v="Mod team bounty - December 2023 - Frankywild"/>
        <s v="Mod team bounty - December 2023 - MC"/>
        <s v="Mod team bounty - December 2023 - Tim"/>
        <s v="Mod team bounty - December 2023 - Gr33n"/>
        <s v="Mod team bounty + curator fees - December 2023 - Grizzly"/>
        <s v="Mod team bounty + curator fees - December 2023 - Abdulbee"/>
        <s v="Mod team bounty - December 2023 - Cappex"/>
        <s v="Mod team bounty - December 2023 - Maarmapa"/>
        <s v="Mod team bounty - December 2023 - Pastaman"/>
        <s v="Mod team bounty - December 2023 - Muddlebee"/>
        <s v="Mod team bounty - December 2023 - LV"/>
        <s v="phala-c4-2401"/>
        <s v="acala-c4-2401"/>
        <s v="Reactive track management - December 2023 - Tim Janssen"/>
        <s v="General Administration - December 2023 - Pastaman"/>
        <s v="General Administration - December 2023 - Cmalize"/>
        <s v="General curation - Decembe 2023 - Cappex"/>
        <s v="General Curator - Abdulbee - December 2023"/>
        <s v="Admin-Op track - December 2023 - Abdulbee"/>
        <s v="Admin-Op track - December 2023 - FrankyWild"/>
        <s v="General Adiminstation -December 2023- Paradox"/>
        <s v="One-Time-Task - December 2023 - Grizzly"/>
        <s v="Outreach Track December - Grizzly"/>
        <s v="General Curation December - Grizzly"/>
        <s v="Task 1 December - Franky"/>
        <s v="Task 1 December - PastaMan"/>
        <s v="Task 1 December - Tim"/>
        <s v="Repo Maintenance- December 2023- Franky"/>
        <s v="Repo Maintenance- December 2023- TimJanssen"/>
        <s v="Repo Maintenance- December 2023- Pastaman"/>
        <s v="Track management- Dec 2023- Maarmapa"/>
        <s v="General curation- Dec 2023- Kamala "/>
        <s v="t3rn-srl-2401"/>
        <s v="Payment to Lucky Team for Milestone 2"/>
        <s v="hydradx-c4-2401"/>
        <s v="Exiled Racers Trackmeet - Exiled Racers - NYC, NY"/>
        <s v="PolkadotDevs: MeetUp Series - Vasiliki Tani - Athens/Vienna"/>
        <s v="Polkadot at ETHDenver 2024 - Distractive - Denver, CO"/>
        <s v="4 Meetups in LATAM - Simonn Leon - Various Countries"/>
        <s v="5 Meetups in Bali - Kresna Sucandra - Bali"/>
        <s v="9 Meetups in Hungary - Viktor / Polkadot Hungary - Budapest, Hungary"/>
        <s v="Polkadot Munchen Meetup - Saro Posa - Munchen, Germany"/>
        <s v="Task 5 - December 2023 - frankywild"/>
        <s v="task 5 - December 2023 - Tim janssen"/>
        <s v="Task 5 - December 2023 - Tramymsa"/>
        <s v="bifrost-oak-2401"/>
        <s v="astar-srl-2312"/>
        <s v="Moderation team bounty - Jan 2024 - Cappex"/>
        <s v="Moderation team bounty - Jan 2024 - frankywild"/>
        <s v="Moderation team bounty - Jan 2024 - Grizzly"/>
        <s v="Moderation team bounty - Jan 2024 - LV"/>
        <s v="Moderation team bounty - Jan 2024 - Mister_Cole"/>
        <s v="Moderation team bounty - Jan 2024 - Pastaman"/>
        <s v="Moderation team bounty - Jan 2024 - Tim Janssen"/>
        <s v="Moderation team bounty-January 2024- Abdulbee"/>
        <s v="Moderation team bounty- January 2024- Gr33nHatt3R"/>
        <s v="Moderation team bounty- January 2024- Maarmapa"/>
        <s v="Moderation team bounty- January 2024- MC"/>
        <s v="Moderation team bounty- January 2024- Muddlebee"/>
        <s v="Moderation team bounty-January 2024- Paradox "/>
        <s v="The Blockspace at ETHDenver - WebZero - Denver, CO"/>
        <s v="PMEI ETHDenver Closing Party - PMEI - Denver CO"/>
        <s v="Typefully reimbursement - Grizz"/>
        <s v="Proactive track management - January 2024 - Frankywild"/>
        <s v="Outreach track management - January 2024 - GrizzlyAdams"/>
        <s v="General curation - January 2024 - GrizzlyAdams"/>
        <s v="Task 1 - January 2024 - Frankywild"/>
        <s v="Task 1 - January 2024 - Pastaman"/>
        <s v="Task 1 - January 2024 - Tim Janssen"/>
        <s v="General Curator- Capppex - January 2024"/>
        <s v="Task 2b-Database for DNS registrars - Tim Janssen - January 2024"/>
        <s v="abdulbee admin/op track January 24"/>
        <s v="Maarmapa educational track January 24"/>
        <s v="pastaMan General administration January 24"/>
        <s v="cmalize General administration January 24"/>
        <s v="abdulbee General curation January 24"/>
        <s v="Repo Mainetenance- January 2024- FrankyWild"/>
        <s v="Repo Mainetenance- January 2024- Pastaman"/>
        <s v="Repo Mainetenance- January 2024- TimJanssen"/>
        <s v="frankywild for email set-up"/>
        <s v="alina for email set-up"/>
        <s v="Reactive Track Management-January 2024- TimJanssen"/>
        <s v="General Administration- January 2024- Paradox"/>
        <s v="General Curation-January 2024- Kamala"/>
        <s v="Payment to Archisinal for Milestone 2 + Base Payment for Four Curators"/>
        <s v="astar-zellic-2401"/>
        <s v="Task 5 - January 2024 - Frankywild"/>
        <s v="Task 5 - Janaury 2024 - Michelle"/>
        <s v="Task 5 - January 2024 - ShakurHarun"/>
        <s v="Task 5 - January 2024 - Sirjey"/>
        <s v="Task 1 - Jan 2024 - Frankywild"/>
        <s v="Task 1 - Jan 2024 - Pastaman"/>
        <s v="Task 1 - Jan 2024 - Tim Janssen"/>
        <s v="Task 1 - jan 2024 - Tim"/>
        <s v="Polkadot Prague second award- KodaDot - Prague, Czech Republic"/>
        <s v="Polkadot @ Blockchain Rio 2023 second award - Lui5 and Parachain Boy - Rio de Janeiro"/>
        <s v="Korea Blockchain Week Reimbursement - Web3 Foundation - Seoul Korea"/>
        <s v="Polkadot Connect Thailand Reimbursement- Polkadot Insider - Bangkok, Thailand"/>
        <s v="Polkadot Singapore Meetup Reimbursement - Nick Lee - Singapore "/>
        <s v="Bangkok KOLs Meet Reimbursement - Nickole Lucas - Bangkok, Thailand "/>
        <s v="Meetup: Blockchain for Beginners Rewards - Torsten Schenk - Berlin, Germany"/>
        <s v=" 2 Budapest Meetups Reimbursement - Viktor - Budpest, Hungary "/>
        <s v="PMEI ETHDenver Closing Party - PMEI - Denver CO (pt II)"/>
        <s v="Lunar Strategy Invoice 2024-02-09 (Binance EMA 7 days = 7.052 USDT)"/>
        <s v="ParaNodes.io produced 16469/16490 blocks; SR: 15.2574, CR: 44.0291"/>
        <s v="Staker Space produced 16447/16490 blocks; SR: 15.2370, CR: 43.9703"/>
        <s v="LuckyFriday.io produced 16478/16490 blocks; SR: 15.2658, CR: 44.0532"/>
        <s v="Mile produced 16487/16490 blocks; SR: 15.2741, CR: 44.0772"/>
        <s v="YellowFin Tuna produced 16480/16490 blocks; SR: 15.2676, CR: 44.0585"/>
        <s v="turboflakes.io produced 16373/16490 blocks; SR: 15.1685, CR: 43.7724"/>
        <s v="Chris-Staking produced 16458/16490 blocks; SR: 15.2472, CR: 43.9997"/>
        <s v="Polkadotters produced 16461/16490 blocks; SR: Invul:0, CR: 44.0077"/>
        <s v="Stakeworld.io produced 16483/16490 blocks; SR: Invul:0, CR: 44.0665"/>
        <s v=" Iceberg Nodes  produced 16464/16490 blocks; SR: Invul:0, CR: 44.0157"/>
        <s v="openbitlab produced 16490/16490 blocks; SR: Invul:0, CR: 44.0852"/>
        <s v="Reward for curator (frankywild) as a portion from total 638.5667"/>
        <s v="Reward for curator (pastaMan) as a portion from total 638.5667"/>
        <s v="Reward for curator (Tim Janssen) as a portion from total 638.5667"/>
        <s v="Hosting fee for Curator RPC instance @ $25.0000"/>
        <s v="Sik | crifferent.de produced 16473/16490 blocks; SR: Invul:0, CR: 44.0398"/>
        <s v="turboflakes.io produced 16345/16496 blocks; SR: Invul:0, CR: 43.6817"/>
        <s v=" Iceberg Nodes  produced 16458/16496 blocks; SR: 15.2417, CR: 43.9837"/>
        <s v="Polkadotters produced 16479/16496 blocks; SR: 15.2611, CR: 44.0398"/>
        <s v="YellowFin Tuna produced 16479/16496 blocks; SR: 15.2611, CR: 44.0398"/>
        <s v="Mile produced 16492/16496 blocks; SR: 15.2732, CR: 44.0745"/>
        <s v="Stakeworld.io produced 16455/16496 blocks; SR: 15.2389, CR: 43.9757"/>
        <s v="Sik | crifferent.de produced 16486/16496 blocks; SR: 15.2676, CR: 44.0585"/>
        <s v="STKD.IO produced 16443/16496 blocks; SR: 15.2278, CR: 43.9436"/>
        <s v="ParaNodes.io produced 16473/16496 blocks; SR: Invul:0, CR: 44.0238"/>
        <s v="Staker Space produced 16458/16496 blocks; SR: Invul:0, CR: 43.9837"/>
        <s v="DPSTK produced 16461/16496 blocks; SR: Invul:0, CR: 43.9917"/>
        <s v="LuckyFriday.io produced 16496/16496 blocks; SR: Invul:0, CR: 44.0852"/>
        <s v="Reward for curator (frankywild) as a portion from total 638.3268"/>
        <s v="Reward for curator (pastaMan) as a portion from total 638.3268"/>
        <s v="Reward for curator (Tim Janssen) as a portion from total 638.3268"/>
        <s v="ExtraCoin produced 15745/15804 blocks; SR: Invul:0, CR: 43.9207"/>
        <s v="YellowFin Tuna produced 15776/15804 blocks; SR: Invul:0, CR: 44.0071"/>
        <s v="Stake Plus produced 15794/15804 blocks; SR: Invul:0, CR: 44.0573"/>
        <s v="Mile produced 15788/15804 blocks; SR: Invul:0, CR: 44.0406"/>
        <s v="BESTVALIDATOR | ZURICH produced 15770/15804 blocks; SR: Invul:0, CR: 43.9904"/>
        <s v="LuckyFriday.io produced 15760/15804 blocks; SR: 15.2343, CR: 43.9625"/>
        <s v="ParaNodes.io produced 15804/15804 blocks; SR: 15.2769, CR: 44.0852"/>
        <s v=" Iceberg Nodes  produced 15776/15804 blocks; SR: 15.2498, CR: 44.0071"/>
        <s v="Staker Space produced 15742/15804 blocks; SR: 15.2169, CR: 43.9123"/>
        <s v="Coinstudio produced 15766/15804 blocks; SR: 15.2401, CR: 43.9792"/>
        <s v="MathCrypto produced 15798/15804 blocks; SR: 15.2711, CR: 44.0685"/>
        <s v="Polkadotters produced 15763/15804 blocks; SR: 15.2372, CR: 43.9709"/>
        <s v="Reward for curator (frankywild) as a portion from total 638.4020"/>
        <s v="Reward for curator (pastaMan) as a portion from total 638.4020"/>
        <s v="Reward for curator (Tim Janssen) as a portion from total 638.4020"/>
        <s v="Fund of multisig and pure proxy account"/>
        <s v="Portion of un-budgeted VMs for Curators and Relay-chains: $60.00"/>
        <s v="Reimbursement For Marketing Bounty Prev Expenses (Binance EMA 7 days = 7.052 USDT)"/>
        <s v="Bounty 11 data gathering - Abujulaibib"/>
        <s v="Bounty 11 data gathering - Maccala"/>
        <s v="EVOX Invoice Receipt-12 (Binance EMA 7 days = 7.275 USDT)"/>
        <s v="invarch-srl-2402"/>
        <s v="moonbeam-srl-2401"/>
        <s v="Smart City 2024 - Parachainboy and Gabekoin - Curitiba, Brazil"/>
        <s v="Build on Polkadot: W3transfer - Apillon and ecosystem teams - Europe"/>
        <s v="Meetup Ljubljana: 50 Shades of NFTs - w3n:patrik - Ljubljana, Slovenia"/>
        <s v="Berlin Satellite event Refund &amp; Rewards - Simon Leon - Berlin, Germany"/>
        <s v="Meetup Polkadot Munchen Refund - Saro Posa - Munchen, Germany"/>
        <s v="Meetup Polkadot Nigeria - Chidi Olisa - Nigeria"/>
        <s v="Meetup Blockchain for Beginners Refund - Torsten Schenk - Berlin, Germany"/>
        <s v="2023 Q4 Curator Awards - ChaosDAO"/>
        <s v="2023 Q4 Curator Awards - WebZero"/>
        <s v="2023 Q4 Curator Awards - Hutch"/>
        <s v="2023 Q4 Curator Awards - Zoe"/>
        <s v="2023 Q4 Curator Awards - Mark"/>
        <s v="DOT Hong Kong Day, Volitility Reimbursement - Vincent Chan - Hong Kong"/>
        <s v="NFT Biarritz - G'Expect Chaos - Biarritz, France"/>
        <s v="Base payment for six Curators"/>
        <s v="CultureDot - Polkadot IRL Campaign #3 - Zurich Airport (Binance MA 25 days = 7.2 USDT - excess DOT due to change in price must be returned)"/>
        <s v="peaq-srl-2402"/>
        <s v="OnChain Brazil - Gabriella Mena Ogusuku - Sao Paolo"/>
        <s v="ETHTaipei - James Shih - Taiwan"/>
        <s v="CryptoVendimia - Marmaapa and Matt Santo - Mendoza"/>
        <s v="Meetup Beyond ETFs: Navigating the Digital Asset Management space with Scytale Digital Rewards - Patrik Kogaj - Ljubljana, Slovenia"/>
        <s v="Moderation bounty- February 2024- Abdulbee"/>
        <s v="Moderation Bounty- February 2024- Gr33Hatt3R"/>
        <s v="Moderation Bounty- February 2024-Maarmapa"/>
        <s v="Moderation Bounty- February 2024- MC"/>
        <s v="Moderation Bounty- February 2024- Muddlebee"/>
        <s v="Moderation bounty- February 2024- Paradox"/>
        <s v="Moderation team bounty - February 2024 - Cappex"/>
        <s v="Moderation team bounty - February 2024 - Frankywild"/>
        <s v="Moderation team bounty - February 2024 - Grizzly"/>
        <s v="Moderation team bounty - February 2024 - LV"/>
        <s v="Moderation team bounty - February 2024 - Mister_cole"/>
        <s v="Moderation team bounty - February 2024 - Pastaman"/>
        <s v="Moderation team bounty - February 2024 - Tim Janssen"/>
        <s v="Legal and compliance check for Batch 1"/>
        <s v="Integration for INTR, BNC, ACA, KILT, ASTR, HDX, Total: 47250 USD"/>
        <s v="Management Overhead for Interlay Team"/>
        <s v="Administrative Operation track - Febuary 2024 - FrankyWild"/>
        <s v="Administrative Operation track - Febuary 2024 - Grizzly"/>
        <s v="General Curator Reward - Febuary 2024 - Grizzly "/>
        <s v="Reactive track management - February 2024 - Tim Janssen"/>
        <s v="general administration - February 2024 - Paradox"/>
        <s v="General curation - February 2024 - Kamala"/>
        <s v="Logo brand kit - Ecardo"/>
        <s v="Track management of admin/op track Abdulbee February 2024"/>
        <s v="General administration PastaMan Februray 2024"/>
        <s v="General curation Abdulbee February 2024"/>
        <s v="maintenance of phishing repo frankywild Februray 2024"/>
        <s v="maintenance of phishing repo PastaMan Februray 2024"/>
        <s v="maintenance of phishing repo Tim Janssen Februray 2024"/>
        <s v="Educational Track Management- February 2024- Maarmapa"/>
        <s v="General Admin- February 2024- Cmalize"/>
        <s v="General Curation- February 2024- Cappex"/>
        <s v="Detection/Takedown of phishing sites-February 2024-Frankywild"/>
        <s v="Detection/Takedown of phishing sites-February 2024- Pastaman"/>
        <s v="Detection/Takedown of phishing sites-February 2024- TimJanssen"/>
        <s v="Outreach track(social media)- February 2024- _ecardo5o"/>
        <s v="Outreach track(social media)- February 2024- Maarmapa"/>
        <s v="Outreach track(Biz dev)- February 2024- Kamala"/>
        <s v="Outreach track(content creation)- February 2024- _ecardo5o"/>
        <s v="Outreach track(content creation)- February 2024- Maarmapa"/>
        <s v="Outreach track (Account Manager) grizzlyadams"/>
        <s v="Outreach track (Content creation) grizzlyadams"/>
        <s v="One time task - February 2024 - LV555"/>
        <s v="Task 5 - Febraury 2024 - Michelle"/>
        <s v="Task 5 - Febraury 2024 - Sirjey"/>
        <s v="Task 5 - Febraury 2024 - ShakurHarun"/>
        <s v="EVOX Invoice INV041 (Binance EMA 7 days = 9.28 USDT) - excess DOT due to change in price must be returned"/>
        <s v="Lunar Strategy Invoice 2024/03/07 (Binance EMA 7 days = 10.388 USDT) - excess DOT due to increase in price must be returned"/>
        <s v="Payment to Protofire for Multisig Milestone 2"/>
        <s v="STKD.IO produced 14997/15073 blocks; SR: 14.1370, CR: 30.2853"/>
        <s v="ParaNodes.io produced 15058/15073 blocks; SR: Invul:0, CR: 30.4085"/>
        <s v="Staker Space produced 14826/15073 blocks; SR: Invul:0, CR: 29.9400"/>
        <s v="DPSTK produced 14950/15073 blocks; SR: Invul:0, CR: 30.1904"/>
        <s v="LuckyFriday.io produced 15007/15073 blocks; SR: Invul:0, CR: 30.3055"/>
        <s v="turboflakes.io produced 15073/15073 blocks; SR: Invul:0, CR: 30.4388"/>
        <s v=" Iceberg Nodes  produced 15033/15073 blocks; SR: 14.1709, CR: 30.3580"/>
        <s v="Polkadotters produced 15024/15073 blocks; SR: 14.1625, CR: 30.3398"/>
        <s v="YellowFin Tuna produced 15040/15073 blocks; SR: 14.1775, CR: 30.3721"/>
        <s v="Mile produced 15053/15073 blocks; SR: 14.1898, CR: 30.3984"/>
        <s v="Stakeworld.io produced 15032/15073 blocks; SR: 14.1700, CR: 30.3560"/>
        <s v="Sik | crifferent.de produced 15062/15073 blocks; SR: 14.1983, CR: 30.4165"/>
        <s v="Reward for curator (frankywild) as a portion from total 467.1751"/>
        <s v="Reward for curator (pastaMan) as a portion from total 467.1751"/>
        <s v="Reward for curator (Tim Janssen) as a portion from total 467.1751"/>
        <s v="1/5 hosting fee for supporting relay chain RPC instances and for curator instance @ $40.0000"/>
        <s v="2/5 hosting fee for supporting relay chain RPC instances and for curator instance @ $40.0000"/>
        <s v="Chris-Staking produced 15043/15067 blocks; SR: 14.1860, CR: 30.3903"/>
        <s v="Polkadotters produced 15021/15067 blocks; SR: Invul:0, CR: 30.3458"/>
        <s v="Stakeworld.io produced 15051/15067 blocks; SR: Invul:0, CR: 30.4064"/>
        <s v=" Iceberg Nodes  produced 15052/15067 blocks; SR: Invul:0, CR: 30.4085"/>
        <s v="openbitlab produced 15045/15067 blocks; SR: Invul:0, CR: 30.3943"/>
        <s v="Sik | crifferent.de produced 15057/15067 blocks; SR: Invul:0, CR: 30.4186"/>
        <s v="ParaNodes.io produced 14988/15067 blocks; SR: 14.1341, CR: 30.2792"/>
        <s v="Staker Space produced 14841/15067 blocks; SR: 13.9955, CR: 29.9822"/>
        <s v="LuckyFriday.io produced 14948/15067 blocks; SR: 14.0964, CR: 30.1984"/>
        <s v="Mile produced 15067/15067 blocks; SR: 14.2086, CR: 30.4388"/>
        <s v="YellowFin Tuna produced 15032/15067 blocks; SR: 14.1756, CR: 30.3681"/>
        <s v="turboflakes.io produced 15051/15067 blocks; SR: 14.1936, CR: 30.4064"/>
        <s v="Reward for curator (frankywild) as a portion from total 467.1867"/>
        <s v="Reward for curator (pastaMan) as a portion from total 467.1867"/>
        <s v="Reward for curator (Tim Janssen) as a portion from total 467.1867"/>
        <s v="Polkadotters produced 15007/15064 blocks; SR: 14.1549, CR: 30.3236"/>
        <s v="ExtraCoin produced 15027/15064 blocks; SR: Invul:0, CR: 30.3640"/>
        <s v="YellowFin Tuna produced 15064/15064 blocks; SR: Invul:0, CR: 30.4388"/>
        <s v="Stake Plus produced 15061/15064 blocks; SR: Invul:0, CR: 30.4327"/>
        <s v="Mile produced 15057/15064 blocks; SR: Invul:0, CR: 30.4246"/>
        <s v="BESTVALIDATOR | ZURICH produced 15044/15064 blocks; SR: Invul:0, CR: 30.3983"/>
        <s v="LuckyFriday.io produced 14972/15064 blocks; SR: 14.1219, CR: 30.2529"/>
        <s v="ParaNodes.io produced 15018/15064 blocks; SR: 14.1653, CR: 30.3458"/>
        <s v=" Iceberg Nodes  produced 15029/15064 blocks; SR: 14.1756, CR: 30.3680"/>
        <s v="Staker Space produced 14810/15064 blocks; SR: 13.9691, CR: 29.9255"/>
        <s v="Coinstudio produced 15040/15064 blocks; SR: 14.1860, CR: 30.3903"/>
        <s v="MathCrypto produced 15052/15064 blocks; SR: 14.1973, CR: 30.4145"/>
        <s v="Reward for curator (frankywild) as a portion from total 467.2090"/>
        <s v="Reward for curator (pastaMan) as a portion from total 467.2090"/>
        <s v="Reward for curator (Tim Janssen) as a portion from total 467.2090"/>
        <s v="Chris Malize (infographics) 6th milestone of Task 7"/>
        <s v="Paradox (slideshow) 6th milestone of Task 7"/>
        <s v="Maarmapa (video) 6th milestone of Task 7"/>
        <s v="Tim Janssen (quiz) 6th milestone of Task 7"/>
        <s v="Javier (article) 6th milestone of Task 7"/>
        <s v="ChainWire Invoice 58689 (Binance EMA 7 days = 10.74 USDT) - In case of any surplus on fund reception's day, the exceeding part must be returned to bounty address, in case of deficit another child bounty request must be issued to cover the difference"/>
        <s v="EVOX Invoice INV041 (Binance EMA 7 days = 10.74 USDT) - In case of any surplus on fund reception's day, the exceeding part must be returned to bounty address, in case of deficit another child bounty request must be issued to cover the difference"/>
        <s v="WizardAmigos Code Camp - Nina Breznik - Portugal"/>
        <s v="BlackXP Game Jam - Lui5 - Brazil"/>
        <s v="Polkadot @ Web3Fest - Polkaport East - Hong Kong"/>
        <s v="Polkadot @ Southeast Asia BW - Patricia Arro - Thailand"/>
        <s v="PBA Graduation and DOTGov Workshop - Pauline Cohen Vorms, PBA - Hong Kong"/>
        <s v="4 Hong Kong Meetups - Max Rebol - Hong Kong"/>
        <s v="Women of Polkadot: Brunch in Bangkok - Linda Luuu - Thailand"/>
        <s v="Beyond Beats: Web3's Disruption of the Music Landscape - Patrik Kogoj - Slovenia"/>
        <s v="3 Brazil Meetups - Modular Crypto - Brazil"/>
        <s v="CultureDot - Singapore, Changi Airport - Binance EMA 99 days = 8.15 USDT - excess DOT due to change in price must be returned"/>
        <s v="EVOX - INV044 - Binance EMA 7 days = 9.54 USDT - excess DOT due to change in price must be returned"/>
        <s v="ChainWire via MarketAccross- Invoice 58813 - Binance EMA 7 days = 9.53 USDT - excess DOT due to change in price must be returned"/>
        <s v="Lunar Strategy - Invoice 2024/03/27 - Binance EMA 7 days = 9.535 USDT - excess DOT due to change in price must be returned"/>
        <s v="Moderation team bounty- March 2024- Abdulbee"/>
        <s v="Moderation team bounty- March 2024- Gr33nhatt3r"/>
        <s v="Moderation team bounty- March 2024- MC"/>
        <s v="Moderation team bounty- March 2024- Mister_Cole"/>
        <s v="Moderation team bounty- March 2024- Pastaman"/>
        <s v="Curator fee - March 2024 - A.J"/>
        <s v="Moderation bounty - March 2024 - Frankywild"/>
        <s v="Mod + curator bounty - March 2024 - Grizzly"/>
        <s v="Moderation team bounty - March 2024 - Tramysa"/>
        <s v="Moderation team  bounty - March 2023 - Maarmapa"/>
        <s v="ModerationTeamBounty-March2024-Cappex"/>
        <s v="ModerationTeamBounty-March2024-muddlebee"/>
        <s v="ModerationTeamBounty-March2024-paradox"/>
        <s v="ModerationTeamBounty-March2024-timjanssen"/>
        <s v="TeamZ AI Summit - DFG - Tokyo, Japan"/>
        <s v="Metaverse Championship Second award - CryptoCTF - Budapest, Hungary"/>
        <s v="Polkadot LATAM Day Reimbursement and rewards - LATAM Ambassadors - Online"/>
        <s v="Decoded 2023 Satellite event - Subwallet - Ho Chi Minh, Vietnam"/>
        <s v="Polkadot day Belgrade Reimbursement - Aleksandar Dimitrijevic - Belgrade, Serbia"/>
        <s v="2023 Decoded Viewing Party Rewards - Erick Alonso Ramos Jimenez - Guadalajara, Jalisco, Mexico"/>
        <s v="2023 Decoded Viewing Party Rewards - Robin - Monterrey, Mexico"/>
        <s v="2023 Decoded Viewing Party Rewards - John Rhodel Bartolome - Curitiba, Brazil"/>
        <s v="2023 Decoded Viewing Party Rewards - Guido - Villa La Angostura (Patagonia), Argentina"/>
        <s v="2023 Decoded Viewing Party Rewards - Max Cripto - Rio Grande, Argentina"/>
        <s v="2023 Decoded Viewing Party Rewards - Danson Twesigomwe - Arusha,Tanzania"/>
        <s v="2023 Decoded Viewing Party Rewards - Oscar (Donatello) - Ciudad de Mexico (CDMX), Mexico"/>
        <s v="2023 Decoded Viewing Party Rewards - Joab Niwagaba - Kigali, Rwanda"/>
        <s v="2023 Decoded Viewing Party Rewards - Kamala Immaculate - Kampala City, Uganda"/>
        <s v="2023 Decoded Viewing Party Rewards - Dillon Hanson - NYC, New York"/>
        <s v="2023 Decoded Viewing Party Rewards - Santiago Guzman-Roberto Heredia - Bogota-colombia"/>
        <s v="2023 Decoded Viewing Party Rewards - The Phynky One - Tampa, Florida, USA"/>
        <s v="2023 Decoded Viewing Party Rewards - Rish - Bangalore, India"/>
        <s v="2023 Decoded Viewing Party Rewards - Nikhole Lucas - Makati City, Metro Manila, Philippines"/>
        <s v="2023 Decoded Viewing Party Rewards - Bamidele Owoseni - Dallas, Texas USA"/>
        <s v="2023 Decoded Viewing Party Rewards - Rossmarie - Madrid, Espana"/>
        <s v="2023 Decoded Viewing Party Rewards - Mugisha Abraham Shidi - Goma-Democratic Republic of Congo"/>
        <s v="2023 Decoded Viewing Party Rewards - DJ Trang - Hanoi, Vietnam"/>
        <s v="2023 Decoded Viewing Party Rewards - Arlette Salas - Maracaibo, Venezuela"/>
        <s v="2023 Decoded Viewing Party Rewards - Fred Malize - Aba, Nigeria"/>
        <s v="Moderation team curation - March 2024 - AJ"/>
        <s v="ChainWire via MarketAccross - Invoice 14637 - Binance EMA 99 days = 8.329 USDT - excess DOT due to change in price must be returned"/>
        <s v="Phishing repo maintenance- March 2024- Frankywild"/>
        <s v="Phishing repo maintenance- March 2024- Pastaman"/>
        <s v="Phishing repo maintenance- March 2024- TimJanssen"/>
        <s v="Track Management/OP Track  - March 2024 -  Abdulbee"/>
        <s v="General Curator - March 2024 - Abdulbee"/>
        <s v="Adminstrative/Operational Track - March 2024 - Paradox"/>
        <s v="General administration pastaMan March"/>
        <s v="General curation Kamala Immaculate March"/>
        <s v="Social media management Kamala Immaculate March"/>
        <s v="1/5 hosting fee for supporting relay chain RPC instances @ $80.0000"/>
        <s v="LuckyFriday.io produced 14428/16574 blocks; SR: Invul:0, CR: 27.5772"/>
        <s v="turboflakes.io produced 14808/16574 blocks; SR: Invul:0, CR: 28.3035"/>
        <s v=" Iceberg Nodes  produced 16387/16574 blocks; SR: 15.0816, CR: 31.3216"/>
        <s v="Polkadotters produced 14691/16574 blocks; SR: 13.5207, CR: 28.0799"/>
        <s v="YellowFin Tuna produced 16574/16574 blocks; SR: 15.2537, CR: 31.6790"/>
        <s v="Mile produced 15717/16574 blocks; SR: 14.4649, CR: 30.0409"/>
        <s v="Stakeworld.io produced 14843/16574 blocks; SR: 13.6606, CR: 28.3704"/>
        <s v="Sik | crifferent.de produced 14699/16574 blocks; SR: 13.5280, CR: 28.0952"/>
        <s v="STKD.IO produced 14382/16574 blocks; SR: 13.2363, CR: 27.4893"/>
        <s v="ParaNodes.io produced 15556/16574 blocks; SR: Invul:0, CR: 29.7332"/>
        <s v="Staker Space produced 14465/16574 blocks; SR: Invul:0, CR: 27.6479"/>
        <s v="DPSTK produced 14461/16574 blocks; SR: Invul:0, CR: 27.6403"/>
        <s v="Reward for curator (frankywild) as a portion from total 449.8982"/>
        <s v="Reward for curator (pastaMan) as a portion from total 449.8982"/>
        <s v="Reward for curator (Tim Janssen) as a portion from total 449.8982"/>
        <s v="2/5 hosting fee for supporting relay chain RPC instances @ $80.0000 and for curator instance @ $40.0000"/>
        <s v="openbitlab produced 15195/16498 blocks; SR: Invul:0, CR: 29.1770"/>
        <s v="Sik | crifferent.de produced 14555/16498 blocks; SR: Invul:0, CR: 27.9481"/>
        <s v="ParaNodes.io produced 15464/16498 blocks; SR: 14.2976, CR: 29.6935"/>
        <s v="LuckyFriday.io produced 14362/16498 blocks; SR: 13.2788, CR: 27.5775"/>
        <s v="Mile produced 15961/16498 blocks; SR: 14.7572, CR: 30.6479"/>
        <s v="YellowFin Tuna produced 16498/16498 blocks; SR: 15.2537, CR: 31.6790"/>
        <s v="turboflakes.io produced 14775/16498 blocks; SR: 13.6606, CR: 28.3705"/>
        <s v="Chris-Staking produced 14819/16498 blocks; SR: 13.7013, CR: 28.4550"/>
        <s v="Polkadotters produced 14270/16498 blocks; SR: Invul:0, CR: 27.4008"/>
        <s v="Stakeworld.io produced 14742/16498 blocks; SR: Invul:0, CR: 28.3072"/>
        <s v=" Iceberg Nodes  produced 16160/16498 blocks; SR: Invul:0, CR: 31.0300"/>
        <s v="Staker Space produced 14478/16498 blocks; SR: 13.3860, CR: 27.8002"/>
        <s v="Reward for curator (frankywild) as a portion from total 451.5961"/>
        <s v="Reward for curator (pastaMan) as a portion from total 451.5961"/>
        <s v="Reward for curator (Tim Janssen) as a portion from total 451.5961"/>
        <s v="Stake Plus produced 13997/16405 blocks; SR: Invul:0, CR: 27.0290"/>
        <s v="Mile produced 15830/16405 blocks; SR: Invul:0, CR: 30.5686"/>
        <s v="BESTVALIDATOR | ZURICH produced 15053/16405 blocks; SR: Invul:0, CR: 29.0682"/>
        <s v="LuckyFriday.io produced 14247/16405 blocks; SR: 13.2471, CR: 27.5118"/>
        <s v=" Iceberg Nodes  produced 16222/16405 blocks; SR: 15.0835, CR: 31.3256"/>
        <s v="Staker Space produced 14226/16405 blocks; SR: 13.2276, CR: 27.4712"/>
        <s v="Coinstudio produced 14839/16405 blocks; SR: 13.7976, CR: 28.6550"/>
        <s v="MathCrypto produced 16405/16405 blocks; SR: 15.2537, CR: 31.6790"/>
        <s v="Polkadotters produced 14227/16405 blocks; SR: 13.2285, CR: 27.4731"/>
        <s v="ExtraCoin produced 14451/16405 blocks; SR: Invul:0, CR: 27.9057"/>
        <s v="YellowFin Tuna produced 16396/16405 blocks; SR: Invul:0, CR: 31.6616"/>
        <s v="ParaNodes.io produced 15342/16405 blocks; SR: 14.2653, CR: 29.6263"/>
        <s v="Reward for curator (frankywild) as a portion from total 453.2525"/>
        <s v="Reward for curator (pastaMan) as a portion from total 453.2525"/>
        <s v="Reward for curator (Tim Janssen) as a portion from total 453.2525"/>
        <s v="Reward for curator (Tim Janssen) for signing fees over 3 months"/>
        <s v="Outreach -sub manager &amp; content creator payout - March - Ecardo"/>
        <s v="Outreach - sub manager &amp; content creator payout - March - Maarmapa"/>
        <s v="Outreach - Account manager - March - Grizzly"/>
        <s v="Outreach - Content creation - March - Grizzly"/>
        <s v="Content Creation- March 2024- Cappex"/>
        <s v="Reactive track management- March 2024- TimJanssen"/>
        <s v="Proactive track management- March 2024- FrankyWild"/>
        <s v="General Administration- March 2024- Cmalize"/>
        <s v="Outreach track account manager- March 2024-Cmalize"/>
        <s v="Outreach track management - March 2024 - Grizzly"/>
        <s v="Educational track management - March 2024 - Maarmapa"/>
        <s v="For Twitter Org verification"/>
        <s v="General curation - March 2024 -Grizzly"/>
        <s v="Polkadot @ ArtsDAO Fest - Irina Karagyaur - Dubai, UAE"/>
        <s v="Polkadot @ RomeBW - Marco Romano - Rome, Italy"/>
        <s v="General curator reward - March 2024 - Cappex"/>
        <s v="Social media takedown - March 2024 - Michelle"/>
        <s v="Social media takedown - March 2024 - ShakurHarun"/>
        <s v="Social media takedown - March 2024 - Sirjey"/>
        <s v="Database of DNS registrars - March 2024 - Tim Janssen"/>
        <s v="Website Management lv555 + curator abdulbee"/>
        <s v="Task1 pastaMan March 2024"/>
        <s v="Task1 Tim March 2024"/>
        <s v="Task1 frankywild March 2024"/>
        <s v="astar-srl-2403"/>
        <s v="Chainwire via MarketAccross - DOT top up for child bounty #895 - DOT Price = 8.25 USDT"/>
        <s v="Reimbursement for Luca Poggi as Technical Curator - EMA Binance DOT 60 days = 8.87 USDT - https://docs.google.com/document/d/1FjSsefrDaIVF6xaojRd7AYeUM4P4KSWOncbLl7xiKcM"/>
        <s v="Lunar Strategy - Invoice 2024/04/06 - Subscan EMA 7 days = 8.7 USDT - excess DOT due to change in price must be returned"/>
        <s v="EVOX - INV048 - Binance EMA 7 days = 8.706 USDT - excess DOT due to change in price must be returned"/>
        <s v="NGUYEN QUANG TRUONG / CRIS NGUYEN - Invoice #9 - Binance EMA 7 days = 8.716 USDT - excess DOT due to change in price must be returned"/>
        <s v="Payment to Oak Security for Archisinal Review"/>
        <s v="Payment to Bright Inventions for Milestone 3"/>
        <s v="Crane - Invoice #1 - DOT = 6.70 USDT - excess DOT due to change in price must be returned"/>
        <s v="q1 rogue payout"/>
        <s v="Q1&amp;Q2 Portico payout"/>
        <s v="Q2 Rogue Payout"/>
        <s v="Q1&amp;Q2 Zondax Payout"/>
        <s v="Q1 Metaspan Payout https://github.com/paseo-network/payouts/issues/1"/>
        <s v="EVOX - INV050 - DOT Price at the time of the invoice = 6.60 USDT - excess DOT due to change in price must be returned"/>
        <s v="[APPLICATION] exam play game M1"/>
        <s v="Blockops Apr 24"/>
        <s v="Dwellir Apr 24"/>
        <s v="OnFinality Apr 24"/>
        <s v="Lucky Friday Apr 24"/>
        <s v="RockX Apr 24"/>
        <s v="Stakeworld Apr 24"/>
        <s v="RadiumBlock Apr 24"/>
        <s v="Crane - Invoice #2 - [DOT = 6.885 USDT - 10% = 6.1965 USDT] - excess DOT due to change in price must be returned"/>
        <s v="{Bash} EthDenver second award"/>
        <s v="CEE Wealth Summit - Scythe Ventures - Vienna, Italy "/>
        <s v="WizardAmigos slippage reimbursement"/>
        <s v="Smart City Expo Brazil second award"/>
        <s v="ArtsDAO slippage reimbursement"/>
        <s v="RomeBW second tranche (VAT)"/>
        <s v="Distractive @ ETHDenver second award"/>
        <s v="Memecoin MeetUp at W3.hub - Web3Rdy - Berlin, Germany"/>
        <s v="Polkadot Monthly Meetup - Max Rebol - Hong Kong"/>
        <s v="Polkadot Networking Eve - Nicholas Joshua - Northern Nigeria"/>
        <s v="Budapest Meetups slippage and scaling award - Viktor - Budapest, Hungary"/>
        <s v="BlackXP Game Jam reimbusrement"/>
        <s v="3 Brazil Meetups slippage"/>
        <s v="CoinStudio Q1 https://github.com/paseo-network/payouts/issues/2"/>
        <s v="Coinstudio Q2 https://github.com/paseo-network/payouts/issues/3"/>
        <s v="Valid Orange Q1 https://github.com/paseo-network/payouts/issues/4"/>
        <s v="Valid orange Q2 https://github.com/paseo-network/payouts/issues/5"/>
        <s v="Curator bounty - April 2024 - AJ"/>
        <s v="Moderation bounty - Aprill 2024 - Gr33n"/>
        <s v="Moderation bounty - April 2024 - MC"/>
        <s v="Moderation bounty - April 2024 - Mister_Cole"/>
        <s v="Moderation bounty - April 2024 - muddlebee"/>
        <s v="Moderation Team Bounty- April 2024- Abdulbee"/>
        <s v="Moderation Team Bounty- April 2024- LV"/>
        <s v="Moderation Team Bounty- April 2024- Maarmapa"/>
        <s v="Moderation Team Bounty- April 2024- Paradox"/>
        <s v="Moderation Team Bounty-April 2024-TimJanssen"/>
        <s v="Moderation Team Bounty April 2024 Cappex"/>
        <s v="Moderation Team Bounty April 2024 Franky"/>
        <s v="Moderation Team Bounty April 2024 Grizzly"/>
        <s v="Moderation Team Bounty April 2024 pastaman"/>
        <s v="MetaSpan Q2 - https://github.com/paseo-network/payouts/issues/6 "/>
        <s v="Gatotech q1 - https://github.com/paseo-network/payouts/issues/10"/>
        <s v="Gatotech Q2 - https://github.com/paseo-network/payouts/issues/11"/>
        <s v="Simply Staking - Q1 https://github.com/paseo-network/payouts/issues/12"/>
        <s v="Anti-Scam Victim Support- Retroactive payments for Feb-Mar + April 2024- Alina "/>
        <s v="Anti-Scam Forensics Support- Retroactive payments for Feb-Mar + April 2024- Alina "/>
        <s v="Night-Hawk extension"/>
        <s v="General Admin - Paradox - April 2024"/>
        <s v="General Admin - Pastaman - April 2024"/>
        <s v="General Admin - Cmalize - April 2024"/>
        <s v="General Curation - Cappex - April 2024"/>
        <s v="Track Management of Admin/Operation - April 2024 - Adbulbee"/>
        <s v="General curator - April 2024 - Abdulbee"/>
        <s v="Track Management of Education track - April 2024 - Maarmapa "/>
        <s v="Track management of reactive track - Tim"/>
        <s v="Track management of proactive track - frankywild"/>
        <s v="track management of outreach track - grizzlyadams"/>
        <s v="General curation - grizzlyadams"/>
        <s v="Sub manager and Content creator - ecardo5o"/>
        <s v="Sub manager and Content creator - Maarmapa"/>
        <s v="Account Manager - grizzlyadams"/>
        <s v="Content creation - grizzlyadams"/>
        <s v="General curation-April 2024- KammalaImmaculate"/>
        <s v="Maintenance of Phishing Repo/Proactive Track-April 2024- Frankywild"/>
        <s v="Maintenance of Phishing Repo/Proactive Track-April 2024- Pastaman"/>
        <s v="Maintenance of Phishing Repo/Proactive Track-April 2024- TimJanssen "/>
        <s v="Account management/Outreach Track-April 2024- KammalaImmaculate"/>
        <s v="Social Media Takedown Task - Michelle - April 2024"/>
        <s v="Social Media Takedown Task - ShakurHarun - April 2024"/>
        <s v="Social Media Takedown Task - Sirjey - April 2024"/>
        <s v="Website Management - Adim/Op - IV555 - April 2024"/>
        <s v="set up multisig spanish bounty"/>
        <s v="Task 1 - April 2024 - Frankywild"/>
        <s v="Task 1 - April 2024 - Pastaman"/>
        <s v="Task 1 - April 2024 - Tim Janssen"/>
        <s v="Brew sponsorship - Berlin Blockchain Week - May 2024"/>
        <s v="Retroactive Funds - Sub0 Side Events - WebZero "/>
        <s v="ParisDotComm 2023 - Team Rewards "/>
        <s v="Polkadot at TeamZ Web3 AI Summit 2024 - Top up "/>
        <s v="Ops Admin System Fees - Jan to May 2024 - Zoe"/>
        <s v="Q1 2024 Curator awards - WebZero"/>
        <s v="Q1 2024 Curator awards - Hutch"/>
        <s v="Q1 2024 Curator awards - ChaosDAO"/>
        <s v="Q1 2024 Curator Awards - Mark"/>
        <s v="Q1 2024 Curator Awards - Zoe"/>
        <s v="Q1 2024 SubCurator Awards - Saimon"/>
        <s v="Q1 2024 SubCurator Awards - Chris"/>
        <s v="Q1 2024 SubCurator Awards - Mario"/>
        <s v="CEE Wealth Summit - Harbor Industrial Captial - Vienna, Austria"/>
        <s v="Polkadot Day Budapest - Vikk - Budapest, Hungary"/>
        <s v="Viasoft Connect 2024 - Parachainboy and Lui5 - Curitiba, Brazil"/>
        <s v="Consensus Hackathon Sponsorship - WebZero - Austin, TX"/>
        <s v="Outreach track content editor- Retroactive Feb-March+April 2024- Michelle"/>
        <s v="Outreach track account management- April 2024- Maarmapa"/>
        <s v="Payment to MuFi for Milestone 2"/>
        <s v="Hosting fee for Curator RPC instance @ $25.0000 + 1/6 hosting fee for supporting relay chain RPC instances @ $80.0000 + 1/6 hosting fee for curator instance @ $40.0000"/>
        <s v="Staker Space\Statemint produced 13660/15665 blocks; SR: 0 (Invulnerable), CR: 37.1172"/>
        <s v="DPSTK produced 14057/15665 blocks; SR: 0 (Invulnerable), CR: 38.1960"/>
        <s v="LuckyFriday.io produced 14015/15665 blocks; SR: 0 (Invulnerable), CR: 38.0819"/>
        <s v="turboflakes.io\MINT produced 14395/15665 blocks; SR: 0 (Invulnerable), CR: 39.1144"/>
        <s v="0x506f6c6b61646f74746572735ce29b93434f52452070726f64756365642031343332392f313536363520626c6f636b733b2053523a2031332e353235352c2043523a2033382e39333531"/>
        <s v="0xf09f909f59656c6c6f7746696e2054756e61f09f909f5cf09fa59753616c6164f09fa5972070726f64756365642031353636352f313536363520626c6f636b733b2053523a2031342e373836362c2043523a2034322e35363533"/>
        <s v="0x4d696c65f09f8c8d5c5379732070726f64756365642031343935312f313536363520626c6f636b733b2053523a2031342e313132362c2043523a2034302e36323532"/>
        <s v="Sik | crifferent.de produced 14057/15665 blocks; SR: 13.2688, CR: 38.1960"/>
        <s v="STKD.IO\AssetHub produced 9472/15665 blocks; SR: 8.9409, CR: 25.7375"/>
        <s v="ParaNodes.io produced 14471/15665 blocks; SR: 0 (Invulnerable), CR: 39.3209"/>
        <s v="0xf09fa78a2049636562657267204e6f64657320f09fa78a2070726f64756365642031343131332f313536363520626c6f636b733b2053523a2031332e333231362c2043523a2033382e33343831"/>
        <s v="Stakeworld.io produced 14167/15665 blocks; SR: 13.3726, CR: 38.4949"/>
        <s v="Chris-Staking\bridgehub produced 4428/15665 blocks; SR: 4.1797, CR: 12.0319"/>
        <s v="Reward for curator (frankywild) as a portion from total 568.6573"/>
        <s v="Reward for curator (pastaMan) as a portion from total 568.6573"/>
        <s v="Reward for curator (Tim Janssen) as a portion from total 568.6573"/>
        <s v="Stakeworld.io produced 14277/15672 blocks; SR: 0 (Invulnerable), CR: 38.7764"/>
        <s v="Iceberg Nodes  produced 14063/15672 blocks; SR: 0 (Invulnerable), CR: 38.1952"/>
        <s v="openbitlab\bridgehub produced 14113/15672 blocks; SR: 0 (Invulnerable), CR: 38.3310"/>
        <s v="Sik | crifferent.de produced 14156/15672 blocks; SR: 0 (Invulnerable), CR: 38.4478"/>
        <s v="ParaNodes.io produced 14464/15672 blocks; SR: 13.6468, CR: 39.2843"/>
        <s v="Staker Space\bridgehub produced 8526/15672 blocks; SR: 8.0443, CR: 23.1567"/>
        <s v="LuckyFriday.io produced 14147/15672 blocks; SR: 13.3478, CR: 38.4234"/>
        <s v="Mile\Sys produced 14996/15672 blocks; SR: 14.1488, CR: 40.7292"/>
        <s v="YellowFin Tuna\Salad produced 15672/15672 blocks; SR: 14.7866, CR: 42.5653"/>
        <s v="turboflakes.io\MINT produced 14393/15672 blocks; SR: 13.5799, CR: 39.0915"/>
        <s v="Chris-Staking\bridgehub produced 4149/15672 blocks; SR: 3.9146, CR: 11.2687"/>
        <s v="Polkadotters\CORE produced 14361/15672 blocks; SR: 0 (Invulnerable), CR: 39.0046"/>
        <s v="COINSTUDIO produced 9668/15672 blocks; SR: 9.1218, CR: 26.2584"/>
        <s v="STKD.IO produced 4810/15672 blocks; SR: 4.5383, CR: 13.0640"/>
        <s v="Reward for curator (frankywild) as a portion from total 568.1101"/>
        <s v="Reward for curator (pastaMan) as a portion from total 568.1101"/>
        <s v="Reward for curator (Tim Janssen) as a portion from total 568.1101"/>
        <s v="YellowFin Tuna\Salad produced 15774/16245 blocks; SR: 0 (Invulnerable), CR: 41.3311"/>
        <s v="Stake Plus\COLLECTIVES01 produced 14060/16245 blocks; SR: 0 (Invulnerable), CR: 36.8401"/>
        <s v="Mile\Sys produced 15163/16245 blocks; SR: 0 (Invulnerable), CR: 39.7302"/>
        <s v="BESTVALIDATOR | ZURICH\collectives produced 13935/16245 blocks; SR: 0 (Invulnerable), CR: 36.5126"/>
        <s v="ParaNodes.io produced 14596/16245 blocks; SR: 13.2856, CR: 38.2445"/>
        <s v="Staker Space\collectives produced 3871/16245 blocks; SR: 3.5235, CR: 10.1428"/>
        <s v="MathCrypto\collectives produced 16245/16245 blocks; SR: 14.7866, CR: 42.5653"/>
        <s v="Polkadotters\CORE produced 11130/16245 blocks; SR: 10.1308, CR: 29.1629"/>
        <s v="ExtraCoin produced 14290/16245 blocks; SR: 0 (Invulnerable), CR: 37.4428"/>
        <s v="Iceberg Nodes  produced 14296/16245 blocks; SR: 13.0126, CR: 37.4585"/>
        <s v="Coinstudio\COLLECTIVES produced 14017/16245 blocks; SR: 12.7586, CR: 36.7274"/>
        <s v="LuckyFriday.io produced 14224/16245 blocks; SR: 12.9470, CR: 37.2698"/>
        <s v="Stakeworld.io produced 9943/16245 blocks; SR: 9.0504, CR: 26.0527"/>
        <s v="Reward for curator (frankywild) as a portion from total 545.3607"/>
        <s v="Reward for curator (pastaMan) as a portion from total 545.3607"/>
        <s v="Reward for curator (Tim Janssen) as a portion from total 545.3607"/>
        <s v="MediaFuse.org - Invoice 14782 - DOT price -10% = 6.19 USDT - excess DOT due to higher DOT market price when claim is made available must be returned"/>
        <s v="ChainWire - Invoice 59105 - DOT price -10% = 6.19 USDT - excess DOT due to higher DOT market price when claim is made available must be returned"/>
        <s v="Lunar Strategy - Invoice 59105 - DOT price -10% = 6.093 USDT - excess DOT due to higher DOT market price when claim is made available must be returned"/>
        <s v="MarketAccross - Invoice 14790 - DOT price -10% = 6.057 USDT - excess DOT due to higher DOT market price when claim is made available must be returned"/>
        <s v="EVOX - INV0505 - DOT price = 6.786 USDT - excess DOT due to higher DOT market price when claim is made available must be returned"/>
        <s v="Spanish bounty - content creation "/>
        <s v="Meetup Venezuela"/>
        <s v="VDS Event"/>
        <s v="Blockops May 24"/>
        <s v="Dwellir May 24"/>
        <s v="OnFinality May 24"/>
        <s v="Lucky Friday May 24"/>
        <s v="RockX May 24"/>
        <s v="Stakeworld May 24"/>
        <s v="RadiumBlock May 24"/>
        <s v="Content creation CE_1"/>
        <s v="Content Creation CE_2"/>
        <s v="Content Creation CE_03"/>
        <s v="Google Drive ($54) + Adam Steeber's work in technical configurations ($200)"/>
        <s v="Translations TT 4 &amp; 5"/>
        <s v="Polkaport East second award"/>
        <s v="La Cusathon - Polkadot Peru - Lima, Peru"/>
        <s v="Treasury refund"/>
        <s v="Payment to Starlay Finance for Milestone 3"/>
        <s v="ETHRome second payout"/>
        <s v="HIC PBA Investor Dinner - Harbor Industrial Capital - Hong Kong"/>
        <s v="Spanish bounty - content creation"/>
        <s v="Spanish Bounty Translations"/>
        <s v="Spanish Bounty C4_C10"/>
        <s v="Spanish Bounty C5_C13"/>
        <s v="Spanish Bounty C6"/>
        <s v="Spanish Bounty C9"/>
        <s v="Spanish Bounty C11"/>
        <s v="Spanish Bounty C12"/>
        <s v="Curator fee Ezio"/>
        <s v="Curator fee Lengo"/>
        <s v="Curator fee Ernih"/>
        <s v="Admin fee Amaury"/>
        <s v="Curator Fee - Albert"/>
        <s v="Curator Fee - Blockya"/>
        <s v="Curator Fee - Gerardo"/>
        <s v="Curator Fee - Nachito"/>
        <s v="The Innovation Village Kampala Uganda"/>
        <s v="EVOX - INV0507 - DOT price = 7.142 USDT - excess DOT due to higher DOT market price when claim is made available must be returned"/>
        <s v="Crane - Invoice #3 - DOT price = 7.19 USDT - excess DOT due to higher DOT market price when claim is made available must be returned"/>
        <s v="MarketAcross - Invoice 14827 - DOT price - 10% = 6.534 USDT - excess DOT due to higher DOT market price when claim is made available must be returned"/>
        <s v="Moderation curator bounty - May 2024 - AJ"/>
        <s v="Moderation team bounty - May 2024 - Gr33nHatt3R"/>
        <s v="Moderation team bounty - May 2024 - MC"/>
        <s v="Moderation team bounty - May 2024 - Mister_Cole"/>
        <s v="Moderation team bounty - May 2024 - Muddlebee"/>
        <s v="Moderation Bounty - May 2024 - Cappex"/>
        <s v="Moderation Bounty - May 2024 - frankywild"/>
        <s v="Moderation Bounty - May 2024 - Grizzly"/>
        <s v="Moderation Bounty - May 2024 - pastaMan"/>
        <s v="Bridgehub related staking rewards due to bug"/>
        <s v="Assethub related staking rewards due to bug"/>
        <s v="Reward for curator (frankywild) as a portion from total 126.2464"/>
        <s v="Reward for curator (pastaMan) as a portion from total 126.2464"/>
        <s v="Reward for curator (Tim Janssen) as a portion from total 126.2464"/>
        <s v="Proof of Talk 2024 - Scytale Digital - Paris, France"/>
        <s v="Moderation team bounty- May 2024- Abdulbee"/>
        <s v="Moderation team bounty- May 2024- LV"/>
        <s v="Moderation team bounty-May 2024- Maarmapa"/>
        <s v="Moderation team bounty-May 2024- Paradox"/>
        <s v="Moderation team bounty- May 2024-Tim Janssen "/>
        <s v="Free Web3 Workshop: Blockchain, Rust, and Career Paths to Polkadot | May 31st, 2024 | Cebu, Philippines"/>
        <s v="Payment to Band Protocol for Milestone 1"/>
        <s v="Jim Farley's refund of program deposits. 20.041 DOT for creation of pure proxy + 18.5 DOT contribution toward parent bounty curator deposit + 1.233 DOT for enlivening the pure proxy."/>
        <s v="Spanish Bounty - Content curator"/>
        <s v="written content CE 8"/>
        <s v="written content CE 14"/>
        <s v="written content CE 15.17.20"/>
        <s v="written content CE 19"/>
        <s v="written content CE 22"/>
        <s v="written content CE 23"/>
        <s v="written content CE 24"/>
        <s v="Translation TT 8"/>
        <s v="Translation TT 9.12"/>
        <s v="Translation TT 13"/>
        <s v="Polkadot Meet-up Bounty Northern Nigeria by Polkadot Ambassdor "/>
        <s v="Track management of reactive track May - Tim Janssen"/>
        <s v="Track management of admin/op track May - abdulbee"/>
        <s v="General administration May - Paradox"/>
        <s v="General curation May - abdulbee"/>
        <s v="Maintenance of phishing repo May - frankywild"/>
        <s v="Maintenance of phishing repo May - pastaMan"/>
        <s v="Maintenance of phishing repo May - Tim Janssen"/>
        <s v="Content creation May - H3ct0r4lph4"/>
        <s v="Editor payout May - tramymisa"/>
        <s v="Educational track management - May 2024 - Maarmapa"/>
        <s v="General admin - May 2024 - cmalize"/>
        <s v="General curation - May 2024 - kamala"/>
        <s v="Anti-scam collective document - Machala"/>
        <s v="Anti-scam collective document - sirjay"/>
        <s v="Anti-scam collective document - Shakurharun"/>
        <s v="Anti-scam collective document - Tramysa"/>
        <s v="Track Management/ Admin-Operation - Grizilly - May 2024"/>
        <s v="General Curator - Grizzly - May 2024"/>
        <s v="DART/Education Task - Abujulaibib - May 2024"/>
        <s v="DART/Education Task - Macchalafortune - May 2024"/>
        <s v="DART/Education Task - Ecardo5o - May 2024"/>
        <s v="Proactive track management-May 2024- Frankywild"/>
        <s v="General Administration- May 2024- Pastaman"/>
        <s v="General curation- May 2024- Cappex"/>
        <s v="Database upkeep- May 2024-TimJanssen"/>
        <s v="Social Media content creation - May 2024 - Cappex"/>
        <s v="Takedown of Phishing websites/Proactive track-May 2024- Frankywild"/>
        <s v="Takedown of Phishing websites/Proactive track-May 2024-Pastaman"/>
        <s v="Takedown of Phishing websites/Proactive track-May 2024- TimJanssen"/>
        <s v="Subscribtion service to Merkel Science/Forensics Track-May"/>
        <s v="Social Media account management - May 2024 - Kamala"/>
        <s v="Outreach-Sub manager payout &amp; Content creation - ecardo5o - May 2024"/>
        <s v="Outreach-Sub Manager payout - Maarmapa - May 2024"/>
        <s v="Outreach-Account Management -  Grizzly - May 2024"/>
        <s v="Outreach-Content Creation - Grizzly - May 2024"/>
        <s v="Max Rebol's parent bounty curator sign-on bonus."/>
        <s v="Luke Schoen's parent bounty curator sign-on bonus."/>
        <s v="Stiwar Lopez's parent bounty curator sign-on bonus."/>
        <s v="Ezio Rojas' parent bounty curator sign-on bonus."/>
        <s v="Janko Ranghi's parent bounty curator sign-on bonus."/>
        <s v="Rafael Yahlomi's parent bounty curator sign-on bonus."/>
        <s v="Clinton Swan's parent bounty curator sign on bonus."/>
        <s v="Eduardo Cardoso's parent bounty curator sign-on bonus."/>
        <s v="Jimmy Tudeski's parent bounty curator sign-on bonus."/>
        <s v="Adam Steeber's parent bounty curator sign-on bonus."/>
        <s v="ANEMOIA Proposal: Coffee Talk Sponsored by Polkadot: How #Web3 is Impacting GenZ?"/>
        <s v="KuCoin AssetHub Integration"/>
        <s v="Ramp Network AssetHub Integration and Parachain on-ramps"/>
        <s v="Zapper Integration for Astar, Moonbeam, Acala and HydraDX"/>
        <s v="Zapper Integration for Astar, Moonbeam, Acala and HydraDX Milestone 1"/>
        <s v="April/May Curator Awards WebZero"/>
        <s v="April/May Curator Awards ChaosDAO"/>
        <s v="April/May Curator Awards Hutch"/>
        <s v="April/May Curator Awards Zoe"/>
        <s v="April/May Curator Awards Mark"/>
        <s v="Polkadotters - Q1 &amp; Q2: https://github.com/paseo-network/payouts/issues/14 &amp; https://github.com/paseo-network/payouts/issues/15 "/>
        <s v="Dwellier Q1 &amp;Q2 https://github.com/paseo-network/payouts/issues/17 &amp; https://github.com/paseo-network/payouts/issues/16"/>
        <s v="Radium Block Q1 &amp; Q2 https://github.com/paseo-network/payouts/issues/19 &amp; https://github.com/paseo-network/payouts/issues/18"/>
        <s v="Bright Disputes Milestone 4 Payout"/>
        <s v="Social Media takedowns - May 2024 - Tramysa"/>
        <s v="Social Media takedowns - May 2024 - ShakurHarun"/>
        <s v="Social Media takedowns - May 2024 - SirJey"/>
        <s v="Victim Support Track- May 2024- Alina"/>
        <s v="Forensics Support Track- May 2024- Alina"/>
        <s v="hydradx-srl-2405"/>
        <s v="hyperbridge-srl-2405"/>
        <s v="Stake Plus Bounty 50 payouts https://github.com/ibp-network/ChildBounties"/>
        <s v="Metaspan Bounty 50 payouts https://github.com/ibp-network/ChildBounties"/>
        <s v="Helikon Bounty 50 payouts https://github.com/ibp-network/ChildBounties"/>
        <s v="Gatotech Bounty 50 payouts https://github.com/ibp-network/ChildBounties"/>
        <s v="Amforc Bounty 50 payouts https://github.com/ibp-network/ChildBounties"/>
        <s v="CoinStudio Bounty 50 payouts https://github.com/ibp-network/ChildBounties"/>
        <s v="Turboflakes Bounty 50 payouts https://github.com/ibp-network/ChildBounties"/>
        <s v="Dwellir Bounty 50 payouts https://github.com/ibp-network/ChildBounties"/>
        <s v="RadiumBlock Bounty 50 payouts https://github.com/ibp-network/ChildBounties"/>
        <s v="Rotko Bounty 50 payouts https://github.com/ibp-network/ChildBounties"/>
        <s v="Polkadotters Bounty 50 payouts https://github.com/ibp-network/ChildBounties"/>
        <s v="Lucky Friday Bounty 50 payouts https://github.com/ibp-network/ChildBounties"/>
        <s v="Task 2b Curator reward-May 2024- Frankywild"/>
        <s v="Hosting fee for Curator RPC instance @ $25.0000 + 1/7 hosting fee for supporting relay chain RPC instances @ $80.0000 + 1/7 hosting fee for curator instance @ $40.0000"/>
        <s v="0x4d696c65f09f8c8d5c5379732070726f64756365642031363134372f313631373620626c6f636b733b2053523a2031342e393832342c2043523a2034322e30383838"/>
        <s v="0xf09f909f59656c6c6f7746696e2054756e61f09f909f5cf09fa59753616c6164f09fa5972070726f64756365642031363133392f313631373620626c6f636b733b2053523a2031342e393735302c2043523a2034322e30363830"/>
        <s v="Sik | crifferent.de produced 14212/16176 blocks; SR: 13.1870, CR: 37.0451"/>
        <s v="Chris-Staking\bridgehub produced 16176/16176 blocks; SR: 15.0093, CR: 42.1644"/>
        <s v="ParaNodes.io produced 16130/16176 blocks; SR: 0 (Invulnerable), CR: 42.0445"/>
        <s v="Staker Space\Statemint produced 14796/16176 blocks; SR: 0 (Invulnerable), CR: 38.5673"/>
        <s v="DPSTK produced 15818/16176 blocks; SR: 0 (Invulnerable), CR: 41.2313"/>
        <s v="LuckyFriday.io produced 16112/16176 blocks; SR: 0 (Invulnerable), CR: 41.9976"/>
        <s v="turboflakes.io\MINT produced 16065/16176 blocks; SR: 0 (Invulnerable), CR: 41.8751"/>
        <s v="0x506f6c6b61646f74746572735ce29b93434f52452070726f64756365642031353830382f313631373620626c6f636b733b2053523a2031342e363637382c2043523a2034312e32303532"/>
        <s v="Stakeworld.io produced 16097/16176 blocks; SR: 14.9360, CR: 41.9585"/>
        <s v="0xf09fa78a2049636562657267204e6f64657320f09fa78a2070726f64756365642031343138322f313631373620626c6f636b733b2053523a2031332e313539312c2043523a2033362e39363639"/>
        <s v="Reward for curator (frankywild) as a portion from total 596.0525"/>
        <s v="Reward for curator (pastaMan) as a portion from total 596.0525"/>
        <s v="Reward for curator (Tim Janssen) as a portion from total 596.0525"/>
        <s v="MILE produced 14113/15665 blocks; SR: 13.3216, CR: 38.3481"/>
        <s v="ParaNodes.io produced 16245/16297 blocks; SR: 14.9614, CR: 42.0299"/>
        <s v="LuckyFriday.io produced 16226/16297 blocks; SR: 14.9439, CR: 41.9807"/>
        <s v="turboflakes.io\MINT produced 16181/16297 blocks; SR: 14.9025, CR: 41.8643"/>
        <s v="COINSTUDIO produced 16297/16297 blocks; SR: 15.0093, CR: 42.1644"/>
        <s v="Polkadotters\CORE produced 16030/16297 blocks; SR: 0 (Invulnerable), CR: 41.4736"/>
        <s v="Stakeworld.io produced 16262/16297 blocks; SR: 0 (Invulnerable), CR: 42.0739"/>
        <s v="Iceberg Nodes produced 14190/16297 blocks; SR: 0 (Invulnerable), CR: 36.7131"/>
        <s v="openbitlab\bridgehub produced 14419/16297 blocks; SR: 0 (Invulnerable), CR: 37.3056"/>
        <s v="Sik | crifferent.de produced 14178/16297 blocks; SR: 0 (Invulnerable), CR: 36.6821"/>
        <s v="Staker Space\bridgehub produced 14913/16297 blocks; SR: 13.7347, CR: 38.5837"/>
        <s v="YellowFin Tuna\Salad produced 16268/16297 blocks; SR: 14.9826, CR: 42.0894"/>
        <s v="Reward for curator (frankywild) as a portion from total 594.5078"/>
        <s v="Reward for curator (pastaMan) as a portion from total 594.5078"/>
        <s v="Reward for curator (Tim Janssen) as a portion from total 594.5078"/>
        <s v="TT-17 to TT-20 TT-24 to TT- 27"/>
        <s v="TT-21 to TT-23 TT-28"/>
        <s v="TT-15 CE-32"/>
        <s v="TT-7 CE-7 and CE-34"/>
        <s v="CE-27"/>
        <s v="Spanish Bounty - Content creation V_19"/>
        <s v="Spanish Bounty - Content creation V_27"/>
        <s v="Spanish Bounty - Content creation V_28"/>
        <s v="Spanish Bounty - Content creation V_31"/>
        <s v="Spanish bounty - content creation V_29"/>
        <s v="Spanish bounty - content creation V_30"/>
        <s v="Reward MeetUp Venezuela"/>
        <s v="Workshop Valencia (Venezuela)"/>
        <s v="Spanish Bounty - CE_26 / TT_14 / TT_16"/>
        <s v="Spanish Bounty - CE_28"/>
        <s v="Spanish Bounty - CE_35"/>
        <s v="Spanish Bounty - CE_29"/>
        <s v="Spanish Bounty - CE_30"/>
        <s v="Spanish Bounty - CE_31"/>
        <s v="Spanish Bounty - CE_33"/>
        <s v="ExtraCoin produced 14312/16337 blocks; SR: 0 (Invulnerable), CR: 36.9381"/>
        <s v="YellowFin Tuna\Salad produced 16313/16337 blocks; SR: 0 (Invulnerable), CR: 42.1025"/>
        <s v="Mile\Sys produced 16298/16337 blocks; SR: 0 (Invulnerable), CR: 42.0638"/>
        <s v="BESTVALIDATOR | ZURICH\collectives produced 16304/16337 blocks; SR: 0 (Invulnerable), CR: 42.0793"/>
        <s v="Stakeworld.io produced 16337/16337 blocks; SR: 15.0093, CR: 42.1644"/>
        <s v="ParaNodes.io produced 16074/16337 blocks; SR: 14.7677, CR: 41.4857"/>
        <s v="LuckyFriday.io produced 16285/16337 blocks; SR: 14.9615, CR: 42.0302"/>
        <s v="Iceberg Nodes produced 14341/16337 blocks; SR: 13.1755, CR: 37.0129"/>
        <s v="Coinstudio\COLLECTIVES produced 16333/16337 blocks; SR: 15.0056, CR: 42.1541"/>
        <s v="MathCrypto\collectives produced 16127/16337 blocks; SR: 14.8164, CR: 41.6224"/>
        <s v="Stake Plus\COLLECTIVES01 produced 16177/16337 blocks; SR: 0 (Invulnerable), CR: 41.7515"/>
        <s v="Polkadotters\CORE produced 12595/16337 blocks; SR: 11.5714, CR: 32.5066"/>
        <s v="Reward for curator (frankywild) as a portion from total 589.1421"/>
        <s v="Reward for curator (pastaMan) as a portion from total 589.1421"/>
        <s v="Reward for curator (Tim Janssen) as a portion from total 589.1421"/>
        <s v="Spanish Bounty - Creation Video V_24"/>
        <s v="MarketAcross - Invoice 14871 - DOT price - 10% = 6.48 USDT - excess DOT due to higher DOT market price when claim is made available must be returned"/>
        <s v="Christian Dirk's refund of program deposits. 20.041 for creation of pure proxy + 18.5 contribution toward parent bounty curator deposit + 2 for enlivening the pure proxy."/>
        <s v="Merkel science subscription top-up to account for market drop"/>
        <s v="Bounty for 1 year of Twitter Gold subscribtion for the Anti-Scam Team"/>
        <s v="centrifuge-cantina-2405"/>
        <s v="Meetup Refund - Polkadot Day Arca HUB - Rio de janeiro, Brazil"/>
        <s v="Meetup - Polkapizza Lisbon, Portugal"/>
        <s v="Polkadot Meet-up, Lagos, Nigeria"/>
        <s v="Java Host (Fruzhin) Phase 2 child bounty second tranche"/>
        <s v="Amended KuCoin AssetHub Integration"/>
        <s v="Amended Ramp Network AssetHub Integration and Parachain on-ramps"/>
        <s v="Amended Zapper Integration for Astar, Moonbeam, Acala and HydraDX Milestone 1"/>
        <s v="Spanish bounty - Content Creation - V_32"/>
        <s v="Spanish bounty - Content Creation - V_35"/>
        <s v="Spanish bounty - Content Creation - V_36"/>
        <s v="Spanish bounty - Content Creation - V_39"/>
        <s v="Spanish bounty - Content Creation - V_40"/>
        <s v="Spanish Bounty - CE_36/ TT29 &amp; TT30"/>
        <s v="Spanish Bounty CE_37"/>
        <s v="Spanish Bounty  TT_31 &amp; TT32"/>
        <s v="Spanish bounty - Content Creation - V_33"/>
        <s v="Spanish bounty - Content Creation - V_38"/>
        <s v="PolkadotxBlockchaincon2024"/>
        <s v="Polkadot Decoded Viewing Party - Lima, Peru"/>
        <s v="Dart and Task Management Rewards - Hector -  May 2024"/>
        <s v="Facilitator Payment to Astar"/>
        <s v="EVOX - INV071 - DOT price = 5.83 USDT - excess DOT due to higher DOT market price when claim is made available must be returned"/>
        <s v="Lunar Strategy - Invoice 2024/06/19 - DOT price -10% = 5.364 USDT - excess DOT due to higher DOT market price when claim is made available must be returned"/>
        <s v="Blockops June 24"/>
        <s v="Dwellir June 24"/>
        <s v="OnFinality June 24"/>
        <s v="Lucky Friday June 24"/>
        <s v="Stakeworld June 24"/>
        <s v="RadiumBlock June 24"/>
        <s v="Insular.web3 - Polkadot in Lemuy"/>
        <s v="Crane - Invoice #4 - DOT price = 5.20 USDT - excess DOT due to higher DOT market price when claim is made available must be returned"/>
        <s v="Curator bounty - June 2024 - Abdulbee"/>
        <s v="Curator bounty - June 2024 - Grizzly"/>
        <s v="Head Mod bounty - June 2024 - Mister_cole"/>
        <s v="Moderation team bounty - June 2024 - Gr33n"/>
        <s v="Moderation team bounty - June 2024 - MC"/>
        <s v="Moderation team bounty - June 2024 - Muddlebee"/>
        <s v="Moderation team bounty - June 2024 - Michelle"/>
        <s v="Moderation team bounty - June 2024 - Mario"/>
        <s v="Moderation team bounty - June 2024 - Paradox"/>
        <s v="Moderation team bounty - June 2024 - Tim"/>
        <s v="Moderation team bounty - June 2024 - Cappex"/>
        <s v="Moderation team bounty - June 2024 - Frankywild"/>
        <s v="Moderation team bounty - June 2024 - Pastaman"/>
        <s v="Cooperation with Founder Institute"/>
        <s v="Website management- May 2024- LV555"/>
        <s v="Spanish Bounty - payment Lore"/>
        <s v="Spanish Bounty - payment Geral"/>
        <s v="Spanish Bounty - payment Ezio"/>
        <s v="Spanish Bounty - payment Ernhi"/>
        <s v="Spanish Bounty - payment Albert"/>
        <s v="Spanish Bounty - payment Nachito"/>
        <s v="Spanish Bounty - payment Amaury"/>
        <s v="Spanish Bounty - payment Lengo"/>
        <s v="Spanish bounty - Content Creation V_43"/>
        <s v="Spanish bounty - Content Creation V_44"/>
        <s v="Spanish bounty - Content Creation V_47"/>
        <s v="Spanish bounty - Content Creation V_48"/>
        <s v="Spanish Bounty - CE_40 &amp; TT_38"/>
        <s v="Spanish Bounty - TT_33 &amp; TT34"/>
        <s v="Spanish Bounty - TT_37 &amp; CE41"/>
        <s v="Spanish Bounty - TT_36/TT_39/TT_40 "/>
        <s v="Spanish Bounty - TT35 &amp; TT_41"/>
        <s v="Spanish bounty - Content Creation V_37"/>
        <s v="Spanish bounty - Content Creation V_41/V_42"/>
        <s v="Spanish bounty - Content Creation V_45"/>
        <s v="Spanish bounty - Content Creation V_46"/>
        <s v="MarketAcross - Price differences - Invoice 14871 - DOT price - 10% = 6.75 USDT - excess DOT due to higher DOT market price when claim is made available must be returned"/>
        <s v="EVOX - INV072 - DOT price = 5.789 USDT - excess DOT due to higher DOT market price when claim is made available must be returned"/>
        <s v="AlchemyPay AH Integration Fee"/>
        <s v="View Party Chiloe - Chile"/>
        <s v="DOTGraphic: Half of milestone 1 + operational costs"/>
        <s v="AwesomeDOT Podcast: 2 episodes + 10 reels"/>
        <s v="Twitter strategy bootstrap- Retroactive payment from January 2024-Eduardo"/>
        <s v="Monday software 12 months"/>
        <s v="Reimbursement of DOT used for setting up new EB - Leemo"/>
        <s v="Reimbursement of DOT used for setting up new EB - lolmcshizz"/>
        <s v="Thailand Pudgy Penguin Meetup"/>
        <s v="Michelle - Takedowns of other form of scams June 2024"/>
        <s v="Shakurharun - Takedowns of other form of scams June 2024"/>
        <s v="Sirjey - Takedowns of other form of scams June 2024"/>
        <s v="frankywild - Maintenance of phishing repo June 2024"/>
        <s v="pastaMan - Maintenance of phishing repo June 2024"/>
        <s v="Tim Janssen - Maintenance of phishing repo June 2024"/>
        <s v="Top up for twitter gold yearly subscription-July 2024- awarded to Grizzlyadams"/>
        <s v="Polkadot Meetup Kumasi, Ghana"/>
        <s v="Spanish Bounty - Content creation V_52 &quot;NIXON&quot;"/>
        <s v="Spanish Bounty - Content creation V_53 + V_54 &quot;LV&quot;"/>
        <s v="Spanish Bounty - CE_39 &amp; CE_42 "/>
        <s v="Spanish Bounty - CE_43"/>
        <s v="Spanish Bounty - TT_42 / TT_43 / TT_44 / TT_45"/>
        <s v="Spanish Bounty - Content creation V_50"/>
        <s v="Spanish Bounty - Content creation V_53 - V_54"/>
        <s v="Polkadot Networking Eve Q2, Northern Nigeria"/>
        <s v="Tim Janssen - Reactive Track Manager June 2024"/>
        <s v="Paradox - General Administration June 2024"/>
        <s v="_ecardo5o - Social Media Submanager June 2024"/>
        <s v="maarmapa - Social Media Submanager June 2024"/>
        <s v="_ecardo5o - Social Media Content Creation June 2024"/>
        <s v="Cappex - Social Media Content Creation June 2024"/>
        <s v="frankywild - Proactive Track Manager June 2024"/>
        <s v="maarmapa - Educational Track Manager June 2024"/>
        <s v="Alina - Victim Support June 2024"/>
        <s v="Alina - Forensics June 2024"/>
        <s v="Michelle -  Social Media Content Reviewer June 2024"/>
        <s v="Grizzly - Social Media Content Reviewer June 2024"/>
        <s v="Grizzly - Social Media Account Manager June 2024"/>
        <s v="Kamala - Social Media Account Manager June 2024"/>
        <s v="Polkadot Decoded View Party - Tierra de Fuego, Argentina"/>
        <s v="Polkadot Decoded View Party - Bogota, Colombia"/>
        <s v="Polkadot Decoded View Party - Valencia, Venezuela"/>
        <s v="Polkadot Decoded View Party - La Plata, Argentina"/>
        <s v="Grizzly - Outreach Track Manager June 2024"/>
        <s v="cmalize - General Administration June 2024"/>
        <s v="LV - Website Maintenance June 2024"/>
        <s v="Abdulbee - General Curator June 2024"/>
        <s v="Kamala - General Curator June 2024"/>
        <s v="Cappex - General Curator June 2024"/>
        <s v="Grizzly - General Curator June 2024"/>
        <s v="frankywild - General Curator June 2024"/>
        <s v="Paradox - General Curator June 2024"/>
        <s v="frankywild - Malicious sites taken down June 2024"/>
        <s v="pastaMan - Malicious sites taken down June 2024"/>
        <s v="Tim Janssen - Malicious sites taken down June 2024"/>
        <s v="Spanish Bounty V2 TT 47 &amp; TT 50"/>
        <s v="Spanish Bounty V2 TT 49, TT 51 &amp; TT 52"/>
        <s v="Polkadot Decoded View Party - Mendoza, Argentina"/>
        <s v="pastaMan - General Administration June 2024"/>
        <s v="abdulbee - Admin/Op. Track Manager June 2024"/>
        <s v="Pineta Digital - INV073 - DOT price = 5.20 USDT - excess DOT due to higher DOT market price when claim is made available must be returned"/>
        <s v="Reimbursement for Luca Poggi as Technical Curator - DOT price -10% = 4.725 USDT - https://docs.google.com/document/d/1x8Ahljip-BZ90Qqd30yNSXsoeeU-W6PREsx3oTM6QLg"/>
        <s v="Lunar Strategy - Invoice 2024/07/05 - DOT price -10% = 4.788 USDT - excess DOT due to higher DOT market price when claim is made available must be returned"/>
        <s v="Pineta Digital - INV072_difference - DOT price = 5.85 USDT - excess DOT due to higher DOT market price when claim is made available must be returned"/>
        <s v="CMedia/Royal Agency Influencers: Milestone 1 / 3 "/>
        <s v="Payment for the first month's salary of BD Spain Team + 2 Leads + 200 DOTs contributed to the creation of the account."/>
        <s v="Mile\Sys produced 16147/16176 blocks; SR: 14.9824, CR: 42.0888"/>
        <s v="YellowFin Tuna\Salad produced 16139/16176 blocks; SR: 14.9750, CR: 42.0680"/>
        <s v="Polkadotters\CORE produced 15808/16176 blocks; SR: 14.6678, CR: 41.2052"/>
        <s v="Iceberg Nodes produced 14182/16176 blocks; SR: 13.1591, CR: 36.9669"/>
        <s v="Mile\Sys produced 16273/16297 blocks; SR: 14.9872, CR: 42.1023"/>
        <s v="Stakeworld.io produced 15937/15976 blocks; SR: 14.3804, CR: 49.5476"/>
        <s v="Mile\Sys produced 15969/15976 blocks; SR: 14.4092, CR: 49.6471"/>
        <s v="YellowFin Tuna\Salad produced 15561/15976 blocks; SR: 14.0411, CR: 48.3787"/>
        <s v="Sik | crifferent.de produced 13586/15976 blocks; SR: 12.2590, CR: 42.2384"/>
        <s v="Chris-Staking\bridgehub produced 15287/15976 blocks; SR: 13.7939, CR: 47.5268"/>
        <s v="Iceberg Nodes produced 13017/15976 blocks; SR: 11.7456, CR: 40.4694"/>
        <s v="ParaNodes.io produced 15958/15976 blocks; SR: 0 (Invulnerable), CR: 49.6129"/>
        <s v="Staker Space\Statemint produced 15954/15976 blocks; SR: 0 (Invulnerable), CR: 49.6005"/>
        <s v="DPSTK produced 15968/15976 blocks; SR: 0 (Invulnerable), CR: 49.6440"/>
        <s v="LuckyFriday.io produced 15951/15976 blocks; SR: 0 (Invulnerable), CR: 49.5911"/>
        <s v="turboflakes.io\MINT produced 15976/15976 blocks; SR: 0 (Invulnerable), CR: 49.6689"/>
        <s v="Polkadotters/CORE produced 15954/15976 blocks; SR: 14.3957, CR: 49.6005"/>
        <s v="STKD.IO\AssetHub produced 2951/15976 blocks; SR: 2.6628, CR: 9.1746"/>
        <s v="Reward for curator (frankywild) as a portion from total 689.3654"/>
        <s v="Reward for curator (pastaMan) as a portion from total 689.3654"/>
        <s v="Reward for curator (Tim Janssen) as a portion from total 689.3654"/>
        <s v="YellowFin Tuna\Salad produced 15545/15948 blocks; SR: 14.0513, CR: 48.4138"/>
        <s v="COINSTUDIO produced 15942/15948 blocks; SR: 14.4101, CR: 49.6502"/>
        <s v="Mile\Sys produced 15928/15948 blocks; SR: 14.3975, CR: 49.6066"/>
        <s v="ParaNodes.io produced 15948/15948 blocks; SR: 14.4156, CR: 49.6689"/>
        <s v="LuckyFriday.io produced 15919/15948 blocks; SR: 14.3893, CR: 49.5786"/>
        <s v="turboflakes.io\MINT produced 15916/15948 blocks; SR: 14.3866, CR: 49.5692"/>
        <s v="Polkadotters\CORE produced 15934/15948 blocks; SR: 0 (Invulnerable), CR: 49.6253"/>
        <s v="Stakeworld.io produced 15928/15948 blocks; SR: 0 (Invulnerable), CR: 49.6066"/>
        <s v="Iceberg Nodes produced 13995/15948 blocks; SR: 0 (Invulnerable), CR: 43.5864"/>
        <s v="openbitlab\bridgehub produced 15943/15948 blocks; SR: 0 (Invulnerable), CR: 49.6533"/>
        <s v="Sik | crifferent.de produced 15209/15948 blocks; SR: 0 (Invulnerable), CR: 47.3673"/>
        <s v="Staker Space\bridgehub produced 15948/15948 blocks; SR: 14.4156, CR: 49.6689"/>
        <s v="Reward for curator (frankywild) as a portion from total 693.4382"/>
        <s v="Reward for curator (pastaMan) as a portion from total 693.4382"/>
        <s v="Reward for curator (Tim Janssen) as a portion from total 693.4382"/>
        <s v="Polkadotters\CORE produced 15643/15644 blocks; SR: 14.4146, CR: 49.6657"/>
        <s v="ParaNodes.io produced 15644/15644 blocks; SR: 14.4156, CR: 49.6689"/>
        <s v="LuckyFriday.io produced 15611/15644 blocks; SR: 14.3852, CR: 49.5641"/>
        <s v="Iceberg Nodes produced 13702/15644 blocks; SR: 12.6261, CR: 43.5031"/>
        <s v="Coinstudio\COLLECTIVES produced 15642/15644 blocks; SR: 14.4137, CR: 49.6625"/>
        <s v="MathCrypto\collectives produced 15521/15644 blocks; SR: 14.3022, CR: 49.2784"/>
        <s v="YellowFin Tuna\Salad produced 15328/15644 blocks; SR: 0 (Invulnerable), CR: 48.6656"/>
        <s v="Stake Plus\COLLECTIVES01 produced 15609/15644 blocks; SR: 0 (Invulnerable), CR: 49.5578"/>
        <s v="Mile\Sys produced 15630/15644 blocks; SR: 0 (Invulnerable), CR: 49.6244"/>
        <s v="BESTVALIDATOR | ZURICH\collectives produced 9946/15644 blocks; SR: 0 (Invulnerable), CR: 31.5780"/>
        <s v="Stakeworld.io produced 15640/15644 blocks; SR: 14.4119, CR: 49.6562"/>
        <s v="ExtraCoin produced 14887/15644 blocks; SR: 0 (Invulnerable), CR: 47.2654"/>
        <s v="Reward for curator (frankywild) as a portion from total 673.6366"/>
        <s v="Reward for curator (pastaMan) as a portion from total 673.6366"/>
        <s v="Reward for curator (Tim Janssen) as a portion from total 673.6366"/>
        <s v="DART Task Manager TMWNN"/>
        <s v="DART Implementer Malize"/>
        <s v="DART Implementer Cypha"/>
        <s v="DART Implementer Macchala"/>
        <s v="Polkadot meetup Nairobi (Joab)"/>
        <s v="Salary payments for June - July for 7 curators + 15% volatility"/>
        <s v="Polkadot Networking Eve Nigerian Business School"/>
        <s v="Blockops July 24"/>
        <s v="Dwellir July 24"/>
        <s v="OnFinality July 24"/>
        <s v="Lucky Friday July 24"/>
        <s v="Stakeworld July 24"/>
        <s v="RadiumBlock July 24"/>
        <s v="Leemo Curator Fee Apr - July"/>
        <s v="lolmcshizz Curator Fee Apr - July"/>
        <s v="Pink Brains - Invoice #1 - DOT price = 6.25 USDT - excess DOT due to higher DOT market price when claim is made available must be returned"/>
        <s v="Spanish Bounty - CE_44"/>
        <s v="Spanish Bounty - CE_46"/>
        <s v="Spanish Bounty 57/58/59/62/63/64/65"/>
        <s v="Spanish Bounty TT 53 to 56 and TT 66 to 69 "/>
        <s v="Spanish Bounty TT 48, 60 and 61 "/>
        <s v="Content creation V_51 &quot;MAX CRIPTO&quot;"/>
        <s v="Content creation V_60 &quot;Javi Eli Reyes&quot;"/>
        <s v="Content creation V_59/ V_76  &quot;Bra_16&quot;"/>
        <s v="Content creation V_63 / V_64 / V_78 / V_79 &quot;NIXON JAVIER&quot;"/>
        <s v="Content creation V_68 / V_71 / V_72 &quot;Lily Mendz&quot;"/>
        <s v="Content creation V_67 / &quot;LV&quot;"/>
        <s v="Content creation V_75"/>
        <s v="Content creation V_57 / V_61 theoldfather"/>
        <s v="Content creation V_58 / V_77 BRA"/>
        <s v="Content creation V_65 / V_78 NIXON"/>
        <s v="Content creation V_66 LV"/>
        <s v="Content creation V_70 Javier Eli Reyes"/>
        <s v="Content creation V_73 / V_74 Axel Becker"/>
        <s v="Content creation V_81 Francisco Daniel villa Gar"/>
        <s v="View Party Polkadot Decoded - Santiago, Chile  2024"/>
        <s v="Connect Week / Viasoft Connect 2024 - report reward"/>
        <s v=" Proof of Talk 2024 - top up"/>
        <s v="Sponsorship Polkadot @TOKEN2049"/>
        <s v="Patrick Irwin 30-day sign-on bonus"/>
        <s v="Portico Q3 https://github.com/paseo-network/payouts/issues/28"/>
        <s v="Vietnam Meetup Web3 X - Ha Noi, Viet Nam"/>
        <s v="laos-coinfabrik-2407"/>
        <s v="Pineta Digital - INV074 - DOT price = 6.29 USDT - excess DOT due to higher DOT market price when claim is made available must be returned"/>
        <s v="Polkadot Meetup at  University of Nigeria Nsukka(UNN)"/>
        <s v="Spanish Bounty Payment - Albert"/>
        <s v="Spanish Bounty Payment - Nachito"/>
        <s v="Spanish Bounty Payment - Amaury"/>
        <s v="Spanish Bounty Payment - Ezio"/>
        <s v="Spanish Bounty Payment - Lengo"/>
        <s v="Payment fee Gerardo"/>
        <s v="Spanish Bounty - Ernih pay"/>
        <s v="Content creation V_49 ''Maxcripto''"/>
        <s v="Content creation V_69 ''Cesar_cripto''"/>
        <s v="Content creation V_85 / V_86 ''Bra''"/>
        <s v="Content creation V_88 V_89 ''Nixon''"/>
        <s v="Spanish Bounty TT_ 72, 74, 78"/>
        <s v="Spanish Bounty TT_ 80 and 82"/>
        <s v="Spanish Bounty TT_ 70 and CE 51"/>
        <s v="Spanish Bounty CE 47"/>
        <s v="Ethereum Mexico Side Event"/>
        <s v="Reward organizer Barquisimeto/ Venezuela"/>
        <s v="S3krit Bounty 50 payouts https://github.com/ibp-network/ChildBounties"/>
        <s v="Rogue Q3 Payment - https://github.com/paseo-network/payouts/issues/29"/>
        <s v="zondax q3 payment - https://github.com/paseo-network/payouts/issues/38"/>
        <s v="Subscan Q1,2,3 https://github.com/paseo-network/payouts/issues/22 &amp; 23"/>
        <s v="Spanish Bounty - TT_71"/>
        <s v="Spanish Bounty - TT_73 / TT_75"/>
        <s v="Spanish Bounty - TT_77 "/>
        <s v="Curator bounty - July 2024 - Abdulbee"/>
        <s v="Curator bounty - July 2024 - Grizzly"/>
        <s v="Head Mod bounty - July 2024 - Mister_cole"/>
        <s v="Moderation team bounty - July 2024 - Gr33n"/>
        <s v="Moderation team bounty - July 2024 - MC"/>
        <s v="Moderation team bounty - July 2024 - Muddlebee"/>
        <s v="Moderation team bounty - July 2024 - Michelle"/>
        <s v="Moderation team bounty - July 2024 - Mario"/>
        <s v="Moderation team bounty - July 2024 - Paradox"/>
        <s v="Moderation team bounty - July 2024 - Tim"/>
        <s v="Moderation team bounty - July 2024 - Cappex"/>
        <s v="Moderation team bounty - July 2024 - Frankywild"/>
        <s v="Moderation team bounty - July 2024 - Pastaman"/>
        <s v="Beyond The Chain (London)"/>
        <s v="Tokyo Party WebX Side Event"/>
        <s v="Polkadot x KBW2024"/>
        <s v="NERDCONF - Hackathon conference sponsorship"/>
        <s v="FUTURECOM 2024"/>
        <s v="Content creation: V_90  &quot;Lily Mendz&quot;"/>
        <s v="Content creation: V_92 &quot;Javier Eli Reyes&quot;"/>
        <s v="Content creation: V_94 V_95 &quot; BRA_16&quot;"/>
        <s v="Content creation: V_99 &quot;Valen Lombardo&quot;"/>
        <s v="Content creation: V_83/84/93/96/97  &quot;Axel Becker&quot;"/>
        <s v="Content creation: V_87/98/100/101 &quot;NIXON&quot;"/>
        <s v="Spanish Bounty CE-52"/>
        <s v="Spanish Bounty CE_ 53 and CE_54"/>
        <s v="Spanish Bounty TT_79 and TT_81"/>
        <s v="Reward View Party Decoded Lima - Peru"/>
        <s v="Reward View Party Decoded Valencia - Venezuela"/>
        <s v="Reward View Party Decoded La Plata - Argentina"/>
        <s v="Polkasama TT_83/TT_87"/>
        <s v="Gonzalo TT_86"/>
        <s v="Dotamina TT_84 TT_85 TT_89 TT_90"/>
        <s v="Content creation: V_62 &quot;Cesar''"/>
        <s v="Polkadot Sponsorship European Blockchain Convention Barcelona 2024"/>
        <s v="Volatility/ slippage buffer for stablecoins on EB multisig"/>
        <s v="Crane - Invoice #5 - DOT price -15% = 3.06 EUR - excess DOT due to higher DOT market price when claim is made available must be returned"/>
        <s v="Crane - Invoice #6 - DOT price -15% = 3.06 EUR - excess DOT due to higher DOT market price when claim is made available must be returned"/>
        <s v="Pineta Digital - INV075 - DOT price = 3.90 USD - excess DOT due to higher DOT market price when claim is made available must be returned"/>
        <s v="Pink Brains - Invoice #2 - DOT price = 3.85 USD - excess DOT due to higher DOT market price when claim is made available must be returned"/>
        <s v="USDC AH KuCoin Integration (Marketing Fee)"/>
        <s v="USDC AH KuCoin Integration (Integration Fee)"/>
        <s v="Spanish Bounty translations TT_91, TT_92, TT_93 and TT_103 "/>
        <s v="Spanish Bounty content creation CE-56 y translations TT 95, TT 96 and TT 98"/>
        <s v="Spanish Bounty translations TT 94 and 97"/>
        <s v="Content creation: V_102 / V_106 &quot;Axel becker''"/>
        <s v="Content creation: V_103 &quot;Cesar''"/>
        <s v="Content creation: V_104 &quot;Valen Lombardo''"/>
        <s v="Content creation: V_107 V_108 &quot;Bra''"/>
        <s v="Content creation: V_109 V_110 V_111 &quot;Nixon''"/>
        <s v="Polkasama TT_88"/>
        <s v="BRA_16-D CE_58"/>
        <s v="Simon CE_57"/>
        <s v="Yovanny  TT_99 /TT_100/TT_101/TT_102"/>
        <s v="Tour universitario de Polkadot en Bogota"/>
        <s v="Viewing Party in Rio Grande, Argentina"/>
        <s v="Polkadot Decoded Viewing Party 2024 Bogota, Colombia"/>
        <s v="Side event Polkadot en Crecimiento Buenos Aires, Argentina"/>
        <s v="_ecardo5o - Social Media Submanager July 2024"/>
        <s v="maarmapa - Social Media Submanager July 2024"/>
        <s v="_ecardo5o - Social Media Content Creation July 2024"/>
        <s v="Cappex - Social Media Content Creation July 2024"/>
        <s v="Abdulbee - General Curator July 2024"/>
        <s v="Kamala - General Curator July 2024"/>
        <s v="Cappex - General Curator July 2024"/>
        <s v="Grizzly - General Curator July 2024"/>
        <s v="frankywild - General Curator July 2024"/>
        <s v="Paradox - General Curator July 2024"/>
        <s v="FrankyWild - Proactive track manager - July 2024"/>
        <s v="Maarmapa - Educational track manager - July 2024"/>
        <s v="Michelle -  Social Media Content Reviewer July 2024"/>
        <s v="Grizzly - Social Media Content Reviewer July 2024"/>
        <s v="Grizzly - Social Media Account Manager July 2024"/>
        <s v="Kamala - Social Media Account Manager July 2024"/>
        <s v="cmalize - Social Media Account Manager July 2024"/>
        <s v="Side Event Ethereum Uruguay"/>
        <s v="Grizzly - Outreach Track Manager July 2024"/>
        <s v="cmalize - General Administration July 2024"/>
        <s v="frankywild - Malicious sites taken down July 2024"/>
        <s v="pastaMan - Malicious sites taken down July 2024"/>
        <s v="Tim Janssen - Malicious sites taken down July 2024"/>
        <s v="Tim Janssen - Reactive Track Manager July 2024"/>
        <s v="Paradox - General Administration July 2024"/>
        <s v="TheManWithoutaName - Socail Media Content Creation - July 2024"/>
        <s v="Grizzly - Social Media Content Creation - July 2024"/>
        <s v="LV - Website Maintenance July 2024 + Curator Abdulbee"/>
        <s v="Michelle - Takedowns of other form of scams July 2024"/>
        <s v="Shakurharun - Takedowns of other form of scams July 2024"/>
        <s v="Sirjey - Takedowns of other form of scams July 2024"/>
        <s v="pastaMan - General Administration July 2024"/>
        <s v="abdulbee - Admin/Op. Track Manager July 2024"/>
        <s v="TheManWithoutaName - DART Manager July 2024"/>
        <s v="macchala - DART ( Projects) July 2024"/>
        <s v="Alina - Victim Support July 2024"/>
        <s v="Alina - Forensics July 2024"/>
        <s v="Summer Edition (Dubai)"/>
        <s v="October Hong Kong Fintech Week"/>
        <s v="Spanish Bounty Writing Content CE_60, 62, 63"/>
        <s v="Spanish Bounty Writing Content CE_61"/>
        <s v="Spanish Bounty Writing Content CE_56 and translation 106"/>
        <s v="Spanish Bounty Writing Content difference CE_54"/>
        <s v="Spanish Bounty Translations TT_107, 108, 109"/>
        <s v="Spanish Bounty Translations TT_110, 111, 112 and 113"/>
        <s v="Content creation V_122 &quot;Cesar cripto&quot;"/>
        <s v="Content creation V_113/114/118 &quot;Axel Becker&quot;"/>
        <s v="Content creation V_115 &quot;Valen Lombardo&quot;"/>
        <s v="Content creation V_119/120/121  &quot;Nixon cripto&quot;"/>
        <s v="Content creation V_122/23  &quot;Lily Mendz&quot;"/>
        <s v="Reward organizers BLOCKCHAINCON LATAM 2024 in Bogota, Colombia"/>
        <s v="Salary payments for July - August for 7 curators + 15% volatility"/>
        <s v="Dwellir August 24"/>
        <s v="OnFinality August 24"/>
        <s v="Lucky Friday August 24"/>
        <s v="Stakeworld August 24"/>
        <s v="RadiumBlock August 24"/>
        <s v="Leemo Curator Fee August Payout"/>
        <s v="lolmcshizz Curator Fee August Payout"/>
        <s v="Hosting fee for Curator RPC instance @ $25.0000 + 1/9 hosting fee for supporting relay chain RPC instances @ $80.0000 + 1/9 hosting fee for curator instance @ $40.0000"/>
        <s v="Staker Space\Statemint produced 15911/15930 blocks; SR: 0 (Invulnerable), CR: 64.3147"/>
        <s v="DPSTK produced 15921/15930 blocks; SR: 0 (Invulnerable), CR: 64.3551"/>
        <s v="LuckyFriday.io produced 15900/15930 blocks; SR: 0 (Invulnerable), CR: 64.2702"/>
        <s v="turboflakes.io\MINT produced 15906/15930 blocks; SR: 0 (Invulnerable), CR: 64.2945"/>
        <s v="STKD.IO\AssetHub produced 15824/15930 blocks; SR: 14.6600, CR: 63.9630"/>
        <s v="Stakeworld.io produced 15930/15930 blocks; SR: 14.7582, CR: 64.3915"/>
        <s v="Polkadotters\CORE produced 3687/15930 blocks; SR: 3.4158, CR: 14.9034"/>
        <s v="Mile\Sys produced 15889/15930 blocks; SR: 14.7202, CR: 64.2258"/>
        <s v="Chris-Staking\bridgehub produced 15401/15930 blocks; SR: 14.2681, CR: 62.2532"/>
        <s v="ParaNodes.io produced 15915/15930 blocks; SR: 0 (Invulnerable), CR: 64.3309"/>
        <s v="YellowFin Tuna\Salad produced 14572/15930 blocks; SR: 13.5001, CR: 58.9023"/>
        <s v="Reward for curator (frankywild) as a portion from total 869.4173"/>
        <s v="Reward for curator (pastaMan) as a portion from total 869.4173"/>
        <s v="Reward for curator (Tim Janssen) as a portion from total 869.4173"/>
        <s v="Stakeworld.io produced 15900/15923 blocks; SR: 0 (Invulnerable), CR: 64.2985"/>
        <s v="Staker Space\bridgehub produced 15914/15923 blocks; SR: 14.7499, CR: 64.3551"/>
        <s v="YellowFin Tuna\Salad produced 15453/15923 blocks; SR: 14.3226, CR: 62.4909"/>
        <s v="COINSTUDIO produced 15755/15923 blocks; SR: 14.6025, CR: 63.7121"/>
        <s v="Mile\Sys produced 15923/15923 blocks; SR: 14.7582, CR: 64.3915"/>
        <s v="ParaNodes.io produced 15876/15923 blocks; SR: 14.7146, CR: 64.2014"/>
        <s v="LuckyFriday.io produced 15897/15923 blocks; SR: 14.7341, CR: 64.2864"/>
        <s v="turboflakes.io\MINT produced 15870/15923 blocks; SR: 14.7091, CR: 64.1772"/>
        <s v="Polkadotters\CORE produced 15835/15923 blocks; SR: 0 (Invulnerable), CR: 64.0356"/>
        <s v="Reward for curator (frankywild) as a portion from total 872.1493"/>
        <s v="Reward for curator (pastaMan) as a portion from total 872.1493"/>
        <s v="Reward for curator (Tim Janssen) as a portion from total 872.1493"/>
        <s v="YellowFin Tuna\Salad produced 15495/15913 blocks; SR: 0 (Invulnerable), CR: 62.7001"/>
        <s v="Mile\Sys produced 15888/15913 blocks; SR: 0 (Invulnerable), CR: 64.2903"/>
        <s v="BESTVALIDATOR | ZURICH\collectives produced 15912/15913 blocks; SR: 0 (Invulnerable), CR: 64.3875"/>
        <s v="Stakeworld.io produced 15913/15913 blocks; SR: 14.7582, CR: 64.3915"/>
        <s v="Polkadotters\CORE produced 15906/15913 blocks; SR: 14.7517, CR: 64.3632"/>
        <s v="ParaNodes.io produced 15891/15913 blocks; SR: 14.7378, CR: 64.3025"/>
        <s v="LuckyFriday.io produced 15880/15913 blocks; SR: 14.7276, CR: 64.2580"/>
        <s v="Coinstudio\COLLECTIVES produced 15881/15913 blocks; SR: 14.7285, CR: 64.2620"/>
        <s v="Reward for curator (frankywild) as a portion from total 871.4356"/>
        <s v="Reward for curator (pastaMan) as a portion from total 871.4356"/>
        <s v="Reward for curator (Tim Janssen) as a portion from total 871.4356"/>
        <s v="Coinstudio\COLLECTIVES produced 14267/14304 blocks; SR: 0 (Invulnerable), CR: 64.2249"/>
        <s v="STKD.IO produced 14272/14304 blocks; SR: 0 (Invulnerable), CR: 64.2474"/>
        <s v="Reward for curator (frankywild) as a portion from total 394.1041"/>
        <s v="Reward for curator (pastaMan) as a portion from total 394.1041"/>
        <s v="Reward for curator (Tim Janssen) as a portion from total 394.1041"/>
        <s v="Spanish Bounty Content Creation CE_66"/>
        <s v="Spanish Bounty Content Creation CE_65 &amp; 68"/>
        <s v="Spanish Bounty Content Creation CE_70 &amp; 71"/>
        <s v="Spanish Bounty Content Creation CE_72"/>
        <s v="Spanish bounty CE 67"/>
        <s v="Spanish bounty TT 115-116-117-118"/>
        <s v="Spanish bounty TT 114"/>
        <s v="Spanish bounty TT 119-120-121"/>
        <s v="Content Creation/V_124_128/Cesar_Cripto"/>
        <s v="Content Creation/V_125_137/AxelBecker"/>
        <s v="Content Creation/V_126/TododeCripto"/>
        <s v="Content Creation/V_127/ValenLombardo"/>
        <s v="Content Creation/V_129_130_131/NIXON"/>
        <s v="Content Creation/V_135_136/BRA_16"/>
        <s v="Content Creation/V_132_133/LilyMendz"/>
        <s v="Albert Payment Curator - August"/>
        <s v="Nachito Payment Curator - August"/>
        <s v="Lorena Payment Curator - August"/>
        <s v="Amaury Monthly Payment - August"/>
        <s v="Ezio Monthly Payment - August"/>
        <s v="Gerardo Monthly Payment - August"/>
        <s v="Lengo Monthly Payment - August"/>
        <s v="Ernih Monthly Payment - August"/>
        <s v="Women Of Polkadot: Brunch in Brussels Meetup"/>
        <s v="Mod lead child bounty - August 2024 - Mistercole"/>
        <s v="Curator + mod bounty - August 2024 - abdulbee"/>
        <s v="Curator + mod bounty - August 2024 - Grizz"/>
        <s v="Mod team bounty - August 2024 - Paradox"/>
        <s v="Mod team bounty - August 2024 - Franky"/>
        <s v="Mod team bounty - August 2024 - MC"/>
        <s v="Mod team bounty - August 2024 - Tim"/>
        <s v="Mod team bounty - August 2024 - Gr33n"/>
        <s v="Mod team bounty - August 2024 - Cappex"/>
        <s v="Mod team bounty - August 2024 - Pastaman"/>
        <s v="Mod team bounty - August 2024 - Muddlebee"/>
        <s v="Mod team bounty - August 2024 - LV"/>
        <s v="Mod team bounty - August 2024 - a.j"/>
        <s v="Ha Noi - Workshop Hanoi with PBA Graduates, Vietnam"/>
        <s v="[REWARD] Polkadot Networking Eve Q2 Northern Nigeria"/>
        <s v="[REWARD] Beyond the chain London"/>
        <s v="Spanish Bounty Write content CE 73 y 74"/>
        <s v="Spanish Bounty Write content CE 76, TT 104"/>
        <s v="Spanish Bounty Translations TT 122, 125, 126, 127, 128"/>
        <s v="Spanish Bounty TT_123"/>
        <s v="Spanish Bounty TT_131/132/133/134 "/>
        <s v="Spanish Bounty CE_69"/>
        <s v="Spanish Bounty CE_75"/>
        <s v="Content Creation V_138 V_140 Axel becker"/>
        <s v="Content Creation V_141 V_147 Valen Lombardo"/>
        <s v="Content Creation V_142 V_143  LV"/>
        <s v="Content Creation V_144 V_145 V_146  Nixon"/>
        <s v="Content Creation V_150  Hector&lt;B&gt;"/>
        <s v="Sponsorship Polkadot on Blockchain Galicia, Spain"/>
        <s v="Cripto Latin Dev 2024 - Tegucigalpa (Honduras)"/>
        <s v="Payment for the second month's salary of BD Spain Team + 1 Lead"/>
        <s v="Polkadot Times @ ETHSafari"/>
        <s v="Q4/2024 - https://github.com/paseo-network/payouts/issues/46"/>
        <s v="Valid Orange 3Q24 - https://github.com/paseo-network/payouts/issues/44"/>
        <s v="DPSTK - Q3 / 2024 - https://github.com/paseo-network/payouts/issues/43"/>
        <s v="DPSTK - Q2 / 2024 - https://github.com/paseo-network/payouts/issues/42"/>
        <s v="Staker Space Q3 2024 - https://github.com/paseo-network/payouts/issues/37"/>
        <s v="Staker Space 2024 Q1 &amp; Q2 - https://github.com/paseo-network/payouts/issues/36"/>
        <s v="Openbitlab Q3/2024 - https://github.com/paseo-network/payouts/issues/35"/>
        <s v="Polkadotters - Q3 2024 - https://github.com/paseo-network/payouts/issues/34"/>
        <s v="Mile - Q1 &amp; Q2 &amp; Q3 2024 - https://github.com/paseo-network/payouts/issues/33"/>
        <s v="STKD Q1,2,3 - https://github.com/paseo-network/payouts/issues/32"/>
        <s v="Gatotech's Q3 2024 - https://github.com/paseo-network/payouts/issues/31"/>
        <s v="Stakeworld - Q2 2024 - https://github.com/paseo-network/payouts/issues/30"/>
        <s v="CoinStudio Q3/2024 - https://github.com/paseo-network/payouts/issues/27"/>
        <s v="METASPAN 2024.Q3 - https://github.com/paseo-network/payouts/issues/26"/>
        <s v="Stakeworld - Q3 2024 - https://github.com/paseo-network/payouts/issues/25"/>
        <s v="DPSTK - Q1 2024 - https://github.com/paseo-network/payouts/issues/21"/>
        <s v="frankywild - Proactive Track Manager August 2024"/>
        <s v="Web3 Bulacan x Polkadot Meetup"/>
        <s v="Polkadot Meet-up institute of Management and Tech Enugu, Nigeria"/>
        <s v="Spanish Bounty TT. 129-141-142"/>
        <s v="Spanish Bounty TT. 130-135-141"/>
        <s v="Spanish Bounty TT. 145-146-147"/>
        <s v="Spanish Bounty TT. 139"/>
        <s v="Spanish Bounty CE_78/CE_84 "/>
        <s v="Spanish Bounty CE_79"/>
        <s v="Spanish Bounty CE_80/CE_81"/>
        <s v="Spanish Bounty CE_82 y TT_144 "/>
        <s v="Spanish Bounty CE_77 / CE_83"/>
        <s v="Content creation V_149 ''Bra''"/>
        <s v="Content creation V_151 ''Hector B''"/>
        <s v="Content creation V_152 V_153 V_158 ''Valen Lombardo''"/>
        <s v="Content creation V_155 ''Cesar_cripto''"/>
        <s v="Content creation V_156 V_159 ''Axel becker''"/>
        <s v="Content creation V_157 ''Max Crypto'"/>
        <s v="Content creation V_161 ''Lily Mendz'"/>
        <s v="Content creation V_162 ''Nixon''"/>
        <s v="Content creation V_165 ''LV''"/>
        <s v="Reward Decoded View Party Mendoza"/>
        <s v="Michelle - Takedowns of other form of scams Aug 2024"/>
        <s v="Shakurharun - Takedowns of other form of scams Aug 2024"/>
        <s v="Sirjey - Takedowns of other form of scams Aug 2024"/>
        <s v="frankywild - Maintenance of phishing repo August 2024"/>
        <s v="pastaMan - Maintenance of phishing repo August 2024"/>
        <s v="Tim Janssen - Maintenance of phishing repo August 2024"/>
        <s v="Malize Fred - DART (9 Projects) August 2024"/>
        <s v="TheManWithoutaName - DART Manager August 2024"/>
        <s v="Tim Janssen - Reactive Track Manager August 2024"/>
        <s v="Paradox - General Administration August 2024"/>
        <s v="Grizzly - Social Media Content Creation August 2024"/>
        <s v="cyphadoc - Social Media Content Creation August 2024"/>
        <s v="Michelle -  Social Media Content Reviewer 1/2 August 2024"/>
        <s v="Grizzly - Social Media Content Reviewer 1/2 August 2024"/>
        <s v="LV - Website Maintenance August 2024"/>
        <s v="Abdulbee - General Curator Aug 2024"/>
        <s v="Kamala - General Curator Aug 2024"/>
        <s v="Cappex - General Curator Aug 2024"/>
        <s v="Grizzly - General Curator Aug 2024"/>
        <s v="frankywild - General Curator Aug 2024"/>
        <s v="Paradox - General Curator Aug 2024"/>
        <s v="frankywild - Malicious sites taken down August 2024"/>
        <s v="pastaMan - Malicious sites taken down August 2024"/>
        <s v="Tim Janssen - Malicious sites taken down August 2024"/>
        <s v="Alina - Victim Support August 2024"/>
        <s v="Alina - Forensics August 2024"/>
        <s v="Hosting fee for Curator RPC instance @ $40.0000 + 1/9 hosting fee for supporting relay chain RPC instances @ $120.0000 + 1/9 hosting fee for curator instance @ $60.0000"/>
        <s v="ParaNodes.io produced 15849/15890 blocks; SR: 0 (Invulnerable), CR: 69.8310"/>
        <s v="Staker Space\Statemint produced 15854/15890 blocks; SR: 0 (Invulnerable), CR: 69.8531"/>
        <s v="DPSTK produced 15860/15890 blocks; SR: 0 (Invulnerable), CR: 69.8795"/>
        <s v="LuckyFriday.io produced 15851/15890 blocks; SR: 0 (Invulnerable), CR: 69.8398"/>
        <s v="turboflakes.io\MINT produced 15818/15890 blocks; SR: 0 (Invulnerable), CR: 69.6944"/>
        <s v="YellowFin Tuna\Salad produced 15859/15890 blocks; SR: 14.7096, CR: 69.8751"/>
        <s v="Mile\Sys produced 15858/15890 blocks; SR: 14.7087, CR: 69.8707"/>
        <s v="Stakeworld.io produced 15868/15890 blocks; SR: 14.7179, CR: 69.9147"/>
        <s v="STKD.IO\AssetHub produced 15852/15890 blocks; SR: 14.7031, CR: 69.8442"/>
        <s v="Chris-Staking\bridgehub produced 15890/15890 blocks; SR: 14.7384, CR: 70.0117"/>
        <s v="Reward for curator (frankywild) as a portion from total 944.6592"/>
        <s v="Reward for curator (pastaMan) as a portion from total 944.6592"/>
        <s v="Reward for curator (Tim Janssen) as a portion from total 944.6592"/>
        <s v="Polkadotters\CORE produced 15856/15878 blocks; SR: 0 (Invulnerable), CR: 69.9147"/>
        <s v="Stakeworld.io produced 15844/15878 blocks; SR: 0 (Invulnerable), CR: 69.8618"/>
        <s v="Staker Space\bridgehub produced 15872/15878 blocks; SR: 14.7328, CR: 69.9852"/>
        <s v="COINSTUDIO produced 15878/15878 blocks; SR: 14.7384, CR: 70.0117"/>
        <s v="Mile\Sys produced 15878/15878 blocks; SR: 14.7384, CR: 70.0117"/>
        <s v="YellowFin Tuna\Salad produced 15855/15878 blocks; SR: 14.7170, CR: 69.9103"/>
        <s v="ParaNodes.io produced 15836/15878 blocks; SR: 14.6994, CR: 69.8265"/>
        <s v="LuckyFriday.io produced 15840/15878 blocks; SR: 14.7031, CR: 69.8441"/>
        <s v="turboflakes.io\MINT produced 15827/15878 blocks; SR: 14.6910, CR: 69.7868"/>
        <s v="Reward for curator (frankywild) as a portion from total 947.3647"/>
        <s v="Reward for curator (pastaMan) as a portion from total 947.3647"/>
        <s v="Reward for curator (Tim Janssen) as a portion from total 947.3647"/>
        <s v="YellowFin Tuna\Salad produced 15848/15881 blocks; SR: 0 (Invulnerable), CR: 69.8662"/>
        <s v="Mile\Sys produced 15846/15881 blocks; SR: 0 (Invulnerable), CR: 69.8574"/>
        <s v="BESTVALIDATOR | ZURICH\collectives produced 15868/15881 blocks; SR: 0 (Invulnerable), CR: 69.9544"/>
        <s v="Stakeworld.io produced 15881/15881 blocks; SR: 14.7384, CR: 70.0117"/>
        <s v="Polkadotters\CORE produced 15861/15881 blocks; SR: 14.7198, CR: 69.9235"/>
        <s v="ParaNodes.io produced 15866/15881 blocks; SR: 14.7244, CR: 69.9455"/>
        <s v="Coinstudio\COLLECTIVES produced 15855/15881 blocks; SR: 14.7142, CR: 69.8970"/>
        <s v="LuckyFriday.io produced 15856/15881 blocks; SR: 14.7152, CR: 69.9015"/>
        <s v="Reward for curator (frankywild) as a portion from total 945.3200"/>
        <s v="Reward for curator (pastaMan) as a portion from total 945.3200"/>
        <s v="Reward for curator (Tim Janssen) as a portion from total 945.3200"/>
        <s v="Coinstudio\COLLECTIVES produced 25281/25295 blocks; SR: 0 (Invulnerable), CR: 69.9729"/>
        <s v="STKD.IO produced 25293/25295 blocks; SR: 0 (Invulnerable), CR: 70.0061"/>
        <s v="Mile\Sys produced 9104/25295 blocks; SR: 5.3045, CR: 25.1981"/>
        <s v="ParaNodes.io produced 8888/25295 blocks; SR: 5.1787, CR: 24.6003"/>
        <s v="Stakeworld.io produced 8871/25295 blocks; SR: 5.1688, CR: 24.5532"/>
        <s v="YellowFin Tuna\Salad produced 8886/25295 blocks; SR: 5.1775, CR: 24.5947"/>
        <s v="LuckyFriday.io produced 8720/25295 blocks; SR: 5.0808, CR: 24.1353"/>
        <s v="turboflakes.io\MINT produced 8704/25295 blocks; SR: 5.0715, CR: 24.0910"/>
        <s v="Reward for curator (frankywild) as a portion from total 611.6011"/>
        <s v="Reward for curator (pastaMan) as a portion from total 611.6011"/>
        <s v="Reward for curator (Tim Janssen) as a portion from total 611.6011"/>
        <s v="Harbour Milestone 1 Payment"/>
        <s v="Payment of Bounty BD Spain curators+Cost of 24 DOTs for Proxy configuration."/>
        <s v="Polar Path Retroactive Child Bounty"/>
        <s v="pastaMan - General Administration August 2024"/>
        <s v="abdulbee - Admin/Op. Track Manager August 2024"/>
        <s v="_ecardo5o - Social Media Submanager 1/2 August 2024"/>
        <s v="_ecardo5o - Social Media Content Creation 1/2 August 2024"/>
        <s v="Cappex - Social Media Content Creation 1/2 August 2024"/>
        <s v="Budapest Meetup - April 2024"/>
        <s v="Budapest Meetup - May 2024"/>
        <s v="Budapest Meetup - August 2024"/>
        <s v="Polkabusiness Lisbon: A Polkadot Community event"/>
        <s v="Spanish bounty Content Creation CE-85"/>
        <s v="Spanish bounty Content Creation CE-86"/>
        <s v="Spanish bounty Content Creation CE-89 &amp; 91"/>
        <s v="Spanish bounty Content Creation CE-90 and Translation 151"/>
        <s v="Spanish Bounty - CE_92 Alejandro (Armentsk)"/>
        <s v="Spanish Bounty - CE_93 Thehodlfather"/>
        <s v="Spanish Bounty - CE_94/TT_136 / TT_154 TT_155 Gonzalo"/>
        <s v="Spanish Bounty - TT_149 DOTAMINA"/>
        <s v="Spanish Bounty - TT_148/161/162/163 Yovanny Renaud"/>
        <s v="Content creation V_154 V_169 V_172 ''Valen Lombardo''"/>
        <s v="Content creation V_160 ''Lily Mendz''"/>
        <s v="Content creation V_164 ''LV'"/>
        <s v="Content creation V_166. ''Hector&lt;B&gt;''"/>
        <s v="Content creation V_167 V_171. ''Bra''"/>
        <s v="Content creation V_168 V_170. ''Axel becker''"/>
        <s v="Content creation V_174 ''Nixon''"/>
        <s v="Reward for Ethereum Uruguay Side Event"/>
        <s v="Java Host (Fruzhin) Phase 3 child bounty first tranche"/>
        <s v="Salary payments for August-September for 7 curators"/>
        <s v="Spanish Bounty C Creation CE 94 Translations 101/176/178 Gonzalo "/>
        <s v="Spanish Bounty Translation 169 Meadow "/>
        <s v="Spanish Bounty C Creation CE 95 Alejandro Armentsk "/>
        <s v="Spanish Bounty C Creation CE 96, 99 &amp; 102 Willy "/>
        <s v="Spanish Bounty - CE_97 MacZam"/>
        <s v="Spanish Bounty - CE_98 Domut"/>
        <s v="Spanish Bounty - CE_103/TT_150/151/170/171/172 Lily Mendz"/>
        <s v="Spanish Bounty - CE_104 the hodlfater"/>
        <s v="Spanish Bounty TT_173/TT_174/TT_177/TT_178 Dotamina"/>
        <s v="Content creation &quot;BRA&quot; V_175"/>
        <s v="Contet creation &quot;NIXON&quot; V_189"/>
        <s v="Content creation &quot;Valen Lombardo&quot; V_181/186/187"/>
        <s v="Content creation &quot;MAX CRIPTO&quot; V_184/85"/>
        <s v="Content Creation &quot;Axel Becker&quot; V_177/83"/>
        <s v="Content Creation &quot;Cesar&quot; V_178/82"/>
        <s v="Content creation &quot;LV&quot; V_179/80"/>
        <s v="Polkadot en CumbreTech en Pereira, Colombia"/>
        <s v="Reward organizers Tour Universitario en Bogota, Colombia"/>
        <s v="Reward Polkadot Decoded View Party - Chiloe"/>
        <s v="Sponsorship Polkadot AndesTech"/>
        <s v="NFT &amp; RWA Paris"/>
        <s v="India IIT Roorkee Workshop"/>
        <s v="Domain Hosting for Anti-Scam website- Franky"/>
        <s v="Dwellir September 24"/>
        <s v="Lucky Friday September 24"/>
        <s v="Stakeworld September 24"/>
        <s v="RadiumBlock September 24"/>
        <s v="Leemo Curator Fee September Payout"/>
        <s v="lolmcshizz Curator Fee September Payout"/>
        <s v="First Payment for Meld Integration"/>
        <s v="Spanish Bounty Written Content CE 111 &amp; 112 Bra"/>
        <s v="Spanish Bounty Written Content CE 113 &amp; TT 185 Gonzalo"/>
        <s v="Spanish Bounty Written Content CE 114 The hodlfather"/>
        <s v="Spanish Bounty Tranlations TT 183 &amp; 184 Dotamina"/>
        <s v="Spanish Bounty Translation 187 Yovanny"/>
        <s v="Spanish Bounty - CE_106/CE_108/115/182 Willy"/>
        <s v="Spanish Bounty - CE_107 Tododecripto"/>
        <s v="Spanish Bounty - CE-109/TT_179/TT_180/TT_181 Lily"/>
        <s v="Spanish Bounty - CE_110 Alejandro (Armentsk)"/>
        <s v="Content creation V_188 V_193 &quot;Hector B&quot;"/>
        <s v=" Content creation V_190 &quot;Nixon&quot;"/>
        <s v=" Content creation V_191 V_192 V_197 &quot;Axel becker&quot;"/>
        <s v="Content creation V_194 V_198  &quot;Bra&quot;"/>
        <s v="Content creation V_195   &quot;Max crypto&quot;"/>
        <s v="Content creation V_196    &quot;Cesar cripto&quot;"/>
        <s v="Content creation V_200 V_201    &quot;Valen Lombardo&quot;"/>
        <s v="Content creation V_202   &quot;LV&quot;"/>
        <s v="Curator Payment September / Ernih"/>
        <s v="Curator Payment September / Nachito"/>
        <s v="Curator Payment September / Gerardo"/>
        <s v="Auxiliar Payment September / Amaury"/>
      </sharedItems>
    </cacheField>
    <cacheField name="DOT" numFmtId="165">
      <sharedItems containsSemiMixedTypes="0" containsString="0" containsNumber="1">
        <n v="140.0"/>
        <n v="238.0"/>
        <n v="373.0"/>
        <n v="27.0"/>
        <n v="464.0325"/>
        <n v="494.47625"/>
        <n v="554.47625"/>
        <n v="168.145"/>
        <n v="15.0"/>
        <n v="25.0"/>
        <n v="443.75"/>
        <n v="220.01"/>
        <n v="100.17"/>
        <n v="71.367399372"/>
        <n v="57.0450656"/>
        <n v="1211.21"/>
        <n v="852.58"/>
        <n v="163.92"/>
        <n v="27.23"/>
        <n v="62.0116581917"/>
        <n v="49.6093266"/>
        <n v="8800.0"/>
        <n v="3468.0"/>
        <n v="645.285007"/>
        <n v="1084.97247"/>
        <n v="651.759024"/>
        <n v="585.966667"/>
        <n v="936.616667"/>
        <n v="684.266667"/>
        <n v="55.7335934234"/>
        <n v="69.0798563139"/>
        <n v="17.2699640785"/>
        <n v="134.138162307"/>
        <n v="6110.59"/>
        <n v="21874.0"/>
        <n v="61.0"/>
        <n v="1246.0"/>
        <n v="517.55"/>
        <n v="903.3"/>
        <n v="448.47"/>
        <n v="78.839482813"/>
        <n v="63.0715862504"/>
        <n v="84.69"/>
        <n v="113.95"/>
        <n v="3158.0"/>
        <n v="1943.0"/>
        <n v="1676.0"/>
        <n v="118.845500508"/>
        <n v="192.93100753"/>
        <n v="61.842919"/>
        <n v="77.3036487322"/>
        <n v="215.2316331787"/>
        <n v="959.2192684183"/>
        <n v="553.9642452344"/>
        <n v="52.7240773287"/>
        <n v="44.38"/>
        <n v="93.7022241949"/>
        <n v="99.620190033"/>
        <n v="274.20229817"/>
        <n v="47.0"/>
        <n v="134.4"/>
        <n v="25.2"/>
        <n v="1547.92"/>
        <n v="1083.18"/>
        <n v="35.8"/>
        <n v="26.9"/>
        <n v="206.0"/>
        <n v="53.8"/>
        <n v="269.0"/>
        <n v="473.1182795699"/>
        <n v="1636.0"/>
        <n v="5075.4"/>
        <n v="36.0"/>
        <n v="3564.0"/>
        <n v="5325.9"/>
        <n v="808.2"/>
        <n v="65.42"/>
        <n v="69.0"/>
        <n v="382.943333"/>
        <n v="1055.843333"/>
        <n v="683.493333"/>
        <n v="90.8595312"/>
        <n v="72.5821085103"/>
        <n v="3672.0"/>
        <n v="145.1642170205"/>
        <n v="76.8386388"/>
        <n v="14602.0"/>
        <n v="17624.6"/>
        <n v="4750.9"/>
        <n v="114.7614761476"/>
        <n v="91.4494742"/>
        <n v="201.2480974125"/>
        <n v="866.8645357686"/>
        <n v="376.6818873668"/>
        <n v="248.649864986"/>
        <n v="140.639063906"/>
        <n v="113.636364"/>
        <n v="203.645365"/>
        <n v="500.0"/>
        <n v="106.6"/>
        <n v="229.6"/>
        <n v="10821.0"/>
        <n v="49.2"/>
        <n v="6303.0"/>
        <n v="579.3"/>
        <n v="844.8"/>
        <n v="3074.6"/>
        <n v="129.4"/>
        <n v="7307.3"/>
        <n v="3793.0"/>
        <n v="628.75"/>
        <n v="1964.0"/>
        <n v="1078.7"/>
        <n v="97.1"/>
        <n v="32.4"/>
        <n v="24.3"/>
        <n v="48.6"/>
        <n v="245.861334"/>
        <n v="40.976889"/>
        <n v="131.1260449107"/>
        <n v="245.8613342075"/>
        <n v="2539.4"/>
        <n v="742.8"/>
        <n v="3380.7"/>
        <n v="33807.0"/>
        <n v="4474.1"/>
        <n v="170.4638583839"/>
        <n v="144.2386494018"/>
        <n v="137.6823471562"/>
        <n v="6551.0"/>
        <n v="785.2"/>
        <n v="123.3"/>
        <n v="31.8"/>
        <n v="143.4"/>
        <n v="47.8"/>
        <n v="2732.0"/>
        <n v="652.6"/>
        <n v="1537.25"/>
        <n v="591.25"/>
        <n v="236.5"/>
        <n v="15372.5"/>
        <n v="5912.5"/>
        <n v="2365.0"/>
        <n v="72.26810673"/>
        <n v="79.41550191"/>
        <n v="1371.2409995765"/>
        <n v="1216.9525624735"/>
        <n v="78.8767944471"/>
        <n v="28.3956460009"/>
        <n v="1861.0"/>
        <n v="218.0"/>
        <n v="352.0456707896"/>
        <n v="228.3539486202"/>
        <n v="209.3244529019"/>
        <n v="85.6327307325"/>
        <n v="272.7561052964"/>
        <n v="63.43165239"/>
        <n v="102.4751694781"/>
        <n v="890.0"/>
        <n v="1736.1"/>
        <n v="783.2"/>
        <n v="12583.0"/>
        <n v="3678.0"/>
        <n v="325.0"/>
        <n v="9427.0"/>
        <n v="12000.0"/>
        <n v="3140.0"/>
        <n v="20146.0"/>
        <n v="298.4099748"/>
        <n v="1054.587051"/>
        <n v="185.9528712"/>
        <n v="85.7927478"/>
        <n v="144.1317776253"/>
        <n v="123.5415236788"/>
        <n v="102.9512697323"/>
        <n v="68.6341798215"/>
        <n v="83.47"/>
        <n v="100.16"/>
        <n v="41.393583"/>
        <n v="42.94917681"/>
        <n v="85.89835361"/>
        <n v="143.1639227"/>
        <n v="89.47745168"/>
        <n v="128.8475304"/>
        <n v="27.9"/>
        <n v="55.9"/>
        <n v="288.8"/>
        <n v="37384.0"/>
        <n v="125.8"/>
        <n v="919.4"/>
        <n v="369.6"/>
        <n v="7005.0"/>
        <n v="29433.0"/>
        <n v="8996.0"/>
        <n v="29109.0"/>
        <n v="8897.0"/>
        <n v="7929.7"/>
        <n v="5044.9"/>
        <n v="7375.5"/>
        <n v="253.4425009"/>
        <n v="653.1075549"/>
        <n v="295.6457015"/>
        <n v="133.9784146"/>
        <n v="93.0405656866"/>
        <n v="156.3081503536"/>
        <n v="93.28"/>
        <n v="134.32"/>
        <n v="111.94"/>
        <n v="38779.0"/>
        <n v="1508.0"/>
        <n v="134.8314606741"/>
        <n v="112.3595505617"/>
        <n v="93.04056959"/>
        <n v="93.6329588014"/>
        <n v="74.9063670411"/>
        <n v="144.7640533935"/>
        <n v="15364.4"/>
        <n v="2024.5"/>
        <n v="1065.2"/>
        <n v="466.7"/>
        <n v="11466.0"/>
        <n v="8118.789"/>
        <n v="654.646"/>
        <n v="345.197"/>
        <n v="432.836"/>
        <n v="469.429"/>
        <n v="508.333"/>
        <n v="519.197"/>
        <n v="616.277"/>
        <n v="616.804"/>
        <n v="655.232"/>
        <n v="753.548"/>
        <n v="803.839"/>
        <n v="824.45"/>
        <n v="831.664"/>
        <n v="959.322"/>
        <n v="971.821"/>
        <n v="999.646"/>
        <n v="1005.623"/>
        <n v="1030.563"/>
        <n v="466.746"/>
        <n v="653.171"/>
        <n v="906.895"/>
        <n v="1052.0"/>
        <n v="728.0"/>
        <n v="1027.0"/>
        <n v="843.0"/>
        <n v="5639.0"/>
        <n v="958.0"/>
        <n v="767.0"/>
        <n v="911.0"/>
        <n v="974.0"/>
        <n v="783.0"/>
        <n v="910.0"/>
        <n v="880.4"/>
        <n v="1058.2"/>
        <n v="717.8"/>
        <n v="8597.0"/>
        <n v="3316.7"/>
        <n v="4938.7"/>
        <n v="21418.579"/>
        <n v="150.0681066"/>
        <n v="844.9114614"/>
        <n v="303.9891029"/>
        <n v="81.72796264"/>
        <n v="97.29519362"/>
        <n v="116.7542323409"/>
        <n v="140.1050788091"/>
        <n v="163.4559252773"/>
        <n v="104.34616121"/>
        <n v="89.0292935095"/>
        <n v="76.5843385027"/>
        <n v="10133.0"/>
        <n v="8137.02"/>
        <n v="169.6"/>
        <n v="107.7"/>
        <n v="29.5"/>
        <n v="2200.0"/>
        <n v="571.8"/>
        <n v="265.2"/>
        <n v="56.8"/>
        <n v="10317.0"/>
        <n v="2076.0"/>
        <n v="1072.0"/>
        <n v="4846.0"/>
        <n v="96.61835749"/>
        <n v="173.9130435"/>
        <n v="48.30917874"/>
        <n v="144.9275362"/>
        <n v="386.47343"/>
        <n v="270.531401"/>
        <n v="77.29468599"/>
        <n v="162.31884058"/>
        <n v="139.13043478"/>
        <n v="139.1304347826"/>
        <n v="115.9420289855"/>
        <n v="1033.87191"/>
        <n v="1557.40705"/>
        <n v="1052.75453"/>
        <n v="68.5990338164"/>
        <n v="1419.54871"/>
        <n v="1954.22068"/>
        <n v="99.40357"/>
        <n v="143.14115"/>
        <n v="119.28429"/>
        <n v="4659.9"/>
        <n v="10415.0"/>
        <n v="17698.0"/>
        <n v="1520.0"/>
        <n v="9295.0"/>
        <n v="19024.0"/>
        <n v="158.4507042254"/>
        <n v="184.8591549296"/>
        <n v="110.0352112676"/>
        <n v="132.0422535211"/>
        <n v="88.0281690141"/>
        <n v="66.47462885"/>
        <n v="2876.2242410813"/>
        <n v="2140.5716818081"/>
        <n v="78.6616441392"/>
        <n v="114.1147795258"/>
        <n v="66.3"/>
        <n v="651.5"/>
        <n v="16.9"/>
        <n v="1205.3"/>
        <n v="867.2"/>
        <n v="672.0"/>
        <n v="169.0"/>
        <n v="8672.0"/>
        <n v="6515.0"/>
        <n v="12053.0"/>
        <n v="7819.0"/>
        <n v="15825.0"/>
        <n v="7556.0"/>
        <n v="177.3835920177"/>
        <n v="206.9475240207"/>
        <n v="123.1830500123"/>
        <n v="98.5464400099"/>
        <n v="147.8196600148"/>
        <n v="110.8647450111"/>
        <n v="1707.3330070957"/>
        <n v="1707.4798140445"/>
        <n v="1466.129190115"/>
        <n v="1.0"/>
        <n v="160.1941747573"/>
        <n v="82.5242718447"/>
        <n v="9630.0"/>
        <n v="74145.0"/>
        <n v="9180.0"/>
        <n v="34498.0"/>
        <n v="5109.0"/>
        <n v="446.0"/>
        <n v="610.3038309115"/>
        <n v="681.6380449141"/>
        <n v="742.4042272127"/>
        <n v="29427.0"/>
        <n v="2437.0"/>
        <n v="8068.0"/>
        <n v="12690.0"/>
        <n v="30150.0"/>
        <n v="347.6533399553"/>
        <n v="381.1770548796"/>
        <n v="409.7342935187"/>
        <n v="117.2882946282"/>
        <n v="562.9838214154"/>
        <n v="5870.0"/>
        <n v="337.7902885292"/>
        <n v="394.0886699507"/>
        <n v="10.0117288295"/>
        <n v="20581.0"/>
        <n v="168.8951442646"/>
        <n v="8.4400656814"/>
        <n v="140.7459535538"/>
        <n v="465.8831808586"/>
        <n v="996.8707482993"/>
        <n v="1636.5611072015"/>
        <n v="174.8410535876"/>
        <n v="108.991825613"/>
        <n v="89.0868597"/>
        <n v="1706.0"/>
        <n v="4174.0"/>
        <n v="291.6587497625"/>
        <n v="266.0079802394"/>
        <n v="266.1596958175"/>
        <n v="313.5094052822"/>
        <n v="33106.0"/>
        <n v="137.1689845685"/>
        <n v="95.2562392837"/>
        <n v="114.3074871404"/>
        <n v="76.2049914269"/>
        <n v="274.337969137"/>
        <n v="228.6149742808"/>
        <n v="320.0609639931"/>
        <n v="1294.9697194414"/>
        <n v="761.6734643431"/>
        <n v="622.7783957484"/>
        <n v="3000.0"/>
        <n v="143.106457"/>
        <n v="433.5"/>
        <n v="7056.2"/>
        <n v="1987.0"/>
        <n v="277.0"/>
        <n v="744.5"/>
        <n v="288.0"/>
        <n v="1172.3"/>
        <n v="935.5"/>
        <n v="11074.0"/>
        <n v="146.1"/>
        <n v="317.0"/>
        <n v="2385.0"/>
        <n v="203.6031589339"/>
        <n v="172.754195459"/>
        <n v="189.4126357354"/>
        <n v="9379.0"/>
        <n v="5876.0"/>
        <n v="198.487713"/>
        <n v="85.0661626"/>
        <n v="70.888468"/>
        <n v="59.073724"/>
        <n v="170.132325"/>
        <n v="19.494328"/>
        <n v="141.776938"/>
        <n v="827.53"/>
        <n v="317.82"/>
        <n v="324.79"/>
        <n v="47.3933649"/>
        <n v="141.78"/>
        <n v="59.07"/>
        <n v="18360.0"/>
        <n v="1071.0"/>
        <n v="15642.0"/>
        <n v="13993.0"/>
        <n v="1769.3"/>
        <n v="23286.0"/>
        <n v="294.2"/>
        <n v="267.2"/>
        <n v="174.6"/>
        <n v="19.4"/>
        <n v="31.43"/>
        <n v="56.69"/>
        <n v="67.91"/>
        <n v="4833.0"/>
        <n v="6828.0"/>
        <n v="212.7"/>
        <n v="233.21"/>
        <n v="250.68"/>
        <n v="20722.0"/>
        <n v="8324.0"/>
        <n v="29.546"/>
        <n v="212.734"/>
        <n v="177.278"/>
        <n v="73.866"/>
        <n v="1034.835278"/>
        <n v="473.6593293"/>
        <n v="800.1181858"/>
        <n v="35.46"/>
        <n v="212.73"/>
        <n v="177.28"/>
        <n v="106.37"/>
        <n v="88.64"/>
        <n v="73.87"/>
        <n v="58.9188392988"/>
        <n v="14.3467"/>
        <n v="7.0525"/>
        <n v="246.442717"/>
        <n v="105.618307"/>
        <n v="73.3460466"/>
        <n v="5167.0"/>
        <n v="1008.0"/>
        <n v="81.4107274063"/>
        <n v="367.6708302719"/>
        <n v="267.8912564291"/>
        <n v="367.5238795004"/>
        <n v="887.1"/>
        <n v="325.93"/>
        <n v="652.39"/>
        <n v="1034.84"/>
        <n v="473.66"/>
        <n v="800.12"/>
        <n v="3957.0"/>
        <n v="729.0"/>
        <n v="21280.0"/>
        <n v="1117.0"/>
        <n v="197.3"/>
        <n v="225.5"/>
        <n v="22.0"/>
        <n v="21.5"/>
        <n v="2958.0"/>
        <n v="40697.67"/>
        <n v="59.2865094581"/>
        <n v="59.2073119835"/>
        <n v="59.3189084249"/>
        <n v="59.3513073918"/>
        <n v="59.3261081953"/>
        <n v="58.9409204783"/>
        <n v="59.2469107208"/>
        <n v="44.0077013255"/>
        <n v="44.0665172801"/>
        <n v="44.0157216829"/>
        <n v="44.0852314475"/>
        <n v="10.6427783405"/>
        <n v="3.6737692873"/>
        <n v="44.0397827553"/>
        <n v="43.6816869549"/>
        <n v="59.2253611655"/>
        <n v="59.3009312581"/>
        <n v="59.347712744"/>
        <n v="59.214565438"/>
        <n v="59.326121289"/>
        <n v="59.1713825279"/>
        <n v="44.0237644056"/>
        <n v="43.9836772043"/>
        <n v="43.9916946446"/>
        <n v="10.6387804937"/>
        <n v="43.9206510466"/>
        <n v="44.0071254945"/>
        <n v="44.0573364643"/>
        <n v="44.0405994743"/>
        <n v="43.9903885046"/>
        <n v="59.1968366912"/>
        <n v="59.3621070474"/>
        <n v="59.2569350025"/>
        <n v="59.1292260909"/>
        <n v="59.2193735579"/>
        <n v="59.3395701806"/>
        <n v="59.2081051245"/>
        <n v="10.6400337328"/>
        <n v="65.0"/>
        <n v="8.8170462895"/>
        <n v="244.89"/>
        <n v="32.034"/>
        <n v="32.9"/>
        <n v="21685.91"/>
        <n v="16041.0"/>
        <n v="9085.0"/>
        <n v="6008.0"/>
        <n v="42.1"/>
        <n v="132.8"/>
        <n v="91.5"/>
        <n v="193.5"/>
        <n v="233.8"/>
        <n v="768.5"/>
        <n v="796.6"/>
        <n v="950.0"/>
        <n v="371.0"/>
        <n v="6678.0"/>
        <n v="23297.22"/>
        <n v="1188.9"/>
        <n v="7384.4"/>
        <n v="1145.9"/>
        <n v="39.6"/>
        <n v="196.85"/>
        <n v="179.53"/>
        <n v="211.59"/>
        <n v="5548.2"/>
        <n v="5944.5"/>
        <n v="3373.2"/>
        <n v="172.599"/>
        <n v="143.833"/>
        <n v="59.93"/>
        <n v="201.366"/>
        <n v="86.299"/>
        <n v="95.888"/>
        <n v="172.6"/>
        <n v="86.3"/>
        <n v="47.94"/>
        <n v="143.83"/>
        <n v="71.92"/>
        <n v="788.244"/>
        <n v="290.722"/>
        <n v="429.164"/>
        <n v="86.825"/>
        <n v="57.883"/>
        <n v="28.941"/>
        <n v="57.88"/>
        <n v="28.94"/>
        <n v="312.6046667411"/>
        <n v="883.6099360018"/>
        <n v="883.0675778284"/>
        <n v="289.2576924468"/>
        <n v="288.7153342734"/>
        <n v="37059.8"/>
        <n v="10534.174"/>
        <n v="19520.0"/>
        <n v="2.5365632916"/>
        <n v="44.4222864294"/>
        <n v="30.4084681572"/>
        <n v="29.9399620732"/>
        <n v="30.1903704974"/>
        <n v="30.3054775956"/>
        <n v="30.4387594988"/>
        <n v="44.5289212437"/>
        <n v="44.5022625401"/>
        <n v="44.549655791"/>
        <n v="44.5881628073"/>
        <n v="44.5259591656"/>
        <n v="44.6148215109"/>
        <n v="7.7862511851"/>
        <n v="1.6234005066"/>
        <n v="44.5762861851"/>
        <n v="30.345829059"/>
        <n v="30.4064358675"/>
        <n v="30.4084560945"/>
        <n v="30.3943145058"/>
        <n v="30.4185572293"/>
        <n v="44.4133070094"/>
        <n v="43.9777081216"/>
        <n v="44.2947766998"/>
        <n v="44.6474043708"/>
        <n v="44.5436903499"/>
        <n v="44.599992247"/>
        <n v="7.786445359"/>
        <n v="44.478465042"/>
        <n v="30.3639962154"/>
        <n v="30.432697611"/>
        <n v="30.4246150938"/>
        <n v="30.3983469132"/>
        <n v="44.3747303665"/>
        <n v="44.5110673687"/>
        <n v="44.5436696953"/>
        <n v="43.8945870109"/>
        <n v="44.5762720219"/>
        <n v="44.6118381964"/>
        <n v="7.7868168139"/>
        <n v="112.07"/>
        <n v="75.98"/>
        <n v="151.96"/>
        <n v="28.49"/>
        <n v="56.98"/>
        <n v="9310.98"/>
        <n v="33100.0"/>
        <n v="508.8"/>
        <n v="275.6"/>
        <n v="8722.9"/>
        <n v="6865.6"/>
        <n v="4854.9"/>
        <n v="289.7"/>
        <n v="135.3"/>
        <n v="18.7"/>
        <n v="699.6"/>
        <n v="22826.0"/>
        <n v="67438.67"/>
        <n v="10493.0"/>
        <n v="38028.0"/>
        <n v="161.2564"/>
        <n v="147.0742"/>
        <n v="173.3375"/>
        <n v="161.26"/>
        <n v="147.07"/>
        <n v="11867.5"/>
        <n v="406.9"/>
        <n v="55.0"/>
        <n v="942.1"/>
        <n v="2064.7"/>
        <n v="15.8"/>
        <n v="21.0"/>
        <n v="14.18"/>
        <n v="25073.0"/>
        <n v="43.1499"/>
        <n v="158.2417582418"/>
        <n v="54.9450549451"/>
        <n v="79.1208791209"/>
        <n v="79.121"/>
        <n v="54.945"/>
        <n v="2.6399155227"/>
        <n v="1.6895459345"/>
        <n v="27.5771940352"/>
        <n v="28.303513257"/>
        <n v="46.4031161503"/>
        <n v="41.6005479566"/>
        <n v="46.9326446009"/>
        <n v="44.5058751775"/>
        <n v="42.0309668041"/>
        <n v="41.6232015801"/>
        <n v="40.7255517467"/>
        <n v="29.7332153043"/>
        <n v="27.647914591"/>
        <n v="27.6402691255"/>
        <n v="7.4983040792"/>
        <n v="2.5343189018"/>
        <n v="29.1770030555"/>
        <n v="27.9480934171"/>
        <n v="43.9911756642"/>
        <n v="40.8562638961"/>
        <n v="45.4050151822"/>
        <n v="42.0311446223"/>
        <n v="42.1563135132"/>
        <n v="27.4008445938"/>
        <n v="28.3071654521"/>
        <n v="31.0299683697"/>
        <n v="41.1862546086"/>
        <n v="7.5266020233"/>
        <n v="27.0290015761"/>
        <n v="30.5686286311"/>
        <n v="29.0681975226"/>
        <n v="40.7588776367"/>
        <n v="46.409104585"/>
        <n v="40.6987992742"/>
        <n v="42.4525152839"/>
        <n v="40.7016601486"/>
        <n v="27.9057013486"/>
        <n v="31.6616067615"/>
        <n v="43.8915351093"/>
        <n v="7.5542084484"/>
        <n v="4.634"/>
        <n v="109.8901098901"/>
        <n v="27.4725274725"/>
        <n v="27.4725"/>
        <n v="184.6153"/>
        <n v="158.2417"/>
        <n v="65.934"/>
        <n v="136.2"/>
        <n v="22.7"/>
        <n v="56.75"/>
        <n v="8389.3"/>
        <n v="55.86"/>
        <n v="297.9"/>
        <n v="30.16"/>
        <n v="83.79"/>
        <n v="289.129"/>
        <n v="283.937"/>
        <n v="748.336"/>
        <n v="1057.0"/>
        <n v="1620.0"/>
        <n v="135.0"/>
        <n v="6278.0"/>
        <n v="70702.8"/>
        <n v="6361.8"/>
        <n v="3480.0"/>
        <n v="2221.0"/>
        <n v="396.26"/>
        <n v="5147.75"/>
        <n v="10295.5"/>
        <n v="45.6"/>
        <n v="21810.74"/>
        <n v="98.557"/>
        <n v="311.287"/>
        <n v="537.482"/>
        <n v="707.214"/>
        <n v="254.597"/>
        <n v="495.05"/>
        <n v="558.699"/>
        <n v="726.21"/>
        <n v="2155.77"/>
        <n v="5159.13"/>
        <n v="193.29"/>
        <n v="844.67"/>
        <n v="2743.39"/>
        <n v="1282.7"/>
        <n v="8219.47"/>
        <n v="327.0"/>
        <n v="42.7"/>
        <n v="239.78"/>
        <n v="176.44"/>
        <n v="124.2"/>
        <n v="230.37"/>
        <n v="58.08"/>
        <n v="198.55"/>
        <n v="31.62"/>
        <n v="132.38"/>
        <n v="19.41"/>
        <n v="201.27"/>
        <n v="237.21"/>
        <n v="220.67"/>
        <n v="202.02"/>
        <n v="221.5"/>
        <n v="91.09"/>
        <n v="132.36"/>
        <n v="16.47"/>
        <n v="1287.59"/>
        <n v="948.9"/>
        <n v="1000.0"/>
        <n v="107.75"/>
        <n v="89.8"/>
        <n v="74.8"/>
        <n v="215.5"/>
        <n v="179.6"/>
        <n v="251.42"/>
        <n v="149.6"/>
        <n v="37.4"/>
        <n v="59.9"/>
        <n v="340.182310914"/>
        <n v="230.056664203"/>
        <n v="100.5"/>
        <n v="985.12"/>
        <n v="248.6"/>
        <n v="377.91"/>
        <n v="4389.0"/>
        <n v="6217.0"/>
        <n v="2142.0"/>
        <n v="4255.0"/>
        <n v="146.0"/>
        <n v="1754.0"/>
        <n v="1719.0"/>
        <n v="1797.0"/>
        <n v="50.0"/>
        <n v="5298.0"/>
        <n v="1229.5"/>
        <n v="7915.8"/>
        <n v="13666.7"/>
        <n v="106.41"/>
        <n v="70.94"/>
        <n v="1374.0"/>
        <n v="6.3847900114"/>
        <n v="37.1172386658"/>
        <n v="38.1959753972"/>
        <n v="38.0818521158"/>
        <n v="39.1143960904"/>
        <n v="52.4605687742"/>
        <n v="57.3518605518"/>
        <n v="54.7378019222"/>
        <n v="51.4647369152"/>
        <n v="34.6783800285"/>
        <n v="39.3209048853"/>
        <n v="51.6697611215"/>
        <n v="51.8674630347"/>
        <n v="16.2115568799"/>
        <n v="9.4776214399"/>
        <n v="38.7764365289"/>
        <n v="38.1952109621"/>
        <n v="38.3310113281"/>
        <n v="38.447799643"/>
        <n v="52.9311709432"/>
        <n v="31.2009930491"/>
        <n v="51.7711058721"/>
        <n v="54.8780309364"/>
        <n v="52.6713456434"/>
        <n v="15.1833122403"/>
        <n v="39.0045811439"/>
        <n v="35.3801549142"/>
        <n v="17.6022491867"/>
        <n v="9.4685008826"/>
        <n v="41.3311491286"/>
        <n v="36.8401139056"/>
        <n v="39.7302025001"/>
        <n v="36.5125879997"/>
        <n v="51.5301789237"/>
        <n v="13.6663005353"/>
        <n v="39.2937031666"/>
        <n v="37.4427615727"/>
        <n v="50.4710494582"/>
        <n v="49.4860590554"/>
        <n v="50.2168583865"/>
        <n v="35.1030809152"/>
        <n v="9.0893449352"/>
        <n v="22214.0"/>
        <n v="24233.0"/>
        <n v="78251.0"/>
        <n v="17832.0"/>
        <n v="127711.0"/>
        <n v="31.48"/>
        <n v="3.44"/>
        <n v="3.37"/>
        <n v="31.33"/>
        <n v="202.94"/>
        <n v="3413.26"/>
        <n v="103.54"/>
        <n v="327.01"/>
        <n v="564.64"/>
        <n v="742.94"/>
        <n v="267.46"/>
        <n v="520.06"/>
        <n v="586.92"/>
        <n v="16.07"/>
        <n v="25.04"/>
        <n v="8.03"/>
        <n v="36.4"/>
        <n v="23.78"/>
        <n v="2281.5"/>
        <n v="369.8"/>
        <n v="97605.0"/>
        <n v="1409.0"/>
        <n v="11464.0"/>
        <n v="715.4"/>
        <n v="20.48"/>
        <n v="17.56"/>
        <n v="29.73"/>
        <n v="2.024"/>
        <n v="13.21"/>
        <n v="15.42"/>
        <n v="2.96"/>
        <n v="3.8"/>
        <n v="3.2"/>
        <n v="4.13"/>
        <n v="195.56"/>
        <n v="69.84"/>
        <n v="158.0"/>
        <n v="15752.87"/>
        <n v="625.86"/>
        <n v="35354.0"/>
        <n v="18.42"/>
        <n v="191.02"/>
        <n v="225.13"/>
        <n v="209.44"/>
        <n v="15.7808"/>
        <n v="2.1041066667"/>
        <n v="1081.2"/>
        <n v="12257.1"/>
        <n v="73.1"/>
        <n v="6218.0"/>
        <n v="39.774"/>
        <n v="68.09"/>
        <n v="3.65"/>
        <n v="17.95"/>
        <n v="11.08"/>
        <n v="3.19"/>
        <n v="15.51"/>
        <n v="23.25"/>
        <n v="5.23"/>
        <n v="2.9"/>
        <n v="7.75"/>
        <n v="20.36"/>
        <n v="2.03"/>
        <n v="20.13"/>
        <n v="2.71"/>
        <n v="128.81"/>
        <n v="234.18"/>
        <n v="200.7"/>
        <n v="100.36"/>
        <n v="69.7"/>
        <n v="55.76"/>
        <n v="34.85"/>
        <n v="167.27"/>
        <n v="83.63"/>
        <n v="41.82"/>
        <n v="22.3"/>
        <n v="133.82"/>
        <n v="39.0"/>
        <n v="935.537"/>
        <n v="384.694"/>
        <n v="294.82"/>
        <n v="4201.09"/>
        <n v="140.0364094665"/>
        <n v="105.027307"/>
        <n v="70.0182047332"/>
        <n v="35.0091023666"/>
        <n v="188.0"/>
        <n v="509.0"/>
        <n v="176.0"/>
        <n v="198.0"/>
        <n v="400.0"/>
        <n v="180.0"/>
        <n v="178.0"/>
        <n v="285.0"/>
        <n v="160.0"/>
        <n v="657.0"/>
        <n v="38.896"/>
        <n v="8864.499789"/>
        <n v="8442.380751"/>
        <n v="16603.34881"/>
        <n v="703.53"/>
        <n v="545.0"/>
        <n v="614.0"/>
        <n v="178.39"/>
        <n v="187.5"/>
        <n v="154.97"/>
        <n v="373.3"/>
        <n v="371.66"/>
        <n v="230.54"/>
        <n v="7.38"/>
        <n v="69.83"/>
        <n v="21.28"/>
        <n v="17.42"/>
        <n v="4.12"/>
        <n v="30.13"/>
        <n v="30.45"/>
        <n v="1670.0"/>
        <n v="1674.85"/>
        <n v="1583.17"/>
        <n v="1726.05"/>
        <n v="1954.91"/>
        <n v="305.64"/>
        <n v="1954.67"/>
        <n v="1668.9"/>
        <n v="1851.79"/>
        <n v="1583.16"/>
        <n v="19.0"/>
        <n v="5.9231000904"/>
        <n v="57.0712420112"/>
        <n v="57.0429661745"/>
        <n v="50.232023996"/>
        <n v="57.1737419195"/>
        <n v="42.0445374944"/>
        <n v="38.56732652"/>
        <n v="41.2312767568"/>
        <n v="41.9976186057"/>
        <n v="41.8751081741"/>
        <n v="55.8730534287"/>
        <n v="56.8945180315"/>
        <n v="50.1259896082"/>
        <n v="9.9342083802"/>
        <n v="57.0895442263"/>
        <n v="56.9913135842"/>
        <n v="56.9246570771"/>
        <n v="56.7667864023"/>
        <n v="41.4736451113"/>
        <n v="42.0738875109"/>
        <n v="36.7131019419"/>
        <n v="37.3055825863"/>
        <n v="36.6820549212"/>
        <n v="52.3183416116"/>
        <n v="57.0720030402"/>
        <n v="9.9084626671"/>
        <n v="31.72"/>
        <n v="20.8"/>
        <n v="8.79"/>
        <n v="12.42"/>
        <n v="7.65"/>
        <n v="17.02"/>
        <n v="36.86"/>
        <n v="30.47"/>
        <n v="33.98"/>
        <n v="32.58"/>
        <n v="10.93"/>
        <n v="31.5"/>
        <n v="160.7"/>
        <n v="22.43"/>
        <n v="6.05"/>
        <n v="4.8"/>
        <n v="6.7"/>
        <n v="8.1"/>
        <n v="8.69"/>
        <n v="5.5"/>
        <n v="36.9380843599"/>
        <n v="42.1024993127"/>
        <n v="42.0637855575"/>
        <n v="42.0792710596"/>
        <n v="56.2533346155"/>
        <n v="56.9917602472"/>
        <n v="50.1884454225"/>
        <n v="57.1597433293"/>
        <n v="56.4388159353"/>
        <n v="41.7514945983"/>
        <n v="44.0780608114"/>
        <n v="9.819035621"/>
        <n v="22.06"/>
        <n v="21220.0"/>
        <n v="40.541"/>
        <n v="512.59"/>
        <n v="301.66"/>
        <n v="119.9"/>
        <n v="110.0"/>
        <n v="168.77"/>
        <n v="21470.0"/>
        <n v="10131.88"/>
        <n v="9649.4"/>
        <n v="804.12"/>
        <n v="38.56"/>
        <n v="4.78"/>
        <n v="48.76"/>
        <n v="4.76"/>
        <n v="60.11"/>
        <n v="14.28"/>
        <n v="7.19"/>
        <n v="11.18"/>
        <n v="40.72"/>
        <n v="14.68"/>
        <n v="1319.52"/>
        <n v="127.22"/>
        <n v="287.68"/>
        <n v="5609.0"/>
        <n v="44082.0"/>
        <n v="94850.0"/>
        <n v="114.98"/>
        <n v="363.17"/>
        <n v="627.06"/>
        <n v="825.08"/>
        <n v="577.56"/>
        <n v="651.82"/>
        <n v="167.154753"/>
        <n v="886.92"/>
        <n v="265.16"/>
        <n v="285.02"/>
        <n v="241.84"/>
        <n v="5000.0"/>
        <n v="129.556"/>
        <n v="2232.79"/>
        <n v="2110.56"/>
        <n v="2301.04"/>
        <n v="2606.15"/>
        <n v="2132.7"/>
        <n v="923.41"/>
        <n v="2605.82"/>
        <n v="2224.85"/>
        <n v="2468.67"/>
        <n v="240.92"/>
        <n v="86.03"/>
        <n v="48.78"/>
        <n v="4.9"/>
        <n v="38.73"/>
        <n v="40.8"/>
        <n v="17.0"/>
        <n v="8.26"/>
        <n v="11.38"/>
        <n v="19.57"/>
        <n v="10.12"/>
        <n v="37.79"/>
        <n v="66.89"/>
        <n v="2.72"/>
        <n v="41.15"/>
        <n v="114672.0"/>
        <n v="3441.75"/>
        <n v="5566.0"/>
        <n v="236.05"/>
        <n v="337.0"/>
        <n v="209.0"/>
        <n v="167.56"/>
        <n v="262.295"/>
        <n v="182.6"/>
        <n v="441.5011037527"/>
        <n v="66.225"/>
        <n v="67.23"/>
        <n v="154.68"/>
        <n v="28.28"/>
        <n v="90.45"/>
        <n v="16.32"/>
        <n v="7.06"/>
        <n v="18.66"/>
        <n v="60.15"/>
        <n v="35.65"/>
        <n v="181.01"/>
        <n v="274.8691099476"/>
        <n v="117.8010471204"/>
        <n v="121.1827435773"/>
        <n v="80.7884957182"/>
        <n v="235.6"/>
        <n v="196.335078534"/>
        <n v="429.795"/>
        <n v="266.602"/>
        <n v="40.3942478591"/>
        <n v="457.0"/>
        <n v="258.95"/>
        <n v="143.51"/>
        <n v="281.03"/>
        <n v="98.167539267"/>
        <n v="121.1827436"/>
        <n v="80.7884957"/>
        <n v="1112.996"/>
        <n v="554.133"/>
        <n v="337.588"/>
        <n v="7.89"/>
        <n v="18.84"/>
        <n v="393.2"/>
        <n v="235.6020942408"/>
        <n v="185842.0"/>
        <n v="507.0"/>
        <n v="8057.0"/>
        <n v="45713.0"/>
        <n v="1283.42"/>
        <n v="2300.0"/>
        <n v="6.9772942289"/>
        <n v="63.927993553"/>
        <n v="64.0563549632"/>
        <n v="62.4197469837"/>
        <n v="54.4974412004"/>
        <n v="61.3206524092"/>
        <n v="52.2150148761"/>
        <n v="49.6129127466"/>
        <n v="49.6004768743"/>
        <n v="49.6440024275"/>
        <n v="49.59114997"/>
        <n v="49.6688741722"/>
        <n v="63.9961855522"/>
        <n v="11.8373287931"/>
        <n v="11.4894238125"/>
        <n v="62.4650443232"/>
        <n v="64.0603240013"/>
        <n v="64.0040672873"/>
        <n v="64.0844340217"/>
        <n v="63.9679022568"/>
        <n v="63.9558472466"/>
        <n v="49.6252722009"/>
        <n v="49.6065856417"/>
        <n v="43.5863991748"/>
        <n v="49.6533020396"/>
        <n v="47.3673129725"/>
        <n v="11.5573036569"/>
        <n v="64.0803375991"/>
        <n v="63.9492520783"/>
        <n v="56.1291814731"/>
        <n v="64.0762411766"/>
        <n v="63.5805740508"/>
        <n v="48.6655908534"/>
        <n v="49.5577510198"/>
        <n v="49.6244249112"/>
        <n v="31.5780249627"/>
        <n v="64.0680483316"/>
        <n v="47.2654391333"/>
        <n v="11.227276564"/>
        <n v="379.115"/>
        <n v="26.605"/>
        <n v="239.441"/>
        <n v="115.22"/>
        <n v="5165.22"/>
        <n v="153.65"/>
        <n v="116.13"/>
        <n v="366.8"/>
        <n v="633.33"/>
        <n v="833.33"/>
        <n v="583.33"/>
        <n v="658.33"/>
        <n v="233.33"/>
        <n v="52000.0"/>
        <n v="10.28"/>
        <n v="6.42"/>
        <n v="41.81"/>
        <n v="43.14"/>
        <n v="11.47"/>
        <n v="21.29"/>
        <n v="27.42"/>
        <n v="83.35"/>
        <n v="123.62"/>
        <n v="28.72"/>
        <n v="44.8"/>
        <n v="3.17"/>
        <n v="11.75"/>
        <n v="114.14"/>
        <n v="46.07"/>
        <n v="70.65"/>
        <n v="48.52"/>
        <n v="41.16"/>
        <n v="4.46"/>
        <n v="477.78"/>
        <n v="846.82"/>
        <n v="2219.88"/>
        <n v="66499.46"/>
        <n v="160.5"/>
        <n v="159.04"/>
        <n v="8594.0"/>
        <n v="113868.0"/>
        <n v="179.82"/>
        <n v="227.9"/>
        <n v="81.4"/>
        <n v="29.36"/>
        <n v="54.26"/>
        <n v="100.75"/>
        <n v="43.23"/>
        <n v="17.87"/>
        <n v="8.94"/>
        <n v="6.14"/>
        <n v="2711.84"/>
        <n v="56.97"/>
        <n v="6404.04"/>
        <n v="1773.67"/>
        <n v="1927.09"/>
        <n v="2849.21"/>
        <n v="3292.97"/>
        <n v="570.08"/>
        <n v="2172.56"/>
        <n v="1865.72"/>
        <n v="2062.27"/>
        <n v="28.5"/>
        <n v="2382.52"/>
        <n v="4.88"/>
        <n v="12.97"/>
        <n v="250.3261"/>
        <n v="269.0802"/>
        <n v="228.3105"/>
        <n v="425.39"/>
        <n v="7891.1"/>
        <n v="21025.52"/>
        <n v="3639.78"/>
        <n v="12677.22"/>
        <n v="16.87"/>
        <n v="30.58"/>
        <n v="87.61"/>
        <n v="17.79"/>
        <n v="83.11"/>
        <n v="73.46"/>
        <n v="5.13"/>
        <n v="11.45"/>
        <n v="7.18"/>
        <n v="52.34"/>
        <n v="78.47"/>
        <n v="10.81"/>
        <n v="8.71"/>
        <n v="5.12"/>
        <n v="19.7"/>
        <n v="35.48"/>
        <n v="8237.3"/>
        <n v="13024.8"/>
        <n v="50000.0"/>
        <n v="1688.0"/>
        <n v="1470.0"/>
        <n v="35315.0"/>
        <n v="5896.0"/>
        <n v="5940.6"/>
        <n v="9900.9"/>
        <n v="32.88"/>
        <n v="20.08"/>
        <n v="4.43"/>
        <n v="49.34"/>
        <n v="44.25"/>
        <n v="20.49"/>
        <n v="113.58"/>
        <n v="91.35"/>
        <n v="4.31"/>
        <n v="9.43"/>
        <n v="7.86"/>
        <n v="27.12"/>
        <n v="403.32"/>
        <n v="51.83"/>
        <n v="94.31"/>
        <n v="1042.53"/>
        <n v="154.9586776859"/>
        <n v="103.3057851239"/>
        <n v="104.843"/>
        <n v="297.520661157"/>
        <n v="247.9338842975"/>
        <n v="83.875"/>
        <n v="51.6528925619"/>
        <n v="890.65"/>
        <n v="123.9669421488"/>
        <n v="1127.0"/>
        <n v="831.79"/>
        <n v="352.39"/>
        <n v="347.11"/>
        <n v="148.76"/>
        <n v="51.652892562"/>
        <n v="157.2657"/>
        <n v="444.1394"/>
        <n v="469.8398"/>
        <n v="149.2162"/>
        <n v="148.7603305785"/>
        <n v="478.2882315921"/>
        <n v="302.0767778477"/>
        <n v="731.7592001701"/>
        <n v="361.6251861306"/>
        <n v="655.91"/>
        <n v="14236.56"/>
        <n v="24.31"/>
        <n v="4.22"/>
        <n v="10.58"/>
        <n v="3.82"/>
        <n v="25.44"/>
        <n v="27.46"/>
        <n v="54.1"/>
        <n v="86.06"/>
        <n v="24.63"/>
        <n v="97.34"/>
        <n v="58.33"/>
        <n v="7066.05"/>
        <n v="7762.0"/>
        <n v="482.84"/>
        <n v="833.7"/>
        <n v="1096.97"/>
        <n v="767.88"/>
        <n v="866.61"/>
        <n v="76.79"/>
        <n v="8.2278028189"/>
        <n v="64.3146994113"/>
        <n v="64.3551209432"/>
        <n v="64.2702357262"/>
        <n v="64.2944886454"/>
        <n v="78.6230348277"/>
        <n v="79.1497058143"/>
        <n v="18.3192068636"/>
        <n v="78.9459934516"/>
        <n v="76.5213194756"/>
        <n v="64.3308680241"/>
        <n v="72.402354873"/>
        <n v="14.4902887878"/>
        <n v="64.2984899277"/>
        <n v="79.104968808"/>
        <n v="76.8134399264"/>
        <n v="78.3146150289"/>
        <n v="78.9160792255"/>
        <n v="79.0204655737"/>
        <n v="78.8862545546"/>
        <n v="64.0356344658"/>
        <n v="14.5358217274"/>
        <n v="62.7000752522"/>
        <n v="64.2903385355"/>
        <n v="64.3874538505"/>
        <n v="79.1148884989"/>
        <n v="79.0402799658"/>
        <n v="78.9855670415"/>
        <n v="78.9905409437"/>
        <n v="14.5239268298"/>
        <n v="64.2249395339"/>
        <n v="64.2474477485"/>
        <n v="6.5684022041"/>
        <n v="7.4"/>
        <n v="12.74"/>
        <n v="17.06"/>
        <n v="9.94"/>
        <n v="29.87"/>
        <n v="7.66"/>
        <n v="26.25"/>
        <n v="91.21"/>
        <n v="28.36"/>
        <n v="9.77"/>
        <n v="23.49"/>
        <n v="107.12"/>
        <n v="114.8"/>
        <n v="37.16"/>
        <n v="312.02"/>
        <n v="111.44"/>
        <n v="4931.22"/>
        <n v="3280.27"/>
        <n v="3272.07"/>
        <n v="4954.91"/>
        <n v="4695.5"/>
        <n v="964.99"/>
        <n v="3839.22"/>
        <n v="3302.98"/>
        <n v="3646.23"/>
        <n v="3142.11"/>
        <n v="29.15"/>
        <n v="185.71"/>
        <n v="352.26"/>
        <n v="327.71"/>
        <n v="298.89"/>
        <n v="52.0"/>
        <n v="75.76"/>
        <n v="16.55"/>
        <n v="13.71"/>
        <n v="42.4"/>
        <n v="7.42"/>
        <n v="6.0"/>
        <n v="11.82"/>
        <n v="40.22"/>
        <n v="22.39"/>
        <n v="94.86"/>
        <n v="85.57"/>
        <n v="154.7"/>
        <n v="4992.08"/>
        <n v="4306.5"/>
        <n v="1350.0"/>
        <n v="4832.49"/>
        <n v="330.93"/>
        <n v="324.65"/>
        <n v="262.74"/>
        <n v="158.82"/>
        <n v="264.72"/>
        <n v="156.56"/>
        <n v="244.29"/>
        <n v="289.72"/>
        <n v="419.18"/>
        <n v="419.17"/>
        <n v="264.0"/>
        <n v="154.43"/>
        <n v="367.64"/>
        <n v="264.7"/>
        <n v="219.1780821918"/>
        <n v="54.7945205479"/>
        <n v="270.0"/>
        <n v="161.0"/>
        <n v="27.87"/>
        <n v="20.22"/>
        <n v="24.27"/>
        <n v="6.27"/>
        <n v="20.9"/>
        <n v="5.01"/>
        <n v="16.57"/>
        <n v="15.78"/>
        <n v="4985.0"/>
        <n v="171.0"/>
        <n v="4762.0"/>
        <n v="49.85"/>
        <n v="47.62"/>
        <n v="89.68"/>
        <n v="38.5"/>
        <n v="31.34"/>
        <n v="3.43"/>
        <n v="6.99"/>
        <n v="55.31"/>
        <n v="50.48"/>
        <n v="569.59359"/>
        <n v="92.8936"/>
        <n v="328.7671232876"/>
        <n v="463.4703196347"/>
        <n v="219.178"/>
        <n v="73.06"/>
        <n v="57.0776255707"/>
        <n v="28.5388127853"/>
        <n v="119.1895"/>
        <n v="718.73"/>
        <n v="676.6"/>
        <n v="495.25"/>
        <n v="550.6555423122"/>
        <n v="369.4874851013"/>
        <n v="14.0023337223"/>
        <n v="69.8310217635"/>
        <n v="69.8530518669"/>
        <n v="69.879487991"/>
        <n v="69.8398338049"/>
        <n v="69.6944351224"/>
        <n v="84.5846802287"/>
        <n v="84.5793466843"/>
        <n v="84.6326821281"/>
        <n v="84.5473454181"/>
        <n v="84.7500201043"/>
        <n v="23.6164793933"/>
        <n v="69.9146628985"/>
        <n v="69.8617506915"/>
        <n v="84.7179946527"/>
        <n v="84.6272558731"/>
        <n v="84.525841943"/>
        <n v="84.5471922441"/>
        <n v="84.4778037656"/>
        <n v="23.6841181139"/>
        <n v="69.8661875294"/>
        <n v="69.8573704941"/>
        <n v="69.9543578821"/>
        <n v="84.6432887648"/>
        <n v="84.6699715997"/>
        <n v="84.611269363"/>
        <n v="84.61660593"/>
        <n v="23.6330002328"/>
        <n v="69.9729193187"/>
        <n v="70.0061329982"/>
        <n v="30.5026362139"/>
        <n v="29.7789357061"/>
        <n v="29.7219777958"/>
        <n v="29.7722347755"/>
        <n v="29.2160575335"/>
        <n v="29.1624500885"/>
        <n v="15.2900278302"/>
        <n v="6601.1"/>
        <n v="1524.0"/>
        <n v="4500.35"/>
        <n v="78.0487804878"/>
        <n v="234.1463414634"/>
        <n v="60.975609756"/>
        <n v="57.46"/>
        <n v="59.85"/>
        <n v="40.7"/>
        <n v="177.63"/>
        <n v="3.98"/>
        <n v="5.38"/>
        <n v="17.63"/>
        <n v="15.88"/>
        <n v="10.8"/>
        <n v="10.69"/>
        <n v="16.23"/>
        <n v="9.4"/>
        <n v="30.77"/>
        <n v="46.64"/>
        <n v="24.56"/>
        <n v="50.7"/>
        <n v="164.29"/>
        <n v="115.85"/>
        <n v="75.05"/>
        <n v="33.02"/>
        <n v="39.26"/>
        <n v="69408.0"/>
        <n v="6471.0"/>
        <n v="4.84"/>
        <n v="10.59"/>
        <n v="26.3"/>
        <n v="17.31"/>
        <n v="6.71"/>
        <n v="46.28"/>
        <n v="12.11"/>
        <n v="35.21"/>
        <n v="34.25"/>
        <n v="47.09"/>
        <n v="72.99"/>
        <n v="71.57"/>
        <n v="86.25"/>
        <n v="117.44"/>
        <n v="1845.08"/>
        <n v="67.87"/>
        <n v="70.58"/>
        <n v="732.23"/>
        <n v="21157.82"/>
        <n v="1204.32"/>
        <n v="23.1696"/>
        <n v="508.97"/>
        <n v="1156.34"/>
        <n v="809.44"/>
        <n v="913.51"/>
        <n v="80.94"/>
        <n v="5777.68"/>
        <n v="15.1"/>
        <n v="16.62"/>
        <n v="10.08"/>
        <n v="11.48"/>
        <n v="35.24"/>
        <n v="9.47"/>
        <n v="9.65"/>
        <n v="324.11"/>
        <n v="43.3"/>
        <n v="62.08"/>
        <n v="139.7"/>
        <n v="37.69"/>
        <n v="84.02"/>
        <n v="316.17"/>
        <n v="113.11"/>
      </sharedItems>
    </cacheField>
    <cacheField name="USD Proposal Time" numFmtId="164">
      <sharedItems containsSemiMixedTypes="0" containsString="0" containsNumber="1">
        <n v="2003.8342475891113"/>
        <n v="3278.605613708496"/>
        <n v="5138.318881988525"/>
        <n v="283.31911182403564"/>
        <n v="306.4683952331543"/>
        <n v="5120.244095456601"/>
        <n v="5456.167616289854"/>
        <n v="6118.221773546935"/>
        <n v="1855.3516045331955"/>
        <n v="147.99872875213623"/>
        <n v="234.42325592041016"/>
        <n v="4184.825438261032"/>
        <n v="2074.8246640491484"/>
        <n v="140.1749610900879"/>
        <n v="742.1105630779266"/>
        <n v="488.8251615260304"/>
        <n v="390.7255084472549"/>
        <n v="8795.220908465386"/>
        <n v="6191.023391599655"/>
        <n v="1190.3077181625365"/>
        <n v="216.17872683048247"/>
        <n v="492.31000060700575"/>
        <n v="393.84800085587915"/>
        <n v="81560.93978881836"/>
        <n v="28991.929790496826"/>
        <n v="4534.350019097456"/>
        <n v="7623.987674743409"/>
        <n v="4579.842257083992"/>
        <n v="4268.867388117808"/>
        <n v="6823.412610471743"/>
        <n v="4984.99970055868"/>
        <n v="406.02876031473886"/>
        <n v="508.71979633594594"/>
        <n v="127.1799490841706"/>
        <n v="925.1298399106504"/>
        <n v="39399.83112504006"/>
        <n v="141039.06595420837"/>
        <n v="390.03071641921997"/>
        <n v="8015.2887716293335"/>
        <n v="3330.558354282379"/>
        <n v="5812.9521039962765"/>
        <n v="2886.0119894599916"/>
        <n v="507.3509769686778"/>
        <n v="405.88078157494226"/>
        <n v="511.88280861854554"/>
        <n v="666.418890285492"/>
        <n v="18469.072887420654"/>
        <n v="11363.333951950073"/>
        <n v="9801.825889587402"/>
        <n v="763.6174988013313"/>
        <n v="1239.6387981164023"/>
        <n v="436.88887946481896"/>
        <n v="546.1110992052758"/>
        <n v="1510.8079331724477"/>
        <n v="6733.192788510867"/>
        <n v="3888.5249534818117"/>
        <n v="542.6291853243346"/>
        <n v="370.0940847819602"/>
        <n v="279.35682439804077"/>
        <n v="558.4190599298795"/>
        <n v="593.687218699891"/>
        <n v="1634.1105122138379"/>
        <n v="271.1313934326172"/>
        <n v="762.1298492431641"/>
        <n v="142.89934673309327"/>
        <n v="8777.649079170227"/>
        <n v="6142.290253744126"/>
        <n v="194.5156401634216"/>
        <n v="146.1584000110626"/>
        <n v="1119.2799406051636"/>
        <n v="292.3168000221252"/>
        <n v="1461.5840001106262"/>
        <n v="2570.6398051272563"/>
        <n v="8889.038751602173"/>
        <n v="27576.66704149246"/>
        <n v="195.60231971740723"/>
        <n v="19216.617959976196"/>
        <n v="28237.927122974394"/>
        <n v="4285.077207756042"/>
        <n v="359.8779108333588"/>
        <n v="379.57162714004517"/>
        <n v="2029.2692290253487"/>
        <n v="5595.058594030842"/>
        <n v="3621.9248890824165"/>
        <n v="481.4771140768982"/>
        <n v="394.14994363217176"/>
        <n v="19940.431915283203"/>
        <n v="493.403675312677"/>
        <n v="788.2998872638004"/>
        <n v="397.0724243094223"/>
        <n v="65419.104813575745"/>
        <n v="78818.67565860748"/>
        <n v="21246.4195605278"/>
        <n v="501.60132261350486"/>
        <n v="413.7507083954343"/>
        <n v="910.5196459145441"/>
        <n v="3922.010693825701"/>
        <n v="1704.2459686197158"/>
        <n v="1300.3089694023665"/>
        <n v="735.4688740957932"/>
        <n v="676.8415754476147"/>
        <n v="1212.953713295548"/>
        <n v="2824.0504264831543"/>
        <n v="682.886629295349"/>
        <n v="1470.832740020752"/>
        <n v="69320.03954601288"/>
        <n v="308.20695533752445"/>
        <n v="43384.21857833862"/>
        <n v="299.53277022361755"/>
        <n v="3669.213891363144"/>
        <n v="5350.857751464843"/>
        <n v="22085.525002098082"/>
        <n v="929.5085329055787"/>
        <n v="47793.99616408348"/>
        <n v="24808.428208827972"/>
        <n v="3383.1313848495483"/>
        <n v="10567.745590209961"/>
        <n v="5804.188985824585"/>
        <n v="522.4684810638428"/>
        <n v="174.33551788330078"/>
        <n v="130.7516384124756"/>
        <n v="261.5032768249512"/>
        <n v="1322.9124379743575"/>
        <n v="220.4854063290596"/>
        <n v="728.3574498066768"/>
        <n v="1365.6702183871716"/>
        <n v="13986.29930820465"/>
        <n v="4091.1329944610593"/>
        <n v="18619.942534160615"/>
        <n v="186199.42534160614"/>
        <n v="24642.081489658358"/>
        <n v="938.8668758717163"/>
        <n v="794.4258180455101"/>
        <n v="814.5944682560133"/>
        <n v="38558.93712377548"/>
        <n v="4621.657369804382"/>
        <n v="747.7463059902191"/>
        <n v="192.8494122505188"/>
        <n v="869.6416892051698"/>
        <n v="289.88056306838985"/>
        <n v="17510.79992866516"/>
        <n v="4182.850671100617"/>
        <n v="9887.942628860474"/>
        <n v="3803.0548572540283"/>
        <n v="1521.2219429016113"/>
        <n v="98446.01478219032"/>
        <n v="37863.85183930397"/>
        <n v="15145.540735721588"/>
        <n v="453.89979203988247"/>
        <n v="498.790980319513"/>
        <n v="8612.45759308041"/>
        <n v="7643.406476564323"/>
        <n v="495.4074794026536"/>
        <n v="175.62082690504903"/>
        <n v="487.8356302927649"/>
        <n v="11509.875804901123"/>
        <n v="1348.2820663452148"/>
        <n v="2160.137014996233"/>
        <n v="1401.1699556727344"/>
        <n v="1284.4057927003134"/>
        <n v="525.4387333768152"/>
        <n v="1673.6196692760732"/>
        <n v="394.30479754022207"/>
        <n v="697.5385268061257"/>
        <n v="5959.033102989197"/>
        <n v="11624.131876516341"/>
        <n v="5243.9491306304935"/>
        <n v="87099.86713838577"/>
        <n v="25459.21571445465"/>
        <n v="1940.6319379806519"/>
        <n v="53444.622207164764"/>
        <n v="68031.76689147949"/>
        <n v="17801.645669937134"/>
        <n v="114213.99798297882"/>
        <n v="1746.8177428720514"/>
        <n v="6173.290196899655"/>
        <n v="1088.521839686712"/>
        <n v="502.20939888899176"/>
        <n v="843.7115637180203"/>
        <n v="723.1813403295645"/>
        <n v="602.6511169411086"/>
        <n v="401.7674112938772"/>
        <n v="471.92125403404236"/>
        <n v="566.2828897094727"/>
        <n v="233.51266095330476"/>
        <n v="227.00470179582072"/>
        <n v="454.0094035387872"/>
        <n v="756.6823393194024"/>
        <n v="472.92646203498583"/>
        <n v="681.0141052288994"/>
        <n v="149.02670044898986"/>
        <n v="298.5875467777252"/>
        <n v="1542.6133007049561"/>
        <n v="196641.11420822144"/>
        <n v="671.5192976951599"/>
        <n v="4907.749143886566"/>
        <n v="1972.9215614318848"/>
        <n v="37392.62861967087"/>
        <n v="157113.09609746933"/>
        <n v="48020.569173812866"/>
        <n v="155383.58693647385"/>
        <n v="47492.10804128647"/>
        <n v="42328.66911711693"/>
        <n v="26929.631994771957"/>
        <n v="39370.35437321663"/>
        <n v="1338.1472120322937"/>
        <n v="3448.332661819402"/>
        <n v="1560.975250033751"/>
        <n v="707.3905968132623"/>
        <n v="491.2434699677922"/>
        <n v="825.2890295464822"/>
        <n v="492.5076555633545"/>
        <n v="709.1941283798218"/>
        <n v="591.0303062152863"/>
        <n v="206705.32528066635"/>
        <n v="8038.155458450317"/>
        <n v="718.6977729365691"/>
        <n v="598.9148107802077"/>
        <n v="495.9380386652421"/>
        <n v="499.0956756500843"/>
        <n v="399.2765405199608"/>
        <n v="770.0639560855357"/>
        <n v="76547.05065555572"/>
        <n v="10086.27112364769"/>
        <n v="5306.93800983429"/>
        <n v="5396.51625374794"/>
        <n v="2325.148300027847"/>
        <n v="57124.81338787079"/>
        <n v="40448.65747082663"/>
        <n v="3025.8217147541045"/>
        <n v="1595.5257932806014"/>
        <n v="2000.5996641349793"/>
        <n v="2169.735187773704"/>
        <n v="2349.5523225164416"/>
        <n v="2399.766525473595"/>
        <n v="2848.4773891592026"/>
        <n v="2850.913221721649"/>
        <n v="3028.530249633789"/>
        <n v="3482.9539957618713"/>
        <n v="3715.4026777315144"/>
        <n v="3810.6682279109955"/>
        <n v="3844.01186378479"/>
        <n v="4434.056480970383"/>
        <n v="4491.827773566246"/>
        <n v="4620.436959619522"/>
        <n v="4648.063090977669"/>
        <n v="4763.337595925332"/>
        <n v="2157.3341654491423"/>
        <n v="2984.8934734201434"/>
        <n v="4144.374086689949"/>
        <n v="4709.518292527199"/>
        <n v="4604.797477722168"/>
        <n v="3186.589889526367"/>
        <n v="4495.367879867554"/>
        <n v="3689.966039657593"/>
        <n v="24682.940092086792"/>
        <n v="4193.342189788818"/>
        <n v="3357.3000621795654"/>
        <n v="3987.6145458221436"/>
        <n v="4263.3771324157715"/>
        <n v="3427.3350048065186"/>
        <n v="3983.237361907959"/>
        <n v="3853.6727180480957"/>
        <n v="4631.936017990112"/>
        <n v="3141.9426136016846"/>
        <n v="37971.63562774658"/>
        <n v="16608.198688459397"/>
        <n v="24730.277342748643"/>
        <n v="104587.17438031292"/>
        <n v="802.4471725698746"/>
        <n v="4517.927417312472"/>
        <n v="1625.4965937856223"/>
        <n v="437.01739181111486"/>
        <n v="520.2587997802293"/>
        <n v="624.3105597196989"/>
        <n v="749.1726716637455"/>
        <n v="874.0347836077922"/>
        <n v="543.550957488406"/>
        <n v="463.7636609766091"/>
        <n v="398.9364825600255"/>
        <n v="51830.07041835785"/>
        <n v="42288.77604317665"/>
        <n v="881.4254379272461"/>
        <n v="559.7259414196014"/>
        <n v="153.31397652626038"/>
        <n v="11476.902770996094"/>
        <n v="2972.2370956420896"/>
        <n v="1378.5191986083985"/>
        <n v="295.2484558105469"/>
        <n v="53628.13941192627"/>
        <n v="10791.123138427734"/>
        <n v="5572.2947998046875"/>
        <n v="25189.683395385742"/>
        <n v="481.9518932501434"/>
        <n v="867.5134079400458"/>
        <n v="240.9759466001307"/>
        <n v="722.927839700628"/>
        <n v="1927.8075732001018"/>
        <n v="1349.4653012400713"/>
        <n v="385.56151459013836"/>
        <n v="809.6791806442787"/>
        <n v="694.0107262522727"/>
        <n v="694.0107262652419"/>
        <n v="578.3422718877016"/>
        <n v="5157.162027456465"/>
        <n v="7768.661109627199"/>
        <n v="5251.3523521001525"/>
        <n v="340.88308039482274"/>
        <n v="7183.73814017016"/>
        <n v="9889.487788851757"/>
        <n v="503.03960128150464"/>
        <n v="724.3770724026919"/>
        <n v="603.6475519012785"/>
        <n v="21775.06543636322"/>
        <n v="48667.848348617554"/>
        <n v="82700.29573440552"/>
        <n v="7102.748870849609"/>
        <n v="39684.539494514465"/>
        <n v="81222.0203704834"/>
        <n v="668.0015862829588"/>
        <n v="779.3351839966448"/>
        <n v="463.88999047411306"/>
        <n v="556.6679885688513"/>
        <n v="371.1119923793747"/>
        <n v="283.30628369515915"/>
        <n v="12258.096282920014"/>
        <n v="9122.840076694154"/>
        <n v="335.24576903941374"/>
        <n v="486.3424536765478"/>
        <n v="274.61189432144164"/>
        <n v="2698.486412525177"/>
        <n v="69.99911031723022"/>
        <n v="4992.3034121513365"/>
        <n v="3591.9070098876955"/>
        <n v="2812.7291564941406"/>
        <n v="688.6070342063904"/>
        <n v="35334.91242980957"/>
        <n v="26971.46849155426"/>
        <n v="49898.25168514252"/>
        <n v="31880.110989570618"/>
        <n v="64522.6699590683"/>
        <n v="30807.791103363037"/>
        <n v="731.4877393767473"/>
        <n v="853.4023626064114"/>
        <n v="507.9775967894422"/>
        <n v="406.3820774318012"/>
        <n v="609.5731161474956"/>
        <n v="457.1798371106217"/>
        <n v="6956.096183072517"/>
        <n v="6956.694310826126"/>
        <n v="5973.372283476566"/>
        <n v="4.047316074371338"/>
        <n v="648.3564585158715"/>
        <n v="334.00181196284433"/>
        <n v="36713.72064828873"/>
        <n v="277158.31709861755"/>
        <n v="33723.62135410309"/>
        <n v="126731.75266599655"/>
        <n v="19011.601000785828"/>
        <n v="1659.6543445587158"/>
        <n v="2242.9013258557607"/>
        <n v="2505.0586236828995"/>
        <n v="2728.3778033137523"/>
        <n v="108145.9004073143"/>
        <n v="8911.009856700897"/>
        <n v="29501.037145614624"/>
        <n v="53759.99022960663"/>
        <n v="124801.7025232315"/>
        <n v="1439.0623122490622"/>
        <n v="1577.8290352160973"/>
        <n v="1696.037725150488"/>
        <n v="543.6692471630788"/>
        <n v="2609.6124197572967"/>
        <n v="27092.948455810547"/>
        <n v="1559.0689737640525"/>
        <n v="1818.9138027245742"/>
        <n v="541.3433936680995"/>
        <n v="46.20907208367904"/>
        <n v="94991.47737121582"/>
        <n v="779.5344868820263"/>
        <n v="38.95507060814748"/>
        <n v="649.6120724015348"/>
        <n v="2150.280920857089"/>
        <n v="4601.050732670907"/>
        <n v="7553.537601736708"/>
        <n v="806.9777943455632"/>
        <n v="511.2835107118813"/>
        <n v="425.23118600341303"/>
        <n v="9495.693592071533"/>
        <n v="20408.309844970703"/>
        <n v="1537.2393685286352"/>
        <n v="1402.0424208078036"/>
        <n v="1402.8420647741318"/>
        <n v="1652.4071388094608"/>
        <n v="181256.6728811264"/>
        <n v="764.5636173538863"/>
        <n v="530.9469564958628"/>
        <n v="637.1363477948123"/>
        <n v="424.75756519635576"/>
        <n v="1529.1272347077727"/>
        <n v="1274.2726955896246"/>
        <n v="1783.9817738253632"/>
        <n v="7655.306707780159"/>
        <n v="4502.687509356656"/>
        <n v="3681.5993137583437"/>
        <n v="18739.99786376953"/>
        <n v="978.8021949833021"/>
        <n v="3009.658343553543"/>
        <n v="48989.04545278549"/>
        <n v="13795.135244846344"/>
        <n v="1923.1265540122986"/>
        <n v="5168.836532354355"/>
        <n v="1999.4962005615234"/>
        <n v="8138.921513605117"/>
        <n v="6494.891304254532"/>
        <n v="76883.40598964691"/>
        <n v="1014.3277600765227"/>
        <n v="2200.8343596458435"/>
        <n v="19942.19518661499"/>
        <n v="1795.6285403726852"/>
        <n v="1523.5636100125992"/>
        <n v="1670.4786724066398"/>
        <n v="81626.09059333801"/>
        <n v="51139.237480163574"/>
        <n v="1516.807933688942"/>
        <n v="650.0605421361954"/>
        <n v="541.7171120786438"/>
        <n v="451.4309318267517"/>
        <n v="1300.1210827440264"/>
        <n v="148.97220047235106"/>
        <n v="1083.4342394409332"/>
        <n v="6522.157772583962"/>
        <n v="2504.890678625107"/>
        <n v="2559.8245658254623"/>
        <n v="373.52966448520647"/>
        <n v="1012.1434788322449"/>
        <n v="421.6907553577423"/>
        <n v="150004.66827392578"/>
        <n v="8750.272315979004"/>
        <n v="114702.16233444214"/>
        <n v="98057.86487579346"/>
        <n v="12398.612186431885"/>
        <n v="163179.83573913574"/>
        <n v="2061.646812438965"/>
        <n v="1872.4406127929688"/>
        <n v="1223.5334243774414"/>
        <n v="135.94815826416016"/>
        <n v="199.04382781028747"/>
        <n v="359.01350934028625"/>
        <n v="430.068926076889"/>
        <n v="30607.025765419006"/>
        <n v="43241.21082687378"/>
        <n v="1418.7615534782408"/>
        <n v="1555.5683210468292"/>
        <n v="1672.0975374984741"/>
        <n v="141720.3910150528"/>
        <n v="55402.346210479736"/>
        <n v="201.84320471668244"/>
        <n v="1453.2902021322252"/>
        <n v="1211.0728912801742"/>
        <n v="504.6148432817459"/>
        <n v="7069.46689451699"/>
        <n v="3235.798990383348"/>
        <n v="5465.9994169759"/>
        <n v="242.24463681221008"/>
        <n v="1453.2628761720657"/>
        <n v="1211.086554260254"/>
        <n v="726.665595536232"/>
        <n v="605.543277130127"/>
        <n v="504.64216924190526"/>
        <n v="392.82534817415603"/>
        <n v="95.65272313103677"/>
        <n v="47.020627034902574"/>
        <n v="1657.7989456843552"/>
        <n v="710.4852605141768"/>
        <n v="493.39254250956657"/>
        <n v="35165.08795452118"/>
        <n v="6995.449401855469"/>
        <n v="564.9847463680753"/>
        <n v="2551.6098112155423"/>
        <n v="1859.1465570925175"/>
        <n v="2550.589983153447"/>
        <n v="6156.4118694305425"/>
        <n v="2261.931372566223"/>
        <n v="4527.54090801239"/>
        <n v="7259.057046718597"/>
        <n v="3322.5667356777194"/>
        <n v="5612.57462430954"/>
        <n v="28456.73038959503"/>
        <n v="5242.597031593323"/>
        <n v="153034.93118286133"/>
        <n v="8032.895588874817"/>
        <n v="1418.8811993598938"/>
        <n v="1621.6812491416931"/>
        <n v="158.21280479431152"/>
        <n v="154.61705923080444"/>
        <n v="20990.00383758545"/>
        <n v="298967.6533510065"/>
        <n v="435.522441654778"/>
        <n v="434.94065200607116"/>
        <n v="435.7604465104662"/>
        <n v="435.9984513668889"/>
        <n v="435.8133364783969"/>
        <n v="432.983723189697"/>
        <n v="435.2315468304246"/>
        <n v="323.2833524537575"/>
        <n v="323.71541816971524"/>
        <n v="323.3422705055997"/>
        <n v="323.85289362499304"/>
        <n v="78.1825216429885"/>
        <n v="26.987741135477304"/>
        <n v="323.5190246625953"/>
        <n v="320.88843030374284"/>
        <n v="435.0732424366153"/>
        <n v="435.628385108128"/>
        <n v="435.9720448571946"/>
        <n v="434.9939363407899"/>
        <n v="435.81343266554376"/>
        <n v="434.67671195675354"/>
        <n v="323.40135285434764"/>
        <n v="323.10686974261006"/>
        <n v="323.16576636525144"/>
        <n v="78.15315320798345"/>
        <n v="322.6438756088599"/>
        <n v="323.2791223628753"/>
        <n v="323.64797531719876"/>
        <n v="323.52502433193456"/>
        <n v="323.15617137834556"/>
        <n v="434.86369984745625"/>
        <n v="436.07778631878494"/>
        <n v="435.3051858366964"/>
        <n v="434.3670281089183"/>
        <n v="435.0292570931458"/>
        <n v="435.91222907236073"/>
        <n v="434.94647846993377"/>
        <n v="78.16235958153786"/>
        <n v="477.4941039085388"/>
        <n v="67.52329482308828"/>
        <n v="1875.433010816574"/>
        <n v="249.16218943977356"/>
        <n v="255.89798440933225"/>
        <n v="168674.1841666317"/>
        <n v="128795.67178630829"/>
        <n v="147415.28171539307"/>
        <n v="70256.17465019226"/>
        <n v="46461.10041809082"/>
        <n v="325.56796398162845"/>
        <n v="1026.9697296142579"/>
        <n v="707.5883302688599"/>
        <n v="1496.3753213882446"/>
        <n v="1808.0235149383545"/>
        <n v="5942.968653678894"/>
        <n v="6160.27173652649"/>
        <n v="7346.545505523682"/>
        <n v="2869.01935005188"/>
        <n v="51642.34830093384"/>
        <n v="174330.55979118348"/>
        <n v="143380.55047988892"/>
        <n v="9918.539660453796"/>
        <n v="61605.235317230225"/>
        <n v="9559.807045936584"/>
        <n v="330.3677101135254"/>
        <n v="1642.244538784027"/>
        <n v="1497.750378704071"/>
        <n v="1765.2147419929504"/>
        <n v="48126.3607881546"/>
        <n v="51563.9579873085"/>
        <n v="31829.855757522582"/>
        <n v="1691.0282732391356"/>
        <n v="1409.1951264190673"/>
        <n v="587.160553741455"/>
        <n v="1972.8712174987795"/>
        <n v="845.5092378997804"/>
        <n v="939.4568859863282"/>
        <n v="1691.038070678711"/>
        <n v="845.5190353393555"/>
        <n v="469.68925323486326"/>
        <n v="1409.165734100342"/>
        <n v="704.6318542480469"/>
        <n v="7812.421041778564"/>
        <n v="2881.3954436798094"/>
        <n v="4253.517773651123"/>
        <n v="810.1109441041947"/>
        <n v="540.0708526067734"/>
        <n v="270.0307611093521"/>
        <n v="540.0428614425659"/>
        <n v="270.02143072128297"/>
        <n v="3286.796400320013"/>
        <n v="9209.040836989096"/>
        <n v="9203.38834445408"/>
        <n v="3014.6626849954155"/>
        <n v="3009.0101924604005"/>
        <n v="395247.64291744237"/>
        <n v="112348.35167977716"/>
        <n v="200642.43682861328"/>
        <n v="27.994468651557128"/>
        <n v="490.26109815454765"/>
        <n v="335.5993171499575"/>
        <n v="330.42870740210105"/>
        <n v="333.1923091638103"/>
        <n v="334.46267448952585"/>
        <n v="335.933623814271"/>
        <n v="491.4379601614889"/>
        <n v="491.14374465947765"/>
        <n v="491.6667944414441"/>
        <n v="492.091772388671"/>
        <n v="491.4052695510127"/>
        <n v="492.38598789068226"/>
        <n v="85.93200313047986"/>
        <n v="17.916459936731687"/>
        <n v="491.960697509142"/>
        <n v="334.9080084502185"/>
        <n v="335.57688803475037"/>
        <n v="335.59918402145325"/>
        <n v="335.443112117844"/>
        <n v="335.71066395276034"/>
        <n v="490.1619978906072"/>
        <n v="485.3545643644844"/>
        <n v="488.853852713491"/>
        <n v="492.7455846147495"/>
        <n v="491.6009575847728"/>
        <n v="492.2223265443445"/>
        <n v="85.93414610683472"/>
        <n v="490.88110649990483"/>
        <n v="335.1085080364153"/>
        <n v="335.8667225354626"/>
        <n v="335.77752082891334"/>
        <n v="335.487615285939"/>
        <n v="489.7362515179767"/>
        <n v="491.2409180669149"/>
        <n v="491.60072963282136"/>
        <n v="484.4372084540367"/>
        <n v="491.9605411987279"/>
        <n v="492.35306290729056"/>
        <n v="85.9382456231322"/>
        <n v="1086.725104637146"/>
        <n v="736.7660698699951"/>
        <n v="1473.5321397399903"/>
        <n v="276.26303409576417"/>
        <n v="552.5260681915283"/>
        <n v="92247.58671455384"/>
        <n v="327934.88121032715"/>
        <n v="4459.306100463868"/>
        <n v="2415.457471084595"/>
        <n v="76450.6312573433"/>
        <n v="60172.58640594483"/>
        <n v="42550.08881120681"/>
        <n v="2539.034939670563"/>
        <n v="1185.8178368568422"/>
        <n v="163.89352216720582"/>
        <n v="6131.545888137817"/>
        <n v="217230.0397567749"/>
        <n v="641799.043426094"/>
        <n v="99859.58149337769"/>
        <n v="361904.142288208"/>
        <n v="1547.4543540428162"/>
        <n v="1411.3586261219023"/>
        <n v="1663.387432026863"/>
        <n v="1547.488900489807"/>
        <n v="1411.3183219337463"/>
        <n v="1387.459293039322"/>
        <n v="108718.8948225975"/>
        <n v="3727.635837650299"/>
        <n v="503.8583707809448"/>
        <n v="8630.635838413238"/>
        <n v="18914.843239116668"/>
        <n v="144.74476833343508"/>
        <n v="192.38228702545166"/>
        <n v="121.64473632812499"/>
        <n v="211454.51572322845"/>
        <n v="361.9860310515404"/>
        <n v="1327.4956839428726"/>
        <n v="460.9360013693093"/>
        <n v="663.7478419714363"/>
        <n v="663.7488560304641"/>
        <n v="460.93554043293"/>
        <n v="22.14634431072901"/>
        <n v="14.173660358631672"/>
        <n v="231.34605216559626"/>
        <n v="237.43916970180896"/>
        <n v="389.277375930668"/>
        <n v="348.98846218366447"/>
        <n v="393.7196087553458"/>
        <n v="373.36135457969766"/>
        <n v="352.59926105680904"/>
        <n v="349.1785042291779"/>
        <n v="341.6480881571466"/>
        <n v="249.43299053774112"/>
        <n v="231.93932939932796"/>
        <n v="231.8751913199376"/>
        <n v="62.90353704752927"/>
        <n v="21.26049053836696"/>
        <n v="244.76690639002896"/>
        <n v="234.45754014525437"/>
        <n v="369.04352223237754"/>
        <n v="342.74463698278754"/>
        <n v="380.9042717512558"/>
        <n v="352.6007527799525"/>
        <n v="353.65079901477606"/>
        <n v="229.86665048979762"/>
        <n v="237.46980809515114"/>
        <n v="260.31149768139767"/>
        <n v="345.51294069384466"/>
        <n v="63.140929497376824"/>
        <n v="226.74724631617383"/>
        <n v="256.44130236362935"/>
        <n v="243.85413294186526"/>
        <n v="341.9276602222582"/>
        <n v="389.3276131203084"/>
        <n v="341.4236607229905"/>
        <n v="356.13564610286045"/>
        <n v="341.4476606991062"/>
        <n v="234.1019115893509"/>
        <n v="265.6103343996162"/>
        <n v="368.20763410749146"/>
        <n v="63.37252076997469"/>
        <n v="38.87478923225403"/>
        <n v="921.8720027377798"/>
        <n v="230.46800068423522"/>
        <n v="230.467770216465"/>
        <n v="1548.7442547581672"/>
        <n v="1327.495195350361"/>
        <n v="553.122648519516"/>
        <n v="1142.5865976333616"/>
        <n v="190.4310996055603"/>
        <n v="476.07774901390076"/>
        <n v="71260.27797698975"/>
        <n v="31241.617584228516"/>
        <n v="474.4852523803711"/>
        <n v="2530.418128967285"/>
        <n v="256.1846618652344"/>
        <n v="711.7278785705566"/>
        <n v="2615.070356615067"/>
        <n v="2568.110538362503"/>
        <n v="6768.436546966553"/>
        <n v="9560.194124221802"/>
        <n v="14029.284725189209"/>
        <n v="1169.107060432434"/>
        <n v="54367.808336257935"/>
        <n v="612289.9457210541"/>
        <n v="53559.36720314026"/>
        <n v="25198.9892578125"/>
        <n v="16082.458374023438"/>
        <n v="2659.9075696372984"/>
        <n v="34490.16702735424"/>
        <n v="67740.55015993118"/>
        <n v="33870.27507996559"/>
        <n v="300.03099288940433"/>
        <n v="155620.25890235903"/>
        <n v="7.477910995483398"/>
        <n v="714.0047554969788"/>
        <n v="2255.145736217499"/>
        <n v="3893.8350801467896"/>
        <n v="5123.473311424255"/>
        <n v="1844.4501023292542"/>
        <n v="3586.4327669143677"/>
        <n v="4047.5434813499446"/>
        <n v="4907.884664382935"/>
        <n v="14569.161155776977"/>
        <n v="34866.51933815003"/>
        <n v="1306.295736465454"/>
        <n v="5708.463033370971"/>
        <n v="18540.42454582214"/>
        <n v="8668.764763641359"/>
        <n v="55548.96071708679"/>
        <n v="2209.936912536621"/>
        <n v="288.5758598327637"/>
        <n v="1620.4852381896974"/>
        <n v="1192.419782409668"/>
        <n v="839.3705337524415"/>
        <n v="1556.8904175567627"/>
        <n v="394.86472114562986"/>
        <n v="1349.8689804315568"/>
        <n v="214.97283888816835"/>
        <n v="900.0033020877838"/>
        <n v="127.94553711891174"/>
        <n v="1326.7180966472627"/>
        <n v="1563.6249799060822"/>
        <n v="1454.597716436386"/>
        <n v="1297.420495119095"/>
        <n v="1422.5256888866425"/>
        <n v="911.1772074985504"/>
        <n v="626.9763697767258"/>
        <n v="911.0395466423035"/>
        <n v="113.36371511936187"/>
        <n v="8862.537094750403"/>
        <n v="6531.319324636459"/>
        <n v="7255.101203918457"/>
        <n v="781.7371547222137"/>
        <n v="651.5080881118774"/>
        <n v="542.6815700531006"/>
        <n v="1563.4743094444275"/>
        <n v="1303.0161762237549"/>
        <n v="1824.0775446891785"/>
        <n v="1085.3631401062012"/>
        <n v="271.3407850265503"/>
        <n v="434.5805621147156"/>
        <n v="2424.4997192291294"/>
        <n v="1639.6276345714268"/>
        <n v="790.1396825414975"/>
        <n v="734.3318073749542"/>
        <n v="7198.059204788208"/>
        <n v="1816.4665404319762"/>
        <n v="2761.3067992544175"/>
        <n v="30708.68707895279"/>
        <n v="43498.72580766678"/>
        <n v="14987.014746665955"/>
        <n v="29771.124064922333"/>
        <n v="1021.5238809585571"/>
        <n v="12272.280049324036"/>
        <n v="12027.394187450409"/>
        <n v="12573.139822483063"/>
        <n v="349.83694553375244"/>
        <n v="37068.72274875641"/>
        <n v="8299.07809829712"/>
        <n v="53431.34803619385"/>
        <n v="92249.7036567688"/>
        <n v="708.6084353113174"/>
        <n v="472.40562354087825"/>
        <n v="9567.821514129639"/>
        <n v="44.46035752130491"/>
        <n v="258.46514894594304"/>
        <n v="265.97691059570343"/>
        <n v="265.1822154086277"/>
        <n v="272.37231472046386"/>
        <n v="365.30812122363045"/>
        <n v="399.3685336702147"/>
        <n v="381.1655886953361"/>
        <n v="358.3736659943758"/>
        <n v="241.48220561269716"/>
        <n v="273.81033458269184"/>
        <n v="359.8013479535858"/>
        <n v="361.17804127127107"/>
        <n v="112.88885203278282"/>
        <n v="65.99722730382209"/>
        <n v="270.0189400745938"/>
        <n v="265.97158746717656"/>
        <n v="266.91723059923004"/>
        <n v="267.73048369377096"/>
        <n v="368.585150013408"/>
        <n v="217.26749094424184"/>
        <n v="360.5070600970609"/>
        <n v="382.14207063053846"/>
        <n v="366.7758617358668"/>
        <n v="105.72869105421412"/>
        <n v="271.6076205372792"/>
        <n v="246.3690009907731"/>
        <n v="122.57291009139679"/>
        <n v="65.93371648551366"/>
        <n v="287.80863015743785"/>
        <n v="256.5353962219695"/>
        <n v="276.6604703356506"/>
        <n v="254.25467612815237"/>
        <n v="358.82937011144577"/>
        <n v="95.1650103931621"/>
        <n v="273.6209159586749"/>
        <n v="260.73192119629226"/>
        <n v="351.45414326555095"/>
        <n v="344.59518229966955"/>
        <n v="349.68408882267545"/>
        <n v="244.43960174140037"/>
        <n v="63.29347163053262"/>
        <n v="154686.74462509155"/>
        <n v="168746.01073646545"/>
        <n v="544899.2731456757"/>
        <n v="124172.77528381348"/>
        <n v="889312.9937343597"/>
        <n v="221.27686172485352"/>
        <n v="24.18019073486328"/>
        <n v="23.68815196990967"/>
        <n v="220.22249294281005"/>
        <n v="1426.4906708526612"/>
        <n v="23992.231926651002"/>
        <n v="727.7956246185303"/>
        <n v="2298.5942361068724"/>
        <n v="3968.925260620117"/>
        <n v="5222.218286209107"/>
        <n v="1880.00982963562"/>
        <n v="3655.5668585968015"/>
        <n v="4125.534170379638"/>
        <n v="115.65186708927155"/>
        <n v="180.20676738739013"/>
        <n v="57.78994976520538"/>
        <n v="261.96191425323485"/>
        <n v="170.31124168395996"/>
        <n v="16339.995706558228"/>
        <n v="2648.490209197998"/>
        <n v="699042.4198722839"/>
        <n v="10727.649428367615"/>
        <n v="85458.05681991577"/>
        <n v="5332.9286330223085"/>
        <n v="147.47185546875"/>
        <n v="126.44559482574462"/>
        <n v="214.07901675224304"/>
        <n v="14.574366966247558"/>
        <n v="95.12222708702087"/>
        <n v="111.0359380531311"/>
        <n v="21.314291610717774"/>
        <n v="27.362941932678222"/>
        <n v="23.042477416992188"/>
        <n v="29.73919741630554"/>
        <n v="1408.183401145935"/>
        <n v="502.9020696258545"/>
        <n v="1137.7223224639893"/>
        <n v="114118.37166677952"/>
        <n v="4533.911858053208"/>
        <n v="256114.6579580307"/>
        <n v="135.70148574829102"/>
        <n v="1407.2582957458496"/>
        <n v="1658.5491577911378"/>
        <n v="1370.0760374927522"/>
        <n v="1502.192049484253"/>
        <n v="113.18655602798461"/>
        <n v="15.091540803970362"/>
        <n v="7754.822593116761"/>
        <n v="87913.09286541938"/>
        <n v="1465.6317889404297"/>
        <n v="1336.7312085723877"/>
        <n v="511.5435626983642"/>
        <n v="43446.07914066315"/>
        <n v="277.9067789869309"/>
        <n v="480.6208822154999"/>
        <n v="25.76393332481384"/>
        <n v="126.7020830631256"/>
        <n v="78.20941951751709"/>
        <n v="22.516971864700317"/>
        <n v="109.4790701007843"/>
        <n v="164.11272597312927"/>
        <n v="36.91654007911682"/>
        <n v="20.469974422454833"/>
        <n v="54.70424199104309"/>
        <n v="143.71333766937255"/>
        <n v="14.328982095718382"/>
        <n v="142.08985693931578"/>
        <n v="19.12883816719055"/>
        <n v="900.2582292509079"/>
        <n v="1641.660143108368"/>
        <n v="1406.9570019721984"/>
        <n v="703.548603477478"/>
        <n v="488.61436491012574"/>
        <n v="390.89149192810055"/>
        <n v="244.30718245506287"/>
        <n v="1172.6043732929231"/>
        <n v="586.2671354007721"/>
        <n v="293.16861894607547"/>
        <n v="156.32855577468874"/>
        <n v="938.1115396308899"/>
        <n v="273.3997163772583"/>
        <n v="250.4810680627823"/>
        <n v="6724.08341383791"/>
        <n v="2764.9516211576465"/>
        <n v="2118.9907743549347"/>
        <n v="30194.935731072426"/>
        <n v="500.9621361255646"/>
        <n v="1006.4984049023253"/>
        <n v="754.8738029589018"/>
        <n v="503.24920245080324"/>
        <n v="251.62460122540162"/>
        <n v="1362.7608261108398"/>
        <n v="3689.6024494171143"/>
        <n v="1275.7760925292969"/>
        <n v="1435.248104095459"/>
        <n v="2899.4911193847656"/>
        <n v="1304.7710037231445"/>
        <n v="1290.2735481262207"/>
        <n v="2065.8874225616455"/>
        <n v="1159.7964477539062"/>
        <n v="4762.4141635894775"/>
        <n v="281.9465164489746"/>
        <n v="64256.34603998407"/>
        <n v="61196.52003497347"/>
        <n v="120353.15606660653"/>
        <n v="5024.621128163338"/>
        <n v="3892.397644519806"/>
        <n v="4385.196612358093"/>
        <n v="1187.6790228414534"/>
        <n v="1248.3312785625458"/>
        <n v="1031.754123940468"/>
        <n v="10119.805564880371"/>
        <n v="2485.344353532791"/>
        <n v="2374.321633987427"/>
        <n v="1472.7872504425047"/>
        <n v="47.14656852722168"/>
        <n v="446.10364231109617"/>
        <n v="135.94566101074219"/>
        <n v="111.28634468078614"/>
        <n v="26.320306549072267"/>
        <n v="192.48321269989012"/>
        <n v="194.527508354187"/>
        <n v="10668.667945861816"/>
        <n v="117291.4631652832"/>
        <n v="10685.370687437056"/>
        <n v="10100.461719694138"/>
        <n v="11012.021419858933"/>
        <n v="12472.124674196244"/>
        <n v="1949.951755027771"/>
        <n v="12470.593498888016"/>
        <n v="10647.41029958725"/>
        <n v="11814.229683427811"/>
        <n v="10100.397920722962"/>
        <n v="121.21804523468018"/>
        <n v="39.93186375313368"/>
        <n v="384.75815458648685"/>
        <n v="384.56752690142713"/>
        <n v="338.6500831724007"/>
        <n v="385.44917994659824"/>
        <n v="283.4523673694193"/>
        <n v="260.0099955115321"/>
        <n v="277.9695937417626"/>
        <n v="283.13605350633713"/>
        <n v="282.3101228638822"/>
        <n v="376.68030641632043"/>
        <n v="383.56673155267225"/>
        <n v="337.9352293522467"/>
        <n v="66.97362014468268"/>
        <n v="384.88154293863346"/>
        <n v="384.21929976244985"/>
        <n v="383.7699204645901"/>
        <n v="382.705601074319"/>
        <n v="279.60357256404376"/>
        <n v="283.65023687054924"/>
        <n v="247.5093384079307"/>
        <n v="251.50367515852776"/>
        <n v="247.30002818497118"/>
        <n v="352.71544582040474"/>
        <n v="384.76328522852845"/>
        <n v="66.80004983655928"/>
        <n v="201.7414881515503"/>
        <n v="132.2895004272461"/>
        <n v="55.90503407478332"/>
        <n v="78.99209592819214"/>
        <n v="48.65455183982849"/>
        <n v="108.24842775344848"/>
        <n v="234.4322589302063"/>
        <n v="193.79139798164368"/>
        <n v="216.11525117874143"/>
        <n v="207.21115018844603"/>
        <n v="69.51558844566345"/>
        <n v="200.34227228164673"/>
        <n v="1022.0635922431945"/>
        <n v="142.6564180088043"/>
        <n v="38.47843642234802"/>
        <n v="30.528346252441406"/>
        <n v="42.61248331069947"/>
        <n v="51.51658430099487"/>
        <n v="55.269026861190795"/>
        <n v="34.98039674758911"/>
        <n v="37.67134384324962"/>
        <n v="234.92888109185787"/>
        <n v="267.774932731517"/>
        <n v="267.5287104557925"/>
        <n v="267.62719936620954"/>
        <n v="363.62912288879585"/>
        <n v="357.7752660409233"/>
        <n v="362.4717063255515"/>
        <n v="319.2021332770496"/>
        <n v="363.54009084532254"/>
        <n v="358.95494061471794"/>
        <n v="265.5425174278832"/>
        <n v="280.3396463722058"/>
        <n v="62.44977485478"/>
        <n v="140.30319131851195"/>
        <n v="134960.73072433472"/>
        <n v="249.84450227117537"/>
        <n v="3158.9697693490984"/>
        <n v="1859.0585470294955"/>
        <n v="113148.29584121704"/>
        <n v="738.9150692462922"/>
        <n v="668.1306505203247"/>
        <n v="1025.09463534832"/>
        <n v="124401.72873020172"/>
        <n v="58706.25930540085"/>
        <n v="55910.66796503067"/>
        <n v="4659.241644458771"/>
        <n v="217.50805282592773"/>
        <n v="26.962875843048096"/>
        <n v="275.04389667510986"/>
        <n v="26.85006046295166"/>
        <n v="339.06662487983704"/>
        <n v="80.55018138885498"/>
        <n v="40.55712914466858"/>
        <n v="63.06379747390747"/>
        <n v="229.69211387634277"/>
        <n v="82.80648899078369"/>
        <n v="7443.107517242432"/>
        <n v="717.6186327934265"/>
        <n v="1622.736427307129"/>
        <n v="31639.07334804535"/>
        <n v="247346.8372821808"/>
        <n v="532209.2354297638"/>
        <n v="660.890088968277"/>
        <n v="2087.453936429024"/>
        <n v="3604.2593423938747"/>
        <n v="4742.452553539277"/>
        <n v="3319.7397789573665"/>
        <n v="3746.5766028118137"/>
        <n v="943.5705640317635"/>
        <n v="5181.825634002686"/>
        <n v="1549.1959648132326"/>
        <n v="1665.2279148101807"/>
        <n v="1412.9489822387695"/>
        <n v="28966.383934020996"/>
        <n v="750.5537673912049"/>
        <n v="12935.170476808547"/>
        <n v="12227.05825515747"/>
        <n v="13330.561617507934"/>
        <n v="15098.148297929763"/>
        <n v="12355.321403217315"/>
        <n v="5349.569717702865"/>
        <n v="15096.23651659012"/>
        <n v="12889.171859121323"/>
        <n v="14301.688605279924"/>
        <n v="1513.3255060005188"/>
        <n v="540.3926335763931"/>
        <n v="306.4088418674469"/>
        <n v="30.779075956344606"/>
        <n v="243.28032893657684"/>
        <n v="256.28291816711425"/>
        <n v="106.78454923629761"/>
        <n v="51.88472804069519"/>
        <n v="71.48283354759216"/>
        <n v="122.92786050319671"/>
        <n v="63.56821401596069"/>
        <n v="237.37577150821684"/>
        <n v="420.16579402446746"/>
        <n v="17.085527877807618"/>
        <n v="258.4814235925674"/>
        <n v="17160.905206680298"/>
        <n v="720305.7547073364"/>
        <n v="21619.160137295723"/>
        <n v="34367.82960033417"/>
        <n v="1433.3758597373962"/>
        <n v="2046.378583908081"/>
        <n v="1269.119062423706"/>
        <n v="1060.6918602752685"/>
        <n v="1708.8049879789353"/>
        <n v="162.87052631378174"/>
        <n v="143.32606315612793"/>
        <n v="1189.6063241958618"/>
        <n v="2876.300685452712"/>
        <n v="431.44402420520777"/>
        <n v="408.04126273155214"/>
        <n v="938.8044402694702"/>
        <n v="157.2103274154663"/>
        <n v="502.81733078956603"/>
        <n v="90.72392303466798"/>
        <n v="39.24699121475219"/>
        <n v="103.73213258743286"/>
        <n v="334.377694272995"/>
        <n v="198.1806284427643"/>
        <n v="1006.2461586093902"/>
        <n v="1528.0149494787838"/>
        <n v="654.8635497766215"/>
        <n v="673.6626165096121"/>
        <n v="449.10841100640806"/>
        <n v="1309.71545753479"/>
        <n v="1091.4392496277026"/>
        <n v="2389.2578738164902"/>
        <n v="1482.0575569171904"/>
        <n v="224.55420550320403"/>
        <n v="2540.4922075271606"/>
        <n v="1439.519599866867"/>
        <n v="797.7812619304657"/>
        <n v="1562.2637310314176"/>
        <n v="545.7196248138513"/>
        <n v="673.6626166358028"/>
        <n v="449.1084109052331"/>
        <n v="6305.947033081055"/>
        <n v="3139.574039154053"/>
        <n v="1912.6861614990235"/>
        <n v="44.70269622802734"/>
        <n v="106.74255981445313"/>
        <n v="2227.7693481445312"/>
        <n v="735.2524153223909"/>
        <n v="1470.5048306447818"/>
        <n v="1159928.393749237"/>
        <n v="3164.4283618927"/>
        <n v="50287.572607040405"/>
        <n v="271752.5888514519"/>
        <n v="7846.932492303848"/>
        <n v="14062.383890151978"/>
        <n v="36.12428122722688"/>
        <n v="348.0707002978378"/>
        <n v="347.8982493411941"/>
        <n v="306.35912507799094"/>
        <n v="348.69583501727226"/>
        <n v="256.4246211165783"/>
        <n v="235.21752597914963"/>
        <n v="251.4646408448047"/>
        <n v="256.1384684086383"/>
        <n v="255.39129189349543"/>
        <n v="340.7630909958043"/>
        <n v="346.99288181683244"/>
        <n v="305.71243398950975"/>
        <n v="60.58755243354056"/>
        <n v="348.18232332551975"/>
        <n v="347.5832263516052"/>
        <n v="347.1766962624028"/>
        <n v="346.21386184006195"/>
        <n v="252.9428165407935"/>
        <n v="256.60362336774546"/>
        <n v="223.90883136055217"/>
        <n v="227.52230016799027"/>
        <n v="223.71947928310678"/>
        <n v="319.08332745934257"/>
        <n v="348.07534172296965"/>
        <n v="60.4305323990611"/>
        <n v="225.28097230279056"/>
        <n v="256.77812333547615"/>
        <n v="256.5420127584367"/>
        <n v="256.6364569893745"/>
        <n v="343.08238061234346"/>
        <n v="347.5859504959856"/>
        <n v="306.0933445541827"/>
        <n v="348.6104592847248"/>
        <n v="344.21360906646197"/>
        <n v="254.63738743340707"/>
        <n v="268.82683736554776"/>
        <n v="59.88512750747865"/>
        <n v="42.553685584075495"/>
        <n v="389.8892104058575"/>
        <n v="390.6720713418568"/>
        <n v="380.6905944112198"/>
        <n v="332.37339603264434"/>
        <n v="373.98734764878395"/>
        <n v="318.4531500193998"/>
        <n v="302.5832393858829"/>
        <n v="302.50739448348133"/>
        <n v="302.7728516428016"/>
        <n v="302.4505108062227"/>
        <n v="302.92454144821465"/>
        <n v="390.3051052782977"/>
        <n v="72.19445691862634"/>
        <n v="70.07262592341543"/>
        <n v="380.96685748392986"/>
        <n v="390.69627803199165"/>
        <n v="390.3531750409162"/>
        <n v="390.84332217172107"/>
        <n v="390.13260883193203"/>
        <n v="390.05908676206735"/>
        <n v="302.65861822401394"/>
        <n v="302.5446511274923"/>
        <n v="265.828251665812"/>
        <n v="302.8295688681865"/>
        <n v="288.88759411139836"/>
        <n v="70.48661700094935"/>
        <n v="390.818338578709"/>
        <n v="390.01886361696194"/>
        <n v="342.3251853998954"/>
        <n v="390.79335498630695"/>
        <n v="387.77034028552356"/>
        <n v="296.80563611050843"/>
        <n v="302.2468145911825"/>
        <n v="302.6534507051578"/>
        <n v="192.59060913082243"/>
        <n v="390.7433878015026"/>
        <n v="288.26627771275724"/>
        <n v="68.47382111120125"/>
        <n v="2238.6334799146653"/>
        <n v="157.0996761751175"/>
        <n v="1413.8734660043717"/>
        <n v="730.9813766479492"/>
        <n v="32333.55919532776"/>
        <n v="961.8276414871216"/>
        <n v="726.9576570510864"/>
        <n v="2296.117012023926"/>
        <n v="3964.5577623367312"/>
        <n v="5216.529960823059"/>
        <n v="3651.564712715149"/>
        <n v="4121.054287147522"/>
        <n v="1460.6133653640748"/>
        <n v="325512.7716064453"/>
        <n v="62.64193140029907"/>
        <n v="39.12073925971985"/>
        <n v="254.7722910356522"/>
        <n v="262.8767432498932"/>
        <n v="69.8932833814621"/>
        <n v="129.73217115879058"/>
        <n v="167.0857742214203"/>
        <n v="507.89931733608245"/>
        <n v="753.2875058078766"/>
        <n v="175.00741924285887"/>
        <n v="272.9920745849609"/>
        <n v="19.31662670612335"/>
        <n v="71.5994838476181"/>
        <n v="724.347864818573"/>
        <n v="292.36644587516787"/>
        <n v="448.35444760322576"/>
        <n v="307.91447696685793"/>
        <n v="261.206922340393"/>
        <n v="28.30376272201538"/>
        <n v="3032.056446933746"/>
        <n v="5374.034158802033"/>
        <n v="14087.658473396303"/>
        <n v="422014.5598614693"/>
        <n v="1018.5546898841858"/>
        <n v="30468.862899541855"/>
        <n v="941.3370803833008"/>
        <n v="50866.76854133606"/>
        <n v="673969.8859977722"/>
        <n v="1033.6745821666718"/>
        <n v="1311.3364252567292"/>
        <n v="468.3755375862122"/>
        <n v="168.93741748809813"/>
        <n v="312.2119983959198"/>
        <n v="579.7154227495193"/>
        <n v="248.74538685321806"/>
        <n v="102.82396629810334"/>
        <n v="51.44075314521789"/>
        <n v="92.46676767826081"/>
        <n v="35.32955529212951"/>
        <n v="15603.925280685426"/>
        <n v="327.80533631801603"/>
        <n v="36848.84124967575"/>
        <n v="10205.695820031167"/>
        <n v="11088.474382395743"/>
        <n v="16394.352155356406"/>
        <n v="18947.746855101585"/>
        <n v="3280.239882888794"/>
        <n v="12500.908574180603"/>
        <n v="10735.351449451447"/>
        <n v="11866.299998745919"/>
        <n v="163.9889781475067"/>
        <n v="30217.404824256897"/>
        <n v="13985.444386749268"/>
        <n v="28.645706481933594"/>
        <n v="76.13418300628662"/>
        <n v="1459.6724600605487"/>
        <n v="1569.0291882771492"/>
        <n v="1331.297652113199"/>
        <n v="2349.076736097336"/>
        <n v="43576.0112654686"/>
        <n v="116106.53728660583"/>
        <n v="20099.49110818863"/>
        <n v="70005.78899454116"/>
        <n v="90.13554817199707"/>
        <n v="163.3873777770996"/>
        <n v="468.0957543182373"/>
        <n v="95.05106117248535"/>
        <n v="444.0524842071533"/>
        <n v="392.49302719116207"/>
        <n v="27.40932792663574"/>
        <n v="61.1767650604248"/>
        <n v="38.36237319946289"/>
        <n v="279.6499461364746"/>
        <n v="419.26120124816896"/>
        <n v="57.757277755737306"/>
        <n v="46.53708503723145"/>
        <n v="27.355898437500002"/>
        <n v="105.2560935974121"/>
        <n v="189.56782745361326"/>
        <n v="42193.098160552974"/>
        <n v="54811.93815307617"/>
        <n v="225346.58908843994"/>
        <n v="7607.700847625732"/>
        <n v="6625.189719200134"/>
        <n v="159162.29587316513"/>
        <n v="26572.869785308838"/>
        <n v="27152.480471134186"/>
        <n v="45253.677052259445"/>
        <n v="160.4834401702881"/>
        <n v="98.00813499450683"/>
        <n v="21.62231265068054"/>
        <n v="240.8227779197693"/>
        <n v="215.97908234596252"/>
        <n v="100.00929711341857"/>
        <n v="554.3707157707214"/>
        <n v="445.8686818599701"/>
        <n v="21.03660666465759"/>
        <n v="46.02672873497009"/>
        <n v="38.36374208450317"/>
        <n v="132.36955284118653"/>
        <n v="1968.5578190231322"/>
        <n v="252.97617712974548"/>
        <n v="460.3160961818695"/>
        <n v="5088.467180070877"/>
        <n v="741.8911811731621"/>
        <n v="494.5941207819484"/>
        <n v="501.9538000020981"/>
        <n v="1424.4310678528159"/>
        <n v="1187.0258898773463"/>
        <n v="401.56591260433197"/>
        <n v="247.29706039073486"/>
        <n v="4264.1392555713655"/>
        <n v="593.5129449389126"/>
        <n v="5360.0931940078735"/>
        <n v="3956.0531657886504"/>
        <n v="1675.9922277164458"/>
        <n v="1650.880167322159"/>
        <n v="707.5132773208618"/>
        <n v="245.66487832510745"/>
        <n v="747.9669993086816"/>
        <n v="2020.6045710591318"/>
        <n v="2137.528099388409"/>
        <n v="678.8565387265205"/>
        <n v="676.7825686241406"/>
        <n v="1353.5651372482812"/>
        <n v="2175.964093793043"/>
        <n v="1374.2931118695535"/>
        <n v="3209.7360302196103"/>
        <n v="1586.206759120276"/>
        <n v="2877.036543021202"/>
        <n v="62446.22488895416"/>
        <n v="104.11027081489563"/>
        <n v="18.072617969512937"/>
        <n v="45.31002325057983"/>
        <n v="16.359573612213133"/>
        <n v="108.94962112426758"/>
        <n v="117.6004951286316"/>
        <n v="231.6892493247986"/>
        <n v="368.56149347305296"/>
        <n v="105.48070630073546"/>
        <n v="416.8693443489075"/>
        <n v="249.80469340324402"/>
        <n v="599.5655250549316"/>
        <n v="30349.979121494292"/>
        <n v="33339.21185684204"/>
        <n v="2107.473082962036"/>
        <n v="3638.88722820282"/>
        <n v="4787.993430156708"/>
        <n v="3351.5997658538818"/>
        <n v="3782.530959377289"/>
        <n v="335.16870607376103"/>
        <n v="35.912254520650556"/>
        <n v="280.7172103556231"/>
        <n v="280.89364000198907"/>
        <n v="280.5231377445769"/>
        <n v="280.62899553265834"/>
        <n v="343.1694341814358"/>
        <n v="345.46821830834443"/>
        <n v="79.95865165738213"/>
        <n v="344.5790659575515"/>
        <n v="333.9959843168868"/>
        <n v="280.7877822143441"/>
        <n v="316.0177575136954"/>
        <n v="63.24640374582697"/>
        <n v="280.64646010631543"/>
        <n v="345.2729527201795"/>
        <n v="335.271015356245"/>
        <n v="341.8232606576524"/>
        <n v="344.44849801309084"/>
        <n v="344.90411771953643"/>
        <n v="344.3183209541687"/>
        <n v="279.4991632571236"/>
        <n v="63.44514337923583"/>
        <n v="273.6697889439682"/>
        <n v="280.6108813645994"/>
        <n v="281.0347648711562"/>
        <n v="345.31624963336617"/>
        <n v="344.99060247226197"/>
        <n v="344.7517945540026"/>
        <n v="344.77350436471374"/>
        <n v="63.393225194088394"/>
        <n v="280.3254314525694"/>
        <n v="280.42367405139095"/>
        <n v="28.6693953342914"/>
        <n v="34.73331174850464"/>
        <n v="59.79762049674988"/>
        <n v="80.07436465263366"/>
        <n v="33.70069977760315"/>
        <n v="46.65528632164001"/>
        <n v="140.2005435037613"/>
        <n v="35.95367135047913"/>
        <n v="123.20938289165497"/>
        <n v="428.11153575420377"/>
        <n v="133.1130704307556"/>
        <n v="45.85735888957977"/>
        <n v="110.2547963476181"/>
        <n v="502.7881560134888"/>
        <n v="538.8357011795043"/>
        <n v="174.41754926681517"/>
        <n v="1464.5253961849212"/>
        <n v="523.0649001693725"/>
        <n v="24156.42985210419"/>
        <n v="16068.96714220047"/>
        <n v="16028.79803094864"/>
        <n v="24272.479394245147"/>
        <n v="23001.71486377716"/>
        <n v="4727.169593524933"/>
        <n v="18807.07991466522"/>
        <n v="16180.215985679626"/>
        <n v="17861.685185337068"/>
        <n v="15392.166604328157"/>
        <n v="142.79629182815552"/>
        <n v="813.5708113861084"/>
        <n v="1543.2042109680176"/>
        <n v="1435.6539260101317"/>
        <n v="1309.3973389434814"/>
        <n v="227.80508422851562"/>
        <n v="322.6462928771973"/>
        <n v="70.34962947368622"/>
        <n v="58.27754804134369"/>
        <n v="180.2310749053955"/>
        <n v="31.540438108444214"/>
        <n v="116.72512539863587"/>
        <n v="25.50439739227295"/>
        <n v="50.24366286277771"/>
        <n v="170.964477186203"/>
        <n v="95.17390960216522"/>
        <n v="403.2245227718353"/>
        <n v="363.73521414279935"/>
        <n v="657.5883794307708"/>
        <n v="21219.99868900299"/>
        <n v="18305.78122830391"/>
        <n v="5775.95579624176"/>
        <n v="19633.972332286834"/>
        <n v="1360.1064064121247"/>
        <n v="1334.2959080219268"/>
        <n v="1079.848781375885"/>
        <n v="652.7425723457336"/>
        <n v="1087.9864862823488"/>
        <n v="643.4540808868409"/>
        <n v="1004.0201674747467"/>
        <n v="1190.7352856063844"/>
        <n v="1722.8096680259705"/>
        <n v="1722.7685685062409"/>
        <n v="1085.0273208618164"/>
        <n v="634.699883184433"/>
        <n v="1510.9827433395385"/>
        <n v="1087.9042872428893"/>
        <n v="70.11578065872192"/>
        <n v="900.81139133409"/>
        <n v="225.20284783331698"/>
        <n v="1109.687032699585"/>
        <n v="646.5853328704834"/>
        <n v="111.92753557205201"/>
        <n v="81.20469211578369"/>
        <n v="97.46972688674927"/>
        <n v="25.180683460235596"/>
        <n v="83.93561153411865"/>
        <n v="20.120450420379637"/>
        <n v="66.54608053207397"/>
        <n v="63.37339473724365"/>
        <n v="75.10028400421142"/>
        <n v="20020.048971176147"/>
        <n v="686.7459125518799"/>
        <n v="19124.468044281006"/>
        <n v="200.2004897117615"/>
        <n v="191.24468044281005"/>
        <n v="360.1600785827637"/>
        <n v="154.61823177337646"/>
        <n v="125.86325672149658"/>
        <n v="13.775078830718995"/>
        <n v="28.072245197296144"/>
        <n v="222.12816621780397"/>
        <n v="202.73060623168945"/>
        <n v="2287.520875720768"/>
        <n v="373.0660824691773"/>
        <n v="1301.743886241892"/>
        <n v="1835.0972840774966"/>
        <n v="867.8289320588112"/>
        <n v="289.2789503335953"/>
        <n v="225.99720247229774"/>
        <n v="112.9986012359509"/>
        <n v="485.8918461563587"/>
        <n v="2929.9984192228317"/>
        <n v="2758.2498719215396"/>
        <n v="2018.9524816274643"/>
        <n v="2244.820542500017"/>
        <n v="1506.2648661798291"/>
        <n v="58.307200357319694"/>
        <n v="290.7837691824377"/>
        <n v="290.875504865811"/>
        <n v="290.9855876859423"/>
        <n v="290.82046345595353"/>
        <n v="290.2150079454399"/>
        <n v="352.2195653286089"/>
        <n v="352.1973558849467"/>
        <n v="352.41945032073636"/>
        <n v="352.06409922380595"/>
        <n v="352.90805807880747"/>
        <n v="98.34152099422107"/>
        <n v="291.1320597255199"/>
        <n v="290.91172769258293"/>
        <n v="352.7747007071001"/>
        <n v="352.39685482031837"/>
        <n v="351.9745564764397"/>
        <n v="352.0634613910501"/>
        <n v="351.77452041887875"/>
        <n v="98.62317578921113"/>
        <n v="290.9302031554249"/>
        <n v="290.8934880867806"/>
        <n v="291.2973538406187"/>
        <n v="352.4636174791151"/>
        <n v="352.5747276291423"/>
        <n v="352.3302852994156"/>
        <n v="352.3525073295043"/>
        <n v="98.4103155193268"/>
        <n v="291.3746456281321"/>
        <n v="291.5129509066391"/>
        <n v="127.01620718536664"/>
        <n v="124.00264163666199"/>
        <n v="123.76546286677542"/>
        <n v="123.97473825206743"/>
        <n v="121.65875732155803"/>
        <n v="121.43553024396874"/>
        <n v="63.66929497935335"/>
        <n v="28291.932248687746"/>
        <n v="6531.775726318359"/>
        <n v="19154.59709084034"/>
        <n v="327.15331286916785"/>
        <n v="981.4599386075034"/>
        <n v="255.58852567864437"/>
        <n v="240.85231364250183"/>
        <n v="250.87036149501802"/>
        <n v="170.60022912025454"/>
        <n v="762.515994758606"/>
        <n v="17.085028762817384"/>
        <n v="23.09483787536621"/>
        <n v="75.68066761016846"/>
        <n v="68.16840621948242"/>
        <n v="46.361384582519534"/>
        <n v="45.88918529510498"/>
        <n v="69.67085849761963"/>
        <n v="40.351575469970705"/>
        <n v="132.08701885223388"/>
        <n v="200.21249786376953"/>
        <n v="105.42922271728516"/>
        <n v="217.64094429016114"/>
        <n v="705.251099357605"/>
        <n v="497.3117040634155"/>
        <n v="322.16869564056395"/>
        <n v="141.7456406402588"/>
        <n v="168.53221839904785"/>
        <n v="291407.5461730957"/>
        <n v="26896.22617006302"/>
        <n v="129.65762662410737"/>
        <n v="20.595435276031495"/>
        <n v="45.063152804374695"/>
        <n v="111.91321234703064"/>
        <n v="73.65846789836883"/>
        <n v="28.552762541770935"/>
        <n v="196.93321168899536"/>
        <n v="51.531140742301936"/>
        <n v="149.8275363779068"/>
        <n v="220.54987817287446"/>
        <n v="145.74249136447906"/>
        <n v="200.37996841907503"/>
        <n v="310.5910786771774"/>
        <n v="304.5486162614822"/>
        <n v="367.015762925148"/>
        <n v="499.7371733093262"/>
        <n v="7851.286305599212"/>
        <n v="288.8041719388962"/>
        <n v="300.3359135913849"/>
        <n v="3115.825531439781"/>
        <n v="91769.0397950077"/>
        <n v="5365.811732940673"/>
        <n v="107.52545756607056"/>
        <n v="2362.02749022007"/>
        <n v="5366.341568346023"/>
        <n v="3756.4483794403077"/>
        <n v="4239.416336112023"/>
        <n v="375.6262747478485"/>
        <n v="26782.418845443728"/>
        <n v="72.72589111328125"/>
        <n v="80.04664306640626"/>
        <n v="48.54814453125"/>
        <n v="55.2909423828125"/>
        <n v="37.326202392578125"/>
        <n v="169.72585449218752"/>
        <n v="45.61021118164063"/>
        <n v="118.62507934570311"/>
        <n v="46.477142333984375"/>
        <n v="1561.0058654785157"/>
        <n v="208.54510498046875"/>
        <n v="298.994921875"/>
        <n v="672.8348999023438"/>
        <n v="181.52575073242187"/>
        <n v="150.89418334960936"/>
        <n v="116.89121704101562"/>
        <n v="404.6641967773437"/>
        <n v="1522.764569091797"/>
        <n v="544.7699035644531"/>
      </sharedItems>
    </cacheField>
    <cacheField name="beneficiary" numFmtId="0">
      <sharedItems containsBlank="1">
        <s v="15iZD84rHAjuvaiKXBj2YAEPRJ8Tt4VS1M79HsYhieTvtJR4"/>
        <s v="14tcZ9ibPGdMwb7XXE4QChgVuJU1xXTvDFpV3E1HpMajbBsH"/>
        <s v="13YWynHAu8F8uKZFbQwvPgJ67xizvo21HCEQU3Ke8z1XHoyT"/>
        <s v="15Y5pEv8Uk1mFPeFS6aSmExsbwCVv4R3T6vnZKm7sZZTmExp"/>
        <s v="15cZn8K1DaE7qiBWK6mGFJMKYKjFrALTVwe5urpD9PzKSsPY"/>
        <s v="14fhQS5myHCh3AQZZoELKpQuy2AfNe5am3PzTDvKi7i172n5"/>
        <s v="1pHpxvp2CYscDreozYQdBkJkUkLFQftxQTAwMs5M1a6GRBf"/>
        <s v="13Sj951PJzxMYMcrdmkkh6TGpnMA4VTwmDqvrBCiY1jEVQ6X"/>
        <s v="146ZZqm2cMHLf3ju7oc8M9JnPaAktuADAKThagKnXqzjPJbZ"/>
        <s v="15DPQskycLALmFjGnsB212D1oxDJC2NscHeC65kaWnK62Pcm"/>
        <s v="15yPxY4HBSp6oS765bKGSDUF8wnsoG5soLhw3EC1gKe5GJWa"/>
        <s v="16NsH1tTBATkX82ZKRjQ6LB7nnePDoAupR3ZxPvDpcp6VWWa"/>
        <s v="1C42oGF3s8ztCsc22MA4LKd8BogMJNdVmCgtTXGfxqwjrSb"/>
        <s v="13L1z3C2TWR1Q6LB4JNrH9zsW59FcjqK2uKXaqVqdy4XmD6f"/>
        <s v="13CeHxBVttt4oeLNxbuhULNWfwnF4ykgPu69ejDKgdVUHg6w"/>
        <s v="13RRFsP5dqAZpm8PmnLXQn8QvsYPyTdEW9FiE3UbkaTEGaem"/>
        <s v="16YTH2eUZNH3ASDvHqyADyGhjcyxGfGXeo5q8z8DgVSn9xvZ"/>
        <s v="15VRHQD9B2bhzjRxadArYu92uWPrE3GmvFb4NjqUNMqfhgUs"/>
        <s v="14zUPG9wpRdfNGLJqU2xcABBxXStd5d4TP8GHz2CFFZSbD4A"/>
        <s v="1EvYZwJ25wgUzMqJ61AadwTtaHr6BVosPcyK4goohUDqmjY"/>
        <s v="157gLBq5hiLsG1LYZzDw5xTWpgKrEK4bBPnfwwJgK7BCtyZa"/>
        <s v="1NffySg1JFijUrJhbYwox4XjD5qdLmUjaD5pQm2BwsLQcP3"/>
        <m/>
        <s v="16AnoF5NQY3xZ6ovcsTWBhQDxWKB7AcExbj9u3a1juGtmTJ3"/>
        <s v="13kyP9tRzQkShbY2cNUuwrpAfDTCksyHsGzkZ646WiX54xwJ"/>
        <s v="13C9eaMNJPpEqEKRsEJ9P4DKxkb7XWQzeugEfdJkGdVFQPYh"/>
        <s v="1C5wY8SubUnURiDQUbQ5U4V9sL3hzjwiLiveGp1X4idptRq"/>
        <s v="14hBwSVmH7MKfbcGDW6D79zPaFKfRUAn6sAuz9UY8ZDCm4rt"/>
        <s v="14wSnALBUv51KjbnFhb4wBMLcqzh5kAsAM9XXFvLZQAE6NPG"/>
        <s v="13iWJcXHfxLuX1dum8N9LPJY5Uhr5aVEE491hofUVtkgHDaB"/>
        <s v="12EaHwLhfcYrU4vHtiKpp4VgVHtBEMQa1yzUpe1BJi4VD3Kp"/>
        <s v="13p7Fnvg9aYFpumyBF7GRhA1HH1oMZArAc3XX7dQCpX5qMTW"/>
        <s v="11Ft2vZgZGuLyn9pZGSVDzYFkYQq2E23ywzRcJ6t2EdzkMA"/>
        <s v="1ndvErzA6F2gHFXwEqjcPd7qtGnsZDiStpSj4A8LytDJRhf"/>
        <s v="151fSxLtpjaBRLGoo1DQB8n8ERLNR6ZduBnmjyzpypegJQp9"/>
        <s v="1c733KazWsgMkCNSft7DPKYFv3zhs9PTbXksXxND46R9TS6"/>
        <s v="1A3CAKernZo3hGaQYNmfuhK1wLG51VPhV95VH7NrHPVAk8M"/>
        <s v="14PAhG3VayzwH7B38mWP7GqjaMVjzPqGUKA23Xk5hLMuRWeK"/>
        <s v="14EFjQ2iut5WMgYDXNo9pSbMVEczwMuta1SddJ6KhTvGHU7F"/>
        <s v="14j7N612MVBzLDw5rctvExdkF6P73uCoSdkFzdLDFJUYeb9n"/>
        <s v="14H1xWm7LFz8u9FJ2roq9DDymUMyARz5gY736i5TMaSwvKC3"/>
        <s v="15kFaHsh7qgnzBzAgyjDrxB9fhySEXGCRNDG4UK4gAZTD2TN"/>
        <s v="12F6yq8qJAULFKvrkVFTXnXfMhtHK7vf73ZKzugNqec7pTx9"/>
        <s v="15G4hfDNtNhRc82As8Ep2YfvpM5xVdX7De3P9qSdHerGA6wC"/>
        <s v="16HqymHVxdLtK8jtbur7DusQrfLAVEJZfsQijfxVwhQHiTgU"/>
        <s v="13gkjA3996REhFthyyPu596nzDdSbb1RXEEFwWaY2yLYL2Uk"/>
        <s v="15wbv2fXuFoeRcrWK4Q1Y5oM9LfsJyGmMXaUWDoAWXpZzWSp"/>
        <s v="15EAQHGMubtYTvXtQJtM8sVznqTjNHPoms1RYq8g6C5oHBoe"/>
        <s v="12auQ2MnukZEZcjQcKQcygRXerebcUuG5kvy2R95rYaUCcuR"/>
        <s v="1HPKZzzd9nyr2DdvtPxytNMZm3Ld5nh3BBY4Ecgg9JxgL7G"/>
        <s v="12dR4JYh1iPkaJXLSTbqz9iUpm6diRces6wJ6SAjkhmnwixN"/>
        <s v="12nVpyJNX4UyVAx9wYPVA7FaB2MDJnEPSXuNknJyoWvQXD3B"/>
        <s v="13EoVLNYDR7YCEkzX1rGEGEutE1mpCuu7UDmca4BfjRmGCit"/>
        <s v="14gkEwCgG9AbaNPMLBgAh4V9YEdy8LbtS76ER2GVATF3qSr6"/>
        <s v="15KRgf9qoRWodsws7REF1WXpsaJDys1igLf7rEaHWndTDasF"/>
        <s v="13m5rH4tYcuEj6SM2AmDVmgZo4PFQNmm8qohaSAr73jrqWuU"/>
        <s v="14rQsJw6kiCEELTTeJ3yTaHWSFRhivuikAb82qKXJ7igeB6v"/>
        <s v="163DJtcT4jwNgaMuUkBev8u9FLTP9YGZ4Ari6iBYGXs2RviA"/>
        <s v="15ttNeS1nfEUKKw71UADWxKFBPuzuusDyL633iTySG1SHBub"/>
        <s v="12GXLTbzNvXP51scYwZWi1KDdAygsS8TS8Mm8zGdvgV1RpEN"/>
        <s v="16FTioT9KiA7hEzDWz8eePdWhLLDEeJZyqXykiHSusNfY8kx"/>
        <s v="15uvBEdyLUCH4ZEjaQCcWv2afVxLRsdpRaSgMGvdHaDTiPWn"/>
        <s v="15D2JM548bqRuE45aDmeF2WqiKC56WtNnRmCxVSree9YKwVb"/>
        <s v="1BqHUUwZ6kuRhFZTdbhPwSmwxVnGdCVJTsUf1FU2DXWtEwc"/>
        <s v="16akMyoCUJdMiLfSLAendRrm4XFcdG3h4bjvDCWgeSMwD6gT"/>
        <s v="1ZP6xigiPXU7hHoj3ywHF1jQ4cAv4Jpw4Q4wy7aBHem6erj"/>
        <s v="1g7gWHPydxLk71dwAzWF82dPCjrpJRbiTBYcJiNxTY8hZFi"/>
        <s v="1EKRJey3fBmXVZS5CpLkRrEN9HxxYrXKrm7rYTxuTDKKZTz"/>
        <s v="1HrXYRi3stRzgPYNGaGMSxngbNAcPr4MLSVQY9PLCBVwvnw"/>
        <s v="165n5jnbbkjZNyWaGMDaPzFARr3R89wb7eNtaG9erz2HUyey"/>
        <s v="14V4wQA94N6fddsvCxRFLmvgd9ioueJpxgVogyV8FCfCnPsu"/>
        <s v="15Sn8yJMmGEBMwZYLyr9bV49CPg3apGLNpCT1EdbtYgrnKhr"/>
        <s v="15reUHgnkE9QeH9zUoduCVYAbksTmQXvpMd6L95rBhTNFuGw"/>
        <s v="1LXianUEPnzmJiL9Kb4hg56zKyJztqbwh5x8QdUknYuLbQN"/>
        <s v="13B5YyS8u93FKbZYRFGh1BFwYjn5a8zhAJqEXtAWNmY7HzEu"/>
        <s v="1VhpWfsZ9zamjxnJQWJ6SVZRrhzAbyp11udmB9VM1ZVtPzt"/>
        <s v="12okq3NN2F9SfwrY6MGApoUDQnJY9dijkyXPtLzzbdNcV5du"/>
        <s v="14mZzbymFLQputQuxw2ern4BRKQ2igwMjbtrUz6m5BbVRBrc"/>
        <s v="12QHu3wumQWxYWXvZJyYuvLSR7H9tJs3jmgdQvL4jkRdG2pn"/>
        <s v="12wnTQnY3qUTCofi792fTdf9HpQQ6jmyxrVdwyT6X2Jed4Yg"/>
        <s v="13wmvijsjiRRinbf6g3yp6ZcktsqsjAfQfztGPqy8ipNtAEj"/>
        <s v="149BsxLw1jXeDnbh9WHd7Pezxyfnpwo3oYnJWWUEPQhsJkDm"/>
        <s v="13Ec62Cvw9jmPxA23EidSwASPs9X2Vohqv9RCogCfDvXC4c8"/>
        <s v="1Gta7cam3qzcmZkrzwea7ZDgzty1EgP8cCAwWpayw64GtYN"/>
        <s v="15ibGdxo2BMnfHTafuu9MMS9cGt8WneGeWcpwkrG32Zcn8gV"/>
        <s v="13ug3JKbtky4qcZ2SR7kbCrk9tyZMymHxLhPBGLacPmonmEW"/>
        <s v="12ELL9BzwsGGM948o3cBduLgxuBwpC6eUmgExTGnXqSfikqq"/>
        <s v="14BA8G99RW6xxgu4q3Ks5GVQaA5g4wApn4JPeXbLiEU2Pent"/>
        <s v="12WQMLv8itdKJ83R4y3qNGYCRrsU6bFjyd4ZvcE4tmJoSiPv"/>
        <s v="13wTKVf96CDX36uBedQ6yiksz4GUQuqo2gfKoTX5EqY5yoDZ"/>
        <s v="13mhGhH1XusScBGqv6GDy7okBTA28hErQgzdibiM1cUgzNgM"/>
        <s v="1659xQWWCox1Kvems1aSi7sVbECLmyHT4Q5i39pZHMJb8tVc"/>
        <s v="13R6AmmjuipkFoR75m9w57ngGed2p5vqCZjT1K3kjf5D28mU"/>
        <s v="14m6YPTpa64jusibkvvCov4XsxW2ig7Hy3n23GpN9YVTqhUd"/>
        <s v="14zeBBNT5poHFQwQXFYHoUhgLbsHrpscu2QGRiCNSqH1gf73"/>
        <s v="1t67YMM4myXZ745px9a8PNWhU8FMyYJf5uXGowuwSAnp4x8"/>
        <s v="13us6Meuo1u7hi7jers7Mh5LTfNEiFDA5g6qEUNeCc2FPEpy"/>
        <s v="1rv96b4irpdH1dZE767TWzjwWxjH3ctSJRiF6juPVbW5udE"/>
        <s v="16G7wZerqxib8YMDn3FKVfSMp1hky159JdhcGqHzy65F6RXE"/>
        <s v="126uimsLf3xV4BdPWFVntD49ANsN4vJvV8o5SCdRXiUwYS9f"/>
        <s v="1gvSXTysfJ5F9tjMtuACQyp1dxbLDoYNr7HEQNE2N4dfUXH"/>
        <s v="1KYJX482SpWZXLwtmspF3HiK3TQjms1jH67i4PqENfzYsoC"/>
        <s v="12mvRSJUwpf6VfWLmgEJjcQgzzh2bCTSvFDwrykmijdzqS5m"/>
        <s v="157CJLc4aa5zV7gij54DJCHGactsWcxbpnbRhY4p82dCW2KQ"/>
        <s v="14Uypo3euFeeVJYnUpExxSLbPrc57NTTKzbYHUA6Y5CmUKmr"/>
        <s v="1eMGwHEaertoHK4GFvY7X4y3qZzEQ13nTdz8G7SAzXnDH2G"/>
        <s v="13pbJnmDtgzcmjWSkpsazznFzsFNbMvKwsktxqgHtyJqXRhu"/>
        <s v="12CHAK3YxJG5pGW6JAGp6Daj8ruRfPwCNbPM7jU8mC2zh2qD"/>
        <s v="123LuJKS65HaBbLSdDS46ByeC7bvQwA1iUhTpmjigQAfUKpK"/>
        <s v="13H9Z6R1GaWnx7nvX1hgFXPCpzFb76kKEJ3jvy741yJkrz8g"/>
        <s v="12Sv81DXeah1B8edXhy7EFgqc68mj9V6zYYoayjGYxSQuebA"/>
        <s v="13hAqNjMMmvEhk3bEeAB2pHePpc4FfiQQviZefm4G9rvKyfT"/>
        <s v="13rR4nr2HvzqQjDMVSmkYverHBxoMKsSr2WriGxwKxG69FcA"/>
        <s v="14swtaH1B1rNc4aNHGnW1NC9r7rox11cvqXD7LGjuiujVM6"/>
        <s v="1st63Adu7W4cB268CvKHfMwq5rJQkzTitBnWsvGrAx83iiT"/>
        <s v="136t5kE5YfC1n64Y9Ta6eLYSHaSzTthgHSevmyAPjmJ65V1L"/>
        <s v="16iEYsszKAiWj8vu5Qor5XC5DY48gkJeytviFGYuy17Uj8xg"/>
        <s v="15jVYrjFWz1aqkJhuzdBGeF1nKcfnVhUUWxyYxiC4tSezMm9"/>
        <s v="13dLY5aynbYDCy1DxQYQGjd4yy5uSeVtA4pLdR7SrcxZyvT1"/>
        <s v="14RuJvWbTGjC17QnyeXULBVdaRQpYgPcqz6EL5PgNX9jM4KU"/>
        <s v="13msbKcRkxBR4uypvpnNhF5uarJ8Vqkr1ffrn9eko25QRgo1"/>
        <s v="14Z3KThT7jK4LtEwq8yshGWkx18BZy5eaW3mmAZKPePH95Xk"/>
        <s v="16Jbt5zru6XdUx1jYRV8AZtGk76ujtUNdd1UVWVVkVvGZ31L"/>
        <s v="1R9CkkELVZMhVjEMnMoxYAwyEo2riFgBWdt5BLk6BB6rN68"/>
        <s v="1569WNv839m4iubJNkcp8wocAhXvdPsmLwms6fKXehTiQrkt"/>
        <s v="13jNQeBeocjcKobMqBL9FpvSkQr2oQswFJrn2sy4tNNe8E5f"/>
        <s v="16JWPEVHTt1Xeyhw6WaYeXSKkWZCxhBDXX4LM3EwaBH4uSR1"/>
        <s v="14oR2K2srg1jTZFxgJ39RttTpWanAmV27qqvxEL5YUeNZv3x"/>
        <s v="14PiQ7uar36zPMgEckA7qWUahYheavRL6NHCbUCkXXRNrFSc"/>
        <s v="166LkcArPr1fxYkWYFYfCnsB3HA8QY5vPTAzkxJCBDDKTMGv"/>
        <s v="13NevqvUKVA8VbQEksjkrT2W7p8wKDyAdZd4CjpsaiPDu1vT"/>
        <s v="14btqGNtzVpfwW9y5xYrcK7uSfgjGZKxcYAG3fJo6ujHUVS"/>
        <s v="14wDEEnVKZDXVXq2arAmkf1QmnTcwN4fzNJRFoM77YvFxa8T"/>
        <s v="1wzZiegQfdppPw7Ag3vhhXbYuw47uJLJ5G6eXcKc6feTS5x"/>
        <s v="15LpomjmegxcrVwT7zDPvScWtx6FVYoTLxEkSzqwr3po9TCc"/>
        <s v="14YXgiAqian6PWkABXGVhKB43tmbqMwscHLdhHi1qQVBeVQM"/>
        <s v="12soSZUb7UbsC8iLrTy6dUVkKCfNvQxMMSRtvZJkfQL1BPRX"/>
        <s v="121Rs6fKm8nguHnvPfG1Cq3ctFuNAVZGRmghwkJwHpKxKjbx"/>
        <s v="14xeAxD7LSJQmNXn2RQcm6WTJiByv6HKn6T8fTjqX1HeCMwR"/>
        <s v="12QzxRyL6ctkHHX8v92f2YUkgy9MGg6SUPCAwk5xUFsXhT1m"/>
        <s v="14ogWEsaFHYk1rDcRMLVApekUd3np4e1ker81tBF6odd39Q9"/>
        <s v="167dwA1UDmWSBRrFd9dXqXjdk1NRhqVjenT2FbHGDyy44GjS"/>
        <s v="12uRdiaA7utebXJBBgDNCPswvTxzTdHLd8hZDUJWL1rwcvzz"/>
        <s v="14z9caBTF58zah1R7HZbUjMc8Lc5H4tz3sJ5JTaxBYkjWxnU"/>
        <s v="12zgSMDwF5xpzcksvEdDzcSFouFNroXGRffgnhogSk1kR7iS"/>
        <s v="1249Qsh72ZcXFjLEDKAp879SfmFpzQMqb1qQKcfkdZgqbt3a"/>
        <s v="16S4PEmaYJkP6M8LHqWc7gSg5YVXNPbiGZbsicrgDkmdyf2w"/>
        <s v="15JNnCt8g2ZmHHs1UMNxx6YUUMf6zvK6DwtN8ds4Lu1NWWER"/>
        <s v="13tGJdtNavQZEovGV2ovNtq5ckfyCLS4RiPVwaVfvXq2Jub3"/>
        <s v="16jLz2P4i3zorb3tTxk2HR6LKMCkRbo11DfVgjckzjHkPeui"/>
        <s v="12QRC12udxzxSyFj9Sqs8tE6fzYtuWEjzuRN93CZk85GaSxr"/>
        <s v="13nvTTfbnrxtHsKNqyXK4aWbwmSa4iGYq3UbrEwirZaG4Tmp"/>
        <s v="133VgJJgp1s9wxLqgCFxYx6T873hZQNchJM9tmbU6NkYaaqW"/>
        <s v="1FgdNoPRwo8oUsGVxWyivf3eyAvCF1NsBecZhbYU1Kb5HGx"/>
        <s v="125hDLmQApLutC9S1VQSnvFxk52iMCgyBfQtvk3hA57kzCPc"/>
        <s v="15nKYvAm8Yu9QVK65JWrhfyabhHkWywg21X9gX4GFJo3v4cT"/>
        <s v="12upgS3u7rhcWSFCXuv2GFzvXvW6Qf2YKajZUnMBxz3LPjEi"/>
        <s v="15PvcMShyUasPpKKTpgJckBbcdDNz1k52NWGfahVXP5ZSSh1"/>
        <s v="12itHPhSz9YKzydpCBPSxewfAJYZuReRPTP5qSuD5LPSeA41"/>
        <s v="16maYYXg9chsfsBVoiSbSWzmFveamERwShPZv3SB5hVnYTmT"/>
        <s v="1392eetyWwshYo5xQddbZEV1dNuEeaNXEHAdHDUfEokceUMa"/>
        <s v="1ABthvYadBjA3vVKZ5caTPvc8qb8WMSng79mf7kxQnzfAij"/>
        <s v="1sV9qRYJ9oGgJ9L6NfmpF2XBnV2doAVZ2vKdWTfNMZyghWn"/>
        <s v="1316cTZeHz8HtEjaJRHu8sHbp9brtUmy2LiP74KZXgXhifry"/>
        <s v="16WWmr2Xqgy5fna35GsNHXMU7vDBM12gzHCFGibQjSmKpAN"/>
        <s v="16X3CtQVwBvHGJCquvLw1ayG5SWk4qKUHudBDpQVGXBdvqdg"/>
        <s v="15MV2nX6BEoiBz8Ua2xNta19sVBKT7kiw2MEHdu2Jd9a4VaC"/>
        <s v="13xAUHVDyG1v9LLHYtMm7XZFyKNVxoj47oWV431XQ9kjXN38"/>
        <s v="13TUNfEBCi6xw5ZQgxYAwbCsALSuDfqDWMfbHigZNgncuV6v"/>
        <s v="167xwLzY4z3uNBMQSdDJmPnLgPKBY1SRsvQXbyaeHcnwd4um"/>
        <s v="14fbxKv81FF9wxyidiD4jrYokbF428KJBrB5DsgipQp6Yrmm"/>
        <s v="12owmS8Sobqxfx6KK9vk9e67FqnGpZdmxCFCRFptzZdsoujC"/>
        <s v="13Jpq4n3PXXaSAbJTMmFD78mXAzs8PzgUUQd5ve8saw7HQS5"/>
        <s v="14icei1ZMoG9QtKBFDk4y1eMR756q2TREuRAi2BanJ9MJVPL"/>
        <s v="15PUkSRWuefDSLbEYp39MJ1zxShrratU4SXaLZanL8Zkren3"/>
        <s v="16RgupyxyQJU7UDHX1FF5cjaSjceJ4iVK1nzePMzbsx1nxM4"/>
        <s v="15wepZh1jWNqxBjsgErm8HmYiE21n79c5krQJeTsYAjHddeM"/>
        <s v="1gkGXWr2wr1CqYCKqGHRRsBhL9iCmTy7ubwVgeys4m4tJwQ"/>
        <s v="14wQoaBqk718MgNxp3qdpqHnEgmTTmTkcVnYuxMWWvYr3DXb"/>
        <s v="14xSXydBVvuMMaNduDXwWcckt3BziSB8Sa7o34Jt9z2aMGxX"/>
        <s v="1xtra1x2rXfWUxvFqscvUfjuDSx8AdEGhzADsYayZyicWsS"/>
        <s v="13ianMHbMJ3J1A7Ft769X2zXgppQzheRMRUFG7AQ77soJVk1"/>
        <s v="14T3MFxNa4d7pyjRAdKU6tLC8sfde1HBLGNMHKCMFqjWRrrM"/>
        <s v="12Qn3skJCjfbfeU6PCeAA9oV2NFe1xWMoHcEe9LVvFBHA2ei"/>
        <s v="14EQvBy9h8xGbh2R3ustnkfkF514E7wpmHtg27gDaTLM2str"/>
        <s v="112FKz5UNxjXqe3Wowe73a8FHnR5B4R9qi2pbMaXJczGNJsx"/>
        <s v="12bprALAt9PYJ5gqcLpLfevnGH1Lfwnkk5CyZYaWqatGJ37i"/>
        <s v="1emX4nsNHZwbbCej7UMC8gKNpXoy1K3ABwRmnVJLg5Z2PU6"/>
        <s v="19C7X2ayEGaHbRb7obTd7u2crJhYm6W47XpyLC2jQBGdpif"/>
        <s v="15g8f9DZoEjJnneMUREZ1JgGgtmqEmhxAGCJ4JtZNjT8SiZ2"/>
        <s v="15ofDV8nx95Mrfq9rgLfe48GAf8Xcu12WG7cG5HTHFm7AR14"/>
        <s v="15DCme2GJxLz5yBeD3tkz5JFVtRyrBT7pham9aMGGT62yh3c"/>
        <s v="16chRF6zGohwhrCvotxt3sB1sLz3pgewC5th123mLoThhQAo"/>
        <s v="15rox1e8G2SWg6EpyfiGVoH8q63shGXpXSmp7Sz8LYsUTfuN"/>
        <s v="13DxmMjYqto1AWsMUSkN8JYNHX6d2vBhuSmapB5iYnEiYaxX"/>
        <s v="15WPvoetNGCk6EyQbCodKAZFqrs2Q4Dk9d3k3Lk2F9nsiYUK"/>
        <s v="14oK8ctVWT9D1xdaN3hcHz5RBMDFfzQ6vXBpNaZj8v83TnWA"/>
        <s v="14zU4FXuYU2wmi2PfXLADZW92NRYEw8nfUEvi7sqiJLafJ3A"/>
        <s v="158sHoKeq7ZesHMLcp2MkxFQpd7caEW6Rcy1md3AK1fuX8ak"/>
        <s v="123xYo8RqXR6mmCE7pxUh2YG5RnkJi4uj6C3vn4MpDvoyJQT"/>
        <s v="13u3eUBZyVL1yvFjXXhDizT9wtsyFMPuvgqXXExLJvDnZSP4"/>
        <s v="12kSJsUGe6eMLqnibadLBJProwwNJBhfC3grB4yoGgkzff2U"/>
        <s v="19bsWyxxQs5o2bpAABJD3cRtkRUBqUHZJiyq2zv31jQFRzG"/>
        <s v="13g68Lsiu9PvD3Ro8HrM2rmhUPE38rCf4QhyA1FqiYhiEtgB"/>
        <s v="13B5zGLfXBhRpiQ1xcnsNeqbHHcRRRpBCL41xCJxdYmYoHdW"/>
        <s v="13jTmeDrv75yy8DVrmTQ5fFs4Dqdo3STF8uRG2DVqAJMgYxe"/>
        <s v="12pUXtKj7jD3yaxnK6TWKBsxS1JpLUceBKZKMPMH6RiZvjr4"/>
        <s v="1t3rUtnBQYeEWjwyivvVgTAdnt3Ndm7rPoMtsXxqbN9zery"/>
        <s v="15tUgqVfVJTMTXGUSGXtV7GwbSDXm73Mga5SnEanbTqELqCi"/>
        <s v="15UQ1nhCRRJoWf1C4LBraqCVXS91qPiWLiWQfnS3k8Dk4R79"/>
        <s v="14x5RbyJxD6KvNyncbJQuJJJ3zHinXg57YKwhJ7q9T9aJq4n"/>
        <s v="1NFfEH3yspdEgLnhZ5QWgb7B2z5LNCAE3HUo5nDxF5MqTcj"/>
        <s v="15AVkixLRA3U7DJbLkmWSzAT4HTbpVeTBqPmsYZThmp2ykBL"/>
        <s v="14jHouxT1VbhBDw93VW8Z89p139Qgu7ECHz3zxM2CpQEDJDB"/>
        <s v="13cLXqkmiEn983QXBoF4Z8KAxyB2ryinm2p43r3qzWrVYwrv"/>
        <s v="16DNbAdyy6QsTPdDDHL5gt7FaeAQ1UioJA6Pj7aUGJERveFd"/>
        <s v="12aTyHELXwh9jD18FdvsPoNXJsf5cg49Ne7sD2BX6QvuP3GE"/>
        <s v="15ho9b7DHy1gBxrHCEdi3h38rsJ3A6cSyFzWY1q7JoptW1Jn"/>
        <s v="15akZwzufEzFzfh18y4Q81Ci8TXyvH6hyUkRrxJED2MjEYhe"/>
        <s v="13RBN6UF43sxkxUrd2H4QSJccvLNGr6HY4v3mN2WtW59WaNk"/>
        <s v="1eAL59EPokQFG4putYKwBjygGu3ewoHtyK3BSrgCMhM9ijf"/>
        <s v="16LjHWJ51bki8X654uCW65ZV7kiAMBDXkay3fWuhxnKLZX99"/>
        <s v="17Mhc2sYRBswwpYiTQp2u1C1DoLQtCs9eDdrAqM1DAHvwee"/>
        <s v="1fN87Fgj5BUhezFgbLiGbXTMrBVggnmYBX9anzMBky8KaJ5"/>
        <s v="16ce9zrmiuAtdi9qv1tuiQ1RC1xR6y6NgnBcRtMoQeAobqpZ"/>
        <s v="14MVAs6jPc7bPW33fC7eTwz4Zf1pD3KWW4tQtrHWUd9w1Phx"/>
        <s v="15qz4ZLeyXp1i4Jbx7AXiUQVCCLWVXu3dLjcTPHY3v9KGAvL"/>
        <s v="1MrurrNb4VTrRJUXT6fGxHFdmwwscqHZUFkMistMsP8k5Nk"/>
        <s v="12mRyiCp9zdh1wEVW5gLLiFBxDPKks72rRXmSupyEK3VAMLf"/>
        <s v="16He6v8w7FYToooNkPudf7YtaEiceLfaXJ3hJwJRGcSPGTgo"/>
        <s v="13jMGskc98pqSG4xf7KLNRzyjtr26jUxbJnQerrqD4dKyvsh"/>
        <s v="14WBgUYr1scUwR5rvx7DwgMUhHtdtRyHMkurkU4AZ7wRgFxC"/>
        <s v="1Z6t6PFDNHdjGgfud2YDyE1eyxxbP7EvwYfy3QpHTcEmLp5"/>
        <s v="1srcFWVcPn2oXEKuddMMTGCLQMDdRqxKKo9qpFTi8PA7NW1"/>
        <s v="1gatoakSkH4be8KD9Ekj5xCXMdAiGxieg2NfTg41s2UME5J"/>
        <s v="13uwV8CBHjv25W3GACLPzzvTu2v9USc2yCQdhrqPhyM3vx6w"/>
        <s v="1eeBEsvYXfjHzwTPYojFnf7XxmJkcTrdTzGfd6zm9fThpC5"/>
        <s v="15V3YDhibKoqFgQwZtyGNMDPyNtf8XUH2GU7BgRUqCQ1V9ku"/>
        <s v="157HbMDJzgicoMvkTGfUQaw1XhknX8iyMU6iqwkZG7eutNJQ"/>
        <s v="13WVhKkqxEzCGqzn7yAT595oDeyRCHEDdW2rUUva5UYaKe3C"/>
        <s v="14wyzJLVcCvjXcBnB4DTYvtbobmri5fjAQQKwaRA3JeCxLos"/>
        <s v="138jUztFkrSSYHpBs1EoNNjVLG7hYr7UZYAy4NRQGPhbb6VY"/>
        <s v="14gL78nk3rVZamwGg33VuEa1koYC3rcoymFcPGXKbJ7JKyHZ"/>
        <s v="1n4GEdMsCriWRc4PqcQ2DFTRuufRk7J6kRrPZ9Ym4eRCWqM"/>
        <s v="12e7u2ZtFo9Fxp3ZQhTqJHV619AyntdXwghKzkyWk4XFU4Sj"/>
        <s v="1TtCbdG7LjYwry8bYK6zV3xq2XAnXod4jf2htxH2NE1Wf2Q"/>
        <s v="16Lcg6kZiDywR3YEHDdi6nHQhGnCYTiE2gxQ92DDQq2SZ1PQ"/>
        <s v="14Gn7SEmCgMX7Ukuppnw5TRjA7pao2HFpuJo39frB42tYLEh"/>
        <s v="12sMWVvgGNnRrhor2aUskxNq42EiTs4b2AMoCs5RrkVtNs2e"/>
        <s v="15XF37GkxgRJakURR4jycdrJnqWQctT5yUPzqLn81TZmwBDF"/>
        <s v="16dApD2ox2qV2mA3u2xiR72kyAGE7MLbDxepZUFkcSJz3Gmw"/>
        <s v="15FsX8EdUftorgXBjtgbdD1NesqVPwfJPL79V5JDvk2CCc9x"/>
        <s v="145pagyyifxGeH1VjbrHf1cPsKasjNNLeAKrFynEfijJAu73"/>
        <s v="13UVJyLnbVp9RBZYFwFGyDvVd1y27Tt8tkntv6Q7JVPhFsTB"/>
        <s v="15V2eerTdn7GwAudPkLiWWq7PJdZinx7Lx7qSq9nTNTBHi2j"/>
        <s v="16fZxnwnnzArZ7SRhSWUcEhGCFk2XDUxD54VqtaKRmr6FhNR"/>
        <s v="12jNpcKMqYbiDhucsr6TDrto3MdRtrBLbuDvTh3FprZeVbpb"/>
        <s v="15AZxmt271W7YBo41JrxCYJHqdXhyrXsHhm5paFkd5GpreGP"/>
        <s v="13JsTxizvEUEeewFagowtFQaWpHbADWCoSkTGAY7QTSkvtWF"/>
        <s v="1yCg8NSCgjS4K5KDK5DZGhxUCxmgVyhyG6vBPn5wqUmLuYo"/>
        <s v="12xRcHjvStkUYgzTh9vyqinN3tUpddgcPnSUcLXZ3ty44Mq1"/>
        <s v="13343zPsd3yZhwpAphFysoVQA3De2vDMELVMxbgExpHB5UCg"/>
        <s v="14aGNTNA9RMbuy73V8LJRCNszmBtiiKEmYZjdXp4GFNo1fpt"/>
        <s v="16DFsCgUtntqaz6wiYEMwcco3RBCwo4Dz7doLTTeeudxZWhE"/>
        <s v="1qr2Xp6Yp94NRvTm4HbVDVZSRBFUnDkVxUjCvRfCyA2JYhh"/>
        <s v="1WgB9o954mkQi97f36azSwDt7SfRUQuJ1kCyb7Sv1WAUcSe"/>
        <s v="12aj1nedSqMsVhAH5LyYJtjKPNrFWYoEh4FeGmWW2aS4DQQh"/>
        <s v="14DjaZJk7hXERyrvdoguLiuXeoagHPJFqiRiHNfeTNRohHVx"/>
        <s v="1vfmouKGWQEJSpUWRqYrYLZ865ps6M7TDSu5kgfSV6tPxLf"/>
        <s v="1qAsfc59XsRLiy3DZfc4buS4umW6Q4xaJcWALj1eguZTi75"/>
        <s v="13gzrNGhMUZpVsuH3rBTt9g3CJrs7iRVHagKicb3GD6RbppB"/>
        <s v="14dfHJDm27ep5eAtgXqr1wjUYnK3p5LhgzLcYVX3tHRFsVo9"/>
        <s v="16Hw2qwttttQ8tMCPLwnX3wegtsaTYD9gGakKbAHDb9PW3g5"/>
        <s v="12EhX2KXrzWqTtU5pENPyFrFrZfUgj7DouvTMU4FQ9Tfe6m3"/>
        <s v="12P1AJysFNNjDtTuXndBydMkcHZRjJxbw6zz1AgLhvA3JySd"/>
        <s v="12WSnw6ocUpUFLGVvJwXoXRK9Gk7AC8AZ7cXkRakUgAjzLyx"/>
        <s v="12cnYWf4NvJVmuPFM8kQzc9CAM8Qtey1PvvxGDFd5aJ799XN"/>
        <s v="12mDFyhRGnP9LsL56GjP65QxFNgCUxFuNZQQG4DSxtR3Tgm7"/>
        <s v="12oRVrKXBq1S4T1onxBEzqdpR5V1Uf8yE31dbuDZfQ8sGLWo"/>
        <s v="12rgvnVZa3ci6hD9xMSn2qQZV6xkdc4Fb2ja2MPVQEodH3Cz"/>
        <s v="14R3uMgjsv4sZ6B5mp1HTL2it1EmJbBST7P7DjSiqwrYbnmr"/>
        <s v="14ay13nhw4QcqrHqWM75gXhVaZTZ5Qe7GUXiv8iueBzeHAwP"/>
        <s v="14zKb5ZByuhLHEiwQFSDHmXovf3mUi8aeC5dHLZFqUo5rpef"/>
        <s v="13eEKEbD3hvRJy1THBopwV3MrLjyGyND1gSb8H5UuXxDYTRV"/>
        <s v="13GtCixw3EZARj52CVbKLrsAzyc7dmmYhDV6quS5yeVCfnh1"/>
        <s v="1U9NbBVpku7VYWtGE5CFTyyaTVTNBrfyXDNETK89uGDD6wm"/>
        <s v="15Fyr14f5Eq9xxioo2JoNw53eZnCJNZBrob8ZYuXz4DTTouP"/>
        <s v="1333zsMafds2sKAr8nG3zwXTCHPYv2Nm6CRgakpu6YVGt7nM"/>
        <s v="1EHRUR7YL8aeqeCT4LGFq9qrTpEiH1dCikh3n2j1CSbL2c8"/>
        <s v="123kFHVth2udmM79sn3RPQ81HukrQWCxA1vmTWkGHSvkR4k1"/>
        <s v="15iA5hpjUecWBbf38Nfegwmtyux25o3LrGaNodfZDxq5nXXE"/>
        <s v="1y6CPLgccsysCEii3M7jQF834GZsz9A3HMcZz3w7RjGPpBL"/>
        <s v="14d2kv44xf9nFnYdms32dYPKQsr5C9urbDzTz7iwU8iHb9az"/>
        <s v="15XG22uwqzdqWuBV91zBEfdgZ9UK9eCff4sTBHH6hTvLQKAi"/>
        <s v="1ArdZJtNUrZsfidfn1t69xHaSWwzf6PQNdLEUpcnVmbkZc5"/>
        <s v="14AakQ4jAmr2ytcrhfmaiHMpj5F9cR6wK1jRrdfC3N1oTbUz"/>
        <s v="15vvAhHcmop8PjP5QNr3mXzX1oesv6vjun25iSgMe9YpDezv"/>
        <s v="13pgVrB53DyS7wLeGWkDYUSBYBTageJDjEqXLqxsqJBismsV"/>
        <s v="15pAHxckdkyCXJEXZkRtWxw1gbwjATkFejxKDC4q9FUKUTFH"/>
        <s v="12wWLUd5qMzLFGqBsMnHLVFeTuYJwuo5ygMAxuSywrBX1XSF"/>
        <s v="15qbzYZARgiEdynn1SKH1TjAvx2UBeau52a2eJnFtwH4BhZ5"/>
        <s v="1HomBzZwkpQjhm3e9hQJ2AVFPmV4Ppon9ycCo91bh88xmGn"/>
        <s v="14aoY4nfAmAGLC7xT89MBDV4g1QXFmDzf5YPSjRk73K8Ryja"/>
        <s v="16YtzHdanucXK9Apz7wxrNGd6zBorJN6q8aqE6QX9Q4FiRoR"/>
        <s v="1uWMc2CoXHnrftM3pr9aodftcbG1RZxiCmCqbK9ohYT8Pig"/>
        <s v="157syWyZt7yPWbSPpjmVhzeYHA8pc3kk8eV1qUnHrAXeWJCU"/>
        <s v="16XYgDGN6MxvdmjhRsHLT1oqQVDwGdEPVQqC42pRXiZrE8su"/>
        <s v="167JHHcevLh8iTwKR1utwtbmAjH64xzwjtPUwn8BNjphjR9W"/>
        <s v="15V2Rfi6METM3FJpZJH5QVM3WYHEmNLcQ52FcMPYTtdTipA4"/>
        <s v="12uoF3PZxDBURLVqj5DAJiyUADiqdCYwhq27wAmr2ML1L7fG"/>
        <s v="12TnSoNV8wttzHx4bU4yxTm1nVuSHjTssZwMWs7XnPXnRiWV"/>
        <s v="1HGnvAkk9nbfZ58CzUJhjcrLdEDMkr5qNkqqYkyD5BF5v6Y"/>
        <s v="149AQApEw4Xe1DxWesqywiuGQHazbETMgWgT89WjEYFAc29y"/>
        <s v="15tVttSuyw3hYSUneii7piiQwQakWH2rKSPTnqFNbrQhfj3p"/>
        <s v="1CaXBXVGNbey352w7ydA1A2yDyNQLshycom8Zyj69v5eRNK"/>
        <s v="13fkHsX9da7am7W6ESQWX8wePShuvgx14cehTWWytq3iY6V8"/>
        <s v="16kmbXhTGCwkXzdQMsE5AMJHddqLfRynJJL4ycFZg91zE7H1"/>
        <s v="14rGQwhimTEkAAmgZtRSyYqQZW2ntNqpUCNHXdBTc97g7P6c"/>
        <s v="153AFAbg5z9DkvdAkPnRi5wGDmkHMr7ckwd986DcZxf2zKcF"/>
        <s v="1xYxQ1tomtMuBc2KHhRv8p8auU2dcBnP41E1e8Pgn1MRiqZ"/>
        <s v="15rqj6yN29bxzbjFWxYGNB1TaRdqrESkg7SZNDDHTcSsjNXq"/>
        <s v="13md2Kef1dbqQS43yHtoCxJzsFfxH1LNb5LVKdCVfP5z7pFw"/>
        <s v="14SqfnmZGzve61FJJGbdHozW17gaR1F9bGQTScwxPSLvUqvs"/>
        <s v="1BwTXhCMc2yCAkdTRbfQEHGZt6t6wxN2t2HvgSupRhVoHKn"/>
        <s v="166hUw1E57AqJh1vGDLoHY5YZXzNx9cvwWdbx6Gid1KzWD5c"/>
        <s v="14Xh9F14w9GPwprsytsXd9nCpf9VvjAUTg5Mj7zN2SU8RBDj"/>
        <s v="1635AMQRRAV78EyHi4SkNhXS6HySDgRH1ds3TbYyr5Z9GWUE"/>
        <s v="14N5cTFuzJf6irrQkKNAjiADKsCxgk48LUKx2fA77YRruzMW"/>
        <s v="1pt1pYm54Cha2th5r2fw98NcGFjYGANnptxL7HwgEoH3cRL"/>
        <s v="15pmMM8VbJC6oDNMhxZeoDEaatY6m2mimfpnSfUDtLZdABYS"/>
        <s v="14RYaXRSqb9rPqMaAVp1UZW2czQ6dMNGMbvukwfifi6m8ZgZ"/>
        <s v="16GVsVkX9gymWZWLzYHWZYxxVQeCwpoCecjTHJRyC4oXptiU"/>
        <s v="14F4qjQBhqm8bVNAMPWasS73B8Yo4WJSagAiHEWzTs81aeha"/>
        <s v="13A37FXVRmvdN8GK8VN1W2V6qNGo5j845ThE7vrFXhsWPdpA"/>
        <s v="16i7JAEaHLi7KjSzHvrnkiCYqtcb7H3FZ8KAqR52L8pEizAn"/>
        <s v="131cQySF87ceHM9F7JZb6rRfaGzGvX42oJKty6deyCKc5TRh"/>
        <s v="14ENpc9HgiLs6od51BbhyKP19maNSitJAnvXWuZd6F1WThkE"/>
        <s v="14twpJZFqKirZX7G22zXjA1mnariYrTPWvcFu6vysAvefzcC"/>
        <s v="13YJxVJHGRyo4sJgamfDkjWRmfQd3MfDdYg5hSDrzzh2dNG3"/>
        <s v="16G93XTYowWsw1KCqqyQU36m2Uq6B6gcg1ehvFU6R6KxfDoX"/>
        <s v="14Hkd7k7bHCkopUtRb8GWDUdF6dzd6GgpVRGmJqW1mktcnef"/>
        <s v="16LkUhjeG5WD74mYbP2V9Jx7KvJ6ENuqYFc9dxx9xyFtDkFV"/>
        <s v="14tBR5nFHUgSCRsT3d7whxGakKG3oLMqGoMNCpjeuozgDeny"/>
        <s v="16JK7LdoTGVoQy42YUiQcKjn1jz5WgUWjTENpGdFhg3PGX9X"/>
        <s v="14sD2iYm1HsFPoHaT2GJNUMD2KJzvJNfVe9PBrG1KGyDBeHn"/>
        <s v="12sEC4VQWtEK52pMTNehM3KnpRQrcgW8VyQxqhBpcNdwZc3R"/>
        <s v="15a5Q7ERVMYBAewqH7aNY2sEnsv4WU9mxD9y8rP7EezYCdQQ"/>
        <s v="13eB7Q6RLv57Wn7bwE65ur2pyq75nYw2PvWVXt6SuBV5cBGR"/>
        <s v="133wRJGJKGN1Gokf14vQmA9umyDEbKNJ9LLgqeA4fK7TvrVm"/>
        <s v="15MeGvBQqGFgTirWiPK27bdsWdPYnS2QY6VyfQo8TSKiFxGT"/>
        <s v="136Fm42HZTxUAQD1zDxXuzeF8JgijeDfTSkFBWJKxzVAgQ8K"/>
        <s v="1hY7cHJSNEjbvLGpDw4XsKX5JwuYcTt6r21r36KiHZ5TZuw"/>
        <s v="158YHkPHMCGesUdgLGVEcqHfwzxTxNbL3dKYUoty5xqScrKt"/>
        <s v="12uG79Fn8fucRG7BShV28VEBBcQ6d1CqnX3FWCvc66qURzGt"/>
        <s v="16SpacegeUTft9v3ts27CEC3tJaxgvE4uZeCctThFH3Vb24p"/>
        <s v="13pYWKctR5s8vQuyZt3pxQXue4SRH9coyAS9S9z5HtogAnhs"/>
        <s v="15tKco3E2zXYrtw2DgRThZpX541EdRhhNfGKzvSeHFr3QH2N"/>
        <s v="1411DNB4MtSePxsnaQ8qsnTNnp4JYvaMzc5TCegkwnydpG6N"/>
        <s v="13dqoLfnth7wfBDfGRZhb6kS17zxgE9tnASUGP5z2aSYfAUt"/>
        <s v="14tQWzBYLm43JL4E9v9LYHjDRLD8XLWZYbe36qLRGi2CtGxr"/>
        <s v="14D7M2M3YTXXx1Evcz5eDhNmFLR5nH23TjQbjRtTGHENF4jP"/>
        <s v="15FvxWCgCfZVvXzL6WbkfntzNVftTkF1BbZCUS1sf7u4hG2B"/>
        <s v="13TXF3zfUvUa3ZKz5mQi5L4t8qXCZHbe5Y1uNmUR2UqdyoqR"/>
        <s v="14XNJmoUzkvmh9cYoqG4axBRR4BWzWRbnFP79oiZgKu7V9bz"/>
        <s v="15rThjK57fPzMAYYZztnZCG35eBTSsbz7YKF9UtLkLcEQHm3"/>
      </sharedItems>
    </cacheField>
    <cacheField name="proposal_time" numFmtId="172">
      <sharedItems containsSemiMixedTypes="0" containsDate="1" containsString="0">
        <d v="2022-05-03T00:00:00Z"/>
        <d v="2022-05-04T00:00:00Z"/>
        <d v="2022-05-11T00:00:00Z"/>
        <d v="2022-05-14T00:00:00Z"/>
        <d v="2022-05-22T00:00:00Z"/>
        <d v="2022-05-31T00:00:00Z"/>
        <d v="2022-06-02T00:00:00Z"/>
        <d v="2022-06-20T00:00:00Z"/>
        <d v="2022-07-02T00:00:00Z"/>
        <d v="2022-07-03T00:00:00Z"/>
        <d v="2022-07-07T00:00:00Z"/>
        <d v="2022-07-31T00:00:00Z"/>
        <d v="2022-08-06T00:00:00Z"/>
        <d v="2022-08-14T00:00:00Z"/>
        <d v="2022-08-28T00:00:00Z"/>
        <d v="2022-08-31T00:00:00Z"/>
        <d v="2022-09-03T00:00:00Z"/>
        <d v="2022-09-13T00:00:00Z"/>
        <d v="2022-09-19T00:00:00Z"/>
        <d v="2022-09-25T00:00:00Z"/>
        <d v="2022-09-26T00:00:00Z"/>
        <d v="2022-10-02T00:00:00Z"/>
        <d v="2022-10-12T00:00:00Z"/>
        <d v="2022-10-19T00:00:00Z"/>
        <d v="2022-11-01T00:00:00Z"/>
        <d v="2022-11-02T00:00:00Z"/>
        <d v="2022-11-05T00:00:00Z"/>
        <d v="2022-11-07T00:00:00Z"/>
        <d v="2022-11-09T00:00:00Z"/>
        <d v="2022-11-14T00:00:00Z"/>
        <d v="2022-11-20T00:00:00Z"/>
        <d v="2022-11-21T00:00:00Z"/>
        <d v="2022-11-23T00:00:00Z"/>
        <d v="2022-11-30T00:00:00Z"/>
        <d v="2022-12-01T00:00:00Z"/>
        <d v="2022-12-04T00:00:00Z"/>
        <d v="2022-12-05T00:00:00Z"/>
        <d v="2022-12-06T00:00:00Z"/>
        <d v="2022-12-08T00:00:00Z"/>
        <d v="2022-12-18T00:00:00Z"/>
        <d v="2022-12-20T00:00:00Z"/>
        <d v="2022-12-29T00:00:00Z"/>
        <d v="2022-12-31T00:00:00Z"/>
        <d v="2023-01-09T00:00:00Z"/>
        <d v="2023-01-15T00:00:00Z"/>
        <d v="2023-01-22T00:00:00Z"/>
        <d v="2023-01-23T00:00:00Z"/>
        <d v="2023-01-28T00:00:00Z"/>
        <d v="2023-02-01T00:00:00Z"/>
        <d v="2023-02-05T00:00:00Z"/>
        <d v="2023-02-13T00:00:00Z"/>
        <d v="2023-02-20T00:00:00Z"/>
        <d v="2023-02-22T00:00:00Z"/>
        <d v="2023-03-06T00:00:00Z"/>
        <d v="2023-03-07T00:00:00Z"/>
        <d v="2023-03-08T00:00:00Z"/>
        <d v="2023-03-09T00:00:00Z"/>
        <d v="2023-03-12T00:00:00Z"/>
        <d v="2023-03-25T00:00:00Z"/>
        <d v="2023-03-29T00:00:00Z"/>
        <d v="2023-04-01T00:00:00Z"/>
        <d v="2023-04-02T00:00:00Z"/>
        <d v="2023-04-03T00:00:00Z"/>
        <d v="2023-04-04T00:00:00Z"/>
        <d v="2023-04-06T00:00:00Z"/>
        <d v="2023-04-12T00:00:00Z"/>
        <d v="2023-04-14T00:00:00Z"/>
        <d v="2023-04-16T00:00:00Z"/>
        <d v="2023-04-25T00:00:00Z"/>
        <d v="2023-05-02T00:00:00Z"/>
        <d v="2023-05-03T00:00:00Z"/>
        <d v="2023-05-04T00:00:00Z"/>
        <d v="2023-05-08T00:00:00Z"/>
        <d v="2023-05-15T00:00:00Z"/>
        <d v="2023-05-22T00:00:00Z"/>
        <d v="2023-05-24T00:00:00Z"/>
        <d v="2023-05-30T00:00:00Z"/>
        <d v="2023-05-31T00:00:00Z"/>
        <d v="2023-06-01T00:00:00Z"/>
        <d v="2023-06-06T00:00:00Z"/>
        <d v="2023-06-10T00:00:00Z"/>
        <d v="2023-06-11T00:00:00Z"/>
        <d v="2023-06-12T00:00:00Z"/>
        <d v="2023-06-14T00:00:00Z"/>
        <d v="2023-06-21T00:00:00Z"/>
        <d v="2023-06-25T00:00:00Z"/>
        <d v="2023-07-01T00:00:00Z"/>
        <d v="2023-07-02T00:00:00Z"/>
        <d v="2023-07-05T00:00:00Z"/>
        <d v="2023-07-16T00:00:00Z"/>
        <d v="2023-07-25T00:00:00Z"/>
        <d v="2023-07-29T00:00:00Z"/>
        <d v="2023-08-01T00:00:00Z"/>
        <d v="2023-08-02T00:00:00Z"/>
        <d v="2023-08-05T00:00:00Z"/>
        <d v="2023-08-26T00:00:00Z"/>
        <d v="2023-08-28T00:00:00Z"/>
        <d v="2023-08-29T00:00:00Z"/>
        <d v="2023-08-30T00:00:00Z"/>
        <d v="2023-09-12T00:00:00Z"/>
        <d v="2023-09-13T00:00:00Z"/>
        <d v="2023-09-14T00:00:00Z"/>
        <d v="2023-09-17T00:00:00Z"/>
        <d v="2023-09-26T00:00:00Z"/>
        <d v="2023-09-29T00:00:00Z"/>
        <d v="2023-09-30T00:00:00Z"/>
        <d v="2023-10-01T00:00:00Z"/>
        <d v="2023-10-07T00:00:00Z"/>
        <d v="2023-10-08T00:00:00Z"/>
        <d v="2023-10-09T00:00:00Z"/>
        <d v="2023-10-11T00:00:00Z"/>
        <d v="2023-10-14T00:00:00Z"/>
        <d v="2023-10-15T00:00:00Z"/>
        <d v="2023-10-23T00:00:00Z"/>
        <d v="2023-10-24T00:00:00Z"/>
        <d v="2023-10-30T00:00:00Z"/>
        <d v="2023-10-31T00:00:00Z"/>
        <d v="2023-11-01T00:00:00Z"/>
        <d v="2023-11-02T00:00:00Z"/>
        <d v="2023-11-03T00:00:00Z"/>
        <d v="2023-11-12T00:00:00Z"/>
        <d v="2023-11-18T00:00:00Z"/>
        <d v="2023-11-25T00:00:00Z"/>
        <d v="2023-11-29T00:00:00Z"/>
        <d v="2023-12-02T00:00:00Z"/>
        <d v="2023-12-05T00:00:00Z"/>
        <d v="2023-12-17T00:00:00Z"/>
        <d v="2023-12-19T00:00:00Z"/>
        <d v="2023-12-24T00:00:00Z"/>
        <d v="2023-12-25T00:00:00Z"/>
        <d v="2023-12-31T00:00:00Z"/>
        <d v="2024-01-01T00:00:00Z"/>
        <d v="2024-01-02T00:00:00Z"/>
        <d v="2024-01-04T00:00:00Z"/>
        <d v="2024-01-08T00:00:00Z"/>
        <d v="2024-01-09T00:00:00Z"/>
        <d v="2024-01-15T00:00:00Z"/>
        <d v="2024-01-19T00:00:00Z"/>
        <d v="2024-01-20T00:00:00Z"/>
        <d v="2024-01-24T00:00:00Z"/>
        <d v="2024-01-25T00:00:00Z"/>
        <d v="2024-01-28T00:00:00Z"/>
        <d v="2024-01-31T00:00:00Z"/>
        <d v="2024-02-01T00:00:00Z"/>
        <d v="2024-02-02T00:00:00Z"/>
        <d v="2024-02-04T00:00:00Z"/>
        <d v="2024-02-05T00:00:00Z"/>
        <d v="2024-02-06T00:00:00Z"/>
        <d v="2024-02-08T00:00:00Z"/>
        <d v="2024-02-09T00:00:00Z"/>
        <d v="2024-02-11T00:00:00Z"/>
        <d v="2024-02-12T00:00:00Z"/>
        <d v="2024-02-17T00:00:00Z"/>
        <d v="2024-02-18T00:00:00Z"/>
        <d v="2024-02-19T00:00:00Z"/>
        <d v="2024-02-21T00:00:00Z"/>
        <d v="2024-02-25T00:00:00Z"/>
        <d v="2024-02-28T00:00:00Z"/>
        <d v="2024-02-29T00:00:00Z"/>
        <d v="2024-03-01T00:00:00Z"/>
        <d v="2024-03-03T00:00:00Z"/>
        <d v="2024-03-04T00:00:00Z"/>
        <d v="2024-03-05T00:00:00Z"/>
        <d v="2024-03-06T00:00:00Z"/>
        <d v="2024-03-08T00:00:00Z"/>
        <d v="2024-03-14T00:00:00Z"/>
        <d v="2024-03-15T00:00:00Z"/>
        <d v="2024-03-16T00:00:00Z"/>
        <d v="2024-03-26T00:00:00Z"/>
        <d v="2024-03-27T00:00:00Z"/>
        <d v="2024-03-29T00:00:00Z"/>
        <d v="2024-03-30T00:00:00Z"/>
        <d v="2024-03-31T00:00:00Z"/>
        <d v="2024-04-02T00:00:00Z"/>
        <d v="2024-04-03T00:00:00Z"/>
        <d v="2024-04-05T00:00:00Z"/>
        <d v="2024-04-06T00:00:00Z"/>
        <d v="2024-04-08T00:00:00Z"/>
        <d v="2024-04-09T00:00:00Z"/>
        <d v="2024-04-13T00:00:00Z"/>
        <d v="2024-04-14T00:00:00Z"/>
        <d v="2024-04-18T00:00:00Z"/>
        <d v="2024-04-19T00:00:00Z"/>
        <d v="2024-04-20T00:00:00Z"/>
        <d v="2024-04-24T00:00:00Z"/>
        <d v="2024-04-26T00:00:00Z"/>
        <d v="2024-04-27T00:00:00Z"/>
        <d v="2024-04-28T00:00:00Z"/>
        <d v="2024-04-29T00:00:00Z"/>
        <d v="2024-04-30T00:00:00Z"/>
        <d v="2024-05-01T00:00:00Z"/>
        <d v="2024-05-02T00:00:00Z"/>
        <d v="2024-05-05T00:00:00Z"/>
        <d v="2024-05-07T00:00:00Z"/>
        <d v="2024-05-09T00:00:00Z"/>
        <d v="2024-05-12T00:00:00Z"/>
        <d v="2024-05-13T00:00:00Z"/>
        <d v="2024-05-14T00:00:00Z"/>
        <d v="2024-05-15T00:00:00Z"/>
        <d v="2024-05-16T00:00:00Z"/>
        <d v="2024-05-19T00:00:00Z"/>
        <d v="2024-05-20T00:00:00Z"/>
        <d v="2024-05-21T00:00:00Z"/>
        <d v="2024-05-22T00:00:00Z"/>
        <d v="2024-05-25T00:00:00Z"/>
        <d v="2024-05-26T00:00:00Z"/>
        <d v="2024-05-27T00:00:00Z"/>
        <d v="2024-05-28T00:00:00Z"/>
        <d v="2024-05-29T00:00:00Z"/>
        <d v="2024-05-31T00:00:00Z"/>
        <d v="2024-06-01T00:00:00Z"/>
        <d v="2024-06-02T00:00:00Z"/>
        <d v="2024-06-03T00:00:00Z"/>
        <d v="2024-06-04T00:00:00Z"/>
        <d v="2024-06-05T00:00:00Z"/>
        <d v="2024-06-06T00:00:00Z"/>
        <d v="2024-06-08T00:00:00Z"/>
        <d v="2024-06-09T00:00:00Z"/>
        <d v="2024-06-10T00:00:00Z"/>
        <d v="2024-06-11T00:00:00Z"/>
        <d v="2024-06-12T00:00:00Z"/>
        <d v="2024-06-14T00:00:00Z"/>
        <d v="2024-06-16T00:00:00Z"/>
        <d v="2024-06-17T00:00:00Z"/>
        <d v="2024-06-18T00:00:00Z"/>
        <d v="2024-06-19T00:00:00Z"/>
        <d v="2024-06-20T00:00:00Z"/>
        <d v="2024-06-22T00:00:00Z"/>
        <d v="2024-06-23T00:00:00Z"/>
        <d v="2024-06-24T00:00:00Z"/>
        <d v="2024-06-25T00:00:00Z"/>
        <d v="2024-06-26T00:00:00Z"/>
        <d v="2024-06-28T00:00:00Z"/>
        <d v="2024-06-29T00:00:00Z"/>
        <d v="2024-06-30T00:00:00Z"/>
        <d v="2024-07-01T00:00:00Z"/>
        <d v="2024-07-02T00:00:00Z"/>
        <d v="2024-07-03T00:00:00Z"/>
        <d v="2024-07-04T00:00:00Z"/>
        <d v="2024-07-05T00:00:00Z"/>
        <d v="2024-07-06T00:00:00Z"/>
        <d v="2024-07-07T00:00:00Z"/>
        <d v="2024-07-08T00:00:00Z"/>
        <d v="2024-07-14T00:00:00Z"/>
        <d v="2024-07-15T00:00:00Z"/>
        <d v="2024-07-16T00:00:00Z"/>
        <d v="2024-07-20T00:00:00Z"/>
        <d v="2024-07-21T00:00:00Z"/>
        <d v="2024-07-22T00:00:00Z"/>
        <d v="2024-07-23T00:00:00Z"/>
        <d v="2024-07-25T00:00:00Z"/>
        <d v="2024-07-27T00:00:00Z"/>
        <d v="2024-07-29T00:00:00Z"/>
        <d v="2024-07-30T00:00:00Z"/>
        <d v="2024-08-02T00:00:00Z"/>
        <d v="2024-08-03T00:00:00Z"/>
        <d v="2024-08-04T00:00:00Z"/>
        <d v="2024-08-05T00:00:00Z"/>
        <d v="2024-08-06T00:00:00Z"/>
        <d v="2024-08-07T00:00:00Z"/>
        <d v="2024-08-08T00:00:00Z"/>
        <d v="2024-08-10T00:00:00Z"/>
        <d v="2024-08-11T00:00:00Z"/>
        <d v="2024-08-12T00:00:00Z"/>
        <d v="2024-08-13T00:00:00Z"/>
        <d v="2024-08-14T00:00:00Z"/>
        <d v="2024-08-19T00:00:00Z"/>
        <d v="2024-08-21T00:00:00Z"/>
        <d v="2024-08-24T00:00:00Z"/>
        <d v="2024-08-25T00:00:00Z"/>
        <d v="2024-08-26T00:00:00Z"/>
        <d v="2024-08-27T00:00:00Z"/>
        <d v="2024-08-31T00:00:00Z"/>
        <d v="2024-09-01T00:00:00Z"/>
        <d v="2024-09-02T00:00:00Z"/>
        <d v="2024-09-03T00:00:00Z"/>
        <d v="2024-09-04T00:00:00Z"/>
        <d v="2024-09-05T00:00:00Z"/>
        <d v="2024-09-07T00:00:00Z"/>
        <d v="2024-09-08T00:00:00Z"/>
        <d v="2024-09-09T00:00:00Z"/>
        <d v="2024-09-14T00:00:00Z"/>
        <d v="2024-09-16T00:00:00Z"/>
        <d v="2024-09-17T00:00:00Z"/>
        <d v="2024-09-20T00:00:00Z"/>
        <d v="2024-09-22T00:00:00Z"/>
        <d v="2024-09-23T00:00:00Z"/>
      </sharedItems>
    </cacheField>
    <cacheField name="last_status_change" numFmtId="172">
      <sharedItems containsSemiMixedTypes="0" containsDate="1" containsString="0">
        <d v="2022-05-13T00:00:00Z"/>
        <d v="2022-05-14T00:00:00Z"/>
        <d v="2022-05-22T00:00:00Z"/>
        <d v="2022-05-20T00:00:00Z"/>
        <d v="2022-05-30T00:00:00Z"/>
        <d v="2022-05-25T00:00:00Z"/>
        <d v="2022-05-27T00:00:00Z"/>
        <d v="2022-05-26T00:00:00Z"/>
        <d v="2023-03-29T00:00:00Z"/>
        <d v="2022-06-22T00:00:00Z"/>
        <d v="2022-06-02T00:00:00Z"/>
        <d v="2022-06-11T00:00:00Z"/>
        <d v="2022-06-09T00:00:00Z"/>
        <d v="2022-06-12T00:00:00Z"/>
        <d v="2022-06-13T00:00:00Z"/>
        <d v="2022-07-03T00:00:00Z"/>
        <d v="2022-08-07T00:00:00Z"/>
        <d v="2022-07-17T00:00:00Z"/>
        <d v="2022-07-30T00:00:00Z"/>
        <d v="2022-07-11T00:00:00Z"/>
        <d v="2022-07-18T00:00:00Z"/>
        <d v="2022-08-08T00:00:00Z"/>
        <d v="2022-08-09T00:00:00Z"/>
        <d v="2022-08-15T00:00:00Z"/>
        <d v="2022-08-23T00:00:00Z"/>
        <d v="2022-09-06T00:00:00Z"/>
        <d v="2022-09-05T00:00:00Z"/>
        <d v="2022-09-12T00:00:00Z"/>
        <d v="2022-09-09T00:00:00Z"/>
        <d v="2022-09-10T00:00:00Z"/>
        <d v="2022-09-08T00:00:00Z"/>
        <d v="2022-09-11T00:00:00Z"/>
        <d v="2022-09-13T00:00:00Z"/>
        <d v="2022-09-23T00:00:00Z"/>
        <d v="2022-09-28T00:00:00Z"/>
        <d v="2022-10-02T00:00:00Z"/>
        <d v="2022-10-04T00:00:00Z"/>
        <d v="2022-10-09T00:00:00Z"/>
        <d v="2022-10-12T00:00:00Z"/>
        <d v="2022-10-10T00:00:00Z"/>
        <d v="2022-10-11T00:00:00Z"/>
        <d v="2022-10-23T00:00:00Z"/>
        <d v="2022-10-27T00:00:00Z"/>
        <d v="2022-11-01T00:00:00Z"/>
        <d v="2022-11-21T00:00:00Z"/>
        <d v="2022-11-09T00:00:00Z"/>
        <d v="2022-11-10T00:00:00Z"/>
        <d v="2022-11-15T00:00:00Z"/>
        <d v="2022-11-12T00:00:00Z"/>
        <d v="2022-11-11T00:00:00Z"/>
        <d v="2022-11-14T00:00:00Z"/>
        <d v="2022-11-16T00:00:00Z"/>
        <d v="2022-11-17T00:00:00Z"/>
        <d v="2022-12-03T00:00:00Z"/>
        <d v="2022-12-07T00:00:00Z"/>
        <d v="2022-11-24T00:00:00Z"/>
        <d v="2023-06-04T00:00:00Z"/>
        <d v="2022-12-12T00:00:00Z"/>
        <d v="2023-01-04T00:00:00Z"/>
        <d v="2022-12-01T00:00:00Z"/>
        <d v="2023-08-19T00:00:00Z"/>
        <d v="2022-11-23T00:00:00Z"/>
        <d v="2023-01-08T00:00:00Z"/>
        <d v="2022-12-16T00:00:00Z"/>
        <d v="2022-11-29T00:00:00Z"/>
        <d v="2022-12-02T00:00:00Z"/>
        <d v="2022-12-14T00:00:00Z"/>
        <d v="2022-12-10T00:00:00Z"/>
        <d v="2022-12-13T00:00:00Z"/>
        <d v="2022-12-19T00:00:00Z"/>
        <d v="2022-12-17T00:00:00Z"/>
        <d v="2023-01-01T00:00:00Z"/>
        <d v="2022-12-31T00:00:00Z"/>
        <d v="2023-01-07T00:00:00Z"/>
        <d v="2023-01-15T00:00:00Z"/>
        <d v="2023-01-09T00:00:00Z"/>
        <d v="2023-01-14T00:00:00Z"/>
        <d v="2023-01-25T00:00:00Z"/>
        <d v="2023-01-23T00:00:00Z"/>
        <d v="2023-02-06T00:00:00Z"/>
        <d v="2023-02-05T00:00:00Z"/>
        <d v="2023-02-03T00:00:00Z"/>
        <d v="2023-02-07T00:00:00Z"/>
        <d v="2023-02-11T00:00:00Z"/>
        <d v="2023-02-15T00:00:00Z"/>
        <d v="2023-03-12T00:00:00Z"/>
        <d v="2023-02-26T00:00:00Z"/>
        <d v="2023-02-21T00:00:00Z"/>
        <d v="2023-03-03T00:00:00Z"/>
        <d v="2023-03-05T00:00:00Z"/>
        <d v="2023-03-19T00:00:00Z"/>
        <d v="2023-04-04T00:00:00Z"/>
        <d v="2023-03-16T00:00:00Z"/>
        <d v="2023-03-17T00:00:00Z"/>
        <d v="2023-03-24T00:00:00Z"/>
        <d v="2023-03-15T00:00:00Z"/>
        <d v="2023-04-11T00:00:00Z"/>
        <d v="2023-03-08T00:00:00Z"/>
        <d v="2023-03-20T00:00:00Z"/>
        <d v="2023-03-18T00:00:00Z"/>
        <d v="2023-03-22T00:00:00Z"/>
        <d v="2023-03-23T00:00:00Z"/>
        <d v="2023-04-12T00:00:00Z"/>
        <d v="2023-04-09T00:00:00Z"/>
        <d v="2023-04-07T00:00:00Z"/>
        <d v="2023-04-14T00:00:00Z"/>
        <d v="2023-04-02T00:00:00Z"/>
        <d v="2023-05-11T00:00:00Z"/>
        <d v="2023-07-03T00:00:00Z"/>
        <d v="2023-04-13T00:00:00Z"/>
        <d v="2023-04-15T00:00:00Z"/>
        <d v="2023-06-11T00:00:00Z"/>
        <d v="2023-04-17T00:00:00Z"/>
        <d v="2023-04-16T00:00:00Z"/>
        <d v="2023-04-27T00:00:00Z"/>
        <d v="2023-04-22T00:00:00Z"/>
        <d v="2023-11-19T00:00:00Z"/>
        <d v="2023-04-26T00:00:00Z"/>
        <d v="2023-04-29T00:00:00Z"/>
        <d v="2023-04-24T00:00:00Z"/>
        <d v="2023-05-20T00:00:00Z"/>
        <d v="2023-05-13T00:00:00Z"/>
        <d v="2023-05-14T00:00:00Z"/>
        <d v="2023-05-10T00:00:00Z"/>
        <d v="2023-05-12T00:00:00Z"/>
        <d v="2023-05-16T00:00:00Z"/>
        <d v="2023-06-08T00:00:00Z"/>
        <d v="2023-06-02T00:00:00Z"/>
        <d v="2023-06-03T00:00:00Z"/>
        <d v="2023-06-05T00:00:00Z"/>
        <d v="2023-05-31T00:00:00Z"/>
        <d v="2023-06-01T00:00:00Z"/>
        <d v="2023-05-30T00:00:00Z"/>
        <d v="2023-06-19T00:00:00Z"/>
        <d v="2023-06-20T00:00:00Z"/>
        <d v="2023-06-15T00:00:00Z"/>
        <d v="2023-05-24T00:00:00Z"/>
        <d v="2023-06-10T00:00:00Z"/>
        <d v="2023-06-09T00:00:00Z"/>
        <d v="2023-06-07T00:00:00Z"/>
        <d v="2023-06-14T00:00:00Z"/>
        <d v="2023-06-16T00:00:00Z"/>
        <d v="2023-06-17T00:00:00Z"/>
        <d v="2023-07-04T00:00:00Z"/>
        <d v="2023-07-01T00:00:00Z"/>
        <d v="2023-06-21T00:00:00Z"/>
        <d v="2023-06-24T00:00:00Z"/>
        <d v="2023-06-22T00:00:00Z"/>
        <d v="2023-06-23T00:00:00Z"/>
        <d v="2023-06-26T00:00:00Z"/>
        <d v="2023-07-13T00:00:00Z"/>
        <d v="2023-07-11T00:00:00Z"/>
        <d v="2023-07-10T00:00:00Z"/>
        <d v="2023-07-09T00:00:00Z"/>
        <d v="2023-07-14T00:00:00Z"/>
        <d v="2023-07-12T00:00:00Z"/>
        <d v="2023-07-15T00:00:00Z"/>
        <d v="2023-08-06T00:00:00Z"/>
        <d v="2023-09-16T00:00:00Z"/>
        <d v="2023-08-02T00:00:00Z"/>
        <d v="2023-08-04T00:00:00Z"/>
        <d v="2023-08-15T00:00:00Z"/>
        <d v="2023-10-30T00:00:00Z"/>
        <d v="2023-08-10T00:00:00Z"/>
        <d v="2023-08-09T00:00:00Z"/>
        <d v="2023-08-08T00:00:00Z"/>
        <d v="2023-08-20T00:00:00Z"/>
        <d v="2023-08-12T00:00:00Z"/>
        <d v="2023-08-11T00:00:00Z"/>
        <d v="2023-08-14T00:00:00Z"/>
        <d v="2023-08-17T00:00:00Z"/>
        <d v="2023-10-12T00:00:00Z"/>
        <d v="2023-09-26T00:00:00Z"/>
        <d v="2023-09-23T00:00:00Z"/>
        <d v="2023-10-10T00:00:00Z"/>
        <d v="2023-09-28T00:00:00Z"/>
        <d v="2023-09-06T00:00:00Z"/>
        <d v="2023-09-08T00:00:00Z"/>
        <d v="2023-09-07T00:00:00Z"/>
        <d v="2023-09-09T00:00:00Z"/>
        <d v="2023-08-30T00:00:00Z"/>
        <d v="2023-09-13T00:00:00Z"/>
        <d v="2023-09-17T00:00:00Z"/>
        <d v="2023-09-14T00:00:00Z"/>
        <d v="2023-09-27T00:00:00Z"/>
        <d v="2023-10-29T00:00:00Z"/>
        <d v="2023-10-11T00:00:00Z"/>
        <d v="2023-10-07T00:00:00Z"/>
        <d v="2023-10-14T00:00:00Z"/>
        <d v="2023-10-15T00:00:00Z"/>
        <d v="2023-10-08T00:00:00Z"/>
        <d v="2023-10-09T00:00:00Z"/>
        <d v="2023-10-13T00:00:00Z"/>
        <d v="2023-10-16T00:00:00Z"/>
        <d v="2023-10-23T00:00:00Z"/>
        <d v="2023-10-18T00:00:00Z"/>
        <d v="2023-10-22T00:00:00Z"/>
        <d v="2023-12-25T00:00:00Z"/>
        <d v="2023-10-24T00:00:00Z"/>
        <d v="2023-11-01T00:00:00Z"/>
        <d v="2023-11-04T00:00:00Z"/>
        <d v="2023-11-02T00:00:00Z"/>
        <d v="2023-11-06T00:00:00Z"/>
        <d v="2023-11-08T00:00:00Z"/>
        <d v="2023-11-10T00:00:00Z"/>
        <d v="2023-11-12T00:00:00Z"/>
        <d v="2023-11-09T00:00:00Z"/>
        <d v="2023-11-11T00:00:00Z"/>
        <d v="2023-11-20T00:00:00Z"/>
        <d v="2023-12-20T00:00:00Z"/>
        <d v="2023-12-03T00:00:00Z"/>
        <d v="2023-12-04T00:00:00Z"/>
        <d v="2023-12-05T00:00:00Z"/>
        <d v="2023-12-17T00:00:00Z"/>
        <d v="2023-12-08T00:00:00Z"/>
        <d v="2023-12-09T00:00:00Z"/>
        <d v="2023-12-12T00:00:00Z"/>
        <d v="2023-12-13T00:00:00Z"/>
        <d v="2023-12-19T00:00:00Z"/>
        <d v="2024-01-15T00:00:00Z"/>
        <d v="2024-01-18T00:00:00Z"/>
        <d v="2023-12-30T00:00:00Z"/>
        <d v="2023-12-27T00:00:00Z"/>
        <d v="2024-01-02T00:00:00Z"/>
        <d v="2024-01-06T00:00:00Z"/>
        <d v="2024-01-03T00:00:00Z"/>
        <d v="2024-01-13T00:00:00Z"/>
        <d v="2024-01-05T00:00:00Z"/>
        <d v="2024-01-30T00:00:00Z"/>
        <d v="2024-02-05T00:00:00Z"/>
        <d v="2024-01-09T00:00:00Z"/>
        <d v="2024-01-10T00:00:00Z"/>
        <d v="2024-01-11T00:00:00Z"/>
        <d v="2024-02-14T00:00:00Z"/>
        <d v="2024-01-17T00:00:00Z"/>
        <d v="2024-01-29T00:00:00Z"/>
        <d v="2024-01-27T00:00:00Z"/>
        <d v="2024-03-31T00:00:00Z"/>
        <d v="2024-01-24T00:00:00Z"/>
        <d v="2024-09-20T00:00:00Z"/>
        <d v="2024-01-28T00:00:00Z"/>
        <d v="2024-02-01T00:00:00Z"/>
        <d v="2024-02-02T00:00:00Z"/>
        <d v="2024-02-06T00:00:00Z"/>
        <d v="2024-02-10T00:00:00Z"/>
        <d v="2024-02-09T00:00:00Z"/>
        <d v="2024-02-11T00:00:00Z"/>
        <d v="2024-02-15T00:00:00Z"/>
        <d v="2024-02-12T00:00:00Z"/>
        <d v="2024-02-13T00:00:00Z"/>
        <d v="2024-03-02T00:00:00Z"/>
        <d v="2024-02-22T00:00:00Z"/>
        <d v="2024-02-19T00:00:00Z"/>
        <d v="2024-02-18T00:00:00Z"/>
        <d v="2024-02-17T00:00:00Z"/>
        <d v="2024-02-20T00:00:00Z"/>
        <d v="2024-02-21T00:00:00Z"/>
        <d v="2024-02-29T00:00:00Z"/>
        <d v="2024-04-08T00:00:00Z"/>
        <d v="2024-02-23T00:00:00Z"/>
        <d v="2024-04-11T00:00:00Z"/>
        <d v="2024-02-25T00:00:00Z"/>
        <d v="2024-03-01T00:00:00Z"/>
        <d v="2024-02-28T00:00:00Z"/>
        <d v="2024-03-06T00:00:00Z"/>
        <d v="2024-03-12T00:00:00Z"/>
        <d v="2024-03-23T00:00:00Z"/>
        <d v="2024-02-26T00:00:00Z"/>
        <d v="2024-02-27T00:00:00Z"/>
        <d v="2024-03-18T00:00:00Z"/>
        <d v="2024-03-11T00:00:00Z"/>
        <d v="2024-03-21T00:00:00Z"/>
        <d v="2024-03-19T00:00:00Z"/>
        <d v="2024-04-06T00:00:00Z"/>
        <d v="2024-03-05T00:00:00Z"/>
        <d v="2024-03-07T00:00:00Z"/>
        <d v="2024-03-09T00:00:00Z"/>
        <d v="2024-03-10T00:00:00Z"/>
        <d v="2024-03-20T00:00:00Z"/>
        <d v="2024-03-16T00:00:00Z"/>
        <d v="2024-03-13T00:00:00Z"/>
        <d v="2024-03-28T00:00:00Z"/>
        <d v="2024-03-04T00:00:00Z"/>
        <d v="2024-03-15T00:00:00Z"/>
        <d v="2024-03-14T00:00:00Z"/>
        <d v="2024-05-12T00:00:00Z"/>
        <d v="2024-03-26T00:00:00Z"/>
        <d v="2024-03-29T00:00:00Z"/>
        <d v="2024-03-27T00:00:00Z"/>
        <d v="2024-03-24T00:00:00Z"/>
        <d v="2024-04-05T00:00:00Z"/>
        <d v="2024-04-02T00:00:00Z"/>
        <d v="2024-04-04T00:00:00Z"/>
        <d v="2024-04-07T00:00:00Z"/>
        <d v="2024-04-27T00:00:00Z"/>
        <d v="2024-04-03T00:00:00Z"/>
        <d v="2024-04-14T00:00:00Z"/>
        <d v="2024-05-11T00:00:00Z"/>
        <d v="2024-04-20T00:00:00Z"/>
        <d v="2024-06-18T00:00:00Z"/>
        <d v="2024-04-28T00:00:00Z"/>
        <d v="2024-05-02T00:00:00Z"/>
        <d v="2024-04-22T00:00:00Z"/>
        <d v="2024-05-04T00:00:00Z"/>
        <d v="2024-08-25T00:00:00Z"/>
        <d v="2024-05-05T00:00:00Z"/>
        <d v="2024-04-24T00:00:00Z"/>
        <d v="2024-05-27T00:00:00Z"/>
        <d v="2024-06-07T00:00:00Z"/>
        <d v="2024-05-09T00:00:00Z"/>
        <d v="2024-06-01T00:00:00Z"/>
        <d v="2024-04-23T00:00:00Z"/>
        <d v="2024-04-10T00:00:00Z"/>
        <d v="2024-04-13T00:00:00Z"/>
        <d v="2024-05-10T00:00:00Z"/>
        <d v="2024-04-16T00:00:00Z"/>
        <d v="2024-04-15T00:00:00Z"/>
        <d v="2024-05-14T00:00:00Z"/>
        <d v="2024-04-18T00:00:00Z"/>
        <d v="2024-04-19T00:00:00Z"/>
        <d v="2024-05-20T00:00:00Z"/>
        <d v="2024-04-21T00:00:00Z"/>
        <d v="2024-05-19T00:00:00Z"/>
        <d v="2024-05-08T00:00:00Z"/>
        <d v="2024-07-21T00:00:00Z"/>
        <d v="2024-05-13T00:00:00Z"/>
        <d v="2024-04-29T00:00:00Z"/>
        <d v="2024-05-01T00:00:00Z"/>
        <d v="2024-05-06T00:00:00Z"/>
        <d v="2024-05-23T00:00:00Z"/>
        <d v="2024-05-18T00:00:00Z"/>
        <d v="2024-05-03T00:00:00Z"/>
        <d v="2024-05-07T00:00:00Z"/>
        <d v="2024-06-16T00:00:00Z"/>
        <d v="2024-05-16T00:00:00Z"/>
        <d v="2024-06-14T00:00:00Z"/>
        <d v="2024-05-15T00:00:00Z"/>
        <d v="2024-06-05T00:00:00Z"/>
        <d v="2024-05-17T00:00:00Z"/>
        <d v="2024-05-24T00:00:00Z"/>
        <d v="2024-05-29T00:00:00Z"/>
        <d v="2024-06-10T00:00:00Z"/>
        <d v="2024-08-22T00:00:00Z"/>
        <d v="2024-05-28T00:00:00Z"/>
        <d v="2024-05-26T00:00:00Z"/>
        <d v="2024-05-21T00:00:00Z"/>
        <d v="2024-05-22T00:00:00Z"/>
        <d v="2024-06-09T00:00:00Z"/>
        <d v="2024-08-06T00:00:00Z"/>
        <d v="2024-05-30T00:00:00Z"/>
        <d v="2024-05-31T00:00:00Z"/>
        <d v="2024-06-02T00:00:00Z"/>
        <d v="2024-06-03T00:00:00Z"/>
        <d v="2024-06-04T00:00:00Z"/>
        <d v="2024-06-22T00:00:00Z"/>
        <d v="2024-06-12T00:00:00Z"/>
        <d v="2024-06-11T00:00:00Z"/>
        <d v="2024-07-09T00:00:00Z"/>
        <d v="2024-06-06T00:00:00Z"/>
        <d v="2024-06-15T00:00:00Z"/>
        <d v="2024-07-02T00:00:00Z"/>
        <d v="2024-06-30T00:00:00Z"/>
        <d v="2024-06-13T00:00:00Z"/>
        <d v="2024-06-25T00:00:00Z"/>
        <d v="2024-06-23T00:00:00Z"/>
        <d v="2024-06-17T00:00:00Z"/>
        <d v="2024-07-17T00:00:00Z"/>
        <d v="2024-06-20T00:00:00Z"/>
        <d v="2024-06-19T00:00:00Z"/>
        <d v="2024-06-24T00:00:00Z"/>
        <d v="2024-06-21T00:00:00Z"/>
        <d v="2024-06-28T00:00:00Z"/>
        <d v="2024-06-29T00:00:00Z"/>
        <d v="2024-06-27T00:00:00Z"/>
        <d v="2024-07-16T00:00:00Z"/>
        <d v="2024-06-26T00:00:00Z"/>
        <d v="2024-07-13T00:00:00Z"/>
        <d v="2024-08-03T00:00:00Z"/>
        <d v="2024-07-01T00:00:00Z"/>
        <d v="2024-07-20T00:00:00Z"/>
        <d v="2024-07-03T00:00:00Z"/>
        <d v="2024-07-15T00:00:00Z"/>
        <d v="2024-07-29T00:00:00Z"/>
        <d v="2024-07-18T00:00:00Z"/>
        <d v="2024-07-05T00:00:00Z"/>
        <d v="2024-07-14T00:00:00Z"/>
        <d v="2024-07-06T00:00:00Z"/>
        <d v="2024-07-07T00:00:00Z"/>
        <d v="2024-07-04T00:00:00Z"/>
        <d v="2024-07-08T00:00:00Z"/>
        <d v="2024-08-24T00:00:00Z"/>
        <d v="2024-07-10T00:00:00Z"/>
        <d v="2024-07-12T00:00:00Z"/>
        <d v="2024-07-11T00:00:00Z"/>
        <d v="2024-07-24T00:00:00Z"/>
        <d v="2024-07-22T00:00:00Z"/>
        <d v="2024-07-27T00:00:00Z"/>
        <d v="2024-07-23T00:00:00Z"/>
        <d v="2024-08-11T00:00:00Z"/>
        <d v="2024-08-20T00:00:00Z"/>
        <d v="2024-08-19T00:00:00Z"/>
        <d v="2024-08-31T00:00:00Z"/>
        <d v="2024-07-26T00:00:00Z"/>
        <d v="2024-07-31T00:00:00Z"/>
        <d v="2024-08-01T00:00:00Z"/>
        <d v="2024-07-30T00:00:00Z"/>
        <d v="2024-07-25T00:00:00Z"/>
        <d v="2024-08-05T00:00:00Z"/>
        <d v="2024-08-04T00:00:00Z"/>
        <d v="2024-08-10T00:00:00Z"/>
        <d v="2024-08-27T00:00:00Z"/>
        <d v="2024-08-08T00:00:00Z"/>
        <d v="2024-08-29T00:00:00Z"/>
        <d v="2024-08-15T00:00:00Z"/>
        <d v="2024-08-23T00:00:00Z"/>
        <d v="2024-08-09T00:00:00Z"/>
        <d v="2024-08-18T00:00:00Z"/>
        <d v="2024-08-14T00:00:00Z"/>
        <d v="2024-08-13T00:00:00Z"/>
        <d v="2024-08-17T00:00:00Z"/>
        <d v="2024-08-21T00:00:00Z"/>
        <d v="2024-08-16T00:00:00Z"/>
        <d v="2024-08-28T00:00:00Z"/>
        <d v="2024-08-30T00:00:00Z"/>
        <d v="2024-09-09T00:00:00Z"/>
        <d v="2024-08-26T00:00:00Z"/>
        <d v="2024-09-16T00:00:00Z"/>
        <d v="2024-09-08T00:00:00Z"/>
        <d v="2024-09-07T00:00:00Z"/>
        <d v="2024-09-14T00:00:00Z"/>
        <d v="2024-09-03T00:00:00Z"/>
        <d v="2024-09-01T00:00:00Z"/>
        <d v="2024-09-02T00:00:00Z"/>
        <d v="2024-09-04T00:00:00Z"/>
        <d v="2024-09-05T00:00:00Z"/>
        <d v="2024-09-12T00:00:00Z"/>
        <d v="2024-09-24T00:00:00Z"/>
        <d v="2024-09-17T00:00:00Z"/>
        <d v="2024-09-19T00:00:00Z"/>
        <d v="2024-09-13T00:00:00Z"/>
        <d v="2024-09-15T00:00:00Z"/>
        <d v="2024-09-11T00:00:00Z"/>
        <d v="2024-09-10T00:00:00Z"/>
        <d v="2024-09-27T00:00:00Z"/>
        <d v="2024-09-18T00:00:00Z"/>
        <d v="2024-09-23T00:00:00Z"/>
        <d v="2024-09-25T00:00:00Z"/>
        <d v="2024-09-29T00:00:00Z"/>
        <d v="2024-09-28T00:00:00Z"/>
        <d v="2024-09-22T00:00:00Z"/>
        <d v="2024-09-21T00:00:00Z"/>
      </sharedItems>
    </cacheField>
    <cacheField name="USD latest" numFmtId="164">
      <sharedItems containsSemiMixedTypes="0" containsString="0" containsNumber="1">
        <n v="1487.4488639831543"/>
        <n v="2528.6630687713623"/>
        <n v="3962.9887590408325"/>
        <n v="266.3977117538452"/>
        <n v="266.9479465484619"/>
        <n v="4592.845325732232"/>
        <n v="4515.508999841213"/>
        <n v="5796.991513363124"/>
        <n v="1678.2008754825592"/>
        <n v="95.11535882949829"/>
        <n v="123.0886173248291"/>
        <n v="148.4652042388916"/>
        <n v="141.45888805389404"/>
        <n v="184.13642644882202"/>
        <n v="200.40442943572998"/>
        <n v="3776.436173915863"/>
        <n v="1872.3464171791077"/>
        <n v="110.48185586929321"/>
        <n v="127.6541805267334"/>
        <n v="686.106217417717"/>
        <n v="678.138055020363"/>
        <n v="425.8118012939957"/>
        <n v="452.88026637419586"/>
        <n v="479.48800799462566"/>
        <n v="9041.05388293743"/>
        <n v="6364.067106046677"/>
        <n v="1223.5777053451536"/>
        <n v="250.76033290863037"/>
        <n v="571.0636816880973"/>
        <n v="456.85094577998433"/>
        <n v="73566.60385131836"/>
        <n v="24012.303926467896"/>
        <n v="4768.932426465491"/>
        <n v="8431.174553519224"/>
        <n v="4816.778183403694"/>
        <n v="4058.727365450228"/>
        <n v="7176.211921051034"/>
        <n v="5242.745283010491"/>
        <n v="427.0221656519108"/>
        <n v="429.0456241659643"/>
        <n v="497.5934093187661"/>
        <n v="119.62126815952548"/>
        <n v="831.8104734352271"/>
        <n v="38327.18999235153"/>
        <n v="140764.43520736694"/>
        <n v="386.2372975349426"/>
        <n v="7699.501463890076"/>
        <n v="3128.172719335556"/>
        <n v="5525.366881656646"/>
        <n v="2743.231800527573"/>
        <n v="482.2507110615395"/>
        <n v="476.5211464441137"/>
        <n v="381.21691715529096"/>
        <n v="546.0268409156799"/>
        <n v="758.0492952585221"/>
        <n v="20291.084230422974"/>
        <n v="12925.754986286163"/>
        <n v="9106.374662399292"/>
        <n v="685.5903437432097"/>
        <n v="1112.971338467397"/>
        <n v="356.75652771086123"/>
        <n v="444.7470790600015"/>
        <n v="1220.4944356163885"/>
        <n v="5615.136126853981"/>
        <n v="3242.8296103040775"/>
        <n v="303.33470376419103"/>
        <n v="251.66162730216982"/>
        <n v="528.8254669704139"/>
        <n v="562.2245786215814"/>
        <n v="1547.5103138694037"/>
        <n v="248.64673948287964"/>
        <n v="739.6236145019532"/>
        <n v="133.41923389434814"/>
        <n v="8202.318509674073"/>
        <n v="5439.946712522507"/>
        <n v="186.7045166015625"/>
        <n v="125.51419129371642"/>
        <n v="1152.7053155899048"/>
        <n v="238.52998609542846"/>
        <n v="1426.238268852234"/>
        <n v="2427.0869019211364"/>
        <n v="7629.792306900024"/>
        <n v="27857.804944896696"/>
        <n v="194.47790336608887"/>
        <n v="20063.619260787964"/>
        <n v="29801.908933496474"/>
        <n v="4522.409883785248"/>
        <n v="308.1501011657715"/>
        <n v="364.10990381240845"/>
        <n v="1782.9294305540657"/>
        <n v="4915.855663845692"/>
        <n v="3182.2472778059578"/>
        <n v="423.0289921846619"/>
        <n v="337.93192423768505"/>
        <n v="16625.386779785156"/>
        <n v="683.7720599284175"/>
        <n v="427.97880970887456"/>
        <n v="354.3573778811342"/>
        <n v="67610.04678153992"/>
        <n v="81605.26164264679"/>
        <n v="21494.800901937484"/>
        <n v="564.4894461712596"/>
        <n v="469.1338944252363"/>
        <n v="544.691892741165"/>
        <n v="1052.4224742907818"/>
        <n v="4446.996980155933"/>
        <n v="1932.3702221989936"/>
        <n v="1481.009779158025"/>
        <n v="837.6752144552495"/>
        <n v="727.0816804570713"/>
        <n v="1318.5671101135874"/>
        <n v="3374.6368885040283"/>
        <n v="719.4725846290588"/>
        <n v="1430.708094024658"/>
        <n v="70280.2214627266"/>
        <n v="304.53275356292727"/>
        <n v="39252.398112773895"/>
        <n v="321.43039557456973"/>
        <n v="3409.737792062759"/>
        <n v="3675.6213634014125"/>
        <n v="5587.86357421875"/>
        <n v="18386.317708587645"/>
        <n v="724.0579458236695"/>
        <n v="46643.1014316082"/>
        <n v="23458.87099838257"/>
        <n v="3979.0991109609604"/>
        <n v="12707.383953094482"/>
        <n v="6826.646856451035"/>
        <n v="628.2520274162292"/>
        <n v="197.49572925567625"/>
        <n v="142.72889728546144"/>
        <n v="296.2435938835144"/>
        <n v="148.1217969417572"/>
        <n v="196.45677967071532"/>
        <n v="1631.4957562269717"/>
        <n v="259.32580928802537"/>
        <n v="829.8425904222557"/>
        <n v="848.4058039363418"/>
        <n v="1490.775492714535"/>
        <n v="1590.7608823802368"/>
        <n v="15479.032557773591"/>
        <n v="5002.038375663757"/>
        <n v="18619.942534160615"/>
        <n v="213845.16329956055"/>
        <n v="27272.08772416115"/>
        <n v="1039.0704945452055"/>
        <n v="920.6872517080632"/>
        <n v="878.8378311754724"/>
        <n v="39489.623997211456"/>
        <n v="4639.478283309937"/>
        <n v="839.2911257743835"/>
        <n v="216.45951175689697"/>
        <n v="952.5270358085633"/>
        <n v="317.50901193618773"/>
        <n v="17555.15490913391"/>
        <n v="4105.14773273468"/>
        <n v="18292.22296333313"/>
        <n v="9844.601478219032"/>
        <n v="3786.385183930397"/>
        <n v="1514.5540735721588"/>
        <n v="82272.14293956757"/>
        <n v="31643.13189983368"/>
        <n v="11886.606209278107"/>
        <n v="486.65568551430295"/>
        <n v="540.5736090996076"/>
        <n v="9369.777618248585"/>
        <n v="9333.90431664681"/>
        <n v="8283.677908940832"/>
        <n v="531.1587947950137"/>
        <n v="194.02926869683313"/>
        <n v="536.906679715987"/>
        <n v="12881.892453670502"/>
        <n v="996.2272930145264"/>
        <n v="498.4951109556101"/>
        <n v="2357.13686067333"/>
        <n v="1528.9536393551302"/>
        <n v="1448.9495379933865"/>
        <n v="573.3576147576716"/>
        <n v="1826.250180341185"/>
        <n v="400.8830330631331"/>
        <n v="383.1406377390198"/>
        <n v="424.70934423518406"/>
        <n v="614.9797245618932"/>
        <n v="4603.849773406982"/>
        <n v="10327.355861091613"/>
        <n v="4439.117272949219"/>
        <n v="75135.29746341705"/>
        <n v="21961.982362747192"/>
        <n v="1726.600468158722"/>
        <n v="49956.42650938034"/>
        <n v="64252.91061401367"/>
        <n v="16705.6974029541"/>
        <n v="106759.53839588165"/>
        <n v="1581.3616183051065"/>
        <n v="5646.690626883273"/>
        <n v="995.2018994561325"/>
        <n v="459.15454286419714"/>
        <n v="771.3794250071653"/>
        <n v="661.4918731710825"/>
        <n v="550.9853035762408"/>
        <n v="367.49548509474835"/>
        <n v="363.71256606389727"/>
        <n v="367.32353571731545"/>
        <n v="444.08425548553464"/>
        <n v="532.8798254394532"/>
        <n v="219.35668686744833"/>
        <n v="230.63875389515698"/>
        <n v="461.2775077366136"/>
        <n v="768.79584631719"/>
        <n v="405.00127338088004"/>
        <n v="685.3969384372765"/>
        <n v="145.31175942420958"/>
        <n v="280.74098601341245"/>
        <n v="297.96610751152036"/>
        <n v="148.71653666496277"/>
        <n v="144.32293109893797"/>
        <n v="148.41242609024047"/>
        <n v="1524.8307346343995"/>
        <n v="197383.21393203735"/>
        <n v="607.6929921150207"/>
        <n v="4441.279308032989"/>
        <n v="1674.6439041137696"/>
        <n v="35537.78762340546"/>
        <n v="157113.09609746933"/>
        <n v="48020.569173812866"/>
        <n v="147675.86865520477"/>
        <n v="46338.305505275726"/>
        <n v="38305.43020329475"/>
        <n v="23317.896953105927"/>
        <n v="34090.10069131851"/>
        <n v="1148.7144260142827"/>
        <n v="2956.1569582372913"/>
        <n v="1338.1794332420302"/>
        <n v="606.4257251380798"/>
        <n v="420.69397497922404"/>
        <n v="706.7658779656028"/>
        <n v="422.19751396179197"/>
        <n v="608.7981343078613"/>
        <n v="507.361994895935"/>
        <n v="175374.99641132355"/>
        <n v="6891.333751678467"/>
        <n v="611.1163021470804"/>
        <n v="508.04706101962694"/>
        <n v="420.693992628911"/>
        <n v="424.3863209352082"/>
        <n v="342.31085902251186"/>
        <n v="339.50905674807586"/>
        <n v="656.1352413699109"/>
        <n v="69484.29807014465"/>
        <n v="9163.152519464493"/>
        <n v="4973.337690162659"/>
        <n v="5444.115904340744"/>
        <n v="2529.1915752887726"/>
        <n v="55387.97971057892"/>
        <n v="36785.932109404566"/>
        <n v="3162.351244166374"/>
        <n v="1667.5182654938699"/>
        <n v="2090.869665620804"/>
        <n v="2267.6368330330847"/>
        <n v="2455.5675815644267"/>
        <n v="2648.01630564785"/>
        <n v="3143.1451737890247"/>
        <n v="2979.550622484207"/>
        <n v="3165.1819921264646"/>
        <n v="3640.110006536484"/>
        <n v="4025.1810008540156"/>
        <n v="4204.872222280503"/>
        <n v="4164.513207115173"/>
        <n v="4634.127635785103"/>
        <n v="4956.496000884056"/>
        <n v="5098.409482095718"/>
        <n v="5128.893466900826"/>
        <n v="4978.266399308682"/>
        <n v="2132.9591931438445"/>
        <n v="3331.3125044565204"/>
        <n v="4625.359444508553"/>
        <n v="5256.092827958108"/>
        <n v="5365.426136016846"/>
        <n v="3659.460178375244"/>
        <n v="5335.064884185791"/>
        <n v="4299.481209754944"/>
        <n v="28760.112149238586"/>
        <n v="4797.134001731873"/>
        <n v="3855.502687931061"/>
        <n v="4561.784003734589"/>
        <n v="4967.609369277954"/>
        <n v="3993.4683122634888"/>
        <n v="4556.776556968689"/>
        <n v="4299.003604507446"/>
        <n v="5298.880167675018"/>
        <n v="3608.1875220298766"/>
        <n v="42866.88487958908"/>
        <n v="16964.846990680693"/>
        <n v="25261.341041660307"/>
        <n v="116338.69789567853"/>
        <n v="832.1959289254995"/>
        <n v="4685.418470386528"/>
        <n v="1564.9423527308609"/>
        <n v="445.6281745570286"/>
        <n v="500.87772147271755"/>
        <n v="516.0273455391923"/>
        <n v="647.4553390474968"/>
        <n v="776.9464068571069"/>
        <n v="761.0048471106378"/>
        <n v="601.0532657513022"/>
        <n v="539.5461158872397"/>
        <n v="906.4374746667172"/>
        <n v="568.9556895828883"/>
        <n v="485.43925808475774"/>
        <n v="417.582157491743"/>
        <n v="424.695001258844"/>
        <n v="52481.555284023285"/>
        <n v="41126.77585261345"/>
        <n v="704.8986251831054"/>
        <n v="535.1840356349945"/>
        <n v="146.33658576011658"/>
        <n v="10995.967483520508"/>
        <n v="2535.156989765167"/>
        <n v="1196.5336097717284"/>
        <n v="268.715678024292"/>
        <n v="51945.95075941086"/>
        <n v="10388.142042160034"/>
        <n v="5364.204368591309"/>
        <n v="21422.804985046387"/>
        <n v="486.4720791538912"/>
        <n v="875.6497425676338"/>
        <n v="243.23603955177066"/>
        <n v="697.4614183301268"/>
        <n v="1945.888316816964"/>
        <n v="427.12262288150345"/>
        <n v="1349.4923911192075"/>
        <n v="389.177663313043"/>
        <n v="817.2730929624253"/>
        <n v="700.5197939534074"/>
        <n v="694.0246582030816"/>
        <n v="583.766494972082"/>
        <n v="385.4147132451247"/>
        <n v="5137.527772734075"/>
        <n v="7739.084402464176"/>
        <n v="5231.359497664084"/>
        <n v="342.05555800641935"/>
        <n v="6299.906018071341"/>
        <n v="8817.084179981002"/>
        <n v="8672.760952719593"/>
        <n v="449.30157494097233"/>
        <n v="667.8976138901235"/>
        <n v="556.5813371317578"/>
        <n v="17497.821709656713"/>
        <n v="42437.59200334549"/>
        <n v="71041.56000137329"/>
        <n v="5583.867588043213"/>
        <n v="6476.7340087890625"/>
        <n v="39407.97456026077"/>
        <n v="80655.97719573975"/>
        <n v="631.7619580620002"/>
        <n v="783.7466244967168"/>
        <n v="456.8607874319353"/>
        <n v="671.7828209973068"/>
        <n v="526.4682983847343"/>
        <n v="466.5158479146316"/>
        <n v="438.7235819873451"/>
        <n v="373.2126783317901"/>
        <n v="350.97886558995583"/>
        <n v="275.9993908386217"/>
        <n v="12258.096282920014"/>
        <n v="8887.548384189882"/>
        <n v="8534.715977957594"/>
        <n v="313.63340774468435"/>
        <n v="473.7989542728289"/>
        <n v="277.50586767196654"/>
        <n v="2697.146849155426"/>
        <n v="68.86070342063903"/>
        <n v="4989.825168514251"/>
        <n v="3533.4912429809574"/>
        <n v="2758.975296020508"/>
        <n v="752.2494168281555"/>
        <n v="35358.01541137695"/>
        <n v="26563.361439704895"/>
        <n v="49143.23797893524"/>
        <n v="29096.04780292511"/>
        <n v="58887.95964717865"/>
        <n v="28231.30078601837"/>
        <n v="676.2628914774514"/>
        <n v="788.9733733905505"/>
        <n v="469.62700797048404"/>
        <n v="651.8947998857464"/>
        <n v="366.7108235498327"/>
        <n v="362.1637777145485"/>
        <n v="375.701606376616"/>
        <n v="660.0794823892523"/>
        <n v="460.46539667521625"/>
        <n v="563.5524095647334"/>
        <n v="452.52489497367634"/>
        <n v="414.41885700780676"/>
        <n v="6274.546006983111"/>
        <n v="6411.549037315922"/>
        <n v="5455.757130176483"/>
        <n v="3.721198081970215"/>
        <n v="596.1142558496662"/>
        <n v="307.0891621044862"/>
        <n v="35212.5666475296"/>
        <n v="270546.06654167175"/>
        <n v="38890.205698013306"/>
        <n v="134694.1677274704"/>
        <n v="21892.34194278717"/>
        <n v="3768.750955581665"/>
        <n v="2615.1849981028618"/>
        <n v="2920.8559719069085"/>
        <n v="3181.242356999626"/>
        <n v="139216.48340177536"/>
        <n v="10324.12105512619"/>
        <n v="34179.32239341736"/>
        <n v="65643.65575790405"/>
        <n v="141434.4402551651"/>
        <n v="1630.8509299972297"/>
        <n v="1714.4482870506806"/>
        <n v="1788.1115553900024"/>
        <n v="1659.4258969848945"/>
        <n v="1922.0743103536602"/>
        <n v="1756.89572224641"/>
        <n v="651.3212478247763"/>
        <n v="3126.3420295419355"/>
        <n v="32597.078309059143"/>
        <n v="1875.8051937352666"/>
        <n v="2188.4393926909593"/>
        <n v="53.746646162747666"/>
        <n v="114289.68802022934"/>
        <n v="878.7153003754246"/>
        <n v="1813.3826259153727"/>
        <n v="669.4686879805435"/>
        <n v="43.91135626019401"/>
        <n v="755.5760941312265"/>
        <n v="610.2189585940738"/>
        <n v="2423.8629298108704"/>
        <n v="5690.028609126491"/>
        <n v="8785.662521471468"/>
        <n v="997.9735072581028"/>
        <n v="585.1082451007977"/>
        <n v="463.494596139177"/>
        <n v="495.86255732184395"/>
        <n v="8757.98626613617"/>
        <n v="33263.15674495697"/>
        <n v="1762.5888767021795"/>
        <n v="1607.57291686184"/>
        <n v="1608.4897835445615"/>
        <n v="1894.6395091588993"/>
        <n v="1661.662993810668"/>
        <n v="1819.4091335892663"/>
        <n v="229844.86533260345"/>
        <n v="919.9508155362719"/>
        <n v="699.3308388001058"/>
        <n v="766.625679613448"/>
        <n v="638.8547330114302"/>
        <n v="559.464671039644"/>
        <n v="511.0837864087418"/>
        <n v="1839.9016310725438"/>
        <n v="1533.251359226896"/>
        <n v="662.6731533169416"/>
        <n v="2349.7516183673865"/>
        <n v="9176.034977014713"/>
        <n v="6368.738320501188"/>
        <n v="4412.949782935081"/>
        <n v="21998.88038635254"/>
        <n v="960.9912020519233"/>
        <n v="2950.972444295883"/>
        <n v="59361.664701652524"/>
        <n v="16632.90470314026"/>
        <n v="15660.492663860321"/>
        <n v="2071.3916482925415"/>
        <n v="5567.332426548004"/>
        <n v="2153.6490783691406"/>
        <n v="8766.398661708832"/>
        <n v="6678.376530170441"/>
        <n v="79055.41602897644"/>
        <n v="1211.5525749206543"/>
        <n v="2628.7622604370117"/>
        <n v="19777.911643981934"/>
        <n v="1453.4885709168573"/>
        <n v="1286.2520533274026"/>
        <n v="1410.283501326804"/>
        <n v="1298.7292413059508"/>
        <n v="1191.2840846022743"/>
        <n v="63693.512467861176"/>
        <n v="40779.0284576416"/>
        <n v="1621.6821102949448"/>
        <n v="639.5092896052214"/>
        <n v="539.6728530648785"/>
        <n v="447.14520012408826"/>
        <n v="482.6434843314514"/>
        <n v="1390.0132338941576"/>
        <n v="1246.5763622488976"/>
        <n v="623.2881818571586"/>
        <n v="147.5579090772171"/>
        <n v="1073.1484833255215"/>
        <n v="6063.394108390808"/>
        <n v="2389.3030578804014"/>
        <n v="2458.4244857883455"/>
        <n v="347.25586928748896"/>
        <n v="356.2932215682201"/>
        <n v="1061.940685901642"/>
        <n v="413.9411190032959"/>
        <n v="141451.93593978882"/>
        <n v="7388.716316699982"/>
        <n v="104109.02203559875"/>
        <n v="95739.64571237564"/>
        <n v="14921.488241100311"/>
        <n v="158137.0222120285"/>
        <n v="1962.3866903305052"/>
        <n v="1190.5016067504882"/>
        <n v="1162.0915002822876"/>
        <n v="129.12127780914307"/>
        <n v="218.00554978370667"/>
        <n v="393.2145917034149"/>
        <n v="463.92648860454557"/>
        <n v="33540.681507110596"/>
        <n v="47385.84178161621"/>
        <n v="1418.119442796707"/>
        <n v="1554.864293627739"/>
        <n v="1476.1231029510498"/>
        <n v="1671.3407706642151"/>
        <n v="1568.7835973787307"/>
        <n v="1430.8145926952361"/>
        <n v="149022.07913398743"/>
        <n v="61289.055614471436"/>
        <n v="217.04678144741058"/>
        <n v="1562.75739539814"/>
        <n v="1302.2953808107375"/>
        <n v="542.6242996816635"/>
        <n v="7181.684351690514"/>
        <n v="3287.1625712648292"/>
        <n v="5552.764170901084"/>
        <n v="261.0896098136902"/>
        <n v="1566.3167708873748"/>
        <n v="1302.3100729370117"/>
        <n v="781.4007358884812"/>
        <n v="651.1550364685058"/>
        <n v="543.8998724460602"/>
        <n v="433.8154755555332"/>
        <n v="105.63379315042496"/>
        <n v="55.36254132628441"/>
        <n v="1814.5412527624273"/>
        <n v="808.8531973308802"/>
        <n v="561.7036098106527"/>
        <n v="39566.725192546844"/>
        <n v="9405.031173706055"/>
        <n v="627.2170478152265"/>
        <n v="2913.078727834608"/>
        <n v="2000.693128601259"/>
        <n v="2842.1377948592535"/>
        <n v="6156.4118694305425"/>
        <n v="2261.931372566223"/>
        <n v="4527.54090801239"/>
        <n v="7972.773496074676"/>
        <n v="3803.0894519233707"/>
        <n v="6164.407569942475"/>
        <n v="30901.78857564926"/>
        <n v="5513.730267047882"/>
        <n v="160949.49256896973"/>
        <n v="8448.335676670074"/>
        <n v="1476.3744106292725"/>
        <n v="2127.840766429901"/>
        <n v="166.39515209197998"/>
        <n v="180.15798711776733"/>
        <n v="23972.647819519043"/>
        <n v="314723.45749872207"/>
        <n v="458.47477852378086"/>
        <n v="457.86232815423193"/>
        <n v="458.72532640159994"/>
        <n v="458.9758742801924"/>
        <n v="458.78100370778196"/>
        <n v="455.8022678224038"/>
        <n v="458.1685533390064"/>
        <n v="340.3206109276638"/>
        <n v="340.7754468086319"/>
        <n v="340.38263400198974"/>
        <n v="340.9201673164236"/>
        <n v="82.30279514072112"/>
        <n v="28.41001394309974"/>
        <n v="340.5687032265143"/>
        <n v="337.79947470759265"/>
        <n v="458.00190619307455"/>
        <n v="458.58630527111933"/>
        <n v="458.94807612899336"/>
        <n v="457.9184206106072"/>
        <n v="458.78110496405867"/>
        <n v="457.58447827996446"/>
        <n v="340.4448300317833"/>
        <n v="340.13482745437324"/>
        <n v="340.1968279701646"/>
        <n v="82.27187896867869"/>
        <n v="339.64743320639286"/>
        <n v="340.3161579080375"/>
        <n v="340.70444967068187"/>
        <n v="340.5750190826182"/>
        <n v="340.1867273207471"/>
        <n v="457.7813205631102"/>
        <n v="459.0593902394654"/>
        <n v="458.24607317234245"/>
        <n v="457.2584738770474"/>
        <n v="457.95560279128233"/>
        <n v="458.88510801052"/>
        <n v="457.8684616768096"/>
        <n v="82.28157052454968"/>
        <n v="502.6583766937256"/>
        <n v="56.58760743492509"/>
        <n v="1852.2049452638626"/>
        <n v="267.2474551963806"/>
        <n v="266.6328983306885"/>
        <n v="169353.9059617281"/>
        <n v="157160.728225708"/>
        <n v="171305.924949646"/>
        <n v="85726.9772195816"/>
        <n v="64076.11046600342"/>
        <n v="449.00203905105593"/>
        <n v="1253.1142074584961"/>
        <n v="1056.1755323410034"/>
        <n v="2233.5515356063843"/>
        <n v="2206.1604043960574"/>
        <n v="7251.643587589264"/>
        <n v="7483.360508918762"/>
        <n v="8196.15361070633"/>
        <n v="3549.2274698257447"/>
        <n v="7895.238786315918"/>
        <n v="9307.567596435547"/>
        <n v="3500.7934560775757"/>
        <n v="55127.05634880066"/>
        <n v="202085.4358316231"/>
        <n v="174270.53924560547"/>
        <n v="13723.356179237368"/>
        <n v="69186.7285205841"/>
        <n v="10220.577877044678"/>
        <n v="358.1681053161621"/>
        <n v="2051.5836399078366"/>
        <n v="1871.0734613800048"/>
        <n v="1914.7110705661773"/>
        <n v="1889.112136440277"/>
        <n v="2099.431149339676"/>
        <n v="2205.2048888397217"/>
        <n v="58381.17281455993"/>
        <n v="62551.2565870285"/>
        <n v="30086.441482543945"/>
        <n v="1851.4048247509002"/>
        <n v="1628.3452038717269"/>
        <n v="678.4724511623383"/>
        <n v="2159.977658855438"/>
        <n v="976.9980654573442"/>
        <n v="691.7661164283752"/>
        <n v="1028.5546604309084"/>
        <n v="1851.4155513763428"/>
        <n v="769.7319755554199"/>
        <n v="642.8466627693176"/>
        <n v="514.234423713684"/>
        <n v="427.5892341613769"/>
        <n v="1628.3112406253815"/>
        <n v="814.2122257232667"/>
        <n v="8923.775050792694"/>
        <n v="2547.992115053177"/>
        <n v="4603.481481407165"/>
        <n v="1002.2124655246735"/>
        <n v="841.9283234596253"/>
        <n v="507.3074194440842"/>
        <n v="334.0631265735626"/>
        <n v="280.63630992507933"/>
        <n v="558.1151818084717"/>
        <n v="279.05759090423584"/>
        <n v="3031.278122372464"/>
        <n v="9209.040836989096"/>
        <n v="9203.38834445408"/>
        <n v="2865.791148390172"/>
        <n v="2926.017765920468"/>
        <n v="2920.531482608738"/>
        <n v="359363.0323265076"/>
        <n v="92325.28769958306"/>
        <n v="193392.41333007812"/>
        <n v="17.6633077389534"/>
        <n v="389.33288693234414"/>
        <n v="266.5107459889214"/>
        <n v="262.40459025290403"/>
        <n v="264.5992596979563"/>
        <n v="265.6080996846111"/>
        <n v="266.776230195659"/>
        <n v="390.26747277733193"/>
        <n v="390.0338263158659"/>
        <n v="390.4491978034036"/>
        <n v="390.786687136535"/>
        <n v="390.241512060073"/>
        <n v="391.02033359800106"/>
        <n v="68.24150434249302"/>
        <n v="14.228065610411777"/>
        <n v="22.231352516597063"/>
        <n v="390.68259615023516"/>
        <n v="265.961754415158"/>
        <n v="266.49293427143493"/>
        <n v="266.51064026708235"/>
        <n v="266.38669830017955"/>
        <n v="266.59917024356673"/>
        <n v="389.25418806759444"/>
        <n v="385.43644282836135"/>
        <n v="388.215345825674"/>
        <n v="391.30590149486153"/>
        <n v="390.39691453318113"/>
        <n v="390.89036459844397"/>
        <n v="68.24320615235312"/>
        <n v="389.82525648793137"/>
        <n v="266.1209779044713"/>
        <n v="266.7231016318877"/>
        <n v="266.65226354569063"/>
        <n v="266.4220397681795"/>
        <n v="388.9160885019117"/>
        <n v="390.1109949988248"/>
        <n v="390.3967335088419"/>
        <n v="384.7079395342932"/>
        <n v="390.6824720188591"/>
        <n v="390.9941867572985"/>
        <n v="68.24646171662516"/>
        <n v="1066.5456302261352"/>
        <n v="732.646708946228"/>
        <n v="1433.5506443023683"/>
        <n v="271.1330865097046"/>
        <n v="546.7934859848023"/>
        <n v="88610.55618919373"/>
        <n v="320758.0207824707"/>
        <n v="4601.917474365235"/>
        <n v="2312.0181079864506"/>
        <n v="75947.90087280273"/>
        <n v="59456.45506744385"/>
        <n v="40872.924617958066"/>
        <n v="1860.5223118305205"/>
        <n v="1149.2634201049805"/>
        <n v="169.134938621521"/>
        <n v="5868.96904335022"/>
        <n v="193888.29879760742"/>
        <n v="572836.6336402893"/>
        <n v="89129.4979095459"/>
        <n v="331099.3791503906"/>
        <n v="1369.741920013428"/>
        <n v="1249.275669631958"/>
        <n v="1567.776867556572"/>
        <n v="985.4040548617362"/>
        <n v="1554.9698379135132"/>
        <n v="1330.1965466880797"/>
        <n v="1458.5401177597046"/>
        <n v="1238.167835292816"/>
        <n v="967.6657483386992"/>
        <n v="1280.5347719848633"/>
        <n v="952.879308393669"/>
        <n v="79512.80796408653"/>
        <n v="2947.822427749634"/>
        <n v="245.05085468292236"/>
        <n v="5314.168479442596"/>
        <n v="13259.994536542892"/>
        <n v="115.447189617157"/>
        <n v="134.86699533462524"/>
        <n v="108.42543115615845"/>
        <n v="112.53173961639405"/>
        <n v="69.2176986694336"/>
        <n v="153.442467212677"/>
        <n v="146.792498588562"/>
        <n v="106.77982635498047"/>
        <n v="146.95505905151367"/>
        <n v="142.77133512496948"/>
        <n v="102.8176589012146"/>
        <n v="104.60198774337769"/>
        <n v="93.5648717880249"/>
        <n v="144.1097502708435"/>
        <n v="113.56100072860718"/>
        <n v="118.45614910125732"/>
        <n v="110.56618728637696"/>
        <n v="106.03677791595459"/>
        <n v="210097.73074436188"/>
        <n v="276.93510069966317"/>
        <n v="289.1063587419033"/>
        <n v="289.6450452710152"/>
        <n v="1015.5920929963833"/>
        <n v="352.636143401718"/>
        <n v="523.8102043069398"/>
        <n v="530.1144199643135"/>
        <n v="372.8305578160286"/>
        <n v="367.45335963964465"/>
        <n v="16.942919244715014"/>
        <n v="10.843468316437905"/>
        <n v="189.43729144778987"/>
        <n v="194.4266295917879"/>
        <n v="318.7590668952652"/>
        <n v="285.76856360306783"/>
        <n v="322.3965811143757"/>
        <n v="305.72626193866785"/>
        <n v="288.72525965250645"/>
        <n v="267.13678411832643"/>
        <n v="261.37568740649937"/>
        <n v="190.82711604015506"/>
        <n v="189.92309542492163"/>
        <n v="177.3946339072891"/>
        <n v="51.50844619660959"/>
        <n v="48.12394919223329"/>
        <n v="16.265202474977755"/>
        <n v="200.4269333690288"/>
        <n v="179.37024338012793"/>
        <n v="282.3343892445127"/>
        <n v="280.65581876365763"/>
        <n v="311.9027658609055"/>
        <n v="288.7264811472726"/>
        <n v="289.58630958505177"/>
        <n v="188.2258860928975"/>
        <n v="194.45171778410725"/>
        <n v="213.15559350104596"/>
        <n v="282.92263919140436"/>
        <n v="51.70283456973422"/>
        <n v="48.30556476953304"/>
        <n v="185.6715676938991"/>
        <n v="209.98649114762802"/>
        <n v="199.67951050139402"/>
        <n v="279.98683883838237"/>
        <n v="318.8002035260672"/>
        <n v="279.57413977073645"/>
        <n v="291.62102207580864"/>
        <n v="279.5937921072583"/>
        <n v="179.0981720251789"/>
        <n v="217.49453625077962"/>
        <n v="281.6948983741978"/>
        <n v="51.89247265948422"/>
        <n v="48.48274219323568"/>
        <n v="29.740909171104434"/>
        <n v="754.8732023972052"/>
        <n v="723.0359381371152"/>
        <n v="377.43660119894605"/>
        <n v="188.71830059912958"/>
        <n v="184.06704165101053"/>
        <n v="1239.2359408995628"/>
        <n v="1073.7526850624563"/>
        <n v="441.76089996242524"/>
        <n v="368.13408330202105"/>
        <n v="935.6049445152282"/>
        <n v="896.1452024459838"/>
        <n v="155.9341574192047"/>
        <n v="389.8353935480118"/>
        <n v="55198.465101909635"/>
        <n v="24199.868242263794"/>
        <n v="374.2646263217926"/>
        <n v="1995.9440061092375"/>
        <n v="202.073418006897"/>
        <n v="561.3969394826889"/>
        <n v="1937.1778937306406"/>
        <n v="1902.391249622822"/>
        <n v="5077.851093162537"/>
        <n v="7606.97097158432"/>
        <n v="10992.547159194946"/>
        <n v="963.2288932800293"/>
        <n v="41306.89853858948"/>
        <n v="465198.0544750214"/>
        <n v="45391.62646865845"/>
        <n v="23518.594665527344"/>
        <n v="15992.91948223114"/>
        <n v="2870.7400226593018"/>
        <n v="34997.67335188389"/>
        <n v="69579.22166061401"/>
        <n v="68160.11169695854"/>
        <n v="308.17468872070316"/>
        <n v="143770.574150486"/>
        <n v="7.454471111297607"/>
        <n v="656.3135190205575"/>
        <n v="1789.397506722927"/>
        <n v="3742.7451550636288"/>
        <n v="5152.136165210724"/>
        <n v="1844.4501023292542"/>
        <n v="3606.496772670746"/>
        <n v="3981.881259475708"/>
        <n v="5175.742196502686"/>
        <n v="15198.436926941871"/>
        <n v="36097.085616230965"/>
        <n v="1351.1200977230071"/>
        <n v="5904.343799180984"/>
        <n v="20705.006443419454"/>
        <n v="8966.225616168977"/>
        <n v="54735.32352023601"/>
        <n v="2305.389199733734"/>
        <n v="323.45377459526065"/>
        <n v="1677.6780560016632"/>
        <n v="1233.3365929031372"/>
        <n v="868.1727773666382"/>
        <n v="1610.3137095165253"/>
        <n v="413.66097702026366"/>
        <n v="1414.125120306015"/>
        <n v="213.43379379272463"/>
        <n v="893.5599501037598"/>
        <n v="112.46565228939056"/>
        <n v="1408.233640551567"/>
        <n v="1406.9012471866608"/>
        <n v="1645.6526320695878"/>
        <n v="1542.5095554065704"/>
        <n v="1222.4968730020523"/>
        <n v="1332.4836755132676"/>
        <n v="1412.1438364219666"/>
        <n v="1548.3113541603088"/>
        <n v="1308.8677543830872"/>
        <n v="742.7923941612244"/>
        <n v="642.1954195833206"/>
        <n v="933.1538669013978"/>
        <n v="113.36371511936187"/>
        <n v="8574.355184874534"/>
        <n v="6669.936915206909"/>
        <n v="6665.497779846191"/>
        <n v="803.2192622423172"/>
        <n v="698.1016757488251"/>
        <n v="625.320503616333"/>
        <n v="495.204347038269"/>
        <n v="1426.6916682720184"/>
        <n v="1189.0200632095336"/>
        <n v="1664.495680913925"/>
        <n v="1396.2033514976501"/>
        <n v="990.408694076538"/>
        <n v="969.2437187194823"/>
        <n v="247.6021735191345"/>
        <n v="538.3173402786255"/>
        <n v="388.08622159957883"/>
        <n v="396.5607003688812"/>
        <n v="2267.484438140214"/>
        <n v="1533.4421844839173"/>
        <n v="718.2818030043165"/>
        <n v="669.8825268745422"/>
        <n v="6382.495803375245"/>
        <n v="1610.6550031661986"/>
        <n v="2518.9582659816742"/>
        <n v="29220.93856859207"/>
        <n v="43130.653908252716"/>
        <n v="16166.175353050232"/>
        <n v="29519.210612773895"/>
        <n v="1030.5573329925537"/>
        <n v="11824.971375465393"/>
        <n v="8572.543142795563"/>
        <n v="12814.235840320587"/>
        <n v="13612.328640460968"/>
        <n v="12133.753804206848"/>
        <n v="346.87674045562744"/>
        <n v="349.8929977416992"/>
        <n v="40132.50814533234"/>
        <n v="9057.816326141357"/>
        <n v="56692.587339019774"/>
        <n v="94813.20697569847"/>
        <n v="806.0589263391495"/>
        <n v="537.3726175594329"/>
        <n v="10369.899596214294"/>
        <n v="45.975431140600556"/>
        <n v="267.2728542930643"/>
        <n v="275.0405939093657"/>
        <n v="274.21881792986176"/>
        <n v="281.65393393510294"/>
        <n v="377.75670976939654"/>
        <n v="412.9777973710427"/>
        <n v="394.15455145252656"/>
        <n v="370.5859494187313"/>
        <n v="249.71118395768255"/>
        <n v="283.1409571360072"/>
        <n v="372.06228243235773"/>
        <n v="373.48588926679747"/>
        <n v="116.73576040605629"/>
        <n v="68.24621187365523"/>
        <n v="279.2203634464404"/>
        <n v="275.03508938482554"/>
        <n v="276.01295715569245"/>
        <n v="276.8539234396462"/>
        <n v="381.1454097230122"/>
        <n v="224.6713055380053"/>
        <n v="372.792043097055"/>
        <n v="395.16430891906117"/>
        <n v="379.2744664095732"/>
        <n v="109.33160294132931"/>
        <n v="280.86318130236094"/>
        <n v="254.76450644379332"/>
        <n v="126.7498216790012"/>
        <n v="68.18053680002535"/>
        <n v="297.6162720044068"/>
        <n v="265.27734147162744"/>
        <n v="286.08821683783776"/>
        <n v="262.918901380946"/>
        <n v="371.05718254466376"/>
        <n v="98.40794420577453"/>
        <n v="282.94508370199213"/>
        <n v="269.6168712402383"/>
        <n v="363.43063042264663"/>
        <n v="356.33793694999883"/>
        <n v="361.60025791350654"/>
        <n v="252.76935914229549"/>
        <n v="65.45032043893697"/>
        <n v="160924.67646884918"/>
        <n v="175550.89965200424"/>
        <n v="566873.001636982"/>
        <n v="129180.1940574646"/>
        <n v="919618.0729379654"/>
        <n v="233.83777729034423"/>
        <n v="24.920360450744628"/>
        <n v="24.413260092735293"/>
        <n v="226.96363166332245"/>
        <n v="1470.156380777359"/>
        <n v="24726.648113985062"/>
        <n v="724.5584197235108"/>
        <n v="1879.7793633317947"/>
        <n v="4049.83631980896"/>
        <n v="4746.215666885377"/>
        <n v="2026.0174836826322"/>
        <n v="3730.0897500705714"/>
        <n v="4209.637880458831"/>
        <n v="119.37017411231994"/>
        <n v="186.00056999206544"/>
        <n v="59.64794636726379"/>
        <n v="261.0761583328247"/>
        <n v="175.18899734497072"/>
        <n v="15965.617486953735"/>
        <n v="2493.086895465851"/>
        <n v="700064.2426943779"/>
        <n v="10727.649428367615"/>
        <n v="82224.64503097534"/>
        <n v="3425.0998971939084"/>
        <n v="143.096767578125"/>
        <n v="122.69429876327514"/>
        <n v="207.72787598133087"/>
        <n v="14.141985233306885"/>
        <n v="92.30020994663239"/>
        <n v="107.74180449485779"/>
        <n v="20.68195468902588"/>
        <n v="26.55115804672241"/>
        <n v="22.358869934082033"/>
        <n v="28.856916508674622"/>
        <n v="1366.4064388465881"/>
        <n v="487.98233631134036"/>
        <n v="1009.370979309082"/>
        <n v="111193.39516560556"/>
        <n v="4417.702824840546"/>
        <n v="247840.3480205536"/>
        <n v="106.72938254356386"/>
        <n v="1384.651984062195"/>
        <n v="1364.2675193691255"/>
        <n v="1631.9060892677307"/>
        <n v="1271.7666177654266"/>
        <n v="1495.823417739868"/>
        <n v="1093.5293653964998"/>
        <n v="97.25330212478637"/>
        <n v="100.36702636260986"/>
        <n v="93.18393421478271"/>
        <n v="98.17256304168701"/>
        <n v="13.692362123324825"/>
        <n v="12.045348277473536"/>
        <n v="15.027559327122018"/>
        <n v="6726.159330368042"/>
        <n v="75537.58044419289"/>
        <n v="1337.9915057373046"/>
        <n v="1160.2392442035675"/>
        <n v="1287.8027549266817"/>
        <n v="1103.2648498344422"/>
        <n v="1220.3167371368409"/>
        <n v="444.0031868457794"/>
        <n v="41919.99544620514"/>
        <n v="252.9655091342926"/>
        <n v="444.1349173784256"/>
        <n v="23.286624479293824"/>
        <n v="117.08359181880951"/>
        <n v="72.27221155166626"/>
        <n v="20.288630113601684"/>
        <n v="100.9304993391037"/>
        <n v="151.65423452854156"/>
        <n v="33.26317727088929"/>
        <n v="16.430648803710938"/>
        <n v="50.551411509513855"/>
        <n v="129.89470531463624"/>
        <n v="13.241208434104918"/>
        <n v="131.3032146692276"/>
        <n v="15.354158020019531"/>
        <n v="819.240891828537"/>
        <n v="1489.4016927909852"/>
        <n v="1353.062574148178"/>
        <n v="579.6443321609497"/>
        <n v="469.8976652622223"/>
        <n v="354.63762229919433"/>
        <n v="319.2084463119507"/>
        <n v="227.04151368141174"/>
        <n v="211.67593791484833"/>
        <n v="1063.8492661762239"/>
        <n v="531.8928327274323"/>
        <n v="433.6046109199524"/>
        <n v="281.9385991573334"/>
        <n v="242.31394017219543"/>
        <n v="254.011125497818"/>
        <n v="1030.8450678300858"/>
        <n v="429.5444564342499"/>
        <n v="150.34028601646423"/>
        <n v="902.1765504360199"/>
        <n v="1276.4664776802063"/>
        <n v="574.5294058799743"/>
        <n v="443.29702787399293"/>
        <n v="248.04281330108643"/>
        <n v="222.62417674064636"/>
        <n v="5765.491135425091"/>
        <n v="2202.2520452928543"/>
        <n v="1820.3958898258209"/>
        <n v="25890.31449758053"/>
        <n v="890.6416658629116"/>
        <n v="647.2582137169022"/>
        <n v="431.50547622129716"/>
        <n v="215.75273811064858"/>
        <n v="1158.5991077423096"/>
        <n v="3136.845456600189"/>
        <n v="1084.6459732055664"/>
        <n v="1220.2267198562622"/>
        <n v="2465.1044845581055"/>
        <n v="1109.2970180511475"/>
        <n v="1096.971495628357"/>
        <n v="1756.3869452476501"/>
        <n v="986.0417938232422"/>
        <n v="4048.9341158866882"/>
        <n v="225.33529389953614"/>
        <n v="51362.78985002833"/>
        <n v="48916.94271182947"/>
        <n v="118581.3500902472"/>
        <n v="4076.401873011589"/>
        <n v="3310.2836775779724"/>
        <n v="3184.159755706787"/>
        <n v="2717.8801703453064"/>
        <n v="2428.2311964035034"/>
        <n v="3729.383812904358"/>
        <n v="1033.6294545030594"/>
        <n v="1077.8221786022186"/>
        <n v="982.0650469064713"/>
        <n v="9232.350807189941"/>
        <n v="2162.979289007187"/>
        <n v="2156.050510120392"/>
        <n v="2257.4312506580354"/>
        <n v="1400.280365190506"/>
        <n v="41.65930455207825"/>
        <n v="446.0788023471832"/>
        <n v="123.30082847595216"/>
        <n v="100.93517067909242"/>
        <n v="23.117575645446777"/>
        <n v="183.00705909252167"/>
        <n v="184.95071189403532"/>
        <n v="10490.011601448059"/>
        <n v="115327.31317520142"/>
        <n v="9704.435741209983"/>
        <n v="9173.222397475243"/>
        <n v="10001.09938867092"/>
        <n v="11327.162715973855"/>
        <n v="9063.149855589867"/>
        <n v="1770.9429142570496"/>
        <n v="9829.226301941871"/>
        <n v="11325.772105126382"/>
        <n v="9668.399629497528"/>
        <n v="9413.879392147064"/>
        <n v="10729.66358850956"/>
        <n v="10314.004097557068"/>
        <n v="106.61017894744873"/>
        <n v="33.23488213479967"/>
        <n v="320.2302801877466"/>
        <n v="320.07162271351103"/>
        <n v="296.6147229239741"/>
        <n v="337.6048239531363"/>
        <n v="235.91450873898427"/>
        <n v="227.73593336711224"/>
        <n v="243.46627426348164"/>
        <n v="247.99144082246042"/>
        <n v="236.20781226202232"/>
        <n v="329.9243976908028"/>
        <n v="319.2386709719507"/>
        <n v="295.98860121802386"/>
        <n v="61.33977377379182"/>
        <n v="58.66043674442994"/>
        <n v="320.3329750523227"/>
        <n v="319.78179682430147"/>
        <n v="336.1340046304086"/>
        <n v="320.2083292414322"/>
        <n v="328.6272341609642"/>
        <n v="242.30956272636146"/>
        <n v="236.0791935027304"/>
        <n v="216.7869357811151"/>
        <n v="220.28547054432744"/>
        <n v="216.60360644835163"/>
        <n v="308.9342050442223"/>
        <n v="320.2345503686874"/>
        <n v="61.18080426592983"/>
        <n v="58.508411065388124"/>
        <n v="182.3224353981018"/>
        <n v="119.55569534301758"/>
        <n v="50.52377702236175"/>
        <n v="71.38854500770569"/>
        <n v="43.971205258369444"/>
        <n v="95.5002760887146"/>
        <n v="206.82374715805054"/>
        <n v="170.96906065940857"/>
        <n v="190.66388845443723"/>
        <n v="182.80840158462524"/>
        <n v="62.82421875476837"/>
        <n v="176.74845457077026"/>
        <n v="901.6976714134215"/>
        <n v="125.85612177848816"/>
        <n v="35.34709453582764"/>
        <n v="27.589775848388673"/>
        <n v="37.59411573410034"/>
        <n v="45.44960260391235"/>
        <n v="49.948990025520324"/>
        <n v="30.860841274261475"/>
        <n v="26.390195264091176"/>
        <n v="218.1154328686135"/>
        <n v="236.23973609798864"/>
        <n v="236.02251081537813"/>
        <n v="248.4735898195134"/>
        <n v="320.8054135333235"/>
        <n v="315.64095103942986"/>
        <n v="351.90138426138486"/>
        <n v="296.3573961137872"/>
        <n v="328.54677208475346"/>
        <n v="333.26516471124563"/>
        <n v="246.5381049133658"/>
        <n v="257.5258483399199"/>
        <n v="60.628627930675414"/>
        <n v="57.98035393388625"/>
        <n v="126.7980115032196"/>
        <n v="119066.73669815063"/>
        <n v="246.17873641014097"/>
        <n v="2994.8044939041138"/>
        <n v="1762.4470310211184"/>
        <n v="111878.00199508667"/>
        <n v="694.6138867378235"/>
        <n v="623.2315063476562"/>
        <n v="1042.0874239397049"/>
        <n v="119353.10217857361"/>
        <n v="61493.7544108963"/>
        <n v="58565.42258815765"/>
        <n v="4880.472113456726"/>
        <n v="238.09261756896973"/>
        <n v="29.011412105560304"/>
        <n v="295.940680809021"/>
        <n v="29.55280683517456"/>
        <n v="371.15527080059053"/>
        <n v="88.17330339431763"/>
        <n v="43.66012468338013"/>
        <n v="69.03204005241393"/>
        <n v="265.2835132598877"/>
        <n v="83.17307739257812"/>
        <n v="8352.853446350098"/>
        <n v="785.5327491474152"/>
        <n v="1874.1837203979492"/>
        <n v="34633.337446689606"/>
        <n v="273686.3090143204"/>
        <n v="617930.7768344879"/>
        <n v="747.2040942955017"/>
        <n v="2087.640963215828"/>
        <n v="3552.7595306396483"/>
        <n v="3718.5792745018007"/>
        <n v="3210.692952690124"/>
        <n v="3980.748887996674"/>
        <n v="947.0555318669128"/>
        <n v="5383.0128921890255"/>
        <n v="1502.3278747558595"/>
        <n v="1474.041386756897"/>
        <n v="1584.4443960380554"/>
        <n v="1344.404016342163"/>
        <n v="1509.4385700988769"/>
        <n v="1473.6697169113158"/>
        <n v="27795.31955718994"/>
        <n v="808.6206722946167"/>
        <n v="12412.222310819625"/>
        <n v="13173.009710998535"/>
        <n v="12791.628422775268"/>
        <n v="14487.754412794113"/>
        <n v="11394.907147979735"/>
        <n v="5133.295206460953"/>
        <n v="13549.250902175903"/>
        <n v="14979.256477041245"/>
        <n v="12605.423789978027"/>
        <n v="13140.548956561088"/>
        <n v="15848.224748253822"/>
        <n v="9512.149941329955"/>
        <n v="1364.990313720703"/>
        <n v="487.42369537353517"/>
        <n v="276.3748443603516"/>
        <n v="27.76213073730469"/>
        <n v="219.43414764404295"/>
        <n v="231.16223144531247"/>
        <n v="96.31759643554688"/>
        <n v="46.79902038574219"/>
        <n v="64.47613220214845"/>
        <n v="110.87855072021485"/>
        <n v="57.33729858398437"/>
        <n v="214.1083511352539"/>
        <n v="378.98141326904295"/>
        <n v="15.410815429687501"/>
        <n v="233.1452407836914"/>
        <n v="17101.940231323242"/>
        <n v="649701.8481445312"/>
        <n v="21043.134675621986"/>
        <n v="34030.969014167786"/>
        <n v="1394.1733515501023"/>
        <n v="1989.948914527893"/>
        <n v="1234.1226205825806"/>
        <n v="1021.9284614562988"/>
        <n v="1599.7059309959413"/>
        <n v="158.42825174331665"/>
        <n v="134.17537689208984"/>
        <n v="833.1141543388367"/>
        <n v="2756.7364522159733"/>
        <n v="430.3669433355331"/>
        <n v="403.54687811136245"/>
        <n v="413.50943405628203"/>
        <n v="410.0497456455231"/>
        <n v="1005.1968107986451"/>
        <n v="178.95803998947144"/>
        <n v="573.8349723815918"/>
        <n v="99.53907257080078"/>
        <n v="43.060407619476315"/>
        <n v="113.81121900558472"/>
        <n v="390.8882090091705"/>
        <n v="225.59597332477568"/>
        <n v="1104.0176180171966"/>
        <n v="1716.2849391315372"/>
        <n v="747.3561152112474"/>
        <n v="756.6660281470271"/>
        <n v="504.4440187646847"/>
        <n v="1531.0600505828857"/>
        <n v="1197.4884577444666"/>
        <n v="2793.0473448228836"/>
        <n v="1732.5283175106047"/>
        <n v="255.61794284700986"/>
        <n v="511.2358856940197"/>
        <n v="2787.3380002975464"/>
        <n v="1579.3898800373076"/>
        <n v="875.2973225879668"/>
        <n v="1826.2894992160795"/>
        <n v="1225.9178136653836"/>
        <n v="612.9589068326918"/>
        <n v="787.5129776994434"/>
        <n v="474.2302325694988"/>
        <n v="511.96720538893817"/>
        <n v="512.5402343699265"/>
        <n v="464.40337302063983"/>
        <n v="7232.868047786713"/>
        <n v="3376.64993897295"/>
        <n v="2193.834891155243"/>
        <n v="49.26522362709045"/>
        <n v="117.63711193084717"/>
        <n v="2494.5484924316406"/>
        <n v="717.8292911089003"/>
        <n v="1531.0736601262863"/>
        <n v="1207704.8468608856"/>
        <n v="3173.749523162842"/>
        <n v="50435.70001602173"/>
        <n v="278555.5068192482"/>
        <n v="7483.729537954331"/>
        <n v="14575.399160385132"/>
        <n v="36.12428122722688"/>
        <n v="348.0707002978378"/>
        <n v="347.8982493411941"/>
        <n v="306.35912507799094"/>
        <n v="348.69583501727226"/>
        <n v="256.4246211165783"/>
        <n v="235.21752597914963"/>
        <n v="251.4646408448047"/>
        <n v="256.1384684086383"/>
        <n v="255.39129189349543"/>
        <n v="340.7630909958043"/>
        <n v="346.99288181683244"/>
        <n v="305.71243398950975"/>
        <n v="60.58755243354056"/>
        <n v="348.18232332551975"/>
        <n v="347.5832263516052"/>
        <n v="347.1766962624028"/>
        <n v="346.21386184006195"/>
        <n v="252.9428165407935"/>
        <n v="256.60362336774546"/>
        <n v="223.90883136055217"/>
        <n v="227.52230016799027"/>
        <n v="223.71947928310678"/>
        <n v="319.08332745934257"/>
        <n v="348.07534172296965"/>
        <n v="60.4305323990611"/>
        <n v="225.28097230279056"/>
        <n v="256.77812333547615"/>
        <n v="256.5420127584367"/>
        <n v="256.6364569893745"/>
        <n v="343.08238061234346"/>
        <n v="347.5859504959856"/>
        <n v="306.0933445541827"/>
        <n v="348.6104592847248"/>
        <n v="344.21360906646197"/>
        <n v="254.63738743340707"/>
        <n v="268.82683736554776"/>
        <n v="59.88512750747865"/>
        <n v="44.27885208441096"/>
        <n v="405.6956862822065"/>
        <n v="406.510285138028"/>
        <n v="396.12414972979377"/>
        <n v="345.84812661280415"/>
        <n v="389.14914702896357"/>
        <n v="331.3635407129233"/>
        <n v="314.8502489524258"/>
        <n v="314.7713292262328"/>
        <n v="315.04754826886"/>
        <n v="314.7121394311121"/>
        <n v="315.20538772188047"/>
        <n v="406.12844192456"/>
        <n v="75.12128821129666"/>
        <n v="72.91343618871599"/>
        <n v="396.41161276771896"/>
        <n v="406.53547319018435"/>
        <n v="406.1784604806381"/>
        <n v="406.68847863785805"/>
        <n v="405.9489523097622"/>
        <n v="405.8724495859254"/>
        <n v="314.9286837196636"/>
        <n v="314.8100962896888"/>
        <n v="276.60517940596105"/>
        <n v="315.1065648639912"/>
        <n v="300.5993693168343"/>
        <n v="73.34421085452428"/>
        <n v="406.66248218645006"/>
        <n v="405.83059575662605"/>
        <n v="356.2033708958664"/>
        <n v="406.63648573567673"/>
        <n v="403.49091517115954"/>
        <n v="308.8384161976044"/>
        <n v="314.50018517962667"/>
        <n v="314.9233067047251"/>
        <n v="200.3984138507039"/>
        <n v="406.58449283413"/>
        <n v="299.95286416609497"/>
        <n v="71.249814323296"/>
        <n v="2433.8205290436745"/>
        <n v="119.9069200539589"/>
        <n v="168.83892538547516"/>
        <n v="1519.5249439287186"/>
        <n v="651.4616042900085"/>
        <n v="30319.954105453493"/>
        <n v="673.9593310594558"/>
        <n v="545.0783099126816"/>
        <n v="1712.888165283203"/>
        <n v="2665.4384039354327"/>
        <n v="3755.7614617013933"/>
        <n v="3337.4794344902043"/>
        <n v="3372.097934036255"/>
        <n v="1176.8385611629487"/>
        <n v="1195.1629288482666"/>
        <n v="303216.3562774658"/>
        <n v="60.34382431030273"/>
        <n v="37.68554008483887"/>
        <n v="236.3965429210663"/>
        <n v="253.23274131774903"/>
        <n v="67.32915027618408"/>
        <n v="124.97276454925536"/>
        <n v="160.95599830627444"/>
        <n v="489.26631870269773"/>
        <n v="725.6520973968506"/>
        <n v="168.58702667236327"/>
        <n v="262.9769775390625"/>
        <n v="18.6079691696167"/>
        <n v="68.51523435115814"/>
        <n v="74.56708788871765"/>
        <n v="665.5599020290375"/>
        <n v="260.4828685092926"/>
        <n v="411.96606867313386"/>
        <n v="282.9241847419739"/>
        <n v="240.0074081611633"/>
        <n v="26.00663363456726"/>
        <n v="2733.5829191207886"/>
        <n v="4845.017973899841"/>
        <n v="12258.559122047425"/>
        <n v="367221.4543102455"/>
        <n v="768.4212098121643"/>
        <n v="27504.165269851685"/>
        <n v="814.6346899414062"/>
        <n v="36165.913986206055"/>
        <n v="608390.9068908691"/>
        <n v="921.0740061950684"/>
        <n v="1167.3493827819825"/>
        <n v="416.9470809936524"/>
        <n v="959.0658363342285"/>
        <n v="137.51760646820068"/>
        <n v="277.9305726623535"/>
        <n v="508.14933800697327"/>
        <n v="194.83466092586517"/>
        <n v="91.53371421813965"/>
        <n v="43.63509595870971"/>
        <n v="82.313754196167"/>
        <n v="31.45030807495117"/>
        <n v="13890.586881103516"/>
        <n v="291.81173469543455"/>
        <n v="32802.773766174316"/>
        <n v="7993.809693369866"/>
        <n v="9870.940421524047"/>
        <n v="14594.223496780396"/>
        <n v="16608.64045237541"/>
        <n v="2399.0533215332034"/>
        <n v="8106.847799420357"/>
        <n v="9142.729589233399"/>
        <n v="9556.591006774903"/>
        <n v="9410.068316688537"/>
        <n v="9425.941134095192"/>
        <n v="130.03150820732117"/>
        <n v="23419.600199103355"/>
        <n v="22024.57514822483"/>
        <n v="11628.801881828307"/>
        <n v="24.61308952331543"/>
        <n v="58.45490520954132"/>
        <n v="22.857149848937986"/>
        <n v="1221.812460231495"/>
        <n v="1128.2026558962345"/>
        <n v="1212.7261052247047"/>
        <n v="1028.9798485615254"/>
        <n v="1043.5303492248058"/>
        <n v="1026.5575593688488"/>
        <n v="970.4869534714221"/>
        <n v="2036.6274046230315"/>
        <n v="40419.7925163269"/>
        <n v="102623.10769371034"/>
        <n v="16559.116587381362"/>
        <n v="61876.03033441543"/>
        <n v="80.76801127433777"/>
        <n v="145.44068311691282"/>
        <n v="384.28621538639067"/>
        <n v="79.98957113742829"/>
        <n v="397.9033442211151"/>
        <n v="299.248709115982"/>
        <n v="24.560752687454222"/>
        <n v="53.74275939464569"/>
        <n v="34.375478420257565"/>
        <n v="250.5867048072815"/>
        <n v="375.68855036735533"/>
        <n v="47.467542819976806"/>
        <n v="39.73945391178132"/>
        <n v="24.5128759765625"/>
        <n v="80.25047059059143"/>
        <n v="169.86657024383544"/>
        <n v="37037.55448737144"/>
        <n v="57131.04780464172"/>
        <n v="233490.75317382812"/>
        <n v="7367.688186645508"/>
        <n v="6416.17395401001"/>
        <n v="154140.94094276428"/>
        <n v="27674.000820159912"/>
        <n v="26932.81600828171"/>
        <n v="44887.573311853404"/>
        <n v="133.94088695526125"/>
        <n v="86.24727828979492"/>
        <n v="19.335816745758056"/>
        <n v="223.69207518577576"/>
        <n v="198.40894889831543"/>
        <n v="89.97316858291626"/>
        <n v="506.0522922706604"/>
        <n v="372.12591311931607"/>
        <n v="19.66441404819488"/>
        <n v="42.015082902908325"/>
        <n v="33.760139808654785"/>
        <n v="116.4853678894043"/>
        <n v="1771.009192428589"/>
        <n v="227.58952306747435"/>
        <n v="414.12247579574586"/>
        <n v="4550.376756649017"/>
        <n v="676.3549875619752"/>
        <n v="450.90332504117134"/>
        <n v="506.06116775606006"/>
        <n v="470.0969362564087"/>
        <n v="489.59742070007326"/>
        <n v="513.5914793872834"/>
        <n v="460.3736902751923"/>
        <n v="492.1006221146584"/>
        <n v="1334.028511993045"/>
        <n v="1082.1679800994223"/>
        <n v="376.0802392959595"/>
        <n v="356.53022187948227"/>
        <n v="366.0929186344147"/>
        <n v="226.81183066213228"/>
        <n v="453.6236613247036"/>
        <n v="482.41891151586117"/>
        <n v="3910.912767124176"/>
        <n v="1088.6967871799034"/>
        <n v="544.3483935901713"/>
        <n v="5289.78950548172"/>
        <n v="3535.717117819786"/>
        <n v="1597.6256662893295"/>
        <n v="1573.6878033590317"/>
        <n v="698.2334399604797"/>
        <n v="231.60217222110813"/>
        <n v="712.9933276964665"/>
        <n v="2084.653005404568"/>
        <n v="2205.2827358452796"/>
        <n v="700.3747016928672"/>
        <n v="632.3404312133263"/>
        <n v="1457.456163138276"/>
        <n v="2342.9772177151954"/>
        <n v="1417.8549860767491"/>
        <n v="3584.6483806321535"/>
        <n v="1771.483211359047"/>
        <n v="2806.3016046762464"/>
        <n v="59916.11602787018"/>
        <n v="119.08671884536743"/>
        <n v="17.688770685195923"/>
        <n v="52.761783857345584"/>
        <n v="18.71292743682861"/>
        <n v="103.6330950164795"/>
        <n v="125.28649878501892"/>
        <n v="265.0181608200073"/>
        <n v="421.5797212600708"/>
        <n v="120.65429391860961"/>
        <n v="396.5269445323944"/>
        <n v="285.73954381942747"/>
        <n v="685.814094543457"/>
        <n v="32238.917142748833"/>
        <n v="37447.83257198334"/>
        <n v="2056.3164737701413"/>
        <n v="3508.7174101352693"/>
        <n v="4693.370540595055"/>
        <n v="3363.980155334473"/>
        <n v="3690.7141482353213"/>
        <n v="327.00897766113286"/>
        <n v="327.03285150527955"/>
        <n v="39.69510208676369"/>
        <n v="268.13023015162327"/>
        <n v="269.7542599010224"/>
        <n v="274.97928931005123"/>
        <n v="293.3441869466613"/>
        <n v="379.3174754610827"/>
        <n v="361.12124986663883"/>
        <n v="78.01774264771711"/>
        <n v="336.21478517246874"/>
        <n v="325.86480597730025"/>
        <n v="310.36479966205275"/>
        <n v="308.3467713219737"/>
        <n v="61.67423499510711"/>
        <n v="60.83707208091747"/>
        <n v="69.90851693445269"/>
        <n v="293.3624428334063"/>
        <n v="329.7913803030132"/>
        <n v="327.132677341582"/>
        <n v="357.31114059240724"/>
        <n v="337.08235432028306"/>
        <n v="380.7312705583479"/>
        <n v="338.08793789047036"/>
        <n v="359.9192511074139"/>
        <n v="272.71462608803665"/>
        <n v="61.868034391242865"/>
        <n v="61.028240853953484"/>
        <n v="70.12819097447472"/>
        <n v="267.0267534747047"/>
        <n v="273.79935845167756"/>
        <n v="274.19293472920134"/>
        <n v="336.9340745190456"/>
        <n v="381.3304780471486"/>
        <n v="337.93862501688454"/>
        <n v="360.3950587025075"/>
        <n v="61.81740677984269"/>
        <n v="60.978300459163314"/>
        <n v="70.07080394358248"/>
        <n v="293.02686849533416"/>
        <n v="309.96233785919554"/>
        <n v="27.95673619832305"/>
        <n v="27.57725288979274"/>
        <n v="31.689310229912795"/>
        <n v="31.660794734954834"/>
        <n v="54.507908773422244"/>
        <n v="72.99096732139587"/>
        <n v="28.429001688957214"/>
        <n v="42.52814860343933"/>
        <n v="127.7983700990677"/>
        <n v="32.773201036453244"/>
        <n v="106.93273365497589"/>
        <n v="370.57802839279174"/>
        <n v="115.22412986755371"/>
        <n v="39.69463148117065"/>
        <n v="96.54277184486388"/>
        <n v="440.258055343628"/>
        <n v="511.4879657745361"/>
        <n v="150.97773857116698"/>
        <n v="1334.9731315135955"/>
        <n v="476.7944547653198"/>
        <n v="20753.577386598587"/>
        <n v="13327.442047977447"/>
        <n v="13329.195802302362"/>
        <n v="20184.4598595953"/>
        <n v="19516.493583917618"/>
        <n v="4061.265699419975"/>
        <n v="13173.754471149445"/>
        <n v="16157.776244859695"/>
        <n v="13455.111642198563"/>
        <n v="13900.951698846817"/>
        <n v="14814.304620838166"/>
        <n v="12913.921193761826"/>
        <n v="124.04068973064422"/>
        <n v="745.8221252632142"/>
        <n v="1394.7632499933243"/>
        <n v="1297.5582372546196"/>
        <n v="1183.4462834000587"/>
        <n v="1218.4648303556442"/>
        <n v="1272.9111731529235"/>
        <n v="228.89717864990234"/>
        <n v="299.96952199935913"/>
        <n v="308.845714302063"/>
        <n v="65.52924484014511"/>
        <n v="57.08989178180695"/>
        <n v="172.84923820495604"/>
        <n v="29.379274725914"/>
        <n v="108.72707331180573"/>
        <n v="23.756825923919678"/>
        <n v="56.928479003906254"/>
        <n v="163.96217831611634"/>
        <n v="95.29734995365143"/>
        <n v="375.5954178571701"/>
        <n v="338.8119323849678"/>
        <n v="663.0352394104003"/>
        <n v="19765.995926380157"/>
        <n v="17051.46180689335"/>
        <n v="5503.454518318176"/>
        <n v="20744.530313072202"/>
        <n v="1408.1916107225418"/>
        <n v="1381.4686079263686"/>
        <n v="1173.403626394272"/>
        <n v="709.2942222118378"/>
        <n v="1126.4511624526979"/>
        <n v="652.7041130065918"/>
        <n v="1091.0054498434067"/>
        <n v="1207.8528079986575"/>
        <n v="1747.5760736465454"/>
        <n v="1783.675331540108"/>
        <n v="1123.387378692627"/>
        <n v="643.8240685462952"/>
        <n v="1564.4020299339295"/>
        <n v="1126.3660573482514"/>
        <n v="1103.543553352356"/>
        <n v="76.19040064811706"/>
        <n v="964.7931660692198"/>
        <n v="227.74931502650034"/>
        <n v="1320.8548593521118"/>
        <n v="685.0960907936096"/>
        <n v="116.19100427627563"/>
        <n v="89.48403253555297"/>
        <n v="107.73816701889038"/>
        <n v="27.83346960067749"/>
        <n v="92.49338674545288"/>
        <n v="22.240140781402587"/>
        <n v="73.55671312332153"/>
        <n v="69.83471975326538"/>
        <n v="82.75724077224731"/>
        <n v="20020.048971176147"/>
        <n v="686.7459125518799"/>
        <n v="19124.468044281006"/>
        <n v="222.10518374443055"/>
        <n v="756.7640733718872"/>
        <n v="210.74330511093137"/>
        <n v="396.8807140350342"/>
        <n v="160.02236247062683"/>
        <n v="137.95456882476807"/>
        <n v="15.179536676406862"/>
        <n v="30.934391069412232"/>
        <n v="244.77556080818178"/>
        <n v="210.45288467407227"/>
        <n v="2528.5113033502003"/>
        <n v="408.90544143524176"/>
        <n v="390.0111807167053"/>
        <n v="412.36861111602786"/>
        <n v="1447.1897491033892"/>
        <n v="2040.1355490836781"/>
        <n v="913.7607439994812"/>
        <n v="325.5166444206238"/>
        <n v="239.63881409843862"/>
        <n v="253.2583393459333"/>
        <n v="125.62411016486406"/>
        <n v="119.81940704900938"/>
        <n v="524.6565437440872"/>
        <n v="516.9675310900211"/>
        <n v="500.41378118658065"/>
        <n v="531.0452517132759"/>
        <n v="2987.347339701653"/>
        <n v="2840.686170768738"/>
        <n v="2079.2932693958282"/>
        <n v="2288.7584620348694"/>
        <n v="1535.7470199802744"/>
        <n v="62.38697902191128"/>
        <n v="311.1300284823169"/>
        <n v="291.21981514811205"/>
        <n v="290.4488508196784"/>
        <n v="290.2840311692479"/>
        <n v="292.6101360208996"/>
        <n v="351.56987945504136"/>
        <n v="351.54771097776273"/>
        <n v="355.32794814714777"/>
        <n v="354.969664357677"/>
        <n v="355.8205883574601"/>
        <n v="99.15312801476823"/>
        <n v="290.5950526845572"/>
        <n v="293.31260575678004"/>
        <n v="353.19228126908365"/>
        <n v="360.63296564059476"/>
        <n v="352.25710224735604"/>
        <n v="351.7468419277842"/>
        <n v="376.60236019865016"/>
        <n v="351.414063458679"/>
        <n v="354.67769567522186"/>
        <n v="99.43710729087952"/>
        <n v="290.3935684485827"/>
        <n v="290.3569211026426"/>
        <n v="293.70141445564366"/>
        <n v="351.81348143965613"/>
        <n v="377.2445255724591"/>
        <n v="360.0425458240771"/>
        <n v="351.7025762380429"/>
        <n v="99.22249029720562"/>
        <n v="297.7526303519131"/>
        <n v="293.91879083207766"/>
        <n v="126.78191970208765"/>
        <n v="132.67915720595636"/>
        <n v="124.78689224419827"/>
        <n v="123.74606090404318"/>
        <n v="121.43435191138765"/>
        <n v="122.43773081900017"/>
        <n v="64.19475407614287"/>
        <n v="28631.33387989998"/>
        <n v="6353.609275817871"/>
        <n v="20098.679340958595"/>
        <n v="361.79489507905515"/>
        <n v="1045.7036088151976"/>
        <n v="272.318648128539"/>
        <n v="249.22459055900575"/>
        <n v="259.5908761739731"/>
        <n v="176.5304705142975"/>
        <n v="766.302026181221"/>
        <n v="19.127465305328368"/>
        <n v="24.027218961715697"/>
        <n v="76.46762150287628"/>
        <n v="68.87724500656128"/>
        <n v="48.233078956604004"/>
        <n v="46.36635699748993"/>
        <n v="72.31227948188781"/>
        <n v="41.881418800354005"/>
        <n v="133.46050559520722"/>
        <n v="202.29437702178956"/>
        <n v="106.52551242828369"/>
        <n v="226.4275095462799"/>
        <n v="731.9891802883147"/>
        <n v="516.1662093639374"/>
        <n v="334.3830298900604"/>
        <n v="137.3304135322571"/>
        <n v="170.28467499732972"/>
        <n v="307969.27239990234"/>
        <n v="26896.22617006302"/>
        <n v="129.65762662410737"/>
        <n v="20.992812709808348"/>
        <n v="47.29521353244782"/>
        <n v="111.91321234703064"/>
        <n v="80.24045468330382"/>
        <n v="29.967033314704896"/>
        <n v="196.93321168899536"/>
        <n v="51.531140742301936"/>
        <n v="156.87710169792174"/>
        <n v="220.54987817287446"/>
        <n v="142.44599223136902"/>
        <n v="200.37996841907503"/>
        <n v="316.583760266304"/>
        <n v="304.5486162614822"/>
        <n v="367.015762925148"/>
        <n v="499.7371733093262"/>
        <n v="7851.286305599212"/>
        <n v="288.8041719388962"/>
        <n v="306.13072749137876"/>
        <n v="3175.943646798134"/>
        <n v="91769.0397950077"/>
        <n v="5365.811732940673"/>
        <n v="111.5913779296875"/>
        <n v="2451.344158935547"/>
        <n v="5569.262048339843"/>
        <n v="3898.4930664062504"/>
        <n v="4399.723760986328"/>
        <n v="389.8300415039062"/>
        <n v="24029.411982345584"/>
        <n v="72.72589111328125"/>
        <n v="80.04664306640626"/>
        <n v="48.54814453125"/>
        <n v="55.2909423828125"/>
        <n v="37.326202392578125"/>
        <n v="169.72585449218752"/>
        <n v="45.61021118164063"/>
        <n v="118.62507934570311"/>
        <n v="46.477142333984375"/>
        <n v="1561.0058654785157"/>
        <n v="180.08500623703003"/>
        <n v="298.994921875"/>
        <n v="683.4200883388519"/>
        <n v="181.52575073242187"/>
        <n v="153.26808423519134"/>
        <n v="116.89121704101562"/>
        <n v="404.6641967773437"/>
        <n v="1522.764569091797"/>
        <n v="544.7699035644531"/>
      </sharedItems>
    </cacheField>
    <cacheField name="Category" numFmtId="0">
      <sharedItems containsBlank="1">
        <m/>
        <s v="Outreach"/>
        <s v="Development"/>
      </sharedItems>
    </cacheField>
    <cacheField name="Subcategory" numFmtId="0">
      <sharedItems containsBlank="1">
        <m/>
        <s v="Events/Conference Attendance &amp; Side Events"/>
        <s v="Advertising/Influencers"/>
        <s v="Advertising/Digital Ads"/>
        <s v="Advertising/Physical Ads"/>
        <s v="Advertising"/>
        <s v="Advertising/Sponsorships"/>
        <s v="PR"/>
        <s v="Polkadot Protocol &amp; SDK"/>
        <s v="Advertising/Platform Integrations"/>
        <s v="Media"/>
      </sharedItems>
    </cacheField>
    <cacheField name="inherited Category" numFmtId="0">
      <sharedItems containsBlank="1">
        <s v="Research"/>
        <m/>
        <s v="Outreach"/>
        <s v="Development"/>
        <s v="Operations"/>
      </sharedItems>
    </cacheField>
    <cacheField name="inherited Subcategory" numFmtId="0">
      <sharedItems containsBlank="1">
        <s v="Anti-Scam"/>
        <m/>
        <s v="Events/Meetups"/>
        <s v="Smart Contracts"/>
        <s v="Community Building"/>
        <s v="Ecosystem Services"/>
        <s v="Advertising"/>
        <s v="RPCs and Nodes"/>
        <s v="Protocol Subsidies"/>
        <s v="Infrastructure"/>
        <s v="Games"/>
        <s v="Media"/>
        <s v="Other"/>
        <s v="Software Development"/>
        <s v="Business Development"/>
      </sharedItems>
    </cacheField>
    <cacheField name="evaluated Category" numFmtId="0">
      <sharedItems containsBlank="1">
        <s v="Research"/>
        <m/>
        <s v="Outreach"/>
        <s v="Development"/>
        <s v="Operations"/>
      </sharedItems>
    </cacheField>
    <cacheField name="evaluated Subcategory" numFmtId="0">
      <sharedItems containsBlank="1">
        <s v="Anti-Scam"/>
        <m/>
        <s v="Events/Meetups"/>
        <s v="Events/Conference Attendance &amp; Side Events"/>
        <s v="Smart Contracts"/>
        <s v="Community Building"/>
        <s v="Ecosystem Services"/>
        <s v="Advertising/Influencers"/>
        <s v="RPCs and Nodes"/>
        <s v="Advertising/Digital Ads"/>
        <s v="Advertising/Physical Ads"/>
        <s v="Protocol Subsidies"/>
        <s v="Advertising"/>
        <s v="Advertising/Sponsorships"/>
        <s v="Infrastructure"/>
        <s v="Games"/>
        <s v="Media"/>
        <s v="Other"/>
        <s v="Software Development"/>
        <s v="PR"/>
        <s v="Polkadot Protocol &amp; SDK"/>
        <s v="Advertising/Platform Integrations"/>
        <s v="Business Development"/>
      </sharedItems>
    </cacheField>
    <cacheField name="year" numFmtId="3">
      <sharedItems>
        <s v="2022"/>
        <s v="2023"/>
        <s v="2024"/>
      </sharedItems>
    </cacheField>
    <cacheField name="month" numFmtId="3">
      <sharedItems containsSemiMixedTypes="0" containsString="0" containsNumber="1" containsInteger="1">
        <n v="5.0"/>
        <n v="3.0"/>
        <n v="6.0"/>
        <n v="7.0"/>
        <n v="8.0"/>
        <n v="9.0"/>
        <n v="10.0"/>
        <n v="11.0"/>
        <n v="12.0"/>
        <n v="1.0"/>
        <n v="2.0"/>
        <n v="4.0"/>
      </sharedItems>
    </cacheField>
    <cacheField name="quarter" numFmtId="3">
      <sharedItems>
        <s v="2022-Q2"/>
        <s v="2023-Q1"/>
        <s v="2022-Q3"/>
        <s v="2022-Q4"/>
        <s v="2023-Q2"/>
        <s v="2023-Q3"/>
        <s v="2023-Q4"/>
        <s v="2024-Q1"/>
        <s v="2024-Q3"/>
        <s v="2024-Q2"/>
      </sharedItems>
    </cacheField>
    <cacheField name="year-month" numFmtId="3">
      <sharedItems>
        <s v="2022-05"/>
        <s v="2023-03"/>
        <s v="2022-06"/>
        <s v="2022-07"/>
        <s v="2022-08"/>
        <s v="2022-09"/>
        <s v="2022-10"/>
        <s v="2022-11"/>
        <s v="2022-12"/>
        <s v="2023-06"/>
        <s v="2023-01"/>
        <s v="2023-08"/>
        <s v="2023-02"/>
        <s v="2023-04"/>
        <s v="2023-05"/>
        <s v="2023-07"/>
        <s v="2023-11"/>
        <s v="2023-09"/>
        <s v="2023-10"/>
        <s v="2023-12"/>
        <s v="2024-01"/>
        <s v="2024-02"/>
        <s v="2024-03"/>
        <s v="2024-09"/>
        <s v="2024-04"/>
        <s v="2024-05"/>
        <s v="2024-06"/>
        <s v="2024-08"/>
        <s v="2024-07"/>
      </sharedItems>
    </cacheField>
    <cacheField name="half-year" numFmtId="0">
      <sharedItems>
        <s v="2022-H1"/>
        <s v="2023-H1"/>
        <s v="2022-H2"/>
        <s v="2023-H2"/>
        <s v="2024-H1"/>
        <s v="2024-H2"/>
      </sharedItems>
    </cacheField>
    <cacheField name="bounty name" numFmtId="0">
      <sharedItems>
        <s v="Anti-Scam Bounty"/>
        <s v="Security Bug Bounty for Open Runtime Module Library (ORML)"/>
        <s v="Events Bounty"/>
        <s v="Polkadot Pioneers Bounty"/>
        <s v="Wasm Smart Contracts Bounty"/>
        <s v="Moderation Team Bounty"/>
        <s v="Polkadot Assurance Legion Bounty"/>
        <s v="Marketing Bounty"/>
        <s v="System Parachains Collator Bounty"/>
        <s v="Polkadot Parachain Assets Onramp Bounty"/>
        <s v="Paseo Testnet Bounty"/>
        <s v="Games Bounty"/>
        <s v="Public RPCs for Relay and System Chains"/>
        <s v="Spanish Bounty"/>
        <s v="Meetups Bounty"/>
        <s v="AMI Bounty Program"/>
        <s v="DeFi Infrastructure and Tooling Bounty"/>
        <s v="Infrastructure Builders Program"/>
        <s v="BD Bounty"/>
        <s v="BD Bounty in Spain &amp; Andorra"/>
      </sharedItems>
    </cacheField>
    <cacheField name="hide from income statement" numFmtId="0">
      <sharedItems containsBlank="1">
        <m/>
        <s v="x"/>
      </sharedItems>
    </cacheField>
  </cacheFields>
</pivotCacheDefinition>
</file>

<file path=xl/pivotCache/pivotCacheDefinition4.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V1188" sheet="Referenda"/>
  </cacheSource>
  <cacheFields>
    <cacheField name="Ref" numFmtId="0">
      <sharedItems containsSemiMixedTypes="0" containsString="0" containsNumber="1" containsInteger="1">
        <n v="0.0"/>
        <n v="1130.0"/>
        <n v="1.0"/>
        <n v="2.0"/>
        <n v="3.0"/>
        <n v="4.0"/>
        <n v="5.0"/>
        <n v="1141.0"/>
        <n v="6.0"/>
        <n v="7.0"/>
        <n v="8.0"/>
        <n v="1149.0"/>
        <n v="9.0"/>
        <n v="10.0"/>
        <n v="11.0"/>
        <n v="12.0"/>
        <n v="13.0"/>
        <n v="14.0"/>
        <n v="15.0"/>
        <n v="16.0"/>
        <n v="17.0"/>
        <n v="18.0"/>
        <n v="19.0"/>
        <n v="20.0"/>
        <n v="21.0"/>
        <n v="22.0"/>
        <n v="23.0"/>
        <n v="24.0"/>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n v="68.0"/>
        <n v="69.0"/>
        <n v="70.0"/>
        <n v="71.0"/>
        <n v="72.0"/>
        <n v="73.0"/>
        <n v="74.0"/>
        <n v="75.0"/>
        <n v="76.0"/>
        <n v="77.0"/>
        <n v="78.0"/>
        <n v="79.0"/>
        <n v="80.0"/>
        <n v="81.0"/>
        <n v="82.0"/>
        <n v="83.0"/>
        <n v="84.0"/>
        <n v="85.0"/>
        <n v="86.0"/>
        <n v="87.0"/>
        <n v="1068.0"/>
        <n v="88.0"/>
        <n v="1077.0"/>
        <n v="89.0"/>
        <n v="90.0"/>
        <n v="91.0"/>
        <n v="92.0"/>
        <n v="93.0"/>
        <n v="94.0"/>
        <n v="95.0"/>
        <n v="96.0"/>
        <n v="97.0"/>
        <n v="98.0"/>
        <n v="99.0"/>
        <n v="1099.0"/>
        <n v="100.0"/>
        <n v="101.0"/>
        <n v="102.0"/>
        <n v="103.0"/>
        <n v="104.0"/>
        <n v="105.0"/>
        <n v="106.0"/>
        <n v="107.0"/>
        <n v="108.0"/>
        <n v="109.0"/>
        <n v="110.0"/>
        <n v="111.0"/>
        <n v="112.0"/>
        <n v="113.0"/>
        <n v="114.0"/>
        <n v="115.0"/>
        <n v="116.0"/>
        <n v="117.0"/>
        <n v="118.0"/>
        <n v="119.0"/>
        <n v="120.0"/>
        <n v="121.0"/>
        <n v="122.0"/>
        <n v="123.0"/>
        <n v="124.0"/>
        <n v="125.0"/>
        <n v="126.0"/>
        <n v="127.0"/>
        <n v="128.0"/>
        <n v="129.0"/>
        <n v="130.0"/>
        <n v="131.0"/>
        <n v="132.0"/>
        <n v="133.0"/>
        <n v="134.0"/>
        <n v="135.0"/>
        <n v="136.0"/>
        <n v="137.0"/>
        <n v="138.0"/>
        <n v="139.0"/>
        <n v="140.0"/>
        <n v="141.0"/>
        <n v="142.0"/>
        <n v="143.0"/>
        <n v="144.0"/>
        <n v="145.0"/>
        <n v="146.0"/>
        <n v="147.0"/>
        <n v="148.0"/>
        <n v="149.0"/>
        <n v="150.0"/>
        <n v="151.0"/>
        <n v="152.0"/>
        <n v="153.0"/>
        <n v="154.0"/>
        <n v="155.0"/>
        <n v="156.0"/>
        <n v="157.0"/>
        <n v="158.0"/>
        <n v="159.0"/>
        <n v="160.0"/>
        <n v="161.0"/>
        <n v="162.0"/>
        <n v="163.0"/>
        <n v="164.0"/>
        <n v="165.0"/>
        <n v="166.0"/>
        <n v="167.0"/>
        <n v="168.0"/>
        <n v="169.0"/>
        <n v="170.0"/>
        <n v="171.0"/>
        <n v="172.0"/>
        <n v="173.0"/>
        <n v="174.0"/>
        <n v="175.0"/>
        <n v="176.0"/>
        <n v="177.0"/>
        <n v="178.0"/>
        <n v="179.0"/>
        <n v="180.0"/>
        <n v="181.0"/>
        <n v="182.0"/>
        <n v="183.0"/>
        <n v="184.0"/>
        <n v="185.0"/>
        <n v="186.0"/>
        <n v="187.0"/>
        <n v="188.0"/>
        <n v="189.0"/>
        <n v="190.0"/>
        <n v="191.0"/>
        <n v="192.0"/>
        <n v="193.0"/>
        <n v="194.0"/>
        <n v="195.0"/>
        <n v="196.0"/>
        <n v="197.0"/>
        <n v="198.0"/>
        <n v="199.0"/>
        <n v="200.0"/>
        <n v="201.0"/>
        <n v="202.0"/>
        <n v="203.0"/>
        <n v="204.0"/>
        <n v="205.0"/>
        <n v="206.0"/>
        <n v="207.0"/>
        <n v="208.0"/>
        <n v="209.0"/>
        <n v="210.0"/>
        <n v="211.0"/>
        <n v="212.0"/>
        <n v="213.0"/>
        <n v="214.0"/>
        <n v="215.0"/>
        <n v="216.0"/>
        <n v="217.0"/>
        <n v="218.0"/>
        <n v="219.0"/>
        <n v="220.0"/>
        <n v="221.0"/>
        <n v="222.0"/>
        <n v="223.0"/>
        <n v="224.0"/>
        <n v="225.0"/>
        <n v="226.0"/>
        <n v="227.0"/>
        <n v="228.0"/>
        <n v="229.0"/>
        <n v="230.0"/>
        <n v="231.0"/>
        <n v="232.0"/>
        <n v="233.0"/>
        <n v="234.0"/>
        <n v="235.0"/>
        <n v="236.0"/>
        <n v="237.0"/>
        <n v="238.0"/>
        <n v="239.0"/>
        <n v="240.0"/>
        <n v="241.0"/>
        <n v="242.0"/>
        <n v="243.0"/>
        <n v="244.0"/>
        <n v="245.0"/>
        <n v="246.0"/>
        <n v="247.0"/>
        <n v="248.0"/>
        <n v="249.0"/>
        <n v="250.0"/>
        <n v="251.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n v="410.0"/>
        <n v="411.0"/>
        <n v="412.0"/>
        <n v="413.0"/>
        <n v="414.0"/>
        <n v="415.0"/>
        <n v="416.0"/>
        <n v="417.0"/>
        <n v="418.0"/>
        <n v="419.0"/>
        <n v="420.0"/>
        <n v="421.0"/>
        <n v="422.0"/>
        <n v="423.0"/>
        <n v="424.0"/>
        <n v="425.0"/>
        <n v="426.0"/>
        <n v="427.0"/>
        <n v="428.0"/>
        <n v="429.0"/>
        <n v="430.0"/>
        <n v="431.0"/>
        <n v="432.0"/>
        <n v="433.0"/>
        <n v="434.0"/>
        <n v="435.0"/>
        <n v="436.0"/>
        <n v="437.0"/>
        <n v="438.0"/>
        <n v="439.0"/>
        <n v="440.0"/>
        <n v="441.0"/>
        <n v="442.0"/>
        <n v="443.0"/>
        <n v="444.0"/>
        <n v="445.0"/>
        <n v="446.0"/>
        <n v="447.0"/>
        <n v="448.0"/>
        <n v="449.0"/>
        <n v="450.0"/>
        <n v="451.0"/>
        <n v="452.0"/>
        <n v="453.0"/>
        <n v="454.0"/>
        <n v="455.0"/>
        <n v="456.0"/>
        <n v="457.0"/>
        <n v="458.0"/>
        <n v="459.0"/>
        <n v="460.0"/>
        <n v="461.0"/>
        <n v="462.0"/>
        <n v="463.0"/>
        <n v="464.0"/>
        <n v="465.0"/>
        <n v="466.0"/>
        <n v="467.0"/>
        <n v="468.0"/>
        <n v="469.0"/>
        <n v="470.0"/>
        <n v="471.0"/>
        <n v="472.0"/>
        <n v="473.0"/>
        <n v="474.0"/>
        <n v="475.0"/>
        <n v="476.0"/>
        <n v="477.0"/>
        <n v="478.0"/>
        <n v="479.0"/>
        <n v="480.0"/>
        <n v="481.0"/>
        <n v="482.0"/>
        <n v="483.0"/>
        <n v="484.0"/>
        <n v="485.0"/>
        <n v="486.0"/>
        <n v="487.0"/>
        <n v="488.0"/>
        <n v="489.0"/>
        <n v="490.0"/>
        <n v="491.0"/>
        <n v="492.0"/>
        <n v="493.0"/>
        <n v="494.0"/>
        <n v="495.0"/>
        <n v="496.0"/>
        <n v="497.0"/>
        <n v="498.0"/>
        <n v="499.0"/>
        <n v="500.0"/>
        <n v="501.0"/>
        <n v="502.0"/>
        <n v="503.0"/>
        <n v="504.0"/>
        <n v="505.0"/>
        <n v="506.0"/>
        <n v="507.0"/>
        <n v="508.0"/>
        <n v="509.0"/>
        <n v="510.0"/>
        <n v="511.0"/>
        <n v="512.0"/>
        <n v="513.0"/>
        <n v="514.0"/>
        <n v="515.0"/>
        <n v="516.0"/>
        <n v="517.0"/>
        <n v="518.0"/>
        <n v="519.0"/>
        <n v="520.0"/>
        <n v="521.0"/>
        <n v="522.0"/>
        <n v="523.0"/>
        <n v="524.0"/>
        <n v="525.0"/>
        <n v="526.0"/>
        <n v="527.0"/>
        <n v="528.0"/>
        <n v="529.0"/>
        <n v="530.0"/>
        <n v="531.0"/>
        <n v="532.0"/>
        <n v="533.0"/>
        <n v="534.0"/>
        <n v="535.0"/>
        <n v="536.0"/>
        <n v="537.0"/>
        <n v="538.0"/>
        <n v="539.0"/>
        <n v="540.0"/>
        <n v="541.0"/>
        <n v="542.0"/>
        <n v="543.0"/>
        <n v="544.0"/>
        <n v="545.0"/>
        <n v="546.0"/>
        <n v="547.0"/>
        <n v="548.0"/>
        <n v="549.0"/>
        <n v="550.0"/>
        <n v="551.0"/>
        <n v="552.0"/>
        <n v="553.0"/>
        <n v="554.0"/>
        <n v="555.0"/>
        <n v="556.0"/>
        <n v="557.0"/>
        <n v="558.0"/>
        <n v="559.0"/>
        <n v="560.0"/>
        <n v="561.0"/>
        <n v="562.0"/>
        <n v="563.0"/>
        <n v="564.0"/>
        <n v="565.0"/>
        <n v="566.0"/>
        <n v="567.0"/>
        <n v="568.0"/>
        <n v="569.0"/>
        <n v="570.0"/>
        <n v="571.0"/>
        <n v="572.0"/>
        <n v="573.0"/>
        <n v="574.0"/>
        <n v="575.0"/>
        <n v="576.0"/>
        <n v="577.0"/>
        <n v="578.0"/>
        <n v="579.0"/>
        <n v="580.0"/>
        <n v="581.0"/>
        <n v="582.0"/>
        <n v="583.0"/>
        <n v="584.0"/>
        <n v="585.0"/>
        <n v="586.0"/>
        <n v="587.0"/>
        <n v="588.0"/>
        <n v="589.0"/>
        <n v="590.0"/>
        <n v="591.0"/>
        <n v="592.0"/>
        <n v="593.0"/>
        <n v="594.0"/>
        <n v="595.0"/>
        <n v="596.0"/>
        <n v="597.0"/>
        <n v="598.0"/>
        <n v="599.0"/>
        <n v="600.0"/>
        <n v="601.0"/>
        <n v="602.0"/>
        <n v="603.0"/>
        <n v="604.0"/>
        <n v="605.0"/>
        <n v="606.0"/>
        <n v="607.0"/>
        <n v="608.0"/>
        <n v="609.0"/>
        <n v="610.0"/>
        <n v="611.0"/>
        <n v="612.0"/>
        <n v="613.0"/>
        <n v="614.0"/>
        <n v="615.0"/>
        <n v="616.0"/>
        <n v="617.0"/>
        <n v="618.0"/>
        <n v="619.0"/>
        <n v="620.0"/>
        <n v="621.0"/>
        <n v="622.0"/>
        <n v="623.0"/>
        <n v="624.0"/>
        <n v="625.0"/>
        <n v="626.0"/>
        <n v="627.0"/>
        <n v="628.0"/>
        <n v="629.0"/>
        <n v="630.0"/>
        <n v="631.0"/>
        <n v="632.0"/>
        <n v="633.0"/>
        <n v="634.0"/>
        <n v="635.0"/>
        <n v="636.0"/>
        <n v="637.0"/>
        <n v="638.0"/>
        <n v="639.0"/>
        <n v="640.0"/>
        <n v="641.0"/>
        <n v="642.0"/>
        <n v="643.0"/>
        <n v="644.0"/>
        <n v="645.0"/>
        <n v="646.0"/>
        <n v="647.0"/>
        <n v="648.0"/>
        <n v="649.0"/>
        <n v="650.0"/>
        <n v="651.0"/>
        <n v="652.0"/>
        <n v="653.0"/>
        <n v="654.0"/>
        <n v="655.0"/>
        <n v="656.0"/>
        <n v="657.0"/>
        <n v="658.0"/>
        <n v="659.0"/>
        <n v="660.0"/>
        <n v="661.0"/>
        <n v="662.0"/>
        <n v="663.0"/>
        <n v="664.0"/>
        <n v="665.0"/>
        <n v="666.0"/>
        <n v="667.0"/>
        <n v="668.0"/>
        <n v="669.0"/>
        <n v="670.0"/>
        <n v="671.0"/>
        <n v="672.0"/>
        <n v="673.0"/>
        <n v="674.0"/>
        <n v="675.0"/>
        <n v="676.0"/>
        <n v="677.0"/>
        <n v="678.0"/>
        <n v="679.0"/>
        <n v="680.0"/>
        <n v="681.0"/>
        <n v="682.0"/>
        <n v="683.0"/>
        <n v="684.0"/>
        <n v="685.0"/>
        <n v="686.0"/>
        <n v="687.0"/>
        <n v="688.0"/>
        <n v="689.0"/>
        <n v="690.0"/>
        <n v="691.0"/>
        <n v="692.0"/>
        <n v="693.0"/>
        <n v="694.0"/>
        <n v="695.0"/>
        <n v="696.0"/>
        <n v="697.0"/>
        <n v="698.0"/>
        <n v="699.0"/>
        <n v="700.0"/>
        <n v="701.0"/>
        <n v="702.0"/>
        <n v="703.0"/>
        <n v="704.0"/>
        <n v="705.0"/>
        <n v="706.0"/>
        <n v="707.0"/>
        <n v="708.0"/>
        <n v="709.0"/>
        <n v="710.0"/>
        <n v="711.0"/>
        <n v="712.0"/>
        <n v="713.0"/>
        <n v="714.0"/>
        <n v="715.0"/>
        <n v="716.0"/>
        <n v="717.0"/>
        <n v="718.0"/>
        <n v="719.0"/>
        <n v="720.0"/>
        <n v="721.0"/>
        <n v="722.0"/>
        <n v="723.0"/>
        <n v="724.0"/>
        <n v="725.0"/>
        <n v="726.0"/>
        <n v="727.0"/>
        <n v="728.0"/>
        <n v="729.0"/>
        <n v="730.0"/>
        <n v="731.0"/>
        <n v="732.0"/>
        <n v="733.0"/>
        <n v="734.0"/>
        <n v="735.0"/>
        <n v="736.0"/>
        <n v="737.0"/>
        <n v="738.0"/>
        <n v="739.0"/>
        <n v="740.0"/>
        <n v="741.0"/>
        <n v="742.0"/>
        <n v="743.0"/>
        <n v="744.0"/>
        <n v="745.0"/>
        <n v="746.0"/>
        <n v="747.0"/>
        <n v="748.0"/>
        <n v="749.0"/>
        <n v="750.0"/>
        <n v="751.0"/>
        <n v="752.0"/>
        <n v="753.0"/>
        <n v="754.0"/>
        <n v="755.0"/>
        <n v="756.0"/>
        <n v="757.0"/>
        <n v="758.0"/>
        <n v="759.0"/>
        <n v="760.0"/>
        <n v="761.0"/>
        <n v="762.0"/>
        <n v="763.0"/>
        <n v="764.0"/>
        <n v="765.0"/>
        <n v="766.0"/>
        <n v="767.0"/>
        <n v="768.0"/>
        <n v="769.0"/>
        <n v="770.0"/>
        <n v="771.0"/>
        <n v="772.0"/>
        <n v="773.0"/>
        <n v="774.0"/>
        <n v="775.0"/>
        <n v="776.0"/>
        <n v="777.0"/>
        <n v="778.0"/>
        <n v="779.0"/>
        <n v="780.0"/>
        <n v="781.0"/>
        <n v="782.0"/>
        <n v="783.0"/>
        <n v="784.0"/>
        <n v="785.0"/>
        <n v="786.0"/>
        <n v="787.0"/>
        <n v="788.0"/>
        <n v="789.0"/>
        <n v="790.0"/>
        <n v="791.0"/>
        <n v="792.0"/>
        <n v="793.0"/>
        <n v="794.0"/>
        <n v="795.0"/>
        <n v="796.0"/>
        <n v="797.0"/>
        <n v="798.0"/>
        <n v="799.0"/>
        <n v="800.0"/>
        <n v="801.0"/>
        <n v="802.0"/>
        <n v="803.0"/>
        <n v="804.0"/>
        <n v="805.0"/>
        <n v="806.0"/>
        <n v="807.0"/>
        <n v="808.0"/>
        <n v="809.0"/>
        <n v="810.0"/>
        <n v="811.0"/>
        <n v="812.0"/>
        <n v="813.0"/>
        <n v="814.0"/>
        <n v="815.0"/>
        <n v="816.0"/>
        <n v="817.0"/>
        <n v="818.0"/>
        <n v="819.0"/>
        <n v="820.0"/>
        <n v="821.0"/>
        <n v="822.0"/>
        <n v="823.0"/>
        <n v="824.0"/>
        <n v="825.0"/>
        <n v="826.0"/>
        <n v="827.0"/>
        <n v="828.0"/>
        <n v="829.0"/>
        <n v="830.0"/>
        <n v="831.0"/>
        <n v="832.0"/>
        <n v="833.0"/>
        <n v="834.0"/>
        <n v="835.0"/>
        <n v="836.0"/>
        <n v="837.0"/>
        <n v="838.0"/>
        <n v="839.0"/>
        <n v="840.0"/>
        <n v="841.0"/>
        <n v="842.0"/>
        <n v="843.0"/>
        <n v="844.0"/>
        <n v="845.0"/>
        <n v="846.0"/>
        <n v="847.0"/>
        <n v="848.0"/>
        <n v="849.0"/>
        <n v="850.0"/>
        <n v="851.0"/>
        <n v="852.0"/>
        <n v="853.0"/>
        <n v="854.0"/>
        <n v="855.0"/>
        <n v="856.0"/>
        <n v="857.0"/>
        <n v="858.0"/>
        <n v="859.0"/>
        <n v="860.0"/>
        <n v="861.0"/>
        <n v="862.0"/>
        <n v="863.0"/>
        <n v="864.0"/>
        <n v="865.0"/>
        <n v="866.0"/>
        <n v="867.0"/>
        <n v="868.0"/>
        <n v="869.0"/>
        <n v="870.0"/>
        <n v="871.0"/>
        <n v="872.0"/>
        <n v="873.0"/>
        <n v="874.0"/>
        <n v="875.0"/>
        <n v="876.0"/>
        <n v="877.0"/>
        <n v="878.0"/>
        <n v="879.0"/>
        <n v="880.0"/>
        <n v="881.0"/>
        <n v="882.0"/>
        <n v="883.0"/>
        <n v="884.0"/>
        <n v="885.0"/>
        <n v="886.0"/>
        <n v="887.0"/>
        <n v="888.0"/>
        <n v="889.0"/>
        <n v="890.0"/>
        <n v="891.0"/>
        <n v="892.0"/>
        <n v="893.0"/>
        <n v="894.0"/>
        <n v="895.0"/>
        <n v="896.0"/>
        <n v="897.0"/>
        <n v="898.0"/>
        <n v="899.0"/>
        <n v="900.0"/>
        <n v="901.0"/>
        <n v="902.0"/>
        <n v="903.0"/>
        <n v="904.0"/>
        <n v="905.0"/>
        <n v="906.0"/>
        <n v="907.0"/>
        <n v="908.0"/>
        <n v="909.0"/>
        <n v="910.0"/>
        <n v="911.0"/>
        <n v="912.0"/>
        <n v="913.0"/>
        <n v="914.0"/>
        <n v="915.0"/>
        <n v="916.0"/>
        <n v="917.0"/>
        <n v="918.0"/>
        <n v="919.0"/>
        <n v="920.0"/>
        <n v="921.0"/>
        <n v="922.0"/>
        <n v="923.0"/>
        <n v="924.0"/>
        <n v="925.0"/>
        <n v="926.0"/>
        <n v="927.0"/>
        <n v="928.0"/>
        <n v="929.0"/>
        <n v="930.0"/>
        <n v="931.0"/>
        <n v="932.0"/>
        <n v="933.0"/>
        <n v="934.0"/>
        <n v="935.0"/>
        <n v="936.0"/>
        <n v="937.0"/>
        <n v="938.0"/>
        <n v="939.0"/>
        <n v="940.0"/>
        <n v="941.0"/>
        <n v="942.0"/>
        <n v="943.0"/>
        <n v="944.0"/>
        <n v="945.0"/>
        <n v="946.0"/>
        <n v="947.0"/>
        <n v="948.0"/>
        <n v="949.0"/>
        <n v="950.0"/>
        <n v="951.0"/>
        <n v="952.0"/>
        <n v="953.0"/>
        <n v="954.0"/>
        <n v="955.0"/>
        <n v="956.0"/>
        <n v="957.0"/>
        <n v="958.0"/>
        <n v="959.0"/>
        <n v="960.0"/>
        <n v="961.0"/>
        <n v="962.0"/>
        <n v="963.0"/>
        <n v="964.0"/>
        <n v="965.0"/>
        <n v="966.0"/>
        <n v="967.0"/>
        <n v="968.0"/>
        <n v="969.0"/>
        <n v="970.0"/>
        <n v="971.0"/>
        <n v="972.0"/>
        <n v="973.0"/>
        <n v="974.0"/>
        <n v="975.0"/>
        <n v="976.0"/>
        <n v="977.0"/>
        <n v="978.0"/>
        <n v="979.0"/>
        <n v="980.0"/>
        <n v="981.0"/>
        <n v="982.0"/>
        <n v="983.0"/>
        <n v="984.0"/>
        <n v="985.0"/>
        <n v="986.0"/>
        <n v="987.0"/>
        <n v="988.0"/>
        <n v="989.0"/>
        <n v="990.0"/>
        <n v="991.0"/>
        <n v="992.0"/>
        <n v="993.0"/>
        <n v="994.0"/>
        <n v="995.0"/>
        <n v="996.0"/>
        <n v="997.0"/>
        <n v="998.0"/>
        <n v="999.0"/>
        <n v="1000.0"/>
        <n v="1001.0"/>
        <n v="1002.0"/>
        <n v="1003.0"/>
        <n v="1004.0"/>
        <n v="1005.0"/>
        <n v="1006.0"/>
        <n v="1007.0"/>
        <n v="1008.0"/>
        <n v="1009.0"/>
        <n v="1010.0"/>
        <n v="1011.0"/>
        <n v="1012.0"/>
        <n v="1013.0"/>
        <n v="1014.0"/>
        <n v="1015.0"/>
        <n v="1016.0"/>
        <n v="1017.0"/>
        <n v="1018.0"/>
        <n v="1019.0"/>
        <n v="1020.0"/>
        <n v="1021.0"/>
        <n v="1022.0"/>
        <n v="1023.0"/>
        <n v="1024.0"/>
        <n v="1025.0"/>
        <n v="1026.0"/>
        <n v="1027.0"/>
        <n v="1028.0"/>
        <n v="1029.0"/>
        <n v="1030.0"/>
        <n v="1031.0"/>
        <n v="1032.0"/>
        <n v="1033.0"/>
        <n v="1034.0"/>
        <n v="1035.0"/>
        <n v="1036.0"/>
        <n v="1037.0"/>
        <n v="1038.0"/>
        <n v="1039.0"/>
        <n v="1040.0"/>
        <n v="1041.0"/>
        <n v="1042.0"/>
        <n v="1043.0"/>
        <n v="1044.0"/>
        <n v="1045.0"/>
        <n v="1046.0"/>
        <n v="1047.0"/>
        <n v="1048.0"/>
        <n v="1049.0"/>
        <n v="1050.0"/>
        <n v="1051.0"/>
        <n v="1052.0"/>
        <n v="1053.0"/>
        <n v="1054.0"/>
        <n v="1055.0"/>
        <n v="1056.0"/>
        <n v="1057.0"/>
        <n v="1058.0"/>
        <n v="1059.0"/>
        <n v="1060.0"/>
        <n v="1061.0"/>
        <n v="1062.0"/>
        <n v="1063.0"/>
        <n v="1064.0"/>
        <n v="1065.0"/>
        <n v="1066.0"/>
        <n v="1067.0"/>
        <n v="1069.0"/>
        <n v="1070.0"/>
        <n v="1071.0"/>
        <n v="1072.0"/>
        <n v="1073.0"/>
        <n v="1074.0"/>
        <n v="1075.0"/>
        <n v="1076.0"/>
        <n v="1078.0"/>
        <n v="1079.0"/>
        <n v="1080.0"/>
        <n v="1081.0"/>
        <n v="1082.0"/>
        <n v="1083.0"/>
        <n v="1084.0"/>
        <n v="1085.0"/>
        <n v="1086.0"/>
        <n v="1087.0"/>
        <n v="1088.0"/>
        <n v="1089.0"/>
        <n v="1090.0"/>
        <n v="1091.0"/>
        <n v="1092.0"/>
        <n v="1093.0"/>
        <n v="1094.0"/>
        <n v="1095.0"/>
        <n v="1096.0"/>
        <n v="1097.0"/>
        <n v="1098.0"/>
        <n v="1100.0"/>
        <n v="1101.0"/>
        <n v="1102.0"/>
        <n v="1103.0"/>
        <n v="1104.0"/>
        <n v="1105.0"/>
        <n v="1106.0"/>
        <n v="1107.0"/>
        <n v="1108.0"/>
        <n v="1109.0"/>
        <n v="1110.0"/>
        <n v="1111.0"/>
        <n v="1112.0"/>
        <n v="1113.0"/>
        <n v="1114.0"/>
        <n v="1115.0"/>
        <n v="1116.0"/>
        <n v="1117.0"/>
        <n v="1118.0"/>
        <n v="1119.0"/>
        <n v="1120.0"/>
        <n v="1121.0"/>
        <n v="1122.0"/>
        <n v="1123.0"/>
        <n v="1124.0"/>
        <n v="1125.0"/>
        <n v="1126.0"/>
        <n v="1127.0"/>
        <n v="1128.0"/>
        <n v="1129.0"/>
        <n v="1131.0"/>
        <n v="1132.0"/>
        <n v="1133.0"/>
        <n v="1134.0"/>
        <n v="1135.0"/>
        <n v="1136.0"/>
        <n v="1137.0"/>
        <n v="1138.0"/>
        <n v="1139.0"/>
        <n v="1140.0"/>
        <n v="1142.0"/>
        <n v="1143.0"/>
        <n v="1144.0"/>
        <n v="1145.0"/>
        <n v="1146.0"/>
        <n v="1147.0"/>
        <n v="1148.0"/>
        <n v="1150.0"/>
        <n v="1151.0"/>
        <n v="1152.0"/>
        <n v="1153.0"/>
        <n v="1154.0"/>
        <n v="1155.0"/>
        <n v="1156.0"/>
        <n v="1157.0"/>
        <n v="1158.0"/>
        <n v="1159.0"/>
        <n v="1160.0"/>
        <n v="1161.0"/>
        <n v="1162.0"/>
        <n v="1163.0"/>
        <n v="1164.0"/>
        <n v="1165.0"/>
        <n v="1166.0"/>
        <n v="1167.0"/>
        <n v="1168.0"/>
        <n v="1169.0"/>
        <n v="1170.0"/>
        <n v="1171.0"/>
        <n v="1172.0"/>
        <n v="1173.0"/>
        <n v="1174.0"/>
        <n v="1175.0"/>
        <n v="1176.0"/>
        <n v="1177.0"/>
        <n v="1178.0"/>
        <n v="1179.0"/>
        <n v="1180.0"/>
        <n v="1181.0"/>
        <n v="1182.0"/>
        <n v="1183.0"/>
        <n v="1184.0"/>
        <n v="1185.0"/>
        <n v="1186.0"/>
      </sharedItems>
    </cacheField>
    <cacheField name="Title" numFmtId="0">
      <sharedItems containsBlank="1">
        <s v="[Reject] Supposed to be Hello World"/>
        <s v="WagMedia - Collective Content Creation for 52 Weeks"/>
        <s v="OpenCommunity Governance"/>
        <s v="Proposal"/>
        <s v="[Whitelisted Caller] Referendum #3: Upgrade Bridge Hub to v9420"/>
        <s v="PolkaWorld Ops and Maintenance proposal：2023.6 - 2023.8"/>
        <s v="KILT Decentralized Identity Provider (DIP) - Polkadot Medium Spender Proposal"/>
        <s v="Growing the Music Vertical on Polkadot: Onboarding Billfold"/>
        <s v="Saturn Gateway - A Multichain Multisig Application for the Polkadot Ecosystem"/>
        <s v="Nomination Pool Incentives - Fixing an issue with Motion 339"/>
        <s v="Nova Wallet 4th Proposal: Multistaking dashboard, Staking Nomination Pools, WalletConnect v2, New Assets tab UI, Community Requested Features, Reimbursement for delivered features"/>
        <s v="submerge.io: Open-Source Indexer, Analysis, KYT, and AML Compliance Platform for the Polkadot Ecosystem"/>
        <s v="Fix HostConfiguration"/>
        <s v="Polkashots.io Cloud Costs January-April 2023"/>
        <s v="Restructuring of Polkadot Brasil"/>
        <s v="Aibot proposal：June 2023 - August 2023"/>
        <s v="Subsquare and dotreasury new features development plan including governance statistics, dotreasury dark mode, etc"/>
        <s v="Encode Club Tranches 2 and 3"/>
        <s v="Subsquid - Public data indexing Infrastructure for Polkadot and Kusama (Q1 2023)"/>
        <s v="A Common Ledger App Compatible With All Polkadot And Kusama Parachains [ retroactive funding for development ]"/>
        <s v="Privacy Sidechains for all Substrate- Based Chains"/>
        <s v="[Whitelisted Caller] Referendum #18 Polkadot v9430"/>
        <s v="[Small Spender] Stakeworld's polkadot RPC and bootnode infrastructure - Q2 2023"/>
        <s v="Subscan | Infrastructure Costs of Subscan for Polkadot &amp; Westend &amp; Rococo &amp; Statemint &amp; Rockmine  Networks (from July to December 2022)"/>
        <s v="Ledger Apps Maintenance Proposal (Polkadot, Kusama, Statemine, Statemint)"/>
        <s v="Genesis DAO Ecosystem Integration"/>
        <s v="Polkassembly's Registrar Application"/>
        <s v="Proposal: ink! design security review by OpenZeppelin (treasury proposal 2/2)"/>
        <s v="Requesting a return of the submission deposit related to Motion #406."/>
        <s v="[OpenGov] Return of the bond for the rejection of (Gov1) Treasury Proposal #244 (MVP Workshop)"/>
        <s v="Requesting a return of the submission deposit related to Motion #405."/>
        <s v="Returning submission deposit for Anagolay proposal, related to rejecting proposal #256 (more info in the desc.)"/>
        <s v="Societal - A Homebase for Decentralized Communities"/>
        <s v="OpenGov submission of Motion 420 - Upstream funding Matrix.org Foundation"/>
        <s v="Requesting a return of the submission deposit"/>
        <s v="Milestone 2: Polkadot Hackathon Global Series 2023: Europe Edition"/>
        <s v="Encointer Treasury Proposal"/>
        <s v="RadiumBlock seeks reimbursement for Polkadot Endpoint Service (Q4 2022 and Q1 2023)"/>
        <s v="Polkadotters – retroactive and future funding of community powered media for Polkadot &amp; Kusama ecosystem in 2022-2024"/>
        <s v="OneBlock The 2023 Polkadot Summer Hackathon proposal"/>
        <s v="(Big Tipper) Small Funding for KryptosChain Media"/>
        <s v="(Small tipper) Funding for AnimatedCrypto channel "/>
        <s v="Next revision of increasing nomination pool limits &amp; commission"/>
        <s v="Pinknode Public Endpoint for Polkadot in Q4 2022"/>
        <s v="Notifi Vote RE: #1767 Notifi - Communication &amp; Notification Tooling for Polkadot's Broader Ecosystem"/>
        <s v="[Please reject] Erroneous Referendum Submission"/>
        <s v="Polkadot Relayers Incubator 2023"/>
        <s v="Treasury proposal for New Product Development &amp; OpenGov Deployment"/>
        <s v="Funded High Performance Public Infrastructure for the entire Polkadot Ecosystem (OnFinality)"/>
        <s v="Polkadot Hubs - Initiative case-study, education and support for future hubs (12 months period)"/>
        <s v="Approve Polkadot Assurance Legion Bounty"/>
        <s v="Part 1 of 2 request for 1100 DOT deposit reimbursement"/>
        <s v="Part 2 of 2 request for 1100 DOT deposit reimbursement"/>
        <s v="GovernGoofed, a proposal to tackle 3 of the most challenging issues in OpenGov V1"/>
        <s v="[Whitelisted Caller] Referendum #51: Open HRMP Channels Between System Parachains"/>
        <s v="DAO_Terminal: Enhancing User Involvement in Polkadot Governance"/>
        <s v="[Auction Admin] Referendum #53: Start an Auction"/>
        <s v="25-minute contextual primer on Polkadot 2.0"/>
        <s v="[TAKE TWO] Next revision of increasing nomination pool limits &amp; commission"/>
        <s v="Canceling Remaining Auctions and Introducing New Ones"/>
        <s v="Rust, Substrate, ink! technical content for rust developers."/>
        <s v="[Whitelisted Caller] Referendum #58: Increase Parachain Validators to 250"/>
        <s v="[Reject] incorrect preimage"/>
        <s v="A small tip for media representation"/>
        <s v="A small chatbot for the polkadot wiki"/>
        <s v="Metadata for offline signers"/>
        <s v="vote no pls , I missed preimage :("/>
        <s v="Treasury Proposal by 727.ventures: Polkadot Wink"/>
        <s v="AIWeb3 Chinese Unit proposal (爱Web3 中文社区提案)  -   PLEASE REJECT THIS, the amount of KSM is not correct!"/>
        <s v="AIWeb3 Chinese Unit proposal (爱Web3 中文社区提案)"/>
        <s v="Security Audit of trustless Ethereum 2.0 Light Client, developed as a Substrate Pallet"/>
        <s v="UI &amp; Front-end for Asset Conversion pallet (referenda68) - Project Status Update - Delivery Completed"/>
        <s v="[FAULTY PREIMAGE, PLEASE REJECT] A Polkadot Ecosystem App Store"/>
        <s v="Finsig SDK for Apple Products"/>
        <s v="Wasm Smart Contracts Bounty #19"/>
        <s v="A Polkadot Ecosystem App Store"/>
        <s v="Rejecting Gov1.0 Treasury Proposals and Facilitating Bond Reimbursement where applicable"/>
        <s v="Runtime Upgrade on Kusama to v9370"/>
        <s v="canceling"/>
        <s v="Smoldot development financing Q3/2023"/>
        <s v="Blockops Network - Grant Proposal for the development of One-Click Parachain Deployment"/>
        <s v="SmallTipper"/>
        <s v="deleted"/>
        <s v="Bounty to back Apillon Web3 development platform as a common good infrastructure"/>
        <s v="OnFinality High Performance Public Infrastructure (Q2 2023)"/>
        <s v="[Staking Admin] Referendum #84: Update System Collator Sets and Configurations"/>
        <s v="DOT holders 🤝 &amp; The Kusamarian 🤖❤️"/>
        <s v="Substrate, XCM rust technical practice videos."/>
        <s v="Maintenance for the substrate-api-client Feb-23 to Apr-23  -&gt; Wrong KSM PLEASE REJECT"/>
        <s v="Top-Up Request for Previously Funded Proposal #663"/>
        <s v="OnFinality Unified NFT API"/>
        <s v="Proposal to use $DED to Conduct Targeted Marketing during KBW 2024"/>
        <s v="Proposal: Artificial Intelligence for security monitoring on a network level "/>
        <s v="Gosemble Phase 2 - a Framework for building Substrate-compatible Runtimes in Go (Parachains &amp; Solochains)"/>
        <s v="Specialized Learning Path of Polkadot Ecosystem for Devs"/>
        <s v="Wrong $DOT amount, please nay"/>
        <s v="Infrastructure Funding for Polkadot Asset Hub - Migration of Kusama NFTs"/>
        <s v="Small tip for Polkadot community activation in Finland"/>
        <e v="#ERROR!"/>
        <s v="Milestone 2 and 3 Payment Request – YieldBay: Polkadot’s yield farming dashboard"/>
        <s v="POLKADOT INSIDER - 28 WEEKS OPERATION &amp; GROWTH FUNDING (AUGUST 2023 - FEBRUARY 2024)"/>
        <s v="Patron Milestones 2-7 Development"/>
        <s v="Top-up request for Reactive DOT and related works"/>
        <s v="A small tip for a staking rewards calculator"/>
        <s v="Milestone 3 Proposal: Polkadot x EasyA Hackathons at Harvard and in London (#60DaysOfPolkadot)"/>
        <s v="[Retroactive] Polytope Labs: ISMP Research &amp; Development"/>
        <s v="Milestone 3: Polkadot Hackathon Global Series 2023"/>
        <s v="Polkadot journal: A Marketing Proposal for Polkadot/Kusama"/>
        <s v="Proposal: OpenZeppelin x Polkadot Ecosystem Growth"/>
        <s v="Community-Centric Blockchain Education: Dacade's Commitment to Polkadot's Growth via learning through sharing"/>
        <s v="LayerX - rollout parachain as Trustless Bridge between Polkadot and Ethereum."/>
        <s v="Polkasafe - Milestone 2 - Retroactive funding proposal"/>
        <s v="[Whitelisted Caller] Referendum #110: Update Parachain Validation Config"/>
        <s v="Propose Curator for PAL Bounty"/>
        <s v="Refunding Pink Node's GOV1 Treasury Spend Deposit"/>
        <s v="Refunding MIDL.DEV's GOV1 Treasury Spend Deposit"/>
        <s v="Refunding Radium Block's GOV1 Treasury Spend Deposit"/>
        <s v="Refunding CCTF's GOV1 Treasury Spend Deposit"/>
        <s v="PolkaWorld Ops and Maintenance proposal：2023.9 - 2023.11"/>
        <s v="Societal: Advanced Treasury, Governance and Member Management Systems for Decentralized Communities"/>
        <s v="Maintenance for the substrate-api-client Sep-23 to Dec-23"/>
        <s v="An Open Communication Layer For Polkadot"/>
        <s v="Multix - Further development and Cypress Dapp testing plugin"/>
        <s v="Crypto-Friendly Substrate Scaffold Pallets for Every Parachains"/>
        <s v="[Whitelisted Caller] Referendum #122: Register KSM on Asset Hub"/>
        <s v="Recognising Paradox's Contributions to Reject Gov 1 Proposals and Release Bonds"/>
        <s v="Magnet Proposal: Polkadot’s Smart Contract Docking Station using DOT as Gas Based on the PAYG Model"/>
        <s v="Nova Spektr Milestone 3 Proposal: Dynamic Derivations, WalletConnect v2, Proxy accounts, Cross-chain transfers, Fiat values, EVM addresses &amp; more"/>
        <s v="RadiumBlock: Retroactive funding for High Performance Public Endpoint Service for Polkadot(Q4 2022 and Q1 2023)"/>
        <s v="Void - incorrect spend submitted"/>
        <s v="Allocate DOT Loan for Use Amongst Cross-Ecosystem DeFi within the Cosmos Ecosystem"/>
        <s v="Encointer Treasury Proposal (budget halving)"/>
        <s v="Cancel Old Auctions Schedule - Replaced by New Schedule After OpenGov Inclusion"/>
        <s v="Polkadot @ SXSW 2023, Austin, Texas on March 12th-15th 2023"/>
        <s v="Unbrick Nodle"/>
        <s v="Election of curation team - bounty 19: Wasm Smart Contracts Bounty"/>
        <s v="Proposal: Building a better understanding of blockchain across mainstream global media"/>
        <s v="Moderation Team Bounty"/>
        <s v="Create &amp; implement RFC14 - Improve locking mechanism for parachains"/>
        <s v="ink!Hub Treasury Proposal "/>
        <s v="OnFinality High Performance Public Infrastructure (Q3 2023)"/>
        <s v="Moonbeam: Swap Leases with Parachain 3342"/>
        <s v="(VOTE NAY!!) Polkadot Parachain Assets Onramp Bounty Program "/>
        <s v="Increasing Hiring Success in Polkadot by Missing Link"/>
        <s v="Increase MaxMemoryPages to 512MB"/>
        <s v="Refunding AlexPromoTeam GOV1 Treasury Spend Deposit"/>
        <s v="Small Tips retroactive for Content in Portuguese UPDATED (Vote Nay - if you set AYE Change your vote to NAY)"/>
        <s v="Subsquid - Public data indexing Infrastructure for Polkadot and Kusama (Q2 2023)"/>
        <s v="KAGOME – the C++ implementation of Polkadot Host milestone 2"/>
        <s v="Ignore / Nay (Duplicate Ref) "/>
        <s v="Notifi - Communication &amp; Notification Tooling for Polkadot's Broader Ecosystem V2 Proposal"/>
        <s v="Untitled"/>
        <s v="Bounty: The Genesis Incentive Pool"/>
        <s v="Polkadot System Parachain Collators - Tips"/>
        <s v="KryptosChain Media Support (Continuation) - Big Tipper Request"/>
        <s v="ink! OpenBrush 8-9, 11 milestone delivery"/>
        <s v="Retroactive and future maintenance/development of Parachains.info"/>
        <s v="Polkadot &amp; Teddy DAO: A New Way to Leverage Charitable Giving in Web3"/>
        <s v="Polkadot System Parachain Collators - Tips - Referenda #151 failed to execute"/>
        <s v="Increase DOT media visibility through media buying and airdrop campaign"/>
        <s v="PolkaWorld Ops and Maintenance proposal：2023.10 - 2024.3"/>
        <s v="Moderation Team Bounty Curator Proposal"/>
        <s v="AIWeb3 Chinese Unit proposal (爱Web3 中文社区提案) - September, 2023 - March, 2024"/>
        <s v="Apillon Platform Milestone 1 Proposal"/>
        <s v="Polkadot Live: Proposal for funding community driven development to initial release."/>
        <s v="Polkadot Parachain Assets Onramp Bounty Program"/>
        <s v="Polkadot Nominator Insight Hub. Spreading the Best Nominator Strategies through TOP Nomination Leaderboards"/>
        <s v="Tweak Polkadot's Ideal Staking Rate"/>
        <s v="Maintenance &amp; Support Python Libraries (April to September 2023)"/>
        <s v="A French content hub for Polkadot Ecosystem"/>
        <s v="Need to get tip which is not executed in old gov"/>
        <s v="Coinsider Media Campaign for Polkadot"/>
        <s v="Get tip for substrate PR"/>
        <s v="OpenSquare infrastructure products maintenance(2023 Q2 and Q3) and a new batch of features development"/>
        <s v="Dubbing Polkadot Decoded 2023 into Italian"/>
        <s v="Proposal for USDC Sufficiency on Polkadot Asset Hub"/>
        <s v="SubQuery &lt;&gt; Nova Wallet Common API:  Maintenance Cost For Q1-Q2 2023"/>
        <s v="Polkadot Unity SDK proposal to become a Verified Solution (Part 1)"/>
        <s v="Dot Leap 2: Let's grow!"/>
        <s v="Polkadot Blockchain Academy - retroactive funding for wave 3 of the Academy held at UC Berkeley this Summer."/>
        <s v="Beyond Raw Data: How Polkascan Transforms Subsquid Aggregates into a User-Friendly Polkadot Experience (Polkadot Treasury Proposal)"/>
        <s v="Polkawatch, Decentralization Analytics, Continued Operation and Development"/>
        <s v="Featured Research Proposal: Empowering the Polkadot Ecosystem [CryptoEQ]"/>
        <s v="Polkassembly Social Contract | Maintenance proposal Q3 &amp; Q4’23"/>
        <s v="Cryptozilla - retroactive and continuation of video content production. (Big Tipper)"/>
        <s v="Proposal：Polkadot Hackathon 2023 Winter in HongKong"/>
        <s v="Public rpc services for polkadot including the common chains in Q3 2023"/>
        <s v="Encode latest tranche request"/>
        <s v="ELLIPAL Self-custody Cold Wallet 1 Proposal: DOT/KSM Tokens, Staking,ASTR &amp; GLMR Parachains&amp;Tokens,DOT/KSM/ ASTR/GLMR Swap,WalletConnect v2,Polkadot Wallet Integration"/>
        <s v="Kuma Wallet - Milestone 5"/>
        <s v="Recognizing Alice und Bob and #stakedot"/>
        <s v="Polkadot RPC services Dwellir Q3 2023 (retroactive) "/>
        <s v="Removed"/>
        <s v="DOTCAST - Pursuing quality improvement by spreading honest and true awareness."/>
        <s v="[TrackingChain] Bring Adoption for Companies: Building Infrastructure for Web2 Integration (Big Tipper Discussion)"/>
        <s v="Please vote against"/>
        <s v="Educational content maintenance proposal by Cryptonitas"/>
        <s v="Polkadot Weigher"/>
        <s v="Big Tips for Content in Portuguese - Verbo da Sabedoria Channel"/>
        <s v="Polkadot Ecosystem App Store - Dynamic App Pages &amp; Project Reputation System - dotappstore.com"/>
        <s v="Polkadot Relayers 2023 Milestone 2"/>
        <s v="Proposal: The operating cost for the research organization Polkadot Ecology Research Institute for 2023/10-2024/3"/>
        <s v="💎DOT Airdrop on Terra 2.0 ✅"/>
        <s v="Kill Referendum 203 (Scam Referendum)"/>
        <s v="Treasury Proposal: Parachain Loan Financing (PLF) Kapex Parachain"/>
        <s v="Please ignore or disapprove!"/>
        <s v="Go-Substrate-Rpc-Client - Retroactive Maintenance Grant (Sept 2021 to Dec 2023)"/>
        <s v="[Root] Referendum #208"/>
        <s v="[Retroactive Funding] Dotinsights - A Research Hub &amp; Data Platform for Polkadot &amp; Kusama Ecosystem"/>
        <s v="[Whitelisted Caller] Referendum #211: Upgrade Polkadot v1,000,000"/>
        <s v="Encointer Lease2 Treasury Proposal 2/2"/>
        <s v="KryptosChain Media (The Next Level!) - 6 Months of funding"/>
        <s v="[PRE-IMAGE FIX + RESUBMISSION] Polkadot Ecosystem App Store - Dynamic App Pages &amp; Project Reputation System - dotappstore.com"/>
        <s v="Smoldot development financing Q4/2023"/>
        <s v="Long Overdue Tip for Leemo's Contributions to the Polkadot Ecosystem"/>
        <s v="KryptosChain en Español (Polkadot ecosystem video content in Spanish) - 12 weeks funding"/>
        <s v="BlockchainBrad Educational &amp; Journalist Content - 6 Months funding"/>
        <s v="Proof-driven Whistleblowing: Decrease in the Number of Teams in the Ecosystem. Several Posts/Research by Rita2me."/>
        <s v="PolkaTube: Empowering the Spanish-Speaking Polkadot Ecosystem with RUST Programming, Substrate, and Marketing Content"/>
        <s v="Markedot: Marketplace and marketing with profits for the Polkadot and Kusama  community."/>
        <s v="Polkadot Pulse 1.0 &amp; Polkadot Networking Night @ IBW, ETHIndia Week"/>
        <s v="Proposal: Funding for the Brazilian Portuguese Language Content Producers Group"/>
        <s v="Retroactive funding for 73videos about Polkadot ecosystem(波卡梦龙)"/>
        <s v="AfterSide Crypto in Italian (Polkadot ecosystem video content in Italian) - 2 Videos"/>
        <s v="Retroactive tip for Polkadot booth at Hacktivity Security Festival 2023"/>
        <s v="Non-custodial DOT payments integration for major eCommerce platforms"/>
        <s v=" [VOTE NAY - RESUBMISSION IN PROCESS] Activation and retention of developers in Turkey and India for the Polkadot Ecosystem"/>
        <s v="Polkadot Sanctuary: A Journey of Achievements and Innovations in Bali - Retroactive funding"/>
        <s v="Polkadot Treasury USDT Acquisition"/>
        <s v="Chain Cohort Event Sponsorship - Opportunity to tap more than 1000 developers community and technology university in Vietnam."/>
        <s v="Enhance analytics solutions for Polkadot: Chainspect's Treasury Proposal"/>
        <s v="Title: Polkadot @CoindeskConsensus 2023, April 26-28, 2023 in Austin, Texas"/>
        <s v="Invalid: Events Bounty V2 Curator Candidacy"/>
        <s v="Events Bounty V2 Curator Candidacy"/>
        <s v="Retroactive Funding - Polkasafe Revised Proposal"/>
        <s v="IBC x Largest Polkadot Developer Outreach Proposal"/>
        <s v="Cancel Referendum 211 (runtime upgrade) due to bad call "/>
        <s v="Crafting a Users &amp; Developers Onboarding Funnel"/>
        <s v="Retroactive &amp; Ongoing Funding Rationale: Republik Rupiah - Turning Indonesia into the Polkadot Island's With Education and Community"/>
        <s v="BRA_16-D! Quality improvement of content for the Spanish Comunity by BRA_16-D"/>
        <s v="PROPOSAL FOR ADVANCING DECENTRALIZED FINANCE EDUCATION IN LATIN AMERICA WITH THE POLKADOT ECOSYSTEM"/>
        <s v=" Milestone 4: Polkadot Hackathon Global Series 2023 APAC Edition"/>
        <s v="Cancel Referendum 241 (runtime upgrade) due to XCM issue"/>
        <s v="PR, Content marketing, Social amplifications proposal"/>
        <s v="substrate-etl Retroactive funding: Q3+Q4 2022-Q1+Q2 2023"/>
        <s v="Cryptor. Polkadot AMAs for 2 largest Russian speaking crypto communities."/>
        <s v="Bounty Proposal: Business Prospects for Polkadot in Brazil"/>
        <s v="VOTE NAY IN THIS PROPOSAL 251"/>
        <s v="[Small Spender] Referendum #252: Retroractive funding for Web3 Education and Investment YouTube Channel Proposal"/>
        <s v="Vote (NAY) Revised the Tip Proposal - Dotgraphic "/>
        <s v="[Small Spender] Referendum #254: Retroractive funding for Web3 Education and Investment YouTube Channel Proposal"/>
        <s v="Altcoin Daily - High impact Polkadot media promotion"/>
        <s v="MASON VERSLUIS - Medium to High impact Polkadot media promotion"/>
        <s v="Addressing Polkadot's Negative Image on Twitter"/>
        <s v="DECENTRALISEDCHAIN - Low impact Polkadot media promotion"/>
        <s v="Big Tips for Subtitling and Promoting Kusamarian's Gavin Wood Interview"/>
        <s v="6 months Educational Campaign in India - Crypto India"/>
        <s v="AllInCrypto's Strategic Content and Community Engagement Proposal"/>
        <s v="Tip for Adam Steeber's participation in Dot Take"/>
        <s v="TuPrimerBitcoin: Creation of quality content on Youtube to make the Spanish-speaking Polkadot ecosystem more visible."/>
        <s v="EatYourCryptos: Creation of Educational Content in Spanish on Youtube"/>
        <s v="A Pink Proposal for $PINK"/>
        <s v="Cancel Referendum 265 - Funding 999,999 DOT for meme coin in the name of Polkadot Marketing."/>
        <s v="Revised Tip Proposal After Community Feedback - Dotgraphic "/>
        <s v="[Whitelisted Caller] Referendum #268: Polkadot v1,000,0001"/>
        <s v="Maria Andersen Crypto | Youtube Media Package Funding"/>
        <s v="Crypto Crow | Youtube Media Package Funding"/>
        <s v="Proposal to Fund educational content for MAD CRIPTO MX YouTube Channel and twitter account"/>
        <s v="Clockwise Crypto | Youtube Media Package Funding"/>
        <s v="MineYourBiz  | Youtube Media Package Funding"/>
        <s v="Advancing Decentralization:  @asteeber's Educational Video on Runtime Upgrade"/>
        <s v="Mind The Chart | Youtube Media Package Funding"/>
        <s v="&quot;Mistake in preimage - please Nay&quot;"/>
        <s v="SIAMO TUTTI NON FUNGIBILI | Youtube &amp; Social Media Package Funding"/>
        <s v="Open HRMP channels: AssetHub &lt;&gt; Composable Finance &amp; AssetHub &lt;&gt; Zeitgeist"/>
        <s v="dApp Marvels 💎 - Ink! Ecosystem growth tool"/>
        <s v="CryptoWendyO | Youtube Media Package Funding"/>
        <s v="Discover Crypto | Youtube Media Package Funding"/>
        <s v="Crypto Blood | Youtube Media Package Funding"/>
        <s v="Wrong Proposal"/>
        <s v="Decentralized Staking Support Group"/>
        <s v="Connecting The Dots "/>
        <s v="AfterSide Crypto | 6 MONTHS - Youtube &amp; Social Media Package Funding"/>
        <s v="Polkadot System Parachain Collators - Tips Q4/2023"/>
        <s v="please vote nay"/>
        <s v="Maintenance for the substrate-api-client Jan-24 to Jun-24"/>
        <s v="Please reject"/>
        <s v="Quality Content Creation and P2P support - The Bitcoin Army's Orinoco Campaign"/>
        <s v="The HGA Marketing Proposal"/>
        <s v="Wrong Preimage please vote Nay"/>
        <s v="VOTE NAY - WE ARE REPOSTING - Polkadot Brand Awareness Partnership with Real Vision (Raoul Pal)"/>
        <s v="ignore - UI errors"/>
        <s v="Holder-targeted Audience Growth w/  Addressable.io &amp; The Kusamarian"/>
        <s v="Polkadot's Educational Campaign India: A Wise Advice Initiative"/>
        <s v="Effective Media Proposal Evaluation System for the Polkadot Marketing Collective/s (Stage 1: Focus on Builders)"/>
        <s v="Easybuild. Fast Path for Future Polkadot Builders committed to building."/>
        <s v="Nova Wallet 5th Proposal: Cloud backups, Push Notifications, Proxies, Deeplinks, OpenGov improvements, Network management, Reimbursement"/>
        <s v="Reward for Content already made on Rust"/>
        <s v="Supercharge Polkadot's Brand: Collaborative Partnership with (Mario Nawfal) IBC Ventures"/>
        <s v="Bounty 27 Curator Committee Proposal "/>
        <s v="YouTube Polkadot Round Table Discussion"/>
        <s v="Toni Ghinea - Creating Polkadot Content"/>
        <s v="DAPP CENTRE | Youtube Media Package Funding"/>
        <s v="Talisman Wallet - Retroactive Proposal #1"/>
        <s v="Subscan | Infrastructure Costs of Subscan for Polkadot &amp; Westend &amp; Rococo &amp; Statemint &amp; Rockmine  Networks (from January to September 2023)"/>
        <s v="Oracle Ecosystem Initiative"/>
        <s v="KryptosChain Short Term Funding"/>
        <s v="#ERROR PLEASE VOTE NAY"/>
        <s v="https://github.com/paritytech/polkadot-api/pull/200"/>
        <s v="#ERROR PLEASE VOTE NAY!"/>
        <s v="Bring Adoption for Companies: Empowering BlockSpace with PolkadotSDK as the Core Infrastructure"/>
        <s v="“NacionCrypto” Establishment of Study Group and Development of Technical and Non-Technical Content."/>
        <s v="Increase Awareness of Polkadot On-Brand Narratives via Twitter Ads"/>
        <s v="Bitskwela - Bringing Polkadot to the Thriving Philippine Web 3.0 Community"/>
        <s v="Posted in error please vote nay"/>
        <s v="A 12-Month Strategic Alliance proposal: Polkadot and Cheeky Crypto Partner for Decentralized Innovation"/>
        <s v="Polkadot Brand Awareness Partnership with Real Vision (Raoul Pal)"/>
        <s v="Building Developer Ecosystems In Turkey &amp; India"/>
        <s v=" Crypto Sj Media proposal - Educational &amp; Awareness  Campaign in India"/>
        <s v="Alpha Airdrop - Polkadot Education Content Creation Proposal (6 months)"/>
        <s v="Corespace Weigher"/>
        <s v="DOT Request - UPDATE REJECT THIS REQUEST"/>
        <s v="OG Tracker"/>
        <s v="Proposed Polkadot Auction Schedule 2024"/>
        <s v="Treasury Proposal: An expansive course on Substrate and Polkadot"/>
        <s v="Development &amp; Maintenance for Node Red Polkadot bridge, a Client for Low Code IoT Integration"/>
        <s v="Polkadot Sponsorship @Token 2049, Singapore on September 13th - 14th 2023"/>
        <s v="Polkadot Colombia Ambassadors: technology education marathon through ten universities in Colombia and one in San Salvador."/>
        <s v="Open HRMP channels between AssetHub and Polimec"/>
        <s v="test"/>
        <s v="Polkadot Ecosystem Growth with Key Opinion Leaders"/>
        <s v="Business Expansion with Fintech, Corporate and Institutions in Spain and Andorra"/>
        <s v="Funding for 6 months of Polkadot brand promotion"/>
        <s v="Lark Davis - Proposal for Funding Polkadot Content Creation"/>
        <s v="Bounty Proposal for Public RPCs for Relay and System Chains"/>
        <s v="Scholarship for Polkadot Blockchain Academy Founder's Track"/>
        <s v="Cancel Ref 341 - Dolpha.com seeking 150,000 DOT "/>
        <s v="Polkadot Workshop @ UPR Mayaguez"/>
        <s v="sub0 Asia 2024 - pre-funding request"/>
        <s v="Proposal for the Deregistration of Equilibrium Parachain"/>
        <s v="Financial Support for Polkadot Blockchain Academy (PBA)."/>
        <s v="Polkadot IRL ADS Campaign #1 - Out of Home Digital Billboards, Toronto Canada"/>
        <s v="Influencer Marketing Campaign for Polkadot Community Engagement"/>
        <s v="Polkadot Staking Dashboard: Maintenance and Growth of Polkadot UX Proposal"/>
        <s v="Amplification of important ecosystem posts on X"/>
        <s v=" Polkadot Unity SDK proposal to become a Verified Solution (Part 2)"/>
        <s v="Magnet Milestone 2 Proposal: Polkadot’s Smart Contract Docking Station using DOT as Gas Based on On-demand Coretime Model"/>
        <s v="Retroactive Funding to Pepe Araucano for the Polkadot Meetup Buenos Aires"/>
        <s v="Bagpipes - Powerful No-code Cross-Chain XCM Dapp and Workflow Builder for the Polkadot Ecosystem 🪄"/>
        <s v="Funding of Polkadot System Parachain Collators"/>
        <s v="[Retroactive] Funding Development Costs for Dot Code School PoC - An Interactive Coding School to Build Meaningful Web3 Applications using the Polkadot SDK"/>
        <s v="WagMedia - Collective Content Creation for 26 Weeks"/>
        <s v="substrate-etl 2.0: Polkadot + Kusama Data on Dune (12 months, 3/15/24-3/14/25)"/>
        <s v="Polkadot Music Events Initiative - onboarding fans, artists and builders to Polkadot through music"/>
        <s v="Big Tipper Proposal : Retroactive fund - Meetup Multi Chain 2023 - Curitiba, Brazil "/>
        <s v="2nd installment for the referendum #196 already approved (2/3)"/>
        <s v="Kalatori — non-custodial Polkadot/AssetHub payment gateway for eCommerce"/>
        <s v="Milestone 4 Report: Polkadot x EasyA Hackathons at Harvard and in London (#60DaysOfPolkadot)"/>
        <s v="Subsquid - Public data indexing Infrastructure for Polkadot and Kusama (Q3 2023)"/>
        <s v=" Proposal for retroactive funding of Fellowship product development."/>
        <s v="Ignite Polkadot | Campaign #1"/>
        <s v="Polkadot Blockchain Academy - funding and reimbursement for costs associated with Wave 4 in Hong Kong."/>
        <s v="Unchained (by Laura Shin) X Polkadot - Sponsorship Proposal "/>
        <s v="Infrastructure funding for Polkadot Asset Hub #2 -  Components"/>
        <s v="Reimburse AssetHub HRMP channel deposit"/>
        <s v="NFT XCM"/>
        <s v="Setting the relay chain's safeXcmVersion to v3"/>
        <s v="BLOX MEDIA GROUP - Media Package"/>
        <s v="Continuous Coverage on Ivan on Tech for a FULL YEAR"/>
        <s v="Executive Search for PolkaDot - Senior BD Executive Search for PolkaDot "/>
        <s v="Boosting NFT Education in Latin America with the Polkadot Ecosystem"/>
        <s v="Community Memecoin launch marketing campaign"/>
        <s v="Polkadot Decoded 2023, final tranche (June, Copenhagen, DK)"/>
        <s v="Promoting the adoption of Polkadot through Gaming - The Great Escape"/>
        <s v="A Chain of Blocks - ACOBJason - 6 Months Continual Polkadot EcoSystem News &amp; Explanations"/>
        <s v="THIS PROPOSAL IS AN ERROR. PLEASE IGNORE: THE AMOUNT IS NOT CORRECT. PLEASE VOTE NAY. "/>
        <s v="Marketing Support NoSpec"/>
        <s v="(please read the important update first) To build the Sónar +D DAO by Polkadot: How blockchain can revolutionize the music industry."/>
        <s v="Finding and fixing a vulnerability in broker-pallet"/>
        <s v="Assigning a Curator to Bounty 32 (System Parachain Collator Bounty)"/>
        <s v="Twitter Kols Outreach"/>
        <s v="Chopsticks Web for dry run governance proposals and more"/>
        <s v="Maintenance &amp; Support Substrate Python API (Oct-Dec 2023)"/>
        <s v="Error in Submission and Address"/>
        <s v="Small tip to CultureDot for their efforts to market Polkadot at Times Square."/>
        <s v="Approve Current Fellowship V and VI Dan Members"/>
        <s v="Proposal: Polkadot Brand Awareness Campaign with Crypto Banter - Ran Neuner / PLEASE VOTE NAY"/>
        <s v="Marketing Bounty"/>
        <s v="Re-submission: Open HRMP channels between AssetHub and Polimec"/>
        <s v="Web3 Association 2024 Sponsorship"/>
        <s v="Error! Please vote NAY"/>
        <s v="Representing Polkadot on Radio Intereconomía &amp; BDZ, the Main Spanish Web3 Event"/>
        <s v="Treasury Proposal for Zeeve Wrench - an open-source Parachain Automation Framework"/>
        <s v="ink! + Ethereum RPC = ethink!. Proposal-01: PoC and Prototype."/>
        <s v="Polkadot Southeast Asia Developer Community Expansion for 1 Year Operation"/>
        <s v="Curators Candidates - Bounty #28"/>
        <s v="Polkadot Developers Conference // sub0 September 19-20, 2023 in Lisbon, Portugal - Final tranche"/>
        <s v="Polkadot in Finance: A Strategic Partnership Development Proposal"/>
        <s v="Building a Polkadot Hub for DevRels, Talent Pipeline and Potential Deal Flow for the Polkadot Ecosystem from the Philippines"/>
        <s v="Open HRMP Channels Between AssetHub And InvArch"/>
        <s v="Behind the Code II' - A Web Documentary series - OpenGov proposal "/>
        <s v="Upgrade Polkadot v1,001,000"/>
        <s v="Marketing Support NoSpec Tipper 2"/>
        <s v="PolkaWarriors - Cultivate a robust &amp; collaborative community of Polkadot in Vietnam"/>
        <s v=" Illustrated Book: &quot;The Sacred Coin Quest&quot; - Create a Collective Memory"/>
        <s v="Big Tip for Content in Portuguese - Verbo DotSama"/>
        <s v="Retroactive tip for Polkadot hackathon brunch in Dubai and Budapest"/>
        <s v="DOT Experts Tip for Hector Bulgarini for Proposal #379: NFT XCM"/>
        <s v="Proposing Curators for Bounty #31"/>
        <s v="Encode Club x Polkadot Education Programming 2023 - A Summary Report of Tranche 4 to Request Funding for Tranche 5"/>
        <s v="Treasury Proposal: Marketing and media proposal for Polkadot in China"/>
        <s v="Private Transfers of DOT"/>
        <s v="Encode x Polkadot 2024 Programming"/>
        <s v="Update Sufficient Asset Minimum Balances"/>
        <m/>
        <s v="Open HRMP channels between AssetHub and Hashed Network"/>
        <s v="Polkadot Watchdogs Governance Monthly Incentive Referendum #1 - VOTE NAY"/>
        <s v="Treasury Proposal: DOT liquidity loan for Bifrost DOT liquid staking token (vDOT) to be returned + DOT Staking rewards to Polkadot Treasury"/>
        <s v="Press Kit Polkadot 2.0"/>
        <s v="Approval of curators for Bounty 33 (marketing bounty)"/>
        <s v="Retroactive reimburesement for para upgrade fees contributions"/>
        <s v="Integrating Polkadot Blockchain for Decentralized Electric Vehicle Charging Network"/>
        <s v="Open HRMP channels between AssetHub and Unique Network"/>
        <s v="Retroactive Funding for ORML, Chopsticks, and Subway"/>
        <s v="Clean up undecodable storage entry"/>
        <s v="DOT Experts Tip for OnlyDeFiGuy for Proposal #432 | Bifrost vDOT liquidity loan"/>
        <s v="OpenZeppelin x Polkadot Ecosystem Growth Phase M2"/>
        <s v="Update Polkadot Asset Hub v1,001,001 and Sufficient Asset Minimum Balances"/>
        <s v="Cancelling Referenda 416, 428, and 443 in a batch"/>
        <s v="[PLEASE REJECT] Bridging Minds with TEACHMEDEFI: Growing Polkadot‘s Mindshare in the Crypto Space"/>
        <s v="POLKADOT IRL CAMPAIGN #2 - BERLIN TAXIS"/>
        <s v="Polkadot Branding and Differentiation Partnership with Cointelegraph"/>
        <s v="[Retroactive] SubWallet 14 Months Development"/>
        <s v="Mistake in pre-image - please vote NAY"/>
        <s v="Project Glove: Introducing Capital Efficiency and Pseudo-Anonymity on top of OpenGov"/>
        <s v="Redot #1: Polkadot Restaking and Enabling Polkadot DA Capabilities"/>
        <s v="Dota: Build up an Inscription Ecosystem on Polkadot"/>
        <s v="De-register parachain ID 2057"/>
        <s v="CryptoRank.io Exclusive Proposal: Empowering Polkadot’s Presence in the Crypto Sphere and Attracting New Active Users"/>
        <s v="The Polkadot Caravan Tour: Bridging the Gap in the U.S. Crypto Landscape"/>
        <s v="USDT and USDC Acquisition for the Treasury"/>
        <s v="Upgrade System to v1.1.2"/>
        <s v="Tip for 2023 Treasury Budget Analysis"/>
        <s v="Tip for Educational Content: OpenGov Thought Leadership"/>
        <s v="3nd installment for the referendum #196 already approved (3/3)"/>
        <s v="Retroactive Funding for Mimir - A Powerful Multisig Management Application For Polkadot Ecosystem"/>
        <s v="Polkadot Hackathon Global Series 2024: North America Edition"/>
        <s v="Paseo - Developer Testnet Funding"/>
        <s v="Polkalator"/>
        <s v="Polkadot-API: development financing"/>
        <s v="Project Proposal: Integration &amp; Support for  Moonbeam"/>
        <s v="Setup of two Swiss Foundations for DED and Mythos"/>
        <s v="Games Bounty [38]"/>
        <s v="BD Bounty [39]"/>
        <s v="Big Tip for a Portuguese/English educational channel"/>
        <s v="Big Tip For Market Mobster Polkadot Content Since 2020"/>
        <s v="Compensate for insufficient `phragmenElection.renounce` unreserve amount"/>
        <s v="Tutorial Media funding for KryptosChain"/>
        <s v="NoSpec Content Creator Support. "/>
        <s v="Polkadot Decoded 2024 treasury spend tranche 1/2"/>
        <s v="Small Tips for Retroactive Content"/>
        <s v="ETHDenver 2024 - Polkadot - Event Recap Video Marketing - Amplify Presence at One of the Largest Blockchain Conferences"/>
        <s v="Retroactive tip for work done on exchanging a member in the ranked collective"/>
        <s v="Formation of new space. Eliminate blockage. Developed for peace!"/>
        <s v="DeFi Infrastructure &amp; Tooling Bounty"/>
        <s v="Polkassembly Social Contract 2024"/>
        <s v="Polkadot Moderation Team Bounty Top-up"/>
        <s v="Polkadot Ecosystem Discord Risk Mitigation"/>
        <s v="Retroactive Tip For Independent Content Creation"/>
        <s v="Polkadot Ambassador Program"/>
        <s v="Refill Marketing Bounty [33]"/>
        <s v="Setting setOnDemandQueueMaxSize to 500"/>
        <s v="Funding Development Costs to Expand Dot Code School – Bridging the Gap Between Online Learning and Real-World Web3 Development with Local Coding Environments"/>
        <s v="Polkadot Greece (Retroactive)"/>
        <s v="Proposal: 2024 Polkadot Decoded Asia (Singapore) September 16 -17 (During the Singapore Token 2049 week)"/>
        <s v="LiteSend - remittance service secured by Polkadot"/>
        <s v="Implementing a Polkadot-native system parachain for data storage: Phase 1/3"/>
        <s v="The Sónar+D DAO by Polkadot"/>
        <s v="Veles project proposal - Carbon credits pallet"/>
        <s v="Bounty Proposal: Business Development Polkadot in Spain &amp; Andorra - VOTE NAY"/>
        <s v="Dot Amplify"/>
        <s v="Swissborg Proposal - A One Month Polkadot Awareness Campaign "/>
        <s v="Unified Wallet And Dapp Interaction"/>
        <s v="Tip for Longtime Polkadot Supporters CryptoWise"/>
        <s v="Treasury Proposal: Futarchy, a New Signal Generating Tech for Polkadot Governance"/>
        <s v="Milestone 1: EasyA x Polkadot Developer Growth via In-Person Hackathons and Crash Courses (#180DaysOfPolkadot)"/>
        <s v="Retroactive funding for developing the RFCs Referenda Bot"/>
        <s v="Set `safeXcmVersion` to 3 for AssetHub, Collectives and BridgeHub"/>
        <s v="[Medium Spender] Referendum #506"/>
        <s v="Polkadot Community Workspace NYC by Transistor"/>
        <s v="Polkadot sponsorship for LIFT Learning - A Fenasbac + Central Bank of Brazil initiative"/>
        <s v="Approval of curators for Bounty 39 (BD bounty)"/>
        <s v="Approval of curators for Bounty 38 (Games bounty)"/>
        <s v="Dot Latam Day 2023 (Retroactive)"/>
        <s v="Big Tipper Proposal: ETHDenver Official Afterparty (Bash) Polkadot Airdrop "/>
        <s v="Open HRMP Channels between AssetHub and Crust Network"/>
        <s v="Conor Daly - 2024 Indianapolis 500 Sponsorship"/>
        <s v="Marketing Bounty Flex [#41] - VOTE NAY"/>
        <s v="Bounty Cleanup Proposal"/>
        <s v="Polkadot Desktop Wallet Tutorial by Altcoin Daily"/>
        <s v="Parachain Runtime Builder - Treasury"/>
        <s v="Tip for Common Good Referendum Deposit Clean-up and Validator Payout Bot"/>
        <s v="Representation of Polkadot at the NERDCONF 6th Edition event in Mexico City at the BBVA Tower."/>
        <s v="Explainer video for Polkadot 2.0 - easy and understandable "/>
        <s v="(PLEASE REJECT) Read below if you are a PolkadotJS user"/>
        <s v="Rising Karting Star Seeks Polkadot Partnership(withdrawn)"/>
        <s v="Transfer the Lease of Bifrost Parachain 3356 to Bifrost Parachain 2030 to avoid downtime"/>
        <s v="Polkadot marketing proposal in Chinese speaking areas"/>
        <s v="Bounty proposal: Business Development Polkadot in Spain &amp; Andorra"/>
        <s v="Reimbursement for lost pool rewards"/>
        <s v="Error - Vote NAY"/>
        <s v="Refill for marketing bounty number #33 [250k]"/>
        <s v="1TRIBE: Africa On DOT - Phase II"/>
        <s v="Bounty Proposal: [Spanish content and event production bounty]"/>
        <s v="Meetups Bounty [#43]"/>
        <s v="NOTE - Vote Nay [Incorrect Preimage]"/>
        <s v="Inscriptions generator and marketplace (tender offer)"/>
        <s v="Vote Nay"/>
        <s v=" Polkadot Developer Community in China Expansion for 1 Year Operation"/>
        <s v="POLKADOT &lt;&gt; KUSAMA BRIDGE SECURITY BOUNTY"/>
        <s v="Universal Hybrid Substrate Faucet"/>
        <s v="OpenGov Discord Voting Bot Development"/>
        <s v="Retroactive Small Tips for Content (February)"/>
        <s v="Talisman Unified Retroactive Proposal #2"/>
        <s v="Initialize Kusama GRANDPA light-client running on Polkadot BridgeHub"/>
        <s v="Request for transferring all the DOT from the hacker's account to the Starlay's account"/>
        <s v="Replaced by Proposal #551 Amharic Chain Polkadot Academy to Small Spender Track"/>
        <s v="[VOTE NAY] DED Token birthing phase: &quot;EDs&quot; and technical proposal | On-Demand Governance for Assets on Asset Hub. "/>
        <s v="SHITTY PROPOSAL SORRY "/>
        <s v="PolkaMAPS, a DOTins project"/>
        <s v="AmharicChain Polkadot Academy"/>
        <s v="Token Terminal x Polkadot data partnership - Polkadot ecosystem on Token Terminal and their partner platforms (Bloomberg, MarketVector)"/>
        <s v="Paseo Testnet - Curator submission"/>
        <s v="Polkadot Pulse Dubai Edition &amp; Networking Night @ Token2049, Dubai"/>
        <s v="{bash} Events (the PMEI team) - a music and technology sandbox | onboarding users into Polkadot through music"/>
        <s v="DED Bounty - VOTE NAY"/>
        <s v="BD Bounty (retry)"/>
        <s v="Games Bounty (retry)"/>
        <s v="Tip for maintenance of the ORML pallets"/>
        <s v="Polkadot Hydration: Treasury LP"/>
        <s v="Polkadot Hydration: Liquidity Incentives"/>
        <s v="AMI Bounty Program"/>
        <s v="Cancelling DED Tech Proposal, and Deferring to DED Bounty Fund"/>
        <s v="Please vote to reject! The preimages hash is incorrect."/>
        <s v="Pinkdrop: Powering User Engagement and Ecosystem Growth"/>
        <s v="Proposal: Codigo Brazuca + Polkadot Brazil - Tech Academy - from Basic to Advanced  -  8 Months Track"/>
        <s v="Retroactive Tip For Solo Content Creation"/>
        <s v="Duplicate of #545 - please ignore"/>
        <s v="Please vote to reject! The preimages hash is incorrect"/>
        <s v="PolkaWorld Ops and Maintenance proposal：2024.4 - 2025.4"/>
        <s v="Polkadot Anti-scam Team Bounty Top-up"/>
        <s v="Big Tip for Polkadot Brasil on X"/>
        <s v="Continuation of work through Messari Protocol Services"/>
        <s v="Increase Awareness of Polkadot On-Brand Messages via Twitter Ads (5/1/24-12/31/24)"/>
        <s v="StellaSwap Incentive Program"/>
        <s v="Polkadot Runtime Upgrade v1.1.3"/>
        <s v="RegionX | Coretime Marketplace for Polkadot"/>
        <s v="PBA referendum - vote NAY - incorrect preimage"/>
        <s v="Polkadot Blockchain Academy - Wave 5 in person and remote - Singapore 20th May to 20th June 2024"/>
        <s v="Request withdrawn - replaced by whitelisted caller #593"/>
        <s v="Vote NO - Mistake in submission - New referenda coming shortly -  Polkadot @ Coindesk Consensus"/>
        <s v="Nomination Pool: Remove max pool and max member limits"/>
        <s v="Polkadot @ Coindesk Consensus"/>
        <s v="VOTE NAY - ERROR IN PREIMAGE"/>
        <s v="Fund system chains sovereign accounts on Polkadot BridgeHub for Polkadot&lt;&gt;Kusama bridge"/>
        <s v="Open HRMP Channels between AssetHub and Mythos"/>
        <s v="Error - Vote no"/>
        <s v="Requesting a refill for marketing bounty number #33"/>
        <s v="Polkadot Advertising Campaign on Brave Browser - Top-Up Request "/>
        <s v="Proposing Curators for the DeFi Infrastructure &amp; Tooling Bounty"/>
        <s v="Polkadot P2P Network Health Weekly Reports"/>
        <s v="Funding for Decentralized Social Media Editorial Board"/>
        <s v="Polkadot Agents Program - Phase 1"/>
        <s v="VOTE NO. Mistake in submission - New referendum coming shrtly"/>
        <s v="Lawsuit against Giotto Bounty"/>
        <s v="Mistake vote NO"/>
        <s v="This is a tip request for Boosting NFT Education in Latin America with the Polkadot Ecosystem"/>
        <s v="Contribution to the Italian Polkadot Community: Funding Request"/>
        <s v="Manta Wallet Retroactive Funding"/>
        <s v="Telenova: Polkadot Wallet built into Telegram. Retroactive Funding for 6 months"/>
        <s v="Setting onDemandBaseFee to 0.025 DOT"/>
        <s v="Polkadot x The Tie Partnership to Increase Institutional Exposure and Access"/>
        <s v="Integration of Polkadot into ChatG (An Ai Chat Startup)"/>
        <s v="Set BEEFY genesis (thus starting BEEFY consensus on Polkadot)"/>
        <s v="Conor Daly Indy500 Replacement Ref"/>
        <s v="PolkaBot.AI - Decentralized AI education hub on Polkadot "/>
        <s v="Subsquid Migration to ArrowSquid &amp; Indexing Upgrades"/>
        <s v="ink! Analyzer: Retroactive funding for ink! v5 support"/>
        <s v="VOTE no, wrong track"/>
        <s v="Discord Governance Bot Self Tip Request - 0xTaylor"/>
        <s v="Polkadot Growth Index 📈 and AI Insights 💡"/>
        <s v=" Vote Nay"/>
        <s v="Technical Support Bounty #625"/>
        <s v="[Big Tipper] Referendum #626"/>
        <s v="Proposal for Polkadot OpenGov Funding: WEB3DEV Bootcamp for Rust and Pallets Learning"/>
        <s v="Tip for Adam Steeber + Kusamarian concerning #514 Conor Daly - 2024 Indianapolis 500 Sponsorship"/>
        <s v="[Revision] Nomination Pool: Remove max pool and max member limits"/>
        <s v="Subsquare polkadot fellowship support milestone 1"/>
        <s v="TEACHMEDEFI - Growing Polkadot’s Mindshare in the Crypto Space"/>
        <s v="DOTCAST /This_is_the_DOT"/>
        <s v="OG Tracker 2.0"/>
        <s v="REJECT"/>
        <s v="Approval of curators for Bounty 43 (Meetup bounty)"/>
        <s v="Tip for 7 Polkadot Decentralized Voices"/>
        <s v="Bump parachain validation timeouts"/>
        <s v="Curators Candidates - Bounty #42"/>
        <s v="Polkadot in Spanish X account and Marketing Decentralization"/>
        <s v="Maintenance &amp; Support Substrate Python API (Jan-Mar 2024)"/>
        <s v="Mythical Games and Polkadot, a proposal from Mythos Foundation Swiss"/>
        <s v="#644 Polkadot - Sports Sponsorship Fund"/>
        <s v="Set Asset Rates for Treasury Assets"/>
        <s v="CURATORS PROPOSAL FOR BOUNTY 44 - POLKADOT &lt;&gt; KUSAMA BRIDGE SECURITY BUGBOUNTY"/>
        <s v="Polkadot.JS API UI enhancements"/>
        <s v="Upgrade Polkadot to Release v1.2.0"/>
        <s v="Infrastructure Builders Program Bounty"/>
        <s v="(Vote Nay) Polkadot Ecosystem growth campaigns"/>
        <s v="The Block x Polkadot"/>
        <s v="Test Proposal - Please Vote Nay"/>
        <s v="Magnet Milestone 3 Proposal: An Appchain Tech Stack leverages the Coretime Model to enhance DOT use cases and facilitate Polkadot's growth"/>
        <s v="Polkadot AmharicChain Hub: Mastering Polkadot | Empowering Learning"/>
        <s v="POLKADOT IRL CAMPAIGN #5 - POLKADOT X LYFT NYC"/>
        <s v="PolkaBiz  - Where founders forge investment-ready innovations."/>
        <s v="Semi-Retroactive &amp; Ongoing Funding for Cryptopolitan for Media Boost, Engagement, and Reach 2024 "/>
        <s v="Tip for Polkadot Presentation at Vienna Crypto Meetup"/>
        <s v="Tip Request for @OnlyDeFiGuy for the Expert Report on Referendum #561"/>
        <s v="Wrong amount vote nay"/>
        <s v="Polkadot Beam Sponsorship at ETHPrague 2024"/>
        <s v="⧓ Apillon Platform - Milestone 2 Proposal"/>
        <s v="Polkadot Fleet of Bikes in Paris for the Olympic &amp; Paralympic Games : A Unique &amp; Massive Marketing opportunity."/>
        <s v="Retroactive Tip for Portuguese Content Creation"/>
        <s v="52 Weeks of Kus Coverage ❤️🤖"/>
        <s v="Polkadot Drone Shows Over VELD Music Fest (100K+ Attendance) - Brand Awareness + PR Campaign"/>
        <s v="Retrospective Funding Proposal of the Polkadot HK Event"/>
        <s v="Infinity Wallet - A unique native desktop Wallet &amp; Web3 Browser - Milestone 1"/>
        <s v="Retroactive self-tip Request for Maintenance and Ongoing Development Validator Dashboard and Services"/>
        <s v="Retroactive Polkadot Event in Guadalajara Mexico - Talent Land 2024"/>
        <s v="Improving Polkadot’s Presence In the U.S. With The Texas Blockchain Council"/>
        <s v="Nova Spektr Milestone 4 Proposal: OpenGov voting and delegation, Support for complex account structures, Flexible multisigs, Operation basket, Assets Portfolio view, Fellowship voting, Web-hosted app"/>
        <s v="Polkadot Aligned Sponsorship at Proto Layers @ Prague [cancelled]"/>
        <s v="Polkadot Dapps over Apps"/>
        <s v="Proposal for Ensuring Continuity in Creating Content about Polkadot - VOTE NAY. THE PREIMAGE PROPOSAL IS PULLED"/>
        <s v="Initialize Snowbridge on BridgeHub and AssetHub"/>
        <s v="Proposal for JAM Ratification, Conformance, Performance by Polkadot Fellows"/>
        <s v="Pop Network | Enabling simple and powerful smart contract development, with DOT"/>
        <s v="Chainalysis analytics solutions on Polkadot Relay Network"/>
        <s v="Polkadot Q2 Marketing Campaigns by Distractive "/>
        <s v="Proposal for Klaster Integration into the Polkadot Ecosystem"/>
        <s v=" Integration of Avata with the Polkadot Ecosystem"/>
        <s v="Enable async backing on polkadot"/>
        <s v="Curators Candidates - Bounty #40"/>
        <s v="G6 Networks: Polkadot Ecosystem Expansion with Institutions"/>
        <s v="Proposal for unlocking $PINK from Phala soverign account to sibling account"/>
        <s v="Polkadot Bridge Hub 1.2.2 upgrade: Unstuck bridge with Kusama"/>
        <s v="Polkadot-API: Apr-Jul development financing"/>
        <s v="（Wrong commit! Please vote NAY）"/>
        <s v="Sponsorship and Side Event: Merge Madrid"/>
        <s v="The operating cost for the research organization Polkadot Ecology Research Institute for 2024/4-2025/3"/>
        <s v="BlockDeep Labs: Ecosystem Services Proposal for Polkadot Treasury"/>
        <s v="Restrict delegations on root and treasurer tracks"/>
        <s v="Elevating the Polkadot Ecosystem: Encode x Polkadot Programme 2024 "/>
        <s v="Approve the Polkadot EVM Collective"/>
        <s v="Reducing duration of spending periods"/>
        <s v="Reducing inflation - VOTE NAY"/>
        <s v="Wrong preimage - Please vote NAY"/>
        <s v="Test the brand-new spend() extrinsic"/>
        <s v="Ongoing Development of Gossamer (16 months)"/>
        <s v="NFT in Polkadot, the first book on NFTs in the Polkadot ecosystem."/>
        <s v="Retroactive Funding Request for PolkadotPrague 2023 Marketing Costs"/>
        <s v="Implement Optimistic Project Funding"/>
        <s v="VOTE NO - DUPLICATE"/>
        <s v="Incentivize Interlay iBTC capacity as Polkadot common good"/>
        <s v="Tip Request for Fardeen Haque for Awesome Dot"/>
        <s v="Proposal Outdated - Do Not Vote: LAOS already won Auction 68 with SF Bid"/>
        <s v="Establishing an Insurance Bounty to increase fiscal efficiency of Polkadot treasury"/>
        <s v="Top Up for Polkadot at Consensus "/>
        <s v="Polkadot @ Coinfest Asia 2024"/>
        <s v="TIP: Gamer Streaming Reimbursement"/>
        <s v="Open HRMP channels between AssetHub and SORA"/>
        <s v="ink! + Ethereum RPC = ethink!. Proposal-02: Getting Testnet-Ready."/>
        <s v="REJECT "/>
        <s v="The Gray Paper Interview' Retrospective Funding for Post-Production"/>
        <s v="Please vote NAY - Wrong preimage"/>
        <s v="#727 Semi-Retroactive Proposal for the translation of the Polkadot Wiki to Hungarian"/>
        <s v="Polkadot Insider 52 weeks Operation (May 2024 - May 2025)"/>
        <s v="Tip Ajay Dhore for transferring the polkadot_api npm package"/>
        <s v="Proposal: Establish the Polkadot Community Foundation to represent DOT holders IRL"/>
        <s v="Marketing support to help raise a new  US$100 Million Polkadot Ecosystem Fund"/>
        <s v="Please, VOTE NAY"/>
        <s v="Decoded 2024 Sponsorship for active community members"/>
        <s v="PREMATURE UN-NOTE OF PREIMAGE - BERLIN TAXI - REFILL #1 - WILL NOT EXECUTE"/>
        <s v="Reimbursement - Polkadot Pulse Dubai Edition &amp; Polkamix w/ Afrojack @ Token2049, Dubai"/>
        <s v="Kampela hardware cold signer productizing proposal"/>
        <s v="Onboarding Established Generative Artists to Polkadot Asset Hub and driving user engagement"/>
        <s v="Polkadot Blockchain Academy Wave 5 Singapore - Demo day seed prize fund proposal"/>
        <s v="Changing the curves of the referendums that were affected by extended confirmation periods"/>
        <s v="Move Part of Treasury to Asset Hub"/>
        <s v="CoinMarketCap x Polkadot 6 months integration (Renewable)"/>
        <s v="Express Lane"/>
        <s v="Empower Polkadot Playground - Educate With Game For Highschool and University"/>
        <s v="MobilePolka: Unveiling Polkadot's Depths on the Go"/>
        <s v="Polkadot 2.0 Definition"/>
        <s v="Bringing Stellar Liquidity to Polkadot: Loan DOT Collateral for Pendulum’s Spacewalk Bridge Vaults"/>
        <s v="Runtime Verification: Advanced Rust Property Test Verification for Polkadot Ecosystem"/>
        <s v="Propose Curator for IBP"/>
        <s v="Polkadot @ Blockchain Rio 2024"/>
        <s v="Should we abolish DV?"/>
        <s v="Learn Polkadot Tip for Polkadot Brand Being Elevated by Conor Daly and Inter Miami"/>
        <s v="PRE-IMAGE ERROR - VOTE NAY"/>
        <s v="Pilot MOU Proposal for a Collaboration between the Polkadot Ecosystem and the Founder Institute:"/>
        <s v="Test the brand-new spend() extrinsic (resubmission of 708)"/>
        <s v="Replacing curators for events bounty 17"/>
        <s v="Open source alternative to centralized polkadot API gateways and node as a service"/>
        <s v="POLKADOT IRL CAMPAIGN #6 - THE CITY &amp; CANARY WHARF, LONDON UK"/>
        <s v="Retroactive Payments for {bash} + adding Zebu Live Official Closing Party"/>
        <s v="HEROIC x Polkadot sponsorship"/>
        <s v="The JAM Spring Time Tour &amp; Top Up - The Kus x Key Pictures"/>
        <s v="Retroactive Tip - Reimbursement for Miami trip wrt Polkadot x Inter Miami proposal"/>
        <s v="Replacing curators for event bounty 17 (backup)"/>
        <s v="OG Tracker 2.0 Top Up"/>
        <s v="Recovering lost funds for local initiative"/>
        <s v="2nd Milestone Request for Rewards and Fees for Polkadot Prodigy Hackathon 2024"/>
        <s v="Make DED the official meme coin of Polkadot"/>
        <s v="dotafair: Fair Launch Chain,  A zero-threshold Fair Launch platform aims to build a DOT-based public benefit chain ecosystem, adding more use cases and adoption for DOT."/>
        <s v="Pease VOTE NAY, parameter is wrong"/>
        <s v="AIWeb3 Chinese Unit(爱Web3 中文社区) operation June. 2024 - Dec. 2024"/>
        <s v="DOTphin Event Multipass by Sovereign Nature with WalletConnect integration &amp; upgradeable, dynamic NFTs by Unique Network"/>
        <s v="Kinera, a Decentralised Media Platform [CANCELLED]"/>
        <s v="Events Bounty Top Up Proposal "/>
        <s v="Proposal: Funding for Design and Development of XCQ, the Cross-Consensus Query Language"/>
        <s v="Proposal for the Development of SubstrateSQL Server"/>
        <s v="ink! Analyzer: Retroactive funding for ink! 4.x to 5.0 migration features, and other major improvements (56,750 USDT)"/>
        <s v="Ignore - superceded by 781"/>
        <s v="DOT Experts Tip for OnlyDeFiGuy for Proposal #684 Chainalysis analytics solutions in DOT"/>
        <s v="DOT Experts Tip for OnlyDeFiGuy for Proposal #684 Chainalysis analytics solutions in USD"/>
        <s v="Developer tools for Polkadot-API"/>
        <s v="VOTE NAY, WRONG PRE-IMAGE"/>
        <s v="Chainalysis analytics solutions on Polkadot Network"/>
        <s v="Cancel Chainanalysis ref"/>
        <s v="Cancel root ref #693"/>
        <s v="Proposal for DED Bounties: Revitalizing Community Engagement"/>
        <s v="Top-up of Proposal 657 due to DOT price change."/>
        <s v="Polkadot Relayers Incubator 2024"/>
        <s v="[Whitelisted Caller] Upgrade Polkadot v1.2.4"/>
        <s v="Maintenance for the substrate-api-client Jul-24 to Dec-24"/>
        <s v="Beamex PERPadot: DOT LP Depth Loan, a significant DOT liquidity depth on Beamex Perpetual Exchange"/>
        <s v="Beamex PERPadot: Liquidity Incentives  program to attract liquidity and onboard new users to the Polkadot ecosystem via Perpetual Trading "/>
        <s v="[Retroactive] RegionX Corehub | Parachain management"/>
        <s v="Polkadot Ecosystem vCISO Program w/Spearbit"/>
        <s v="DOTCAST /This_is_the_DOT Top Up"/>
        <s v="Presentation on Augmented Reality Advertising for Polkadot by Overthereality"/>
        <s v="Polkadot Dapps over Apps (REVISED)"/>
        <s v="Inclusion of Moonbeam in marketing narratives"/>
        <s v="Curators Candidates - Bounty #49"/>
        <s v="Polkadot in Spanish Editorial Board and Marketing Top Up "/>
        <s v="Ecosystem Test Environment Bounty"/>
        <s v="Polkadot Education Program for Top Ethiopian Universities."/>
        <s v="Automated Reward Payout Initiative"/>
        <s v="Pre-Image error vote NAY"/>
        <s v="12 Months of Polkadot Advertising on Spotify x 2 Ad Campaigns"/>
        <s v="Open-Source Registrar Development Continuity"/>
        <s v="Pre-Image error, vote NAY"/>
        <s v="A reactive library for building Substrate front-end"/>
        <s v="error vote no"/>
        <s v="#814 Proposal: Promotion to &quot;VII Dan: Free Master&quot; for Gavin Wood - Evidence below"/>
        <s v="*UPDATED* Polkadot Drone Show + NFT Drop Over VELD Music Fest (100K+ Attendance) - Brand Awareness + PR Campaign"/>
        <s v="Proposal: Adding More Auctions For LP18 On Polkadot"/>
        <s v="Polkadot Business Development in Brazil - Continuation of Operations"/>
        <s v="Referendum #819 for the Polkadot UX Bounty"/>
        <s v="Title Sponsorship at the Crypto AI Summer Conference"/>
        <s v=" Free Beer Stand &amp; BD/Networking Space at Polkadot Decoded"/>
        <s v="Referendum #822 - Refill for marketing bounty number #33"/>
        <s v="Vote Nay. Is a toturial about How to Request Stable asset USDT, USDC"/>
        <s v="AssetX the new Polkadot Asset Hub DEX"/>
        <s v=" Cancelling treasury proposal #774"/>
        <s v="Revolutionizing Social Media for a Better Internet"/>
        <s v="Polkadot.js UI Bug When Initiating A Parathread for Parachain Auction"/>
        <s v="StorageHub’s Codebase Audit"/>
        <s v="Referendum 631 top up due to DOT price change"/>
        <s v="Funding the Technical Fellowship Sub-Treasury"/>
        <s v="VIRTUNE AB X POLKADOT - ETP CAMPAIGN, SWEDEN &amp; THE NORDICS"/>
        <s v="Inclusion of DED in marketing narratives"/>
        <s v="Retroactive Sponsorship Reimbursement for Polkadot CCTF Yacht event at Token 2049, Dubai"/>
        <s v="BD &amp; Marketing Proposal. Polkadot as the preferred network of chains for digitizing financial assets and similar real world assets "/>
        <s v="Polkadot Education - Polkadot Onboarding for Business"/>
        <s v="Treasury proposal for renewal of API licenses for Blockexplorers"/>
        <s v="Upgrade Polkadot v1.2.5"/>
        <s v="Big Tips for Content in Portuguese - JOÃO HAZIM - 440 DOT"/>
        <s v="RE-SUBMISSION OF REF #734 - BERLIN TAXI REFILL"/>
        <s v="Decoded 2024:  PopUp Hub for the community"/>
        <s v="VOTE NAY - ERROR PREIMAGE"/>
        <s v="Volatility adjustment for REF651 and REF742"/>
        <s v="Kudos: Unlocking the Full Potential of Polkadot’s Developer Community"/>
        <s v="Retroactive - Participation of Polkadot in Unlock summit 2024 Mexico, Puebla Talk + Workshop"/>
        <s v="JUST Retroactive Compensation for Contributions to the Polkadot Ecosystem"/>
        <s v="."/>
        <s v="Fixed Maximum Supply for Fiscal Certainty"/>
        <s v="lol - NAY"/>
        <s v="please vote no, wrong preimage"/>
        <s v="Inclusion of Hydration in marketing narratives"/>
        <s v="Polkadot London Event - Dawn of RWAs "/>
        <s v="Verified Organization Badges on Twitter/X for Parachains, Top Wallets &amp; Comms Channels"/>
        <s v="Reduce minBalance of USDT/C to 0.01"/>
        <s v="Polkadot Head Ambassador Application: six / David Pethes"/>
        <s v="Polkadot Head Ambassador Application: Leemo"/>
        <s v="Polkadot Head Ambassador Application: Ezio Rojas"/>
        <s v="Head Ambassador Application: Max Rebol"/>
        <s v="Inclusion of Novasama Technologies' Products in Marketing Narratives"/>
        <s v="Polkadot Head Ambassador Application: Albert(I Love Cripto)"/>
        <s v="Polkadot Head Ambassador Application: Irina Karagyaur"/>
        <s v="(EDIT) VOTE NAY "/>
        <s v="Preimage removed - referendum revoked"/>
        <s v="Incognitee: Productive Privacy Sidechains for DOT, KSM and all Substrate- Based Chains"/>
        <s v="Polkadot Head Ambassador Application: Alice und Bob"/>
        <s v="Polkadot Head Ambassador Application: Michiko Watanabe"/>
        <s v="[Whitelisted Caller] Upgrade Polkadot: v1.2.6"/>
        <s v="Polkadot Head Ambassador Application: William"/>
        <s v="Polkadot Head Ambassador Application: Abdulbee"/>
        <s v="Top-up of Proposal #87 due to DOT price change"/>
        <s v="#876 Polkadot Head Ambassador Application: Lorena (Blockya)"/>
        <s v="Proposal: Expanding the Polkadot ecosystem with Polkadot for Beginners (book) v2"/>
        <s v="Wrong pre-image, please vote NO"/>
        <s v="Polkadot Head Ambassador Application with focus on AI Growth: Zoé"/>
        <s v="Polkadot Head Ambassador Application: Mario Altenburger"/>
        <s v="Timed Out - Vote Nay"/>
        <s v="Requesting &quot;Top Up&quot; of Ref #601 due to DOT price change"/>
        <s v="Polkadot Head Ambassador Application: Patrizia De Bella"/>
        <s v="Should we allow EVM compatible contracts on Asset Hub?"/>
        <s v="Kampela Productizing Proposal, Redux"/>
        <s v="Resubmission of Promotion to &quot;VII Dan: Free Master&quot; for Gavin Wood - Evidence below"/>
        <s v="Enable approval voting protocol improvements"/>
        <s v="Polkadot Head Ambassador Application: Angelina "/>
        <s v="[Whitelisted Caller] Make WETH asset sufficient and set asset metadata"/>
        <s v="Please vote Nay - Technical issues with Pure Proxy"/>
        <s v="Proposal: OpenZeppelin x Polkadot Ecosystem Growth Phase M3"/>
        <s v="Asia Blockchain Summit 2024 Sponsorship"/>
        <s v="Inclusion of Dot Code School in Marketing Narratives"/>
        <s v="Requesting &quot;Top Up&quot; of Approved Ref #644 due to DOT price change"/>
        <s v="[Whitelisted Caller] Update Max HRMP Channels"/>
        <s v="2024 Polkadot Hackathons (September 2024 in Singapore and November 2024 in Bangkok)"/>
        <s v="pre-image pulled "/>
        <s v="Revised Proposal: Polkadot Sponsorship of traditional Family Office Investment Conference Series"/>
        <s v="Head Ambassador Proposal for Polkadot - Georgi #900"/>
        <s v="PLEASE VOTE NAY 😅"/>
        <s v="Polkadot Head Ambassador Application: Mexican Collective"/>
        <s v="Plaza smart contract tooling"/>
        <s v=" Top Up request: Universal Hybrid Substrate Faucet"/>
        <s v="&quot;Reward Mode&quot; - Unlocking Gaming Rewards with Polkadot.  TapNation is introducing 734,366 new users to the Polkadot ecosystem, adding 73,437 new wallets every month throughout the partnership period."/>
        <s v="Please reject."/>
        <s v="Hope Clary For Head Ambassador Team"/>
        <s v="Establish a rule for &quot;top up&quot;"/>
        <s v="Polkadot Head Ambassador Application:  Rish"/>
        <s v="Polkadot Head Ambassador Application | Cris, Patricia, Tin"/>
        <s v="Treasury Proposal: Polkadot Bounty Manager UI Development"/>
        <s v="Full Disclosure for Head Ambassador Sponsorship - Whistle-Blower Series Part 1"/>
        <s v="Referendum 912 posted on the wrong track"/>
        <s v="Ecosystem Agent Tip for Adam Steeber's bounty &amp; multisig tutorial"/>
        <s v="Top Up | RegionX Coretime Marketplace for Polkadot"/>
        <s v="Referendum for PolkaDotJobs.xyz: A Polkadot Native Job Board Provided as a Public Good"/>
        <s v="Dot Play Bounty"/>
        <s v="PROPOSAL -  FHE-WASM Research and Development for the Polkadot Ecosystem"/>
        <s v="Removing curators from Spanish bounty"/>
        <s v="Refill for marketing bounty number #33 - 500k DOT"/>
        <s v="Retracted"/>
        <s v="Polkadot User Segments &amp; Conversions 👨‍👩‍👧‍👦 for Ink!, Pallets &amp; XCM "/>
        <s v="Removing curators from Games Bounty [38]"/>
        <s v="Polkadot Head Ambassador for Gaming Application - Angie Dalton"/>
        <s v="KAGOME – the C++ implementation of Polkadot Host milestone 3"/>
        <s v="Polkadot Head Ambassador Application - Jimmy Tudeski"/>
        <s v="Please vote Nay, Preimage removed."/>
        <s v="Cancel 923"/>
        <s v="Cancel 917"/>
        <s v="Top up | HEROIC x Polkadot sponsorship due to DOT price drop"/>
        <s v="Proposing The Polkadot Tooling Collective"/>
        <s v="Polkasafe - The 360° multisig solution for Polkadot | Last Retroactive Funding Proposal"/>
        <s v="Polkadot Head Ambassador Application - Mario Schraepen"/>
        <s v="Polkadot Anti-Scam Team refill due to price volatility"/>
        <s v="Close bounty 33"/>
        <s v="Exclude Astar from marketing narratives"/>
        <s v="Continuation and Salary Request for Editorial Board in Spanish Members"/>
        <s v="Please vote nay. Sorry about that"/>
        <s v="Polkadot Head Ambassador Application: DJ Hà Trang &amp; SubWallet"/>
        <s v="Phink – ink! fuzzer for security and robustness  "/>
        <s v="Top-up of Proposal 751 due to DOT price change"/>
        <s v="Snowbridge Launch and Treasury Proposal"/>
        <s v="Removing Moonbeam from marketing narratives"/>
        <s v="Small Tip Proposal: We live in a society"/>
        <s v="Reactive DOT: funding request for continuation of development"/>
        <s v="Authena x Polkadot: The Future of Scalable Traceability"/>
        <s v="Kylix Finance - The Lending Parachain | Funding Proposal"/>
        <s v="Polkadot Head Ambassador Application: Bekka"/>
        <s v="Infinity Wallet - Milestone 2"/>
        <s v="Funding for 3 month Polkadot Brand Campaign"/>
        <s v="Educational Content in Spanish by long time active members at the Ecosystem"/>
        <s v="I would like to help Polkadot Marketing on X and Binance platform"/>
        <s v="Direction of marketing strategy"/>
        <s v=" Polkadot Global Football Foundation "/>
        <s v="Proposal to Tip Art Curators and a Polkadot Candidate Ambassador in the UAE."/>
        <s v="Polkadot Head Ambassador Proposal - Lucy Coulden"/>
        <s v="please vote Nay. Thanks a lot!"/>
        <s v="Proposal: Request for DOT Top-Up to Cover Price Difference"/>
        <s v="Plaza name"/>
        <s v="Plaza and Defi Bounty"/>
        <s v="Polkadot Head Ambassador : DonDiegoSanchez"/>
        <s v="Retroactive Tip for the development of LiteScan - A lightweight indexer for Polkadot Chains"/>
        <s v="[Whitelisted Caller] Register Polkadot People Chain"/>
        <s v="[Whitelisted Caller] Update HRMP Channel Limits"/>
        <s v="Nielsen reports"/>
        <s v="Retroactive Funding Proposal: Completed Remarker Development and Future Polkadot NFT Standards Implementation Post-Plaza Upgrade"/>
        <s v="[Wish For Change] Pledging to allocate 1% of Treasury Spending to Social Good Projects."/>
        <s v="please vote nay "/>
        <s v="Please vote nay, thank you!"/>
        <s v="Proposal to the Polkadot Community - Dustin Plantholt for Head Ambassador"/>
        <s v="TEST Bounty Please Vote For NAY !"/>
        <s v="People Chain Migration and Release"/>
        <s v="Polkadot Head Ambassador Application with focus on China Market - Siyu Liu"/>
        <s v="dAppForge - AI powered plug-in for Polkadot developers that reduces development time. "/>
        <s v="VOTE NAY - ERROR "/>
        <s v="Dotswap.org: Asset Hub DEX UI v1+v2 2024 Development+Hosting by MVP Workshop+Colorful Notion"/>
        <s v="Live Music on Polkadot: Billfold + Radiate Onboarding"/>
        <s v="Restricting games bounty (38) from investing in games related to mythical"/>
        <s v="Polkadot Head Ambassador - Alice und Bob"/>
        <s v="Proposal: Freelancing Platform Development "/>
        <s v="Polkadot Head Ambassador Application: Luca Poggi"/>
        <s v="Fellowship: Retain Wei at Rank III"/>
        <s v="Subsquid - Public data indexing Infrastructure for Polkadot and Kusama (Q4 2023)"/>
        <s v="Edit: Thanks"/>
        <s v="Incognitee: Privacy Sidechain on Paseo (Retroactive)"/>
        <s v="Incognitee: Privacy Sidechains (Soft Loan Q3'24)"/>
        <s v="Dissolve the &quot;Polkadot Alliance&quot; collective due to inactivity"/>
        <s v="A Wish for Continuity: Celebrating Polkadot's Core Values"/>
        <s v="Subsquare polkadot collectives support milestone 2"/>
        <s v="[Whitelisted Caller] Upgrade BridgeHub: v1.2.8"/>
        <s v="test proposal"/>
        <s v="Proposal for Top-Up for Funding of Polkadot System Parachain Collators"/>
        <s v="[Whitelisted Caller] Enable Elastic Scaling MVP node feature"/>
        <s v="Please vote NAY - Resubmitted as #1014"/>
        <s v="Propuesta de polkadot cafe/coworking"/>
        <s v="-"/>
        <s v="(Temp Check) Milestone_2 Funding Request for Motif: vote NAY"/>
        <s v="Requesting 1M DED tip"/>
        <s v="Further decentralize collators set on Polkadot System Parachains - Resubmission of #1008"/>
        <s v="Vote Nay for this Proposal "/>
        <s v="Head Ambassador Proposal: Dustin Lee"/>
        <s v="Vote nay on this"/>
        <s v="Refunding Polkadot Ecology Research Institute GOV1 Treasury Spend Deposit"/>
        <s v="Polkadot Head Ambassador – Hope Clary for Product"/>
        <s v="Recognition for the sponsorship and diffusion work of the ecosystem in the last month."/>
        <s v="AI-Powered Interactive Assistance for Efficient Research Paper Reading"/>
        <s v="JAM0 @ sub0/Devcon 7 @ Bangkok - November 9-16, 2024"/>
        <s v="[Small Tipper] Referendum #1025 - Creating a new vision for Polkadot Ambassador Program"/>
        <s v="[Treasurer] Fix and Add Asset Rates"/>
        <s v="Vote NAY - Wrong track"/>
        <s v="Inclusion of Bifrost Products &amp; Solutions in Marketing Narratives"/>
        <s v="Investment Conference Series for Polkadot, with Revenue-share Model for Treasury"/>
        <s v="AllInCrypto's Strategic Content and Community Engagement Proposal for Continued Partnership"/>
        <s v="Proposing Curators for the UX Bounty"/>
        <s v="Close Bounty 46 – AMI Bounty Program"/>
        <s v="Less noise, more Polkadot"/>
        <s v="AssetPortal (Milestone 1)"/>
        <s v="Polkadot for 100,000+ Students"/>
        <s v="Behind the Code II: Additional Funding for more episodes of Web3 Thinkers/Builders and Top-up on treasury #604 payout"/>
        <s v="To acquire Partyfy trademark"/>
        <s v="Polkadot Growth Initiative (PGI)"/>
        <s v="Enhancing Coretime DevTools for Seamless Parachain Builder Experience"/>
        <s v="Remove Michiko Watanabe from the Polkadot Ambassador Program"/>
        <s v="forceSetBalance treasury to 0"/>
        <s v="Dazhbog: A Decentralized Perpetual Futures Exchange"/>
        <s v="Creating a standardized interview for Head Ambassadors"/>
        <s v="ink! 5.0 Codebase Security Audit"/>
        <s v="Request for Tip the experiment with beer bar at the Polkadot Decoded 2024"/>
        <s v="[Small Tipper] Referendum #1047 "/>
        <s v="The Polkadot Halving"/>
        <s v="Ecosystem agent tip for Saimon contributions - Developer, Community and Business"/>
        <s v="Increase recommended core count for validators reference hardware from 4 to 8"/>
        <s v="Polkadot OpenGov TOP-UP KILLER: utility.batch treasury.spends with USDC + USDT"/>
        <s v="Tip for HA Lucy Coulden to cover expenses at Coinfest Asia"/>
        <s v="50 Polkadot Ecosystem PR campaigns in the most influential media"/>
        <s v="Subscan | Infrastructure Costs of Subscan for Polkadot &amp; Westend &amp; Rococo &amp; Statemint &amp; Rockmine  Networks (from October 2023 to June 2024)"/>
        <s v="Make the next Polkadot Hub official in Budapest, Hungary"/>
        <s v="VOTE NAY!"/>
        <s v="Inclusion of Centrifuge in Marketing Narratives"/>
        <s v="Polkadot Live: Milestone 2 Development Proposal"/>
        <s v="[Small Tipper] Referendum #1061"/>
        <s v="Milestone 2 Funding Request for Motif: Polkadot Proactive Staking Assistance"/>
        <s v="Improved Proposal from Chainalysis to Polkadot"/>
        <s v="Tip for exposing Michiko Watanabe"/>
        <s v="Remove myself from the Fellowship collective"/>
        <s v="Deposit DOT into parachain child accounts to accelerate opening XCM channels"/>
        <s v="Solidity smart contract tooling - research for AssetHub/Plaza"/>
        <s v="Changes to PAL Security Bounty"/>
        <s v="PlutoWallet 1st proposal: Account abstraction, Full featured NFT support, Transaction Analyzer"/>
        <s v="[Polkadot Community Foundation] Polkadot at Slush 2024"/>
        <s v="Retroactive tip request for retro posters"/>
        <s v="Open Source Developer Grants Bounty Program"/>
        <s v="Rust, ink! technical content for  developers"/>
        <s v="Polkadot App - PCF IP Rights &amp; Funding for publishing the app"/>
        <s v="[Medium Spender] Open-source KYT on Dot #1083"/>
        <s v="Retroactive tip by 6 months at Polkadot Peru and international activities"/>
        <s v="The Modern Market Show Headline Sponsorship - 6 Months"/>
        <s v="Polkadot Advertising Campaign on Brave Browser - Top-Up Request - PLEASE SEE COMMENT 9/5/24"/>
        <s v="Tip Sourav for PSVM Merge Request #23"/>
        <s v="Resubmission of ref#975 Retroactive Funding Proposal: Completed Remarker Development and Future Development"/>
        <s v="B2B Marketing &amp; Sales Enablement For The Polkadot Ecosystem"/>
        <s v="The Dots Magazine - 2nd proposal "/>
        <s v="POLKADOT CHARITY FOUNDATION - Establishment &amp; Inaugural Initiative Launch"/>
        <s v="Bye 😉"/>
        <s v="From Pitch to Market: Enhancing Founder Success with PolkaBiz"/>
        <s v="(Already passed as 1072, but didn't execute) Solidity smart contract tooling - research for AssetHub/Plaza"/>
        <s v="IN IT FOR THE TECH{NO} - Polkadot Opening Party @Token2049, SIngapore"/>
        <s v="DOTUI: Polkadot UI/UX Design System Draft"/>
        <s v="Bounty Cleanup"/>
        <s v="[Small Tipper] Referendum #1100 - Creation of Head Ambassador pages in PolkadotJS apps"/>
        <s v="Polkadot participation in Hack Seasons during Token2049"/>
        <s v="Kheopswap retroactive funding"/>
        <s v="Polkadot-API: Aug 2024 - Jan 2025 development financing"/>
        <s v="Convert Part of DOT Assets to Stablecoins"/>
        <s v="Polkadot At The Australian Crypto Convention"/>
        <s v="CoinGecko - Polkadot Campaign"/>
        <s v="[Whitelisted Caller] Register the Polkadot Coretime Chain"/>
        <s v="Wrong Call Data Please Vote NAY"/>
        <s v="Polkadot AI Navigator: Enhancing User Experience with an Intelligent Ecosystem Assistant Proposal"/>
        <s v="Connecting the DOTS: Training the Next Generation of Blockchain Security Experts"/>
        <s v="2025 Polkadot Motorsports Program w/ Global Ambassador - Conor Daly"/>
        <s v="Support for Investigative Work and Communication Initiatives in Polkadot"/>
        <s v="&quot;sub0 RESET&quot; @Devcon Bangkok - back to the roots"/>
        <s v="Cyborg Network: Unlocking the Web 2.5 potential of Polkadot with Blockchain powered Edge Computing"/>
        <s v="FiDi | Polkadot’s Code-Free Intelligence"/>
        <s v="Polkadot Virtual Machine (PVM) Formal Specification Development"/>
        <s v="[Retroactive] SubWallet 08 Months Development"/>
        <s v="Coretime Notifications"/>
        <s v="Alternative Proposal on Blockchain AML/CTF Compliance from GlobalLedger."/>
        <s v="*UPDATED* Proposal for the Polkadot Community to Earn RWA Yield on Idle Stablecoins via Centrifuge"/>
        <s v="ink! Alliance for a more successful Plaza"/>
        <s v="[Small Tip] NFT Portal update and ownership adquisition"/>
        <s v="Polkadot Blockchain Academy; PBA-X production and launch, Wave 6 production and execution. September 2024 to the end of March 2025."/>
        <s v="Snowbridge: Update Bridge Pricing Parameters to Lower Transfer Fees"/>
        <s v="Retroactive Tip to AwesomeDot Team for high quality technical podcasts"/>
        <s v="[Whitelisted Caller] Increase validator set size to 400"/>
        <s v="Polkadot India IIT Roorkee Workshops and Hackathon (1/5)"/>
        <s v="Polkawatch, Decentralization Analytics, Retroactive Infrastructure and Maintenance Q1-Q3 2024"/>
        <s v="EasyA x Polkadot - Developer Growth via In-Person Hackathons and Crash Courses (#180DaysOfPolkadot): Milestones 1 &amp; 2 Report"/>
        <s v="Bitskwela - Expanding Polkadot to the Thriving Philippine Web 3.0 Community"/>
        <s v="Polkadot's Economics Parameters: Proposal 1 (10% constant total inflation)"/>
        <s v="Polkadot's Economics Parameters: Proposal 2 (8% constant total inflation)"/>
        <s v="Polkadot's Economics Parameters: Proposal 3 (8% total inflation in the first year, then gradually decreasing)"/>
        <s v="Staking Rewards Partnership - Stake App &amp; Terminal Integration"/>
        <s v="Duplicate - vote NAY"/>
        <s v="[Whitelisted Caller] Upgrade Polkadot to v1.3.x (transition to Agile Coretime)"/>
        <s v="Fellowship: Retain bkchr at rank 6"/>
        <s v="Polkadot ecosystem ‘open for all’ organic PR &amp; media campaign"/>
        <s v="G6 Milestone 2: Enterprise SDK for Managed Blockchains and Polkadot Citizens Integration"/>
        <s v="Open source Substrate Indexer in Rust with a decentralized Blockchain Explorer, by Mosaic Chain"/>
        <s v="Implementing a Polkadot-native system parachain for data storage: Phase 2/3"/>
        <s v="[Root] Please reject/ignore"/>
        <s v="Please reject/ignore."/>
        <s v="Polkadot's Economics Parameters: Proposal 4 (5% constant total inflation)"/>
        <s v="UNNOTE THE PREIMAGE- PLEASE DON'T VOTE"/>
        <s v="Retroactive Tip for polkadot &amp; kusama OpenGov Voting Observer Twitter(X) Bot"/>
        <s v="Compensation tip for coverage of activities"/>
        <s v="[Wish For Change] Referendum #1157 - Make polkadot.com code, open source"/>
        <s v="Argus Explorer : Open-source, PVM-focused blockchain explorer designed to address critical needs within the Polkadot ecosystem."/>
        <s v="Support for Investigative Work and Communication Initiatives in Polkadot - Revisited"/>
        <s v="Close Bounty 19 – Wasm Smart Contracts Bounty"/>
        <s v="[Whitelisted Caller] Configure the Coretime Chain and start sales"/>
        <s v="Please Vote on #1177 (Deprecated -&gt; .DOT Authority Registration for the Polkadot App)"/>
        <s v="[Retroactive $DED token] Social Media marketing for dotisded"/>
        <s v="ChessOnchain on Polkadot "/>
        <s v="Development of @noble/curves/sr25519 package by Paul Miller and audit sponsorship (1/2)"/>
        <s v="Marketing Bounty 2.0"/>
        <s v="[Small Tipper] Tip for Creating a UI for the Substrate Kitties Tutorial"/>
        <s v="Showcasing Polkadot’s Capabilities: The Spammening"/>
        <s v="Only Retroactive Funding Proposal: Completed Remarker Development"/>
        <s v="Educational content maintenance proposal by Cryptonitas. "/>
        <s v="[Whitelisted Caller] Fix incorrect price for first coretime sale"/>
        <s v="Polkadot Community Foundation &lt;&gt; Ledger - Giveaway to Increase 𝕏 Followers"/>
        <s v="Tip for 4+ Years of Phunky Polkadot Activism"/>
        <s v="VDS Academy Channel - 6 months funding"/>
        <s v="Sub0 Thailand 2024 Sponsorship for active devs and community members"/>
        <s v=".DOT Authority Registration for the Polkadot App"/>
        <s v="SoyPolkadot: Driving Mass Adoption in LATAM through Real Experiences and Rewards"/>
        <s v="FanSociety - an on-chain fan club protocol for musicians and fans"/>
        <s v="Action Research for OpenGov"/>
        <s v="Anti-phishing browser extension"/>
        <s v="World’s Gymnastics on Polkadot"/>
        <s v="Polkadot User Acquisition tool 👨‍💻⬆️ [$DOT difference adjustment]"/>
        <s v="Bounty Proposal: [Continuation of the Spanish content and event production bounty]"/>
        <s v="Reduce the Set of Head Ambassadors and Start an Effective Ambassador Program"/>
      </sharedItems>
    </cacheField>
    <cacheField name="Status" numFmtId="0">
      <sharedItems>
        <s v="Rejected"/>
        <s v="Confirming"/>
        <s v="Executed"/>
        <s v="TimedOut"/>
        <s v="Executed_err"/>
        <s v="Killed"/>
        <s v="Cancelled"/>
        <s v="Approved"/>
        <s v="Deciding"/>
        <s v="Preparing"/>
      </sharedItems>
    </cacheField>
    <cacheField name="DOT" numFmtId="165">
      <sharedItems containsSemiMixedTypes="0" containsString="0" containsNumber="1">
        <n v="0.0"/>
        <n v="106000.1662581875"/>
        <n v="2179.57"/>
        <n v="6454.0"/>
        <n v="16823.0"/>
        <n v="61477.0"/>
        <n v="286149.337532309"/>
        <n v="75435.0"/>
        <n v="5750.0"/>
        <n v="120026.26"/>
        <n v="42290.787749713054"/>
        <n v="3936.69"/>
        <n v="43663.107"/>
        <n v="36969.0"/>
        <n v="26765.99"/>
        <n v="49880.0"/>
        <n v="68479.0"/>
        <n v="8775.0"/>
        <n v="3469.0"/>
        <n v="41867.704"/>
        <n v="175419.0"/>
        <n v="77500.0"/>
        <n v="25533.0"/>
        <n v="382.7"/>
        <n v="500.0"/>
        <n v="38249.0"/>
        <n v="146628.0"/>
        <n v="11730.685"/>
        <n v="99672.0"/>
        <n v="19256.0"/>
        <n v="14746.0"/>
        <n v="69786.0"/>
        <n v="932.45"/>
        <n v="120.0"/>
        <n v="4246.19"/>
        <n v="72916.6667"/>
        <n v="35277.535"/>
        <n v="36538.0"/>
        <n v="4747.129"/>
        <n v="7915.0"/>
        <n v="100.0"/>
        <n v="1000.0"/>
        <n v="250.0"/>
        <n v="3956.0"/>
        <n v="40.0"/>
        <n v="234.0"/>
        <n v="110693.7"/>
        <n v="28078.569"/>
        <n v="97000.0"/>
        <n v="17820.0"/>
        <n v="12117.0"/>
        <n v="11229.05"/>
        <n v="999.0"/>
        <n v="15139.0"/>
        <n v="29946.0"/>
        <n v="20.0"/>
        <n v="12455.083"/>
        <n v="59203.58"/>
        <n v="990.0"/>
        <n v="38291.26867436736"/>
        <n v="14269.071"/>
        <n v="6686.0"/>
        <n v="63916.0"/>
        <n v="31612.0"/>
        <n v="3668676.0"/>
        <n v="36686.0"/>
        <n v="80.0"/>
        <n v="50.0"/>
        <n v="15375.745"/>
        <n v="14257.0"/>
        <n v="18391.596"/>
        <n v="8497.687388828632"/>
        <n v="225.0"/>
        <n v="43920.94"/>
        <n v="99520.0"/>
        <n v="60246.888"/>
        <n v="2441.0"/>
        <n v="43877.1439"/>
        <n v="10400.0"/>
        <n v="81300.0"/>
        <n v="41936.15"/>
        <n v="172.387"/>
        <n v="212.8825"/>
        <n v="360.2"/>
        <n v="16842.0"/>
        <n v="26616.0"/>
        <n v="4100.0"/>
        <n v="27259.0"/>
        <n v="42820.0"/>
        <n v="20359.6878"/>
        <n v="300.0"/>
        <n v="40105.193"/>
        <n v="129145.0"/>
        <n v="19401.45"/>
        <n v="1.94779899E8"/>
        <n v="194779.0"/>
        <n v="59895.0"/>
        <n v="71068.0"/>
        <n v="53938.013"/>
        <n v="950.0"/>
        <n v="58018.0"/>
        <n v="12153.7439"/>
        <n v="75600.0"/>
        <n v="44196.0"/>
        <n v="58253.66"/>
        <n v="253862.0"/>
        <n v="35008.393"/>
        <n v="6075.79"/>
        <n v="841.34"/>
        <n v="14833.623"/>
        <n v="22400.0"/>
        <n v="45074.0"/>
        <n v="247058.0"/>
        <n v="32420.0"/>
        <n v="16231.0"/>
        <n v="171454.05"/>
        <n v="24937.0"/>
        <n v="32480.0"/>
        <n v="6444.7"/>
        <n v="5233.0"/>
        <n v="15.0"/>
        <n v="5000.0"/>
        <n v="67438.0"/>
        <n v="130.227"/>
        <n v="11183.81"/>
        <n v="42685.0"/>
        <n v="37851.0"/>
        <n v="255835.014"/>
        <n v="16955.0"/>
        <n v="12115.0"/>
        <n v="5457.0"/>
        <n v="43154.0"/>
        <n v="980.0"/>
        <n v="90540.0"/>
        <n v="1711.0"/>
        <n v="12091.65"/>
        <n v="33943.0"/>
        <n v="9452.0"/>
        <n v="4774.6"/>
        <n v="425660.0"/>
        <n v="4395.0"/>
        <n v="925.0"/>
        <n v="200.0"/>
        <n v="700.0"/>
        <n v="26281.383"/>
        <n v="168432.0"/>
        <n v="28010.0"/>
        <n v="10000.0"/>
        <n v="592573.0"/>
        <n v="2.4474149E7"/>
        <n v="24474.0"/>
        <n v="42650.0"/>
        <n v="150.0"/>
        <n v="22687.0"/>
        <n v="1800.0"/>
        <n v="18982.6915423"/>
        <n v="54753.61"/>
        <n v="420.69"/>
        <n v="1959.93"/>
        <n v="14165.0"/>
        <n v="1111.0"/>
        <n v="4895.0"/>
        <n v="3535.0"/>
        <n v="24701.0"/>
        <n v="17000.0"/>
        <n v="1563.0"/>
        <n v="1500.0"/>
        <n v="350.0"/>
        <n v="59746.84"/>
        <n v="138711.0"/>
        <n v="6970.0"/>
        <n v="590.0"/>
        <n v="5917.0"/>
        <n v="137768.0"/>
        <n v="1000000.0"/>
        <n v="33124.7"/>
        <n v="82140.34"/>
        <n v="9700.0"/>
        <n v="16182.0"/>
        <n v="4455.0"/>
        <n v="3161.0"/>
        <n v="10891.119"/>
        <n v="21400.0"/>
        <n v="99025.0"/>
        <n v="17765.0"/>
        <n v="240.0"/>
        <n v="4351.0"/>
        <n v="21219.12"/>
        <n v="5304.73"/>
        <n v="310.02"/>
        <n v="21849.0"/>
        <n v="8000.0"/>
        <n v="905.66"/>
        <n v="1674.0"/>
        <n v="999999.0"/>
        <n v="632.18"/>
        <n v="3266.28"/>
        <n v="4700.0"/>
        <n v="2107.27"/>
        <n v="3160.91"/>
        <n v="1661.0"/>
        <n v="1628.0"/>
        <n v="498.3"/>
        <n v="25361.29"/>
        <n v="9807.68"/>
        <n v="9364.15"/>
        <n v="4327.47"/>
        <n v="9735.0"/>
        <n v="2400.0"/>
        <n v="7939.0"/>
        <n v="7289.03"/>
        <n v="2.0E-10"/>
        <n v="5645.0"/>
        <n v="6098.0"/>
        <n v="3463.0"/>
        <n v="5.3723E-6"/>
        <n v="53723.0"/>
        <n v="32000.0"/>
        <n v="28489.0"/>
        <n v="8842.0"/>
        <n v="125484.0"/>
        <n v="47837.0"/>
        <n v="11877.0"/>
        <n v="3.0"/>
        <n v="8300.0"/>
        <n v="572.63"/>
        <n v="79975.0"/>
        <n v="78676.0"/>
        <n v="70475.0"/>
        <n v="999.99"/>
        <n v="900.0"/>
        <n v="35395.0"/>
        <n v="12000.0"/>
        <n v="42865.0"/>
        <n v="22195.0"/>
        <n v="9999.0"/>
        <n v="13560.0"/>
        <n v="6431.0"/>
        <n v="1086847.0"/>
        <n v="9000.0"/>
        <n v="71503.0"/>
        <n v="5210.0"/>
        <n v="149657.0"/>
        <n v="26706.0"/>
        <n v="11239.0"/>
        <n v="16981.0"/>
        <n v="21000.0"/>
        <n v="610.0"/>
        <n v="482.0"/>
        <n v="99950.0"/>
        <n v="450.0"/>
        <n v="1950.0"/>
        <n v="48750.0"/>
        <n v="22252.0"/>
        <n v="11059.0"/>
        <n v="41667.0"/>
        <n v="10541.327"/>
        <n v="26448.736"/>
        <n v="25910.7234"/>
        <n v="2500.0"/>
        <n v="26058.0"/>
        <n v="325000.0"/>
        <n v="176852.0"/>
        <n v="282.0"/>
        <n v="1798.0"/>
        <n v="44429.5"/>
        <n v="10356.9"/>
        <n v="45234.77"/>
        <n v="25796.18"/>
        <n v="20632.0"/>
        <n v="248986.130762"/>
        <n v="57781.69"/>
        <n v="71842.0"/>
        <n v="106700.0"/>
        <n v="55858.31"/>
        <n v="24000.0"/>
        <n v="2750.0"/>
        <n v="4267.0"/>
        <n v="91557.0"/>
        <n v="9900.0"/>
        <n v="64658.0"/>
        <n v="21969.0"/>
        <n v="8250.0"/>
        <n v="4417012.0"/>
        <n v="540.0"/>
        <n v="44170.12"/>
        <n v="2000.0"/>
        <n v="2744.11"/>
        <n v="38684.0"/>
        <n v="1658.0"/>
        <n v="160.0"/>
        <n v="12489.0"/>
        <n v="9975.0"/>
        <n v="56600.0"/>
        <n v="65050.0"/>
        <n v="3157.89"/>
        <n v="55000.0"/>
        <n v="51574.0"/>
        <n v="673.0"/>
        <n v="226.0"/>
        <n v="1678.37"/>
        <n v="8208.0"/>
        <n v="11655.0"/>
        <n v="17038.37"/>
        <n v="100000.0"/>
        <n v="500000.0"/>
        <n v="13333.0"/>
        <n v="550.0"/>
        <n v="38460.0"/>
        <n v="34315.574377"/>
        <n v="25555.0"/>
        <n v="11250.0"/>
        <n v="43946.0"/>
        <n v="209250.0"/>
        <n v="818361.0"/>
        <n v="81836.0"/>
        <n v="6655.868"/>
        <n v="64516.0"/>
        <n v="37100.0"/>
        <n v="952.0"/>
        <n v="1655.0"/>
        <n v="21670.0"/>
        <n v="51034.0"/>
        <n v="13509.0"/>
        <n v="31500.0"/>
        <n v="712.17"/>
        <n v="8666.0"/>
        <n v="184235.82"/>
        <n v="172066.93"/>
        <n v="32528.24"/>
        <n v="9507.0"/>
        <n v="20000.0"/>
        <n v="969.0"/>
        <n v="54121.0"/>
        <n v="28761.0"/>
        <n v="65178.0"/>
        <n v="41242.84"/>
        <n v="50000.0"/>
        <n v="30000.0"/>
        <n v="44032.0"/>
        <n v="93962.490651"/>
        <n v="52090.67"/>
        <n v="217.2437202987"/>
        <n v="310930.0"/>
        <n v="11275.0"/>
        <n v="923.38"/>
        <n v="290000.0"/>
        <n v="5986.39"/>
        <n v="34540.0"/>
        <n v="90.0"/>
        <n v="8.0E-8"/>
        <n v="8260.0"/>
        <n v="10458.0"/>
        <n v="121.8441544774"/>
        <n v="2.5E-5"/>
        <n v="250000.0"/>
        <n v="5.867E-7"/>
        <n v="9986.112944"/>
        <n v="3.9326E-6"/>
        <n v="39326.0"/>
        <n v="4471.0"/>
        <n v="14737.47"/>
        <n v="2.0E-8"/>
        <n v="98026.0"/>
        <n v="3600.0"/>
        <n v="31200.0"/>
        <n v="3.5E-6"/>
        <n v="35100.0"/>
        <n v="171827.0"/>
        <n v="32393.2"/>
        <n v="64329.0"/>
        <n v="999999.9999999999"/>
        <n v="6.621E-7"/>
        <n v="7215.0"/>
        <n v="9500.0"/>
        <n v="3.1474E-6"/>
        <n v="31474.0"/>
        <n v="84476.0"/>
        <n v="620.0"/>
        <n v="11121.0"/>
        <n v="97747.61"/>
        <n v="17406.0"/>
        <n v="248929.562796"/>
        <n v="167214.563518"/>
        <n v="3.7865E-6"/>
        <n v="38921.48979"/>
        <n v="58902.0"/>
        <n v="5600.0"/>
        <n v="9468.0"/>
        <n v="50817.27"/>
        <n v="1.0E-7"/>
        <n v="45588.0"/>
        <n v="45555.0"/>
        <n v="150000.0"/>
        <n v="21524.0"/>
        <n v="18694.0"/>
        <n v="2812.27"/>
        <n v="694.2"/>
        <n v="16344.73"/>
        <n v="7270.0"/>
        <n v="5300.0"/>
        <n v="16348.0"/>
        <n v="7935.0"/>
        <n v="9355.5"/>
        <n v="31353.0"/>
        <n v="999.999999999"/>
        <n v="35713.0"/>
        <n v="1212.24"/>
        <n v="968000.0"/>
        <n v="24323.0"/>
        <n v="68868.6"/>
        <n v="2.1557E-6"/>
        <n v="33956.17"/>
        <n v="5800.0"/>
        <n v="31352.0"/>
        <n v="8420.0"/>
        <n v="8235.42"/>
        <n v="155.0"/>
        <n v="42.0"/>
        <n v="5.365E-7"/>
        <n v="5365.0"/>
        <n v="91663.0"/>
        <n v="16153.0"/>
        <n v="74533.0"/>
        <n v="21557.0"/>
        <n v="907.0"/>
        <n v="9924.0"/>
        <n v="889.0"/>
        <n v="824.0"/>
        <n v="28549.62"/>
        <n v="122705.0"/>
        <n v="2395.0"/>
        <n v="9560.0"/>
        <n v="83906.813273"/>
        <n v="48117.0"/>
        <n v="45000.0"/>
        <n v="77820.0"/>
        <n v="30148.0"/>
        <n v="34763.0"/>
        <n v="1.6448E-6"/>
        <n v="2.9719E-6"/>
        <n v="16448.0"/>
        <n v="29719.0"/>
        <n v="81718.0"/>
        <n v="17898.6052999"/>
        <n v="10.054836659398221"/>
        <n v="368016.0"/>
        <n v="725.0"/>
        <n v="202030.0"/>
        <n v="35.5"/>
        <n v="14278.99"/>
        <n v="42404.0"/>
        <n v="596.0"/>
        <n v="9732.0"/>
        <n v="5.54E-8"/>
        <n v="554.0"/>
        <n v="4.9E-8"/>
        <n v="490.0"/>
        <n v="26195.0"/>
        <n v="88000.0"/>
        <n v="150217.81"/>
        <n v="1.2563E-6"/>
        <n v="12563.0"/>
        <n v="8265.0"/>
        <n v="56016.0"/>
        <n v="134627.0"/>
        <n v="9997.0"/>
        <n v="138218.0"/>
        <n v="3500.0"/>
        <n v="2858.213094"/>
        <n v="75142.0"/>
        <n v="7873.0"/>
        <n v="39713.0"/>
        <n v="10.222279992449682"/>
        <n v="20422.0"/>
        <n v="37882.0"/>
        <n v="199260.0"/>
        <n v="35400.53"/>
        <n v="13242.0"/>
        <n v="46.1"/>
        <n v="10979.0"/>
        <n v="26400.0"/>
        <n v="1.3982E-6"/>
        <n v="13982.0"/>
        <n v="80188.0"/>
        <n v="49075.43"/>
        <n v="175000.0"/>
        <n v="7885.497423885508"/>
        <n v="1049.0"/>
        <n v="833.7089787367938"/>
        <n v="31705.0"/>
        <n v="3000.0"/>
        <n v="2960.0"/>
        <n v="4670.0"/>
        <n v="1.0"/>
        <n v="499999.0"/>
        <n v="3282.0"/>
        <n v="60431.0"/>
        <n v="4015.0"/>
        <n v="8822.0"/>
        <n v="9461.0"/>
        <n v="3690.0"/>
        <n v="891.0"/>
        <n v="1.45E10"/>
        <n v="14500.0"/>
        <n v="2737.92"/>
        <n v="6.0E-7"/>
        <n v="6000.0"/>
        <n v="1.4048E-6"/>
        <n v="9286.0"/>
        <n v="53335.0"/>
        <n v="4504.0"/>
        <n v="9600000.0"/>
        <n v="73323.210812"/>
        <n v="23000.0"/>
        <n v="408.45"/>
        <n v="53701.995939383596"/>
        <n v="6220.882129141348"/>
        <n v="89945.0"/>
        <n v="4178.0"/>
        <n v="6.702E-7"/>
        <n v="12604.0"/>
        <n v="24800.0"/>
        <n v="6702.0"/>
        <n v="26265.0"/>
        <n v="440.0"/>
        <n v="2150.3914"/>
        <n v="13855.6"/>
        <n v="17822.33"/>
        <n v="348.7"/>
        <n v="46194.0"/>
        <n v="1519.0"/>
        <n v="7496.0"/>
        <n v="1324503.0"/>
        <n v="135527.0"/>
        <n v="18677.58"/>
        <n v="6429.820923917001"/>
        <n v="25000.0"/>
        <n v="97920.28"/>
        <n v="39139.0"/>
        <n v="16741.2753"/>
        <n v="598000.0"/>
        <n v="134899.0"/>
        <n v="34000.0"/>
        <n v="164989.27"/>
        <n v="139470.9"/>
        <n v="724.78"/>
        <n v="70835.0"/>
        <n v="27843.0"/>
        <n v="0.0156"/>
        <n v="8381.094462911777"/>
        <n v="17081.0"/>
        <n v="33884.0"/>
        <n v="37573.39"/>
        <n v="141395.0"/>
        <n v="99995.0"/>
        <n v="28755.0"/>
        <n v="16677.616320548717"/>
        <n v="27759.78012921434"/>
        <n v="50258.89931502318"/>
        <n v="7579.086436742526"/>
        <n v="35635.496039612284"/>
        <n v="86022.0619187487"/>
        <n v="1011087.5028339707"/>
        <n v="15378.0"/>
        <n v="260000.0"/>
        <n v="96156.88454391209"/>
        <n v="9987.0"/>
        <n v="2350.0"/>
        <n v="9106.82015969656"/>
        <n v="400.0"/>
        <n v="770.0"/>
        <n v="7685.83"/>
        <n v="7531.108582106518"/>
        <n v="400000.0"/>
        <n v="868.0"/>
        <n v="10.0"/>
        <n v="14232.0"/>
        <n v="17215.35027143376"/>
        <n v="386545.0"/>
        <n v="77903.48999999999"/>
        <n v="386546.0"/>
        <n v="31532.0"/>
        <n v="49257.65"/>
        <n v="76800.0"/>
        <n v="6983.1592999098075"/>
        <n v="32918.29421201371"/>
        <n v="28179.53948390753"/>
        <n v="0.16410732827358065"/>
        <n v="26503.51"/>
        <n v="99393.0"/>
        <n v="2777.282430111532"/>
        <n v="1.0E-10"/>
        <n v="3950.0"/>
        <n v="19000.0"/>
        <n v="34.792381103747694"/>
        <n v="162813.42"/>
        <n v="12500.0"/>
        <n v="30981.0"/>
        <n v="4170.0"/>
        <n v="9928.0"/>
        <n v="95000.0"/>
        <n v="28076.27283365398"/>
        <n v="54500.0"/>
        <n v="39.04572244804335"/>
        <n v="43142.0"/>
        <n v="853.267900316889"/>
        <n v="75000.0"/>
        <n v="63696.0"/>
        <n v="37560.00540369759"/>
        <n v="32411.0"/>
        <n v="24954.49995183644"/>
        <n v="1357653.8318808456"/>
        <n v="2261.0"/>
        <n v="4.73E-7"/>
        <n v="208.86982028936083"/>
        <n v="399.4893227591249"/>
        <n v="0.22"/>
        <n v="8272.05"/>
        <n v="23565.244376945895"/>
        <n v="45.0"/>
        <n v="220.0"/>
        <n v="10990.260201361352"/>
        <n v="115814.40660121101"/>
        <n v="28020.29019006855"/>
        <n v="87351.0"/>
        <n v="6011.2862554427065"/>
        <n v="7005.0725475171375"/>
        <n v="42140.22833031294"/>
        <n v="9075.282322185627"/>
        <n v="37604.0"/>
        <n v="21719.485942694035"/>
        <n v="435.3061528599015"/>
        <n v="26347.477673099304"/>
        <n v="4540.0"/>
        <n v="14092.0"/>
        <n v="133030.10576920657"/>
        <n v="25621.53529685904"/>
        <n v="51393.898203181925"/>
        <n v="11173.0"/>
        <n v="1652900.0"/>
        <n v="888.0"/>
        <n v="87741.2487135893"/>
        <n v="36550.49846711192"/>
        <n v="93699.0"/>
        <n v="84886.1651419605"/>
        <n v="1.68608E-5"/>
        <n v="168608.0"/>
        <n v="9062.133125743414"/>
        <n v="705760.6468072619"/>
        <n v="122331.84544659207"/>
        <n v="461342.5206260634"/>
        <n v="7647.0"/>
        <n v="87553.24"/>
        <n v="28386.044450650203"/>
        <n v="38497.95377798981"/>
        <n v="91686.42784137791"/>
        <n v="18683.1302325399"/>
        <n v="99988.0"/>
        <n v="963.23"/>
        <n v="139.38"/>
        <n v="13977.149428024786"/>
        <n v="6020.0"/>
        <n v="4763.709198081145"/>
        <n v="200000.0"/>
        <n v="65000.0"/>
        <n v="946.91"/>
        <n v="16612.0"/>
        <n v="4727.762847787826"/>
        <n v="6717.381660240008"/>
        <n v="16693.23"/>
        <n v="49773.0"/>
        <n v="4450.58982421829"/>
        <n v="6700.0"/>
        <n v="22000.0"/>
        <n v="289183.0"/>
        <n v="14208.877354780498"/>
        <n v="85227.73"/>
      </sharedItems>
    </cacheField>
    <cacheField name="USD Propose Date" numFmtId="164">
      <sharedItems containsSemiMixedTypes="0" containsString="0" containsNumber="1">
        <n v="0.0"/>
        <n v="451400.0"/>
        <n v="9626.827714920044"/>
        <n v="28506.33201599121"/>
        <n v="74304.62093353271"/>
        <n v="271534.51709747314"/>
        <n v="1133000.0"/>
        <n v="333184.87071990967"/>
        <n v="25396.87156677246"/>
        <n v="530137.6538887024"/>
        <n v="180000.0"/>
        <n v="17817.975249123574"/>
        <n v="197835.91983825018"/>
        <n v="167189.41288661957"/>
        <n v="121047.09766098976"/>
        <n v="225578.401222229"/>
        <n v="319723.23665475845"/>
        <n v="40969.806826114655"/>
        <n v="16196.496852397919"/>
        <n v="195477.1219524727"/>
        <n v="847173.0464744568"/>
        <n v="374373.66366386414"/>
        <n v="123340.42263650894"/>
        <n v="1848.6813043117522"/>
        <n v="2415.313959121704"/>
        <n v="2550.107479095459"/>
        <n v="195078.12193584442"/>
        <n v="747834.3188896179"/>
        <n v="59829.01510682583"/>
        <n v="508348.6253128052"/>
        <n v="96423.39492416382"/>
        <n v="73839.81000995636"/>
        <n v="362524.6718673706"/>
        <n v="4843.896057701111"/>
        <n v="623.3766174316406"/>
        <n v="21344.45496540546"/>
        <n v="366532.4699567448"/>
        <n v="177330.67929085018"/>
        <n v="186192.67222309113"/>
        <n v="24190.722915806295"/>
        <n v="38649.0385389328"/>
        <n v="488.3011817932129"/>
        <n v="4883.011817932129"/>
        <n v="1246.5652227401733"/>
        <n v="21765.575653076172"/>
        <n v="216.77236557006836"/>
        <n v="1251.2494668960571"/>
        <n v="1256.5122842788696"/>
        <n v="556351.9753691197"/>
        <n v="143621.25811869334"/>
        <n v="497267.4136161804"/>
        <n v="91353.66299629211"/>
        <n v="63148.25598335266"/>
        <n v="545.2579021453857"/>
        <n v="61227.28246085643"/>
        <n v="5301.590266227722"/>
        <n v="80293.15419864655"/>
        <n v="158825.4703502655"/>
        <n v="106.07458114624023"/>
        <n v="64508.252939070226"/>
        <n v="103.58542442321777"/>
        <n v="325016.46138450626"/>
        <n v="5434.9128341674805"/>
        <n v="183325.99999999997"/>
        <n v="74438.51840883636"/>
        <n v="35115.54053878784"/>
        <n v="332237.6813659668"/>
        <n v="164320.3201599121"/>
        <n v="1.8554478895202637E7"/>
        <n v="185540.94522094727"/>
        <n v="404.603271484375"/>
        <n v="248.95095825195312"/>
        <n v="33289.72213745117"/>
        <n v="76697.32342167378"/>
        <n v="71116.79726886749"/>
        <n v="91740.99769817735"/>
        <n v="37314.0"/>
        <n v="1138.63023519516"/>
        <n v="222265.37885418892"/>
        <n v="503628.80447387695"/>
        <n v="304504.62928609084"/>
        <n v="12337.497002124786"/>
        <n v="221767.362281052"/>
        <n v="52363.85459899902"/>
        <n v="405386.421918869"/>
        <n v="399.0641784667969"/>
        <n v="195674.3712114811"/>
        <n v="804.3589559373855"/>
        <n v="993.3112441039085"/>
        <n v="2333.003520965576"/>
        <n v="1680.695736503601"/>
        <n v="78584.89060020447"/>
        <n v="118120.84882736206"/>
        <n v="18498.44570159912"/>
        <n v="122987.59301948547"/>
        <n v="193442.9811668396"/>
        <n v="90004.46167887497"/>
        <n v="1326.2157440185547"/>
        <n v="177293.79457834244"/>
        <n v="570913.7742042542"/>
        <n v="87075.59324355125"/>
        <n v="8.741911175372972E8"/>
        <n v="874187.0827379227"/>
        <n v="268814.58124637604"/>
        <n v="318843.313583374"/>
        <n v="242960.53415033102"/>
        <n v="4309.509634971619"/>
        <n v="247704.9609889984"/>
        <n v="51238.14529046054"/>
        <n v="322765.8199310303"/>
        <n v="188689.9229850769"/>
        <n v="428.67398262023926"/>
        <n v="1062.4747276306152"/>
        <n v="246977.81079312327"/>
        <n v="1012129.512418747"/>
        <n v="142089.46907217262"/>
        <n v="25165.674229249955"/>
        <n v="3521.520161495209"/>
        <n v="60441.0481690278"/>
        <n v="92024.64294433594"/>
        <n v="187338.44711971283"/>
        <n v="25153.181664819716"/>
        <n v="1022796.1723079681"/>
        <n v="134215.65748214722"/>
        <n v="65452.15421628952"/>
        <n v="684226.2976417779"/>
        <n v="99516.75789690018"/>
        <n v="81.49321556091309"/>
        <n v="132429.46731567383"/>
        <n v="26276.729926395416"/>
        <n v="21484.6989941597"/>
        <n v="61.584270000457764"/>
        <n v="21305.04608154297"/>
        <n v="63.915138244628906"/>
        <n v="278098.27057266235"/>
        <n v="537.025170999527"/>
        <n v="45565.603036952016"/>
        <n v="325.9397506713867"/>
        <n v="172759.68663454056"/>
        <n v="153194.9607310295"/>
        <n v="1029157.2274032126"/>
        <n v="68205.52244901657"/>
        <n v="49334.08271074295"/>
        <n v="22221.716001033783"/>
        <n v="175051.9150943756"/>
        <n v="3934.0003204345703"/>
        <n v="363453.4581756592"/>
        <n v="6633.92164349556"/>
        <n v="46098.59400590658"/>
        <n v="129405.38109707832"/>
        <n v="35332.12506866455"/>
        <n v="934.5145225524902"/>
        <n v="17847.732157516482"/>
        <n v="1563703.3404779434"/>
        <n v="16420.932630300522"/>
        <n v="3736.2759113311768"/>
        <n v="3502.2451877593994"/>
        <n v="731.3097953796387"/>
        <n v="2559.5842838287354"/>
        <n v="96099.16412011957"/>
        <n v="615879.8572769165"/>
        <n v="102419.9368429184"/>
        <n v="36488.7809753418"/>
        <n v="2205127.14460063"/>
        <n v="9.107504105131412E7"/>
        <n v="95556.41083431244"/>
        <n v="169095.1355934143"/>
        <n v="594.7073936462402"/>
        <n v="97215.02479076385"/>
        <n v="7713.09757232666"/>
        <n v="81341.8622506333"/>
        <n v="234622.18687062262"/>
        <n v="1782.2135768079759"/>
        <n v="8303.05891652584"/>
        <n v="60008.68885755539"/>
        <n v="4706.6468987464905"/>
        <n v="20737.206633090973"/>
        <n v="14776.682028770447"/>
        <n v="111841.16629743576"/>
        <n v="76972.58520126343"/>
        <n v="6957.194310665131"/>
        <n v="6676.769971847534"/>
        <n v="1557.9129934310913"/>
        <n v="265943.93814985274"/>
        <n v="617427.6263766289"/>
        <n v="31024.724469184875"/>
        <n v="2791.2367963790894"/>
        <n v="27427.212115764618"/>
        <n v="635867.3463134766"/>
        <n v="4691026.210784912"/>
        <n v="155388.83592438698"/>
        <n v="408103.83283005713"/>
        <n v="48193.216371536255"/>
        <n v="79801.3394165039"/>
        <n v="21969.779205322266"/>
        <n v="15974.38235092163"/>
        <n v="55039.19618329239"/>
        <n v="113437.13712692261"/>
        <n v="524911.7992520332"/>
        <n v="2776.5824794769287"/>
        <n v="101400.66644906998"/>
        <n v="1369.8936080932617"/>
        <n v="24835.02953672409"/>
        <n v="113912.04795364379"/>
        <n v="28477.743570003506"/>
        <n v="26841.840744018555"/>
        <n v="1612.9493752384185"/>
        <n v="5202.7268409729"/>
        <n v="121612.78387641907"/>
        <n v="44528.45764160156"/>
        <n v="4852.908289670944"/>
        <n v="26792.10901260376"/>
        <n v="8775.448216438293"/>
        <n v="5242197.993422985"/>
        <n v="634.9464225769043"/>
        <n v="3345.0035785388945"/>
        <n v="17282.60667612076"/>
        <n v="24868.734884262085"/>
        <n v="11472.500903282165"/>
        <n v="16767.356404628754"/>
        <n v="8810.937036514282"/>
        <n v="8635.885307312012"/>
        <n v="2643.281110954285"/>
        <n v="124001.21331771852"/>
        <n v="47953.563081054686"/>
        <n v="48439.48298387527"/>
        <n v="22385.417729129793"/>
        <n v="50357.83993721008"/>
        <n v="12414.875793457031"/>
        <n v="41067.37455177307"/>
        <n v="37705.16754365921"/>
        <n v="1.034572982788086E-9"/>
        <n v="28979.385974407196"/>
        <n v="31304.92394542694"/>
        <n v="17777.788065433502"/>
        <n v="2.757944291768074E-5"/>
        <n v="275794.4291768074"/>
        <n v="164276.4129638672"/>
        <n v="149377.56803750992"/>
        <n v="46361.629281044006"/>
        <n v="657955.5178356171"/>
        <n v="1048.668384552002"/>
        <n v="250825.7475590706"/>
        <n v="62275.172016620636"/>
        <n v="15.990258693695068"/>
        <n v="44239.71571922302"/>
        <n v="3049.3286376714705"/>
        <n v="412789.20645713806"/>
        <n v="406084.44647979736"/>
        <n v="371451.0351061821"/>
        <n v="5270.625336585045"/>
        <n v="527.0678043365479"/>
        <n v="421.6542434692383"/>
        <n v="4651.2800216674805"/>
        <n v="182924.50707435608"/>
        <n v="41344.71130371094"/>
        <n v="218.63176345825195"/>
        <n v="65589.52903747559"/>
        <n v="234291.26351594925"/>
        <n v="121313.29974889755"/>
        <n v="54744.92454957962"/>
        <n v="75581.82838439941"/>
        <n v="5573.881149291992"/>
        <n v="28131.635189056396"/>
        <n v="38017.319400310516"/>
        <n v="6568170.625558376"/>
        <n v="56219.993591308594"/>
        <n v="446655.3557510376"/>
        <n v="32545.129623413086"/>
        <n v="934857.2867660522"/>
        <n v="166823.46098327637"/>
        <n v="76871.14963245392"/>
        <n v="116144.58509731293"/>
        <n v="143633.2540512085"/>
        <n v="4341.748194694519"/>
        <n v="3430.6928358078003"/>
        <n v="711406.1181306839"/>
        <n v="3303.708815574646"/>
        <n v="14316.0715341568"/>
        <n v="326951.47812366486"/>
        <n v="149237.42135810852"/>
        <n v="74169.36198091507"/>
        <n v="6706.6969871521"/>
        <n v="279447.94336366653"/>
        <n v="80221.37476058006"/>
        <n v="201279.58867034913"/>
        <n v="3760.547399520874"/>
        <n v="194877.0070031493"/>
        <n v="18802.73699760437"/>
        <n v="181278.80293178558"/>
        <n v="2260941.3981437683"/>
        <n v="1253156.8216552734"/>
        <n v="1893.6917638778687"/>
        <n v="12482.965863227844"/>
        <n v="308460.4737598896"/>
        <n v="71904.79930415153"/>
        <n v="378230.8648057174"/>
        <n v="215694.95036857604"/>
        <n v="164419.1303215027"/>
        <n v="1984203.328906746"/>
        <n v="460469.9117054415"/>
        <n v="572518.3773050308"/>
        <n v="318.7652778625488"/>
        <n v="850306.378698349"/>
        <n v="465976.46819307323"/>
        <n v="221487.83111572266"/>
        <n v="23933.441638946533"/>
        <n v="37135.99835395813"/>
        <n v="796826.9513225555"/>
        <n v="83656.13107681274"/>
        <n v="536184.5748748779"/>
        <n v="182180.68801116943"/>
        <n v="68414.15977478027"/>
        <n v="3.662862602365112E7"/>
        <n v="4520.265998840332"/>
        <n v="369742.02148277283"/>
        <n v="837.086296081543"/>
        <n v="5517.03314781189"/>
        <n v="15762.951850891113"/>
        <n v="21627.636901774407"/>
        <n v="1675.2514243125916"/>
        <n v="372.278094291687"/>
        <n v="288024.1159915924"/>
        <n v="12398.438097000122"/>
        <n v="1196.4717102050781"/>
        <n v="99550.58369779587"/>
        <n v="81497.63431549072"/>
        <n v="462432.6919555664"/>
        <n v="531470.788192749"/>
        <n v="23902.934509763716"/>
        <n v="418714.1823768616"/>
        <n v="387722.34568977356"/>
        <n v="7517.786979675293"/>
        <n v="74426.0910987854"/>
        <n v="1872.5149631500244"/>
        <n v="4935.082166671753"/>
        <n v="1657.2489891052246"/>
        <n v="7000.6293869018555"/>
        <n v="11761.407751846313"/>
        <n v="57518.68469238281"/>
        <n v="81674.00951385498"/>
        <n v="119398.7124393463"/>
        <n v="137.49210357666016"/>
        <n v="687460.5178833008"/>
        <n v="3437302.589416504"/>
        <n v="551.9115829467773"/>
        <n v="84436.88692951202"/>
        <n v="3494.9371337890625"/>
        <n v="244391.42211914062"/>
        <n v="635443.115234375"/>
        <n v="968.9763307571411"/>
        <n v="220802.29448091207"/>
        <n v="170458.16407680511"/>
        <n v="75040.27962684631"/>
        <n v="293130.6780872345"/>
        <n v="1431681.6169023514"/>
        <n v="5446794.743771553"/>
        <n v="544678.8088035583"/>
        <n v="44299.700056133275"/>
        <n v="429401.4618110657"/>
        <n v="251948.96178245544"/>
        <n v="679107.7136993408"/>
        <n v="6347.201267242432"/>
        <n v="11133.04255247116"/>
        <n v="145772.22484111786"/>
        <n v="343301.3254518509"/>
        <n v="544.4565582275391"/>
        <n v="1361.1413955688477"/>
        <n v="91938.29556369781"/>
        <n v="218607.7938079834"/>
        <n v="222077.7587890625"/>
        <n v="6245.936965942383"/>
        <n v="6939.929962158203"/>
        <n v="4995.634742531776"/>
        <n v="60789.09625339508"/>
        <n v="1324930.264808178"/>
        <n v="1438.298225402832"/>
        <n v="7191.49112701416"/>
        <n v="575.3192901611328"/>
        <n v="1441.7725563049316"/>
        <n v="1240406.8876082087"/>
        <n v="234491.61868450165"/>
        <n v="67461.78718185425"/>
        <n v="6386.410903930664"/>
        <n v="734606.3137054443"/>
        <n v="146921.26274108887"/>
        <n v="7118.335179805756"/>
        <n v="398489.30549144745"/>
        <n v="211765.32058238983"/>
        <n v="479901.2574291229"/>
        <n v="315848.6814317703"/>
        <n v="38291.335105895996"/>
        <n v="382913.35105895996"/>
        <n v="233341.62712097168"/>
        <n v="342483.2841796875"/>
        <n v="7778.054237365723"/>
        <n v="730845.3485614477"/>
        <n v="398888.56686387537"/>
        <n v="1663.5615600668034"/>
        <n v="385217.6904678345"/>
        <n v="2395514.7299432755"/>
        <n v="86866.58920049667"/>
        <n v="7248.587509374618"/>
        <n v="7850.059032440186"/>
        <n v="2242629.680633545"/>
        <n v="44795.50434894562"/>
        <n v="258459.05799865723"/>
        <n v="702.84583568573"/>
        <n v="11884.592771530151"/>
        <n v="6.338449478149414E-7"/>
        <n v="65444.4908618927"/>
        <n v="87549.09729194641"/>
        <n v="1020.0177600685447"/>
        <n v="2.0856547355651856E-4"/>
        <n v="2085654.7355651855"/>
        <n v="4.894614533424378E-6"/>
        <n v="83310.3350061696"/>
        <n v="867422.9621887207"/>
        <n v="3.4112275411033634E-5"/>
        <n v="273238.233089447"/>
        <n v="693.9383697509766"/>
        <n v="341122.7541103363"/>
        <n v="43804.35234069824"/>
        <n v="144389.47181625364"/>
        <n v="1.9594879150390627E-7"/>
        <n v="960403.8117980957"/>
        <n v="37851.216888427734"/>
        <n v="328043.87969970703"/>
        <n v="3.679979419708252E-5"/>
        <n v="369049.3646621704"/>
        <n v="1806628.0678577423"/>
        <n v="345477.73993797303"/>
        <n v="686077.2486963272"/>
        <n v="10522.542953491211"/>
        <n v="1.0522542953491211E7"/>
        <n v="1.052254295349121E7"/>
        <n v="320698.97689819336"/>
        <n v="7.102098705482483E-6"/>
        <n v="77392.60256767273"/>
        <n v="101902.94170379639"/>
        <n v="9653.962898254395"/>
        <n v="214.53250885009766"/>
        <n v="3.563197384929657E-5"/>
        <n v="356319.7384929657"/>
        <n v="975098.1887435913"/>
        <n v="7156.599235534668"/>
        <n v="120533.44212341309"/>
        <n v="1059424.1428501892"/>
        <n v="216.76727294921875"/>
        <n v="1.0838363647460938E7"/>
        <n v="172448.17348480225"/>
        <n v="2181708.172095138"/>
        <n v="1465528.5439902127"/>
        <n v="701.1487579345703"/>
        <n v="94918.59436035156"/>
        <n v="3.594092575454712E-5"/>
        <n v="189.83718872070312"/>
        <n v="357022.68164573674"/>
        <n v="4459.629058837891"/>
        <n v="4459629.058837891"/>
        <n v="525362.1416473389"/>
        <n v="50299.698638916016"/>
        <n v="85042.41905593872"/>
        <n v="456445.24404507637"/>
        <n v="38326.57394504547"/>
        <n v="9.369309425354003E-7"/>
        <n v="9369.309425354004"/>
        <n v="9542.867012023926"/>
        <n v="443918.593208313"/>
        <n v="194.75238800048828"/>
        <n v="441454.12799835205"/>
        <n v="1453586.196899414"/>
        <n v="484528.7322998047"/>
        <n v="2738695.6310272217"/>
        <n v="204839.19108581543"/>
        <n v="177906.70127105713"/>
        <n v="26763.757290229798"/>
        <n v="6606.549268341065"/>
        <n v="190.3356170654297"/>
        <n v="155549.213515892"/>
        <n v="69764.63045120239"/>
        <n v="9404.310569763184"/>
        <n v="50860.04695892334"/>
        <n v="959.6235275268555"/>
        <n v="191.9247055053711"/>
        <n v="154222.7292251587"/>
        <n v="76514.23579216003"/>
        <n v="85706.30886983871"/>
        <n v="287226.7545289993"/>
        <n v="8578.613281241422"/>
        <n v="686.2890625"/>
        <n v="301187.53719234467"/>
        <n v="10223.492288131714"/>
        <n v="8490893.363952637"/>
        <n v="8219184.776306152"/>
        <n v="206523.99929141998"/>
        <n v="849418.6401367188"/>
        <n v="584982.7256011963"/>
        <n v="1.8310917625427245E-5"/>
        <n v="8706.72607421875"/>
        <n v="295647.0707196045"/>
        <n v="50228.30333709717"/>
        <n v="271509.9596939087"/>
        <n v="72917.64036178589"/>
        <n v="71319.16790834427"/>
        <n v="1304.929723739624"/>
        <n v="353.5938606262207"/>
        <n v="4.516740624427795E-6"/>
        <n v="44955.70236682892"/>
        <n v="768084.7243337631"/>
        <n v="135353.11469364166"/>
        <n v="579.287109375"/>
        <n v="3982.598876953125"/>
        <n v="539700.0765380859"/>
        <n v="156096.15270996094"/>
        <n v="5821.105873584747"/>
        <n v="63692.0117855072"/>
        <n v="6106.8487200737"/>
        <n v="5520.83874130249"/>
        <n v="187845.85164945602"/>
        <n v="807353.1355810165"/>
        <n v="16251.327435970306"/>
        <n v="64869.59928512573"/>
        <n v="1628.525505065918"/>
        <n v="135.71045875549316"/>
        <n v="561140.0570355842"/>
        <n v="6687657.833099365"/>
        <n v="321790.03195524216"/>
        <n v="300944.60248947144"/>
        <n v="520433.5325717926"/>
        <n v="218098.5592136383"/>
        <n v="3617131.471633911"/>
        <n v="248035.0075340271"/>
        <n v="1.2299668005371093E-5"/>
        <n v="2.1530187940597532E-5"/>
        <n v="119158.96606445312"/>
        <n v="215301.87940597534"/>
        <n v="592013.1559371948"/>
        <n v="124040.10543983603"/>
        <n v="69.0"/>
        <n v="2525461.612174988"/>
        <n v="6862.369060516357"/>
        <n v="4975.217568874359"/>
        <n v="1365362.5518035889"/>
        <n v="241.35154271125793"/>
        <n v="135.97270011901855"/>
        <n v="6798635.005950928"/>
        <n v="97077.64126362324"/>
        <n v="288289.31879234314"/>
        <n v="4007.269241333008"/>
        <n v="62501.218980789185"/>
        <n v="3.5579197816848757E-7"/>
        <n v="3557.9197816848755"/>
        <n v="3.1468965578079226E-7"/>
        <n v="3146.8965578079224"/>
        <n v="168230.5210852623"/>
        <n v="1032.4564218521118"/>
        <n v="605707.7674865723"/>
        <n v="1033955.6174070692"/>
        <n v="9.152291476631165E-6"/>
        <n v="91522.91476631165"/>
        <n v="59963.41145038605"/>
        <n v="406401.7490386963"/>
        <n v="959494.6980743408"/>
        <n v="71249.2181854248"/>
        <n v="69967.38910675049"/>
        <n v="966160.2652339935"/>
        <n v="24465.416431427002"/>
        <n v="19979.24959841926"/>
        <n v="352505.9938430786"/>
        <n v="529760.1077871323"/>
        <n v="55505.59379053116"/>
        <n v="4685.823518371582"/>
        <n v="268061.2350692749"/>
        <n v="135994.75111293793"/>
        <n v="264457.91552972794"/>
        <n v="252264.86933994293"/>
        <n v="1319176.7137813568"/>
        <n v="235962.1541203785"/>
        <n v="2999.474000930786"/>
        <n v="85793.61847114563"/>
        <n v="298.6773758888245"/>
        <n v="71131.86355495453"/>
        <n v="171043.00918579102"/>
        <n v="9.058800584983825E-6"/>
        <n v="90588.00584983826"/>
        <n v="348173.99978637695"/>
        <n v="558387.5338973999"/>
        <n v="6963479.995727539"/>
        <n v="344957.3423823929"/>
        <n v="1230096.9123840332"/>
        <n v="143.93511772155762"/>
        <n v="56750.0"/>
        <n v="7549.396924495697"/>
        <n v="6000.0"/>
        <n v="228173.1453680992"/>
        <n v="7161952.972412109"/>
        <n v="22840.98529815674"/>
        <n v="22536.43882751465"/>
        <n v="34812.38008975983"/>
        <n v="7.454471111297607"/>
        <n v="3600387.0964050293"/>
        <n v="3600379.8956308365"/>
        <n v="23632.940900802612"/>
        <n v="435149.98524570465"/>
        <n v="29085.82767724991"/>
        <n v="579.5432662963867"/>
        <n v="63909.133690834045"/>
        <n v="68538.23553037643"/>
        <n v="27849.29367542267"/>
        <n v="6724.585546016693"/>
        <n v="1.1061022138595581E11"/>
        <n v="110610.22138595581"/>
        <n v="20885.65085083008"/>
        <n v="4.420243835449218E-6"/>
        <n v="44202.43835449219"/>
        <n v="1.00758183303833E-5"/>
        <n v="66603.11006259918"/>
        <n v="573.7937545776367"/>
        <n v="373230.86069107056"/>
        <n v="69978.59954833984"/>
        <n v="31470.10943222046"/>
        <n v="6.7076609802246094E7"/>
        <n v="514013.97538130055"/>
        <n v="165310.3175163269"/>
        <n v="2935.6956169366836"/>
        <n v="385978.0"/>
        <n v="44712.0"/>
        <n v="651986.8218326569"/>
        <n v="29839.33460330963"/>
        <n v="4.786577800655365E-6"/>
        <n v="90017.94479179382"/>
        <n v="165112.61711120605"/>
        <n v="44620.353220939636"/>
        <n v="174866.2455010414"/>
        <n v="2810.906524658203"/>
        <n v="52800.323696136475"/>
        <n v="13737.61185642929"/>
        <n v="88515.44646148682"/>
        <n v="116250.8306952715"/>
        <n v="2274.4873797893524"/>
        <n v="300604.9959039688"/>
        <n v="50624.48362827301"/>
        <n v="9691.0637216568"/>
        <n v="50535.9095954895"/>
        <n v="508.80577087402344"/>
        <n v="8423934.624249458"/>
        <n v="835220.5386967659"/>
        <n v="116193.46928014756"/>
        <n v="40000.0"/>
        <n v="151847.87511825562"/>
        <n v="565553.360956688"/>
        <n v="220774.05807971954"/>
        <n v="94433.66681342841"/>
        <n v="3373179.864883423"/>
        <n v="760934.097981453"/>
        <n v="191786.14616394043"/>
        <n v="925765.0315320491"/>
        <n v="235.66460609436035"/>
        <n v="782579.8740506172"/>
        <n v="4066.7855525016785"/>
        <n v="407150.3692126274"/>
        <n v="162672.58729934692"/>
        <n v="0.0911429214477539"/>
        <n v="5842.494964599609"/>
        <n v="48554.0"/>
        <n v="98954.96079540253"/>
        <n v="196299.3906440735"/>
        <n v="3140722.0363616943"/>
        <n v="232000.69439937113"/>
        <n v="873057.7194285393"/>
        <n v="607203.63945961"/>
        <n v="182025.50992012024"/>
        <n v="105572.99999999999"/>
        <n v="180850.0"/>
        <n v="305038.0"/>
        <n v="46000.0"/>
        <n v="198100.0"/>
        <n v="478202.13999999996"/>
        <n v="5620700.048310282"/>
        <n v="283.28704833984375"/>
        <n v="87127.76458740234"/>
        <n v="1473092.6513671875"/>
        <n v="544800.0"/>
        <n v="62333.62140083313"/>
        <n v="499.3180847167969"/>
        <n v="14667.468738555908"/>
        <n v="56840.0"/>
        <n v="936.2214088439941"/>
        <n v="2362.5051498413086"/>
        <n v="4577.461409568787"/>
        <n v="45690.37691624164"/>
        <n v="46045.8"/>
        <n v="2445631.980895996"/>
        <n v="5293.828506469727"/>
        <n v="121.97761535644531"/>
        <n v="59048.92921447754"/>
        <n v="59.04892921447754"/>
        <n v="84038.43605804443"/>
        <n v="105000.0"/>
        <n v="2357618.3092451096"/>
        <n v="499.52064514160156"/>
        <n v="486430.0197947788"/>
        <n v="2446093.1586198807"/>
        <n v="200046.04034423828"/>
        <n v="312501.517162323"/>
        <n v="487236.328125"/>
        <n v="44302.72"/>
        <n v="208841.0"/>
        <n v="176400.0"/>
        <n v="1.0"/>
        <n v="168194.8561301708"/>
        <n v="629866.3690209389"/>
        <n v="17600.0"/>
        <n v="3053.5645484924316"/>
        <n v="488.57032775878906"/>
        <n v="5.918869972229004E-10"/>
        <n v="23379.536390304565"/>
        <n v="112458.52947235107"/>
        <n v="200.00000000000003"/>
        <n v="936828.2938421345"/>
        <n v="71924.99041557312"/>
        <n v="460.31993865966797"/>
        <n v="180652.8064198494"/>
        <n v="23858.346462249756"/>
        <n v="56133.5775680542"/>
        <n v="537136.3687515259"/>
        <n v="2261626.8157958984"/>
        <n v="151200.0"/>
        <n v="279159.9006652832"/>
        <n v="200.0"/>
        <n v="220981.95292663574"/>
        <n v="2774.016237258911"/>
        <n v="4208.274841308594"/>
        <n v="45.06931781768799"/>
        <n v="3900.0"/>
        <n v="342799.72314834595"/>
        <n v="91.41325950622559"/>
        <n v="291132.94887542725"/>
        <n v="4.88088321685791"/>
        <n v="183326.0"/>
        <n v="158194.30594158173"/>
        <n v="97.6176643371582"/>
        <n v="121800.0"/>
        <n v="14.64264965057373"/>
        <n v="6500000.000000001"/>
        <n v="10824.924332618713"/>
        <n v="2.264568425178528E-6"/>
        <n v="1000.0"/>
        <n v="10753.478892326355"/>
        <n v="1900.0"/>
        <n v="1.0463358497619628"/>
        <n v="39342.46575465202"/>
        <n v="112078.0"/>
        <n v="202.33449697494507"/>
        <n v="1000.8862209320068"/>
        <n v="50000.0"/>
        <n v="508000.0"/>
        <n v="4386.328220367432"/>
        <n v="120000.0"/>
        <n v="374090.3441362381"/>
        <n v="25744.000000000004"/>
        <n v="342.60887145996094"/>
        <n v="30000.0"/>
        <n v="181000.0"/>
        <n v="38980.0"/>
        <n v="161516.0683670044"/>
        <n v="4295.183181762695"/>
        <n v="94800.0"/>
        <n v="115000.0"/>
        <n v="4391.077041625977"/>
        <n v="1120.9545135498047"/>
        <n v="20356.533966064453"/>
        <n v="63185.96401977539"/>
        <n v="596482.79"/>
        <n v="116160.0"/>
        <n v="240000.0"/>
        <n v="20084.555625915527"/>
        <n v="54732.86341667175"/>
        <n v="8097015.120506287"/>
        <n v="4428.399250030518"/>
        <n v="437560.0"/>
        <n v="182275.0"/>
        <n v="410482.8574447632"/>
        <n v="371875.0"/>
        <n v="7.386492238769531E-5"/>
        <n v="738649.2238769531"/>
        <n v="39700.0"/>
        <n v="85.17589569091797"/>
        <n v="85175.89569091797"/>
        <n v="3000000.0"/>
        <n v="520000.0"/>
        <n v="1062.6832246780396"/>
        <n v="1961043.83"/>
        <n v="85.01465797424316"/>
        <n v="1916.3177490234375"/>
        <n v="4258.48388671875"/>
        <n v="31069.07338142395"/>
        <n v="81.2582015991211"/>
        <n v="359839.61147716525"/>
        <n v="40160.579681396484"/>
        <n v="114000.0"/>
        <n v="165000.0"/>
        <n v="390240.0"/>
        <n v="79520.0"/>
        <n v="425573.53404045105"/>
        <n v="4037.5247836732865"/>
        <n v="4191.651821136475"/>
        <n v="584.2324308300018"/>
        <n v="60000.0"/>
        <n v="4292.720794677734"/>
        <n v="25274.80157852173"/>
        <n v="19800.0"/>
        <n v="833806.9915771484"/>
        <n v="833.8069915771484"/>
        <n v="83.38069915771484"/>
        <n v="276591.5894508362"/>
        <n v="4029.343722567558"/>
        <n v="70688.29975318909"/>
        <n v="20506.0"/>
        <n v="4466.025829315186"/>
        <n v="74552.39635469913"/>
        <n v="222287.50360250473"/>
        <n v="19200.0"/>
        <n v="29851.649570465088"/>
        <n v="371.26392364501953"/>
        <n v="101980.93605041504"/>
        <n v="1392787.5079345703"/>
        <n v="69510.61"/>
        <n v="416938.7456372213"/>
      </sharedItems>
    </cacheField>
    <cacheField name="Track" numFmtId="0">
      <sharedItems>
        <s v="SmallTipper"/>
        <s v="BigSpender"/>
        <s v="SmallSpender"/>
        <s v="WhitelistedCaller"/>
        <s v="MediumSpender"/>
        <s v="Root"/>
        <s v="Treasurer"/>
        <s v="GeneralAdmin"/>
        <s v="BigTipper"/>
        <s v="AuctionAdmin"/>
        <s v="StakingAdmin"/>
        <s v="ReferendumKiller"/>
        <s v="ReferendumCanceller"/>
        <s v="FellowshipAdmin"/>
        <s v="LeaseAdmin"/>
        <s v="WishForChange"/>
      </sharedItems>
    </cacheField>
    <cacheField name="AYEs" numFmtId="3">
      <sharedItems containsSemiMixedTypes="0" containsString="0" containsNumber="1">
        <n v="7735.4101"/>
        <n v="3.669754449431836E7"/>
        <n v="2233979.009701535"/>
        <n v="378059.8396858491"/>
        <n v="8.585082224565667E7"/>
        <n v="2528444.8001554697"/>
        <n v="9648535.68311292"/>
        <n v="4.519716738172916E7"/>
        <n v="2074686.070993722"/>
        <n v="2678085.5293575157"/>
        <n v="6253826.758248116"/>
        <n v="5.6351951517166995E7"/>
        <n v="3.6401206899206065E7"/>
        <n v="786169.714188578"/>
        <n v="18333.1"/>
        <n v="81100.5"/>
        <n v="3378026.860683102"/>
        <n v="2374590.5707282093"/>
        <n v="2648904.398457322"/>
        <n v="4112784.7833038564"/>
        <n v="636529.2273782742"/>
        <n v="6.606000011524445E7"/>
        <n v="954772.8672961564"/>
        <n v="3210641.9696878437"/>
        <n v="5206765.447026082"/>
        <n v="4674309.070914032"/>
        <n v="3504455.105842395"/>
        <n v="1549724.6118197916"/>
        <n v="1999230.0560329945"/>
        <n v="1972241.1905529392"/>
        <n v="1824897.4281974696"/>
        <n v="1832886.2950795456"/>
        <n v="5716836.764256967"/>
        <n v="2027584.2021437099"/>
        <n v="1986121.7661197702"/>
        <n v="1421644.9241235747"/>
        <n v="2264937.4916216643"/>
        <n v="2946712.004114563"/>
        <n v="3627633.1003135424"/>
        <n v="1312361.345130413"/>
        <n v="1184379.4564274505"/>
        <n v="95326.1830414097"/>
        <n v="1926512.2894038626"/>
        <n v="535586.4422059607"/>
        <n v="578479.153888036"/>
        <n v="22100.0"/>
        <n v="1736554.51924286"/>
        <n v="3174849.7778280494"/>
        <n v="2881164.8922535484"/>
        <n v="258648.0611109425"/>
        <n v="1.1334665505857082E7"/>
        <n v="922871.0506156298"/>
        <n v="804877.8936606903"/>
        <n v="397715.71"/>
        <n v="6.2443324698371075E7"/>
        <n v="495269.8360762875"/>
        <n v="1.6388178298898268E8"/>
        <n v="2588925.6659325603"/>
        <n v="6.157420157551171E7"/>
        <n v="3.977665007842737E7"/>
        <n v="1026127.0465299801"/>
        <n v="6.124214665431561E7"/>
        <n v="122018.0659236606"/>
        <n v="44182.6993408617"/>
        <n v="381841.6537766811"/>
        <n v="4847597.456583484"/>
        <n v="8335.1"/>
        <n v="220863.9527388797"/>
        <n v="0.0"/>
        <n v="24.15"/>
        <n v="284632.6898"/>
        <n v="3561178.420361336"/>
        <n v="24660.0"/>
        <n v="924670.6679387339"/>
        <n v="4880359.655201729"/>
        <n v="400680.9321555039"/>
        <n v="5.6403189080470085E7"/>
        <n v="8435.0"/>
        <n v="701086.5995730502"/>
        <n v="586.6001"/>
        <n v="6210049.197051994"/>
        <n v="536698.3342410373"/>
        <n v="2770176.478645523"/>
        <n v="6921.2"/>
        <n v="3.8681362508912414E7"/>
        <n v="7574005.649151822"/>
        <n v="2732511.4242491024"/>
        <n v="3812823.3020713115"/>
        <n v="4.4924577120154776E7"/>
        <n v="332889.2860128057"/>
        <n v="10.864"/>
        <n v="2.2720684784871742E7"/>
        <n v="1317634.1273362057"/>
        <n v="4.9285393704682246E7"/>
        <n v="12107.60327"/>
        <n v="7908415.330092529"/>
        <n v="575.1"/>
        <n v="3171.71527"/>
        <n v="7725902.403130105"/>
        <n v="2374640.5356330145"/>
        <n v="2280748.43645582"/>
        <n v="241778.9867892313"/>
        <n v="4039651.941887917"/>
        <n v="8401407.083628017"/>
        <n v="1139247.9246899975"/>
        <n v="5.207763522551637E7"/>
        <n v="1234996.1824093596"/>
        <n v="1454747.933590664"/>
        <n v="4201378.731518984"/>
        <n v="2718300.389463449"/>
        <n v="469.5001"/>
        <n v="1.3428261636466892E7"/>
        <n v="46.5606"/>
        <n v="349300.0235388797"/>
        <n v="1110896.6022407254"/>
        <n v="1607072.6209056086"/>
        <n v="6.832810810186908E7"/>
        <n v="9549371.48081784"/>
        <n v="6915202.110300566"/>
        <n v="6935202.312304886"/>
        <n v="6964815.49971053"/>
        <n v="6459460.543195448"/>
        <n v="552334.3568617809"/>
        <n v="2416625.7260041023"/>
        <n v="1.0393061010226985E7"/>
        <n v="9881167.304925859"/>
        <n v="1.3377423438059485E7"/>
        <n v="1639770.42252777"/>
        <n v="8.206835035509123E7"/>
        <n v="6510028.820878574"/>
        <n v="8838877.482657176"/>
        <n v="2.5778966219183177E7"/>
        <n v="477424.7660347505"/>
        <n v="250564.3001"/>
        <n v="1532577.915722291"/>
        <n v="1053668.0843173577"/>
        <n v="8.366270379160039E7"/>
        <n v="642061.6815548666"/>
        <n v="1.2979680756598456E8"/>
        <n v="1.148536594206403E7"/>
        <n v="2.260258761832344E7"/>
        <n v="1.4190929773337824E7"/>
        <n v="1259065.6445507207"/>
        <n v="1.1694379632907165E7"/>
        <n v="1620177.6132044385"/>
        <n v="6.735201764582942E7"/>
        <n v="1.500948115578165E7"/>
        <n v="9815523.715501022"/>
        <n v="7.962913429153393E7"/>
        <n v="709765.1801915593"/>
        <n v="539671.9548509261"/>
        <n v="1.0908977520959217E7"/>
        <n v="9073901.901891729"/>
        <n v="263544.2916222079"/>
        <n v="1738801.961481443"/>
        <n v="5500.2001"/>
        <n v="8173838.924613327"/>
        <n v="1.0935687746352661E7"/>
        <n v="1.1550445501611734E7"/>
        <n v="1.5145558668774566E7"/>
        <n v="3072144.4368458968"/>
        <n v="2.1296002802137867E7"/>
        <n v="1.415097775408714E7"/>
        <n v="2.900250996645172E7"/>
        <n v="2.853342736191947E7"/>
        <n v="6714486.932214823"/>
        <n v="3.2922393783723775E7"/>
        <n v="4.0992246510089815E7"/>
        <n v="1.6363832556860913E7"/>
        <n v="1.3862980444431776E7"/>
        <n v="1124068.261025354"/>
        <n v="1.5885988959660273E7"/>
        <n v="7.987862777888377E7"/>
        <n v="3.459635421283184E7"/>
        <n v="1.664284886018637E7"/>
        <n v="239659.293476854"/>
        <n v="3.0182311032798253E7"/>
        <n v="7838951.480903813"/>
        <n v="1.5974743506895315E7"/>
        <n v="453451.1"/>
        <n v="1.1359224421684125E8"/>
        <n v="1.940517177411935E7"/>
        <n v="9618419.74893157"/>
        <n v="4.183694146930335E7"/>
        <n v="1.560995924957572E7"/>
        <n v="4.729266341660337E7"/>
        <n v="3492930.8145728265"/>
        <n v="3.1642966237652868E7"/>
        <n v="42262.7451"/>
        <n v="1.213702657335041E7"/>
        <n v="3.1090138862718776E7"/>
        <n v="3.0524674569029473E7"/>
        <n v="3424916.8906073472"/>
        <n v="3.0398607270912297E7"/>
        <n v="305821.9566813823"/>
        <n v="155746.3318779763"/>
        <n v="3.119588903066481E7"/>
        <n v="3.326273688073045E7"/>
        <n v="65021.755100001"/>
        <n v="3.2315766331863116E7"/>
        <n v="3.0376400769506324E7"/>
        <n v="22322.9872152575"/>
        <n v="3.118663247414238E7"/>
        <n v="7594055.146525093"/>
        <n v="7170544.101573456"/>
        <n v="3.036573339115184E7"/>
        <n v="3.2575630328886285E7"/>
        <n v="3.506008154796286E7"/>
        <n v="4.0944721186264046E7"/>
        <n v="30782.7824"/>
        <n v="1.3526278503535137E7"/>
        <n v="268301.7400043632"/>
        <n v="4.253635629766143E7"/>
        <n v="3.2596761284318846E7"/>
        <n v="8747316.168064626"/>
        <n v="3.491141157795172E7"/>
        <n v="54351.1965872279"/>
        <n v="3.2009625444757596E7"/>
        <n v="3.342557354838428E7"/>
        <n v="4.6815598214285605E7"/>
        <n v="3.0641890579793774E7"/>
        <n v="4.070204191998445E7"/>
        <n v="3.0276875258131795E7"/>
        <n v="4.4349149885587655E7"/>
        <n v="158902.6395762959"/>
        <n v="3.0799899878889088E7"/>
        <n v="1.6096052322877951E7"/>
        <n v="4.215251327346247E7"/>
        <n v="310887.5519093985"/>
        <n v="3.01186582052E7"/>
        <n v="3.0458354505445477E7"/>
        <n v="3.0565509954260625E7"/>
        <n v="3915886.003298794"/>
        <n v="75835.6460449078"/>
        <n v="4.144936497389439E7"/>
        <n v="4.861064937283248E7"/>
        <n v="3.0394841984804146E7"/>
        <n v="405745.7794890173"/>
        <n v="3.1727688998453148E7"/>
        <n v="86511.1236388797"/>
        <n v="9657506.947035635"/>
        <n v="4.198844824830957E7"/>
        <n v="7420.0"/>
        <n v="5.0372653225207165E7"/>
        <n v="3.2834677912353866E7"/>
        <n v="1199182.177945212"/>
        <n v="4.084510661581922E7"/>
        <n v="3.0301602456372637E7"/>
        <n v="3.049210498361186E7"/>
        <n v="3.396786575441203E7"/>
        <n v="1.2611289326016707E7"/>
        <n v="4.447467007021421E7"/>
        <n v="4.170657932097578E7"/>
        <n v="3.0197495688847136E7"/>
        <n v="6960541.497850952"/>
        <n v="16033.3"/>
        <n v="25152.4251194975"/>
        <n v="117996.6605492723"/>
        <n v="134664.2983679656"/>
        <n v="3.082788707886366E7"/>
        <n v="3.0405853046075806E7"/>
        <n v="3.0009445E7"/>
        <n v="3.000600001E7"/>
        <n v="3.09119566222856E7"/>
        <n v="3.0790426015789296E7"/>
        <n v="3.378994176920147E7"/>
        <n v="3.0578919776982248E7"/>
        <n v="4.0095955500001E7"/>
        <n v="3915480.7786718556"/>
        <n v="8388366.351820052"/>
        <n v="2776898.2918266035"/>
        <n v="1.0201382906180096E8"/>
        <n v="4.015662752277223E7"/>
        <n v="4.00292686E7"/>
        <n v="4.2846134456303306E7"/>
        <n v="4.008488575168E7"/>
        <n v="19054.0"/>
        <n v="12005.0"/>
        <n v="4.008898921257388E7"/>
        <n v="0.01"/>
        <n v="4.00534141E7"/>
        <n v="354426.6326709574"/>
        <n v="5.0738421406445645E7"/>
        <n v="1.2195779086624645E7"/>
        <n v="66319.9858"/>
        <n v="28005.0011"/>
        <n v="46808.0"/>
        <n v="706090.0284884511"/>
        <n v="35845.1898"/>
        <n v="4.013379374191113E7"/>
        <n v="15014.5693732923"/>
        <n v="2.8468141141384706E7"/>
        <n v="10200.0"/>
        <n v="1.1597520754924638E7"/>
        <n v="4.0031866502648085E7"/>
        <n v="15130.5360900128"/>
        <n v="4.245212836202146E7"/>
        <n v="33573.9872152575"/>
        <n v="5887272.612024391"/>
        <n v="7951.3"/>
        <n v="5010.2"/>
        <n v="4.258797100522304E7"/>
        <n v="4.0819009214806415E7"/>
        <n v="5732.8372980983"/>
        <n v="104439.4898"/>
        <n v="4.465946919095604E7"/>
        <n v="446964.1980092828"/>
        <n v="4.967111193559184E7"/>
        <n v="30700.1"/>
        <n v="1.4313621314417174E7"/>
        <n v="2062021.4808090366"/>
        <n v="65403.9885414647"/>
        <n v="4.4187135340540595E7"/>
        <n v="5.226050330335246E7"/>
        <n v="1.570833500163753E7"/>
        <n v="6228798.944682249"/>
        <n v="16010.0"/>
        <n v="15000.0"/>
        <n v="15021.1"/>
        <n v="35000.00000001"/>
        <n v="1.0E-9"/>
        <n v="4865870.116532736"/>
        <n v="1000.1000010001"/>
        <n v="90810.5760615647"/>
        <n v="123349.5885424647"/>
        <n v="4.069527459459643E7"/>
        <n v="5.0609674107939035E7"/>
        <n v="9500.1"/>
        <n v="5.362030762578072E7"/>
        <n v="1100.601"/>
        <n v="27.20000001"/>
        <n v="4.344460132650781E7"/>
        <n v="1938416.8089000662"/>
        <n v="2452744.3595240074"/>
        <n v="5.3048548260518506E7"/>
        <n v="3.1116971862839773E7"/>
        <n v="705123.0032703419"/>
        <n v="4.391815148159021E7"/>
        <n v="2341030.322045777"/>
        <n v="1.1784649916953847E7"/>
        <n v="820167.5394027361"/>
        <n v="4.077124636234969E7"/>
        <n v="4.012783179648351E7"/>
        <n v="4.0139274507129185E7"/>
        <n v="642341.841820502"/>
        <n v="1.277154673353161E7"/>
        <n v="1299312.8215687599"/>
        <n v="1.0395602393778948E7"/>
        <n v="2186348.418541134"/>
        <n v="4.290680056530482E7"/>
        <n v="29367.0693732923"/>
        <n v="174575.1980649949"/>
        <n v="1284846.0818512216"/>
        <n v="18965.6761885379"/>
        <n v="1.4242921524911059E7"/>
        <n v="6.330314211125132E7"/>
        <n v="4.0012051951830134E7"/>
        <n v="5.441849491967519E7"/>
        <n v="4.026127863549032E7"/>
        <n v="1.322039321812113E7"/>
        <n v="956373.4506632377"/>
        <n v="4.3493004495830566E7"/>
        <n v="1.276356410238278E7"/>
        <n v="4.397089448350183E7"/>
        <n v="4.395592366645032E7"/>
        <n v="5.909476852444479E7"/>
        <n v="6135.6418470812"/>
        <n v="4.0552992542348444E7"/>
        <n v="4.067533323733385E7"/>
        <n v="4.120019627424938E7"/>
        <n v="4.261972314879799E7"/>
        <n v="1.4931890672529168E7"/>
        <n v="4.225674058329386E7"/>
        <n v="8.023698548943074E7"/>
        <n v="5.584778703853539E7"/>
        <n v="4.232410623543862E7"/>
        <n v="4.106191528092714E7"/>
        <n v="2449152.4135266454"/>
        <n v="1.8698599488974273E7"/>
        <n v="1.1339551889382637E8"/>
        <n v="265094.6151087827"/>
        <n v="4.072271855255669E7"/>
        <n v="4.006224401349976E7"/>
        <n v="20972.75511"/>
        <n v="8.823238309167229E7"/>
        <n v="5.4305843981351405E7"/>
        <n v="1.5053993907782946E7"/>
        <n v="4.205530829556923E7"/>
        <n v="25251.0"/>
        <n v="4.616974755489394E7"/>
        <n v="96537.7063194007"/>
        <n v="2822333.194635843"/>
        <n v="1.6431166850760797E7"/>
        <n v="12262.1531"/>
        <n v="1.6188858585702918E7"/>
        <n v="3868657.0971086035"/>
        <n v="25142.16037"/>
        <n v="206693.3777962458"/>
        <n v="1.3950343378647817E7"/>
        <n v="1.6332373649223462E7"/>
        <n v="5.536930947291529E7"/>
        <n v="3.305601927908205E7"/>
        <n v="22474.1362587345"/>
        <n v="82271.5289358169"/>
        <n v="3221218.82419314"/>
        <n v="406265.0568534576"/>
        <n v="1.570805249379172E7"/>
        <n v="5.347126750729976E7"/>
        <n v="5.484933424733982E7"/>
        <n v="1.650780816486209E7"/>
        <n v="4.920106429207879E7"/>
        <n v="18546.501"/>
        <n v="1.6200841224434428E7"/>
        <n v="7.054771671067053E7"/>
        <n v="7.94505155868593E7"/>
        <n v="6623982.139878463"/>
        <n v="4.922644423606378E7"/>
        <n v="435659.7318281898"/>
        <n v="2951739.321320447"/>
        <n v="2682637.447763442"/>
        <n v="5.929524864911567E7"/>
        <n v="1.646791793183994E7"/>
        <n v="2438772.265202299"/>
        <n v="5.0703275599762715E7"/>
        <n v="6233430.81305844"/>
        <n v="17022.8"/>
        <n v="1.5429450623665174E7"/>
        <n v="3056926.415414998"/>
        <n v="4011045.8533452693"/>
        <n v="996528.6622540269"/>
        <n v="6.924945406874073E7"/>
        <n v="3519457.6617520647"/>
        <n v="357610.8190186394"/>
        <n v="6.277156721532117E7"/>
        <n v="1.5656937631619591E7"/>
        <n v="277908.3436185267"/>
        <n v="1.5747458876525125E7"/>
        <n v="5.4020773505315796E7"/>
        <n v="1.0709022656888427E8"/>
        <n v="5876880.270488367"/>
        <n v="5.2014640126166955E7"/>
        <n v="521453.4074852575"/>
        <n v="8.9287631441525E7"/>
        <n v="390214.7004691655"/>
        <n v="5.1388946833150886E7"/>
        <n v="5.3714025922557965E7"/>
        <n v="5.313423483003441E7"/>
        <n v="550.0"/>
        <n v="5.8051105417226255E7"/>
        <n v="1.982663704532581E7"/>
        <n v="3.0073282522088356E7"/>
        <n v="2.1774369355430014E7"/>
        <n v="38210.7065089378"/>
        <n v="5052.42"/>
        <n v="6303042.257454891"/>
        <n v="6.56381745139761E7"/>
        <n v="1.219522559384857E8"/>
        <n v="3170874.660111985"/>
        <n v="5692593.665392343"/>
        <n v="1.914115084021847E7"/>
        <n v="2.5536990760058828E7"/>
        <n v="3.682739521376238E7"/>
        <n v="7.629591859518103E7"/>
        <n v="2961619.968297197"/>
        <n v="305211.4276028223"/>
        <n v="4.97698949781311E7"/>
        <n v="4.005788845602789E7"/>
        <n v="5.783022838123502E7"/>
        <n v="4.52831669928855E7"/>
        <n v="4.475472834893425E7"/>
        <n v="3256261.08794438"/>
        <n v="7030776.94725024"/>
        <n v="1.1111518046745734E8"/>
        <n v="2973029.555406196"/>
        <n v="3.990367906261194E7"/>
        <n v="8.016832127427164E7"/>
        <n v="2266670.1158870035"/>
        <n v="8545920.303610448"/>
        <n v="2593462.4618386147"/>
        <n v="11093.2"/>
        <n v="7.209142301734157E7"/>
        <n v="5.962496221763242E7"/>
        <n v="6.8575843461037E7"/>
        <n v="5.4419645404911175E7"/>
        <n v="2.5092810810570687E7"/>
        <n v="3.2613245069945853E7"/>
        <n v="7.606264303949694E7"/>
        <n v="9.644876906770921E7"/>
        <n v="6.227270645543522E7"/>
        <n v="2590503.6868194886"/>
        <n v="6.224676456649029E7"/>
        <n v="6.2276848443343E7"/>
        <n v="4.337411657282051E7"/>
        <n v="571976.729612511"/>
        <n v="2.5419753158659376E7"/>
        <n v="231496.3877401491"/>
        <n v="6143539.839719509"/>
        <n v="4.3595244972515054E7"/>
        <n v="6168691.171117416"/>
        <n v="2676.5"/>
        <n v="3.6828302610091045E7"/>
        <n v="5.031454435451154E7"/>
        <n v="2741623.0037323334"/>
        <n v="4.06685615959131E7"/>
        <n v="6.622422831225044E7"/>
        <n v="1.6979236869608227E7"/>
        <n v="2.50131365889723E7"/>
        <n v="5.327197928171667E7"/>
        <n v="5.350181199562601E7"/>
        <n v="716434.4270274406"/>
        <n v="3.9545297569549695E7"/>
        <n v="5366620.89512665"/>
        <n v="6.822262387859622E7"/>
        <n v="12187.6238876499"/>
        <n v="2.2788592006619725E7"/>
        <n v="5030.211"/>
        <n v="3.6588895925391264E7"/>
        <n v="4965874.744405296"/>
        <n v="4424404.1293616155"/>
        <n v="27572.1915504368"/>
        <n v="1536.0"/>
        <n v="30061.7151"/>
        <n v="4610983.325563604"/>
        <n v="2.8277300918579224E7"/>
        <n v="2.4519970660588082E7"/>
        <n v="1.6398563393097922E7"/>
        <n v="38.0233960344"/>
        <n v="8.966078829988521E7"/>
        <n v="51063.3338906851"/>
        <n v="3858268.0759964073"/>
        <n v="6.128728843590205E7"/>
        <n v="2.788864812668885E7"/>
        <n v="144746.2855027388"/>
        <n v="56434.4628020922"/>
        <n v="223662.7050747599"/>
        <n v="286690.0646839105"/>
        <n v="1.957999529438962E7"/>
        <n v="3.3321280719731968E7"/>
        <n v="3.0955745308786813E7"/>
        <n v="1.0063210331016317E7"/>
        <n v="8.085623036125809E7"/>
        <n v="2084645.057263179"/>
        <n v="6.944506625600159E7"/>
        <n v="7.711076833889154E7"/>
        <n v="1455004.3264711692"/>
        <n v="161606.7647552435"/>
        <n v="2970382.273284831"/>
        <n v="52422.31"/>
        <n v="0.1"/>
        <n v="6.139930534382708E7"/>
        <n v="2.2586316265388865E7"/>
        <n v="5.1964057789723456E7"/>
        <n v="2.8993230107458778E7"/>
        <n v="6378737.315504522"/>
        <n v="4.114682858828724E7"/>
        <n v="5.3068844008963026E7"/>
        <n v="2.260301831403366E7"/>
        <n v="5.649735380051413E7"/>
        <n v="5.663275906343913E7"/>
        <n v="6656004.024445286"/>
        <n v="351354.5467962191"/>
        <n v="4080227.2882983503"/>
        <n v="2.2019297241739362E7"/>
        <n v="5.5976035508463316E7"/>
        <n v="2.055178827516754E7"/>
        <n v="2.1772603304757383E7"/>
        <n v="159023.2204742318"/>
        <n v="1.5509676192860667E7"/>
        <n v="5272.33429015"/>
        <n v="2.668803964254866E7"/>
        <n v="2.7123074765413158E7"/>
        <n v="6301797.348995305"/>
        <n v="3.858853669086745E7"/>
        <n v="2.6266859183600828E7"/>
        <n v="1.983412784100694E7"/>
        <n v="1.982902712300694E7"/>
        <n v="4.3585097631919436E7"/>
        <n v="9.584684971349336E7"/>
        <n v="4.06707686570151E7"/>
        <n v="58275.5709033567"/>
        <n v="4.811509113231536E7"/>
        <n v="9840638.10170878"/>
        <n v="9637007.806086784"/>
        <n v="13.1"/>
        <n v="9528497.355784496"/>
        <n v="1.5540508163125664E7"/>
        <n v="9.649316618004514E7"/>
        <n v="6.045112892136628E7"/>
        <n v="1.4070614507029708E7"/>
        <n v="1.1710285727579564E7"/>
        <n v="3.028339744175481E7"/>
        <n v="6.6444242702947125E7"/>
        <n v="6.408688965207504E7"/>
        <n v="4.0595759980480224E7"/>
        <n v="2.4138423605158653E7"/>
        <n v="4.212462315131025E7"/>
        <n v="3.308373006945709E7"/>
        <n v="72002.4497526022"/>
        <n v="278396.3914973283"/>
        <n v="21144.9235388797"/>
        <n v="5042.5"/>
        <n v="174943.3292221152"/>
        <n v="19588.6"/>
        <n v="1.5925082458441354E7"/>
        <n v="6.820345296552911E7"/>
        <n v="3.0757536434500918E7"/>
        <n v="4.83865529140287E7"/>
        <n v="5585.9852822421"/>
        <n v="9.547172776203313E7"/>
        <n v="1.3999206840506938E8"/>
        <n v="3.2949208165320445E7"/>
        <n v="3.1222951084648177E7"/>
        <n v="2.2276762370600972E7"/>
        <n v="90.0"/>
        <n v="1.5118191149519898E7"/>
        <n v="1.543054023117283E7"/>
        <n v="6696387.242893838"/>
        <n v="1585353.068169271"/>
        <n v="2.6044238677712448E7"/>
        <n v="6126356.3945755465"/>
        <n v="3.328821125117913E7"/>
        <n v="1.460571317144677E7"/>
        <n v="1.6010808858177153E7"/>
        <n v="1.1359882397318932E8"/>
        <n v="3.1263802759612262E7"/>
        <n v="1.2670754229037007E7"/>
        <n v="2.2092464028749596E7"/>
        <n v="2.510706426516827E7"/>
        <n v="2.7861549025205825E7"/>
        <n v="3067530.4542505695"/>
        <n v="2.1956707246073242E7"/>
        <n v="9.513183595277497E7"/>
        <n v="4.27810084451573E7"/>
        <n v="2.633359030294356E7"/>
        <n v="2.9272225681329094E7"/>
        <n v="6.0186620898426965E7"/>
        <n v="7.164889069742276E7"/>
        <n v="2.3407486917756654E7"/>
        <n v="5.495008536106465E7"/>
        <n v="2792589.2605857137"/>
        <n v="7.827719518856193E7"/>
        <n v="2.501772531707894E7"/>
        <n v="2.1781669610639274E7"/>
        <n v="4.157178981025734E7"/>
        <n v="0.02"/>
        <n v="1.2378219411409115E7"/>
        <n v="1.8931912162431866E7"/>
        <n v="4.0"/>
        <n v="3.43843341452359E7"/>
        <n v="3.24976708496217E7"/>
        <n v="1.2956314595299855E7"/>
        <n v="2.7695702597177453E7"/>
        <n v="2.0291719983277466E7"/>
        <n v="3.808948874393382E7"/>
        <n v="3.2434635027898677E7"/>
        <n v="3.9"/>
        <n v="6147712.278539262"/>
        <n v="1.5790448086064912E7"/>
        <n v="1.2201796754149145E7"/>
        <n v="3.7226426753030896E7"/>
        <n v="2.3251352540421523E7"/>
        <n v="1.979789156981795E7"/>
        <n v="1.2682149199485077E7"/>
        <n v="1.2423933222471114E7"/>
        <n v="1.27845626729478E7"/>
        <n v="1.3959692809620485E7"/>
        <n v="5.400262213176732E7"/>
        <n v="4.4294834772344775E7"/>
        <n v="4.141246787565949E7"/>
        <n v="122718.7035491526"/>
        <n v="32604.01"/>
        <n v="8.062275986886974E7"/>
        <n v="1.9604690371823773E7"/>
        <n v="3.130147925432312E7"/>
        <n v="4.047935764175173E7"/>
        <n v="8.930637306363092E7"/>
        <n v="3.852607850973605E7"/>
        <n v="1253886.5470499354"/>
        <n v="6.3851171334315635E7"/>
        <n v="7.739687108635575E7"/>
        <n v="2.462397184997969E7"/>
        <n v="4.845083724324816E7"/>
        <n v="431.2303287823"/>
        <n v="4.993081629468225E7"/>
        <n v="3626138.55503579"/>
        <n v="9.54882896811075E7"/>
        <n v="4.135087819551657E7"/>
        <n v="20637.01"/>
        <n v="3.0680796148644384E7"/>
        <n v="6.294993000640261E7"/>
        <n v="4.598609098312451E7"/>
        <n v="110690.447091685"/>
        <n v="7.010156531E7"/>
        <n v="2.746472260536186E7"/>
        <n v="5.3078060435503535E7"/>
        <n v="5.554173244854301E7"/>
        <n v="7.077082042633684E7"/>
        <n v="2.668836595087183E7"/>
        <n v="2.214555960666927E7"/>
        <n v="7596050.504003475"/>
        <n v="1.365173018580691E7"/>
        <n v="5.569914678446152E7"/>
        <n v="1.1023924643445787E8"/>
        <n v="6459370.140016061"/>
        <n v="2189733.730543222"/>
        <n v="1.5691629735900668E7"/>
        <n v="8.347302205830307E7"/>
        <n v="3.837832311101514E7"/>
        <n v="2.4781612820135582E7"/>
        <n v="2.126443815495793E7"/>
        <n v="1.1900966157190477E7"/>
        <n v="2.6345761323407378E7"/>
        <n v="8062.0"/>
        <n v="1.5079383147556683E7"/>
        <n v="2373684.058770129"/>
        <n v="6.608190551E7"/>
        <n v="1.5486823745310143E7"/>
        <n v="5.7411484900751E7"/>
        <n v="4.369177981816692E7"/>
        <n v="2.8856070129855145E7"/>
        <n v="6.71098173642961E7"/>
        <n v="5.509427683145718E7"/>
        <n v="1.5630059168483255E7"/>
        <n v="2.2666868331777394E7"/>
        <n v="3.651738030086333E7"/>
        <n v="4.557832235378346E7"/>
        <n v="1.2750026550196104E8"/>
        <n v="8.03343693584753E7"/>
        <n v="7.219814847494596E7"/>
        <n v="6.76384267371569E7"/>
        <n v="3551695.3569179988"/>
        <n v="2.0"/>
        <n v="6.922501980393365E7"/>
        <n v="2.0151109116747275E7"/>
        <n v="2.9200896385980844E7"/>
        <n v="3.795721278723195E7"/>
        <n v="4.140273258308712E7"/>
        <n v="46210.2"/>
        <n v="1.6829807692869313E7"/>
        <n v="22559.5610012343"/>
        <n v="4.3775773303951435E7"/>
        <n v="2.852289554537966E7"/>
        <n v="10009.2480460108"/>
        <n v="7.386552094267233E7"/>
        <n v="2.7728138077237185E7"/>
        <n v="7.374476799739224E7"/>
        <n v="3.037627761639012E7"/>
        <n v="1.0757018181980687E8"/>
        <n v="5.8766640236364126E7"/>
        <n v="1.957365060392119E7"/>
        <n v="8.104297126360759E7"/>
        <n v="4.114354769820072E7"/>
        <n v="9792206.23882322"/>
        <n v="6.2418651328313775E7"/>
        <n v="6.476004899118147E7"/>
        <n v="149548.4807177868"/>
        <n v="720.0"/>
        <n v="4.169980396486731E7"/>
        <n v="4.18317662206843E7"/>
        <n v="521008.1670816278"/>
        <n v="7.945687603354435E7"/>
        <n v="2.322254547911089E7"/>
        <n v="529708.6358786034"/>
        <n v="1.5704305859246816E7"/>
        <n v="2.6542863801833585E7"/>
        <n v="5459116.52353888"/>
        <n v="1.2293383619492548E7"/>
        <n v="9970428.09812112"/>
        <n v="6.60528486E7"/>
        <n v="7.547054917272668E7"/>
        <n v="7.009742036974022E7"/>
        <n v="56.14"/>
        <n v="1.5190356339182127E7"/>
        <n v="1.7302899227684572E7"/>
        <n v="9.58845640645024E7"/>
        <n v="3.815879603813138E7"/>
        <n v="9299448.942535723"/>
        <n v="4906243.470630565"/>
        <n v="3573791.397174845"/>
        <n v="1.4044302470903544E7"/>
        <n v="5.332484746138717E7"/>
        <n v="1.279854844864592E7"/>
        <n v="6439928.768173273"/>
        <n v="152076.357810075"/>
        <n v="4.638678910095427E7"/>
        <n v="1.77674757830758E7"/>
        <n v="1.0913055714323848E7"/>
        <n v="9906673.546190666"/>
        <n v="4287060.945655815"/>
        <n v="0.0913564389"/>
        <n v="4396613.709590542"/>
        <n v="1.9150399945134796E7"/>
        <n v="1.0E-10"/>
        <n v="1.6703818859296778E7"/>
        <n v="2.0983748858454604E7"/>
        <n v="4431.7090568882"/>
        <n v="9396264.12615785"/>
        <n v="8.618542929292434E7"/>
        <n v="2.1738347371875145E7"/>
        <n v="6.323707081344256E7"/>
        <n v="3896.6"/>
        <n v="3.366649862889355E7"/>
        <n v="6.070405556605734E7"/>
        <n v="101091.347091685"/>
        <n v="255711.5045491526"/>
        <n v="3950876.7834916604"/>
        <n v="147720.2235026052"/>
        <n v="1.3754766585765146E7"/>
        <n v="2.8799948869792882E7"/>
        <n v="1.942837050608435E7"/>
        <n v="6.4898750195877545E7"/>
        <n v="4.933559880294791E7"/>
        <n v="6.91038403E7"/>
        <n v="1.5145920207192047E7"/>
        <n v="3.3260842215631638E7"/>
        <n v="2.197050939096417E7"/>
        <n v="2.7864662748175625E7"/>
        <n v="341749.851087096"/>
        <n v="1.329316836791525E8"/>
        <n v="1.2980898190504821E7"/>
        <n v="1.941925958081955E7"/>
        <n v="2.8306624080530148E7"/>
        <n v="26441.2873962073"/>
        <n v="3.784836731300163E7"/>
        <n v="3.049174069755226E7"/>
        <n v="1.319405825608982E7"/>
        <n v="7.307224211055021E7"/>
        <n v="5417265.502133329"/>
        <n v="2.9991246777148005E7"/>
        <n v="4.169707124053409E7"/>
        <n v="5.208743713188946E7"/>
        <n v="5.537192978383908E7"/>
        <n v="5.2841564359386615E7"/>
        <n v="5.369510900747268E7"/>
        <n v="2.9921716146354165E7"/>
        <n v="3.3216673944585253E7"/>
        <n v="4.96434955507643E7"/>
        <n v="3.315065044034099E7"/>
        <n v="5.342226577575157E7"/>
        <n v="7698865.058179578"/>
        <n v="3065.0"/>
        <n v="1500.0"/>
        <n v="542288.2271781533"/>
        <n v="3.444482280267985E7"/>
        <n v="2.1342302071591366E7"/>
        <n v="3.0732960823749024E7"/>
        <n v="1.125431398822826E8"/>
        <n v="2.985985225971056E7"/>
        <n v="5.2493596645968154E7"/>
        <n v="1.2937821604188425E7"/>
        <n v="3.0974740613899987E7"/>
        <n v="45364.0075154096"/>
        <n v="96029.5035491526"/>
        <n v="3.4918656859011024E7"/>
        <n v="3.172932455185468E7"/>
        <n v="16802.1"/>
        <n v="10250.0"/>
        <n v="1.9083987422196902E7"/>
        <n v="491832.8060161418"/>
        <n v="5.492771246911078E7"/>
        <n v="5.52858735903843E7"/>
        <n v="5.220136340542938E7"/>
        <n v="1.1272447543251139E8"/>
        <n v="31875.5"/>
        <n v="1.770066171190921E8"/>
        <n v="712115.9404656086"/>
        <n v="5.077895885038168E7"/>
        <n v="3.1071944884705897E7"/>
        <n v="1.7054234560637236E7"/>
        <n v="8.017412290095802E7"/>
        <n v="1.1294653892117849E8"/>
        <n v="4.673127682493523E7"/>
        <n v="12521.31"/>
        <n v="6.296512044949929E7"/>
        <n v="2.919863110064184E7"/>
        <n v="113644.5035491526"/>
        <n v="2.9564057638391156E7"/>
        <n v="7.458957652638148E7"/>
        <n v="1.2985389954747396E7"/>
        <n v="4.180861837168637E7"/>
        <n v="1.0"/>
        <n v="16808.2"/>
        <n v="4267288.736659206"/>
        <n v="3.499809522072946E7"/>
        <n v="3.3818971071207E7"/>
        <n v="4.422981833195496E7"/>
        <n v="25.0"/>
        <n v="3.0562661664434727E7"/>
        <n v="1.4262022395099157E7"/>
        <n v="2.625018893959899E7"/>
        <n v="4509341.639131336"/>
        <n v="130990.7676965972"/>
        <n v="4.25851524793277E7"/>
        <n v="2.3767840837128732E7"/>
        <n v="7.789642531161715E7"/>
        <n v="8815862.310485724"/>
        <n v="3.045598777091937E7"/>
        <n v="8568846.540208358"/>
        <n v="3.264959107145469E7"/>
        <n v="6.586257964394606E7"/>
        <n v="6520141.744506969"/>
        <n v="1.838659518221967E7"/>
        <n v="3.1364133254728504E7"/>
        <n v="3.2647400784457095E7"/>
        <n v="3.183094912919754E7"/>
        <n v="4.4705331452646196E7"/>
        <n v="5.599536818435215E7"/>
        <n v="5.081961894285834E7"/>
        <n v="9311400.620263318"/>
        <n v="9335971.723523442"/>
        <n v="4.815068734285921E7"/>
        <n v="1.8101668504312247E7"/>
        <n v="4000.0"/>
        <n v="15180.0"/>
        <n v="3.1100449816806424E7"/>
        <n v="2.8985474102104615E7"/>
        <n v="3.114909616528476E7"/>
        <n v="9.474276885776511E7"/>
        <n v="3.1823241022766776E7"/>
        <n v="9740932.885919372"/>
        <n v="4.292524341600219E7"/>
        <n v="1125511.6518042728"/>
        <n v="2.9713857204188425E7"/>
        <n v="1.714440946958107E7"/>
        <n v="3.019877696062692E7"/>
        <n v="40266.0"/>
        <n v="1.4466678391418938E7"/>
        <n v="106.01"/>
        <n v="23334.194168017"/>
        <n v="620716.7720727368"/>
        <n v="2.8987939452572685E7"/>
        <n v="16801.3"/>
        <n v="4.182155646233633E7"/>
        <n v="3.22845124855428E7"/>
        <n v="4.2618192408359155E7"/>
        <n v="5.2340210788594946E7"/>
        <n v="3.32143054E7"/>
        <n v="6.894933109778328E7"/>
        <n v="3.703132546132515E7"/>
        <n v="1.437159864334295E7"/>
        <n v="1.1820083629383178E7"/>
        <n v="1.2731431257480343E8"/>
        <n v="9.531929846509185E7"/>
        <n v="3.8242723337224916E7"/>
        <n v="83415.6006392736"/>
        <n v="4734.20002"/>
        <n v="15006.0"/>
        <n v="11386.0"/>
        <n v="2.9577739344875216E7"/>
        <n v="2.1563985409844562E7"/>
        <n v="4.7853378682593554E7"/>
        <n v="4.285255670083053E7"/>
        <n v="1.3699937689"/>
        <n v="2.0783294551735915E7"/>
        <n v="1.7818485914200198E7"/>
        <n v="3.1689444334927734E7"/>
        <n v="1.2711859240654344E7"/>
        <n v="2.484511062944059E7"/>
        <n v="19779.7082379344"/>
        <n v="4.940814509543248E7"/>
        <n v="2.2616070936989058E7"/>
        <n v="3.360922878593484E7"/>
        <n v="1033254.0"/>
        <n v="4.69377313054947E7"/>
        <n v="1.1973099886054438E7"/>
        <n v="4.045969286637053E7"/>
        <n v="4.140217040859899E7"/>
        <n v="4.707503801226264E7"/>
        <n v="1.1836558841470054E8"/>
        <n v="1607321.109797351"/>
        <n v="5.0711450429356776E7"/>
        <n v="5.2701645617995776E7"/>
        <n v="5250.0"/>
        <n v="5001.0"/>
        <n v="1079241.2539981725"/>
        <n v="4322283.397091685"/>
        <n v="5004.0"/>
        <n v="55301.1161"/>
        <n v="3.784979681634601E7"/>
        <n v="19.0"/>
        <n v="1268.5"/>
        <n v="1.5898960173307216E7"/>
        <n v="5930.0"/>
        <n v="1.6210102142908735E7"/>
        <n v="4295337.041259702"/>
        <n v="11.1"/>
        <n v="3.751909734940234E7"/>
        <n v="9353907.860771323"/>
        <n v="1.2087105943842551E8"/>
        <n v="5.301870255827736E7"/>
        <n v="4.794423852298371E7"/>
        <n v="3.523737657779649E7"/>
        <n v="1.6146934306015544E7"/>
        <n v="4.736488322219491E7"/>
        <n v="3.342422625274793E7"/>
        <n v="4235012.669099883"/>
        <n v="4.695526879164066E7"/>
        <n v="4.2568815529078335E7"/>
        <n v="15115.0"/>
        <n v="1.4513679410218088E7"/>
        <n v="1.135461772353888E7"/>
        <n v="4.0434183399439685E7"/>
        <n v="902745.8605456332"/>
        <n v="1.6811915807091683E7"/>
        <n v="1.5141068634570908E7"/>
        <n v="2.4636932693886217E7"/>
        <n v="108150.3978087989"/>
        <n v="314079.4264767482"/>
        <n v="2195987.7082379344"/>
        <n v="1.2715237192638762E7"/>
        <n v="6.152575816055166E7"/>
        <n v="9486771.120498113"/>
        <n v="4605189.746663303"/>
        <n v="4.429923834902626E7"/>
        <n v="1.681288615883938E7"/>
        <n v="3.871594954579604E7"/>
        <n v="8602937.539091974"/>
        <n v="10068.0235388797"/>
        <n v="4.342637167885351E7"/>
        <n v="2.7079656423110157E7"/>
        <n v="1.1815022547114246E7"/>
        <n v="4.1"/>
        <n v="12001.1"/>
        <n v="1.0578643225598459E8"/>
        <n v="203519.4400707925"/>
        <n v="2000.0"/>
        <n v="1.1749197237761617E7"/>
        <n v="2218005.5696152695"/>
        <n v="4.7940994054149434E7"/>
        <n v="1.0174431288309304E7"/>
        <n v="4.1329883917112865E7"/>
        <n v="21915.1"/>
        <n v="4.502370914317193E7"/>
        <n v="2.9927313415197026E7"/>
        <n v="1.2329841210595997E7"/>
        <n v="6.304759505914222E7"/>
        <n v="4398216.2473408375"/>
        <n v="5.408314907064396E7"/>
        <n v="2.717535683048169E7"/>
        <n v="4250279.919099883"/>
        <n v="8942.0"/>
        <n v="18800.1"/>
        <n v="7010.00001"/>
        <n v="1.4363199370489394E7"/>
        <n v="5725555.027848743"/>
        <n v="3.134094597638106E7"/>
        <n v="3.869458555986859E7"/>
        <n v="3000.0"/>
        <n v="14468.0"/>
        <n v="3026268.0091053997"/>
        <n v="1.4706374365614694E7"/>
        <n v="4.14894423E7"/>
        <n v="5.298999680999183E7"/>
        <n v="1.4190621387846066E7"/>
        <n v="5032.7"/>
        <n v="4.452022628859079E7"/>
        <n v="4.918123806118247E7"/>
        <n v="5.718283561807246E7"/>
        <n v="101437.5035491526"/>
        <n v="7.610984679573442E7"/>
        <n v="1.474167103836064E8"/>
        <n v="30103.6"/>
        <n v="12128.1"/>
        <n v="303934.8839112458"/>
        <n v="4352276.7191098835"/>
        <n v="2553526.215452451"/>
        <n v="9.244245422629054E7"/>
        <n v="2.1404002581348646E7"/>
        <n v="1.2976355054132156E7"/>
        <n v="1313969.0247088675"/>
        <n v="4.118844611014923E7"/>
        <n v="188487.9236388797"/>
        <n v="4725542.267999757"/>
        <n v="4542354.601069988"/>
        <n v="1.0324158804212146E8"/>
        <n v="2.1959132232613496E7"/>
        <n v="8685698.802526953"/>
        <n v="4.058725684568697E7"/>
        <n v="5836347.799715488"/>
        <n v="5.612412538190799E7"/>
        <n v="4406835.982832746"/>
        <n v="1.0066866622981516E8"/>
        <n v="3.0739429596271645E7"/>
        <n v="4541345.292115511"/>
        <n v="9834608.186227543"/>
        <n v="3.070794182116525E7"/>
        <n v="2.2087412215700775E7"/>
        <n v="11000.2"/>
        <n v="1.2974212915716931E7"/>
        <n v="6.388538490946686E7"/>
        <n v="4828254.1979971565"/>
        <n v="7.0"/>
        <n v="1.364670676237744E8"/>
        <n v="4.146800343905327E7"/>
        <n v="2.869098507616227E7"/>
        <n v="1.3742857834263552E7"/>
        <n v="4814733.035546438"/>
        <n v="3.1170942640807975E7"/>
        <n v="4531090.681495907"/>
        <n v="148795.1001"/>
        <n v="4244007.291017088"/>
        <n v="4375058.091017088"/>
        <n v="5.939218063456839E7"/>
        <n v="120.0"/>
        <n v="4439321.397091685"/>
        <n v="2.3065912906977966E7"/>
        <n v="1.7739033202181304E8"/>
        <n v="2630770.009293892"/>
        <n v="3.323719197163225E7"/>
        <n v="14.20001"/>
        <n v="2.69910187417103E7"/>
        <n v="1.080142498549886E7"/>
        <n v="2.5893778054673433E7"/>
        <n v="1.2966839128852705E7"/>
        <n v="2.7974503198543172E7"/>
        <n v="1.6846687473041557E7"/>
        <n v="9244235.639371142"/>
        <n v="2.0803866017677832E8"/>
        <n v="9139805.65673943"/>
        <n v="1.132879214759723E7"/>
        <n v="1.3224451681109417E7"/>
        <n v="1.4050450014495924E7"/>
        <n v="6570877.635332696"/>
        <n v="176200.09"/>
        <n v="400.1"/>
        <n v="44.0001"/>
        <n v="1.6817526918704983E7"/>
        <n v="10500.0"/>
        <n v="97561.0"/>
        <n v="18910.2"/>
        <n v="4274621.343538879"/>
        <n v="1421692.3867388112"/>
      </sharedItems>
    </cacheField>
    <cacheField name="NAYs" numFmtId="3">
      <sharedItems containsSemiMixedTypes="0" containsString="0" containsNumber="1">
        <n v="2776016.4071780127"/>
        <n v="2.728405603320686E7"/>
        <n v="3249706.493460312"/>
        <n v="1761651.3027568972"/>
        <n v="0.0"/>
        <n v="800119.465234279"/>
        <n v="2859825.6206017635"/>
        <n v="220434.313481849"/>
        <n v="637265.3748057142"/>
        <n v="317570.8033617394"/>
        <n v="429028.9145927421"/>
        <n v="4.76672621E7"/>
        <n v="20264.5"/>
        <n v="2763283.584264918"/>
        <n v="3389665.0673079365"/>
        <n v="3200852.7298340774"/>
        <n v="375143.0475345054"/>
        <n v="701265.3519029213"/>
        <n v="846335.2475345054"/>
        <n v="7250812.633153093"/>
        <n v="2185637.1675414243"/>
        <n v="100.1"/>
        <n v="2747592.845394487"/>
        <n v="390263.0608"/>
        <n v="1469069.3459266594"/>
        <n v="4422681.847630495"/>
        <n v="50674.5001"/>
        <n v="476201.8865112867"/>
        <n v="322967.6608"/>
        <n v="344405.6556"/>
        <n v="322553.7556"/>
        <n v="379790.9589303516"/>
        <n v="8474908.448823085"/>
        <n v="8053184.338945685"/>
        <n v="373221.6924692313"/>
        <n v="673386.802499875"/>
        <n v="5921508.980960048"/>
        <n v="3816011.5749859964"/>
        <n v="3520391.387092367"/>
        <n v="1191227.811113608"/>
        <n v="624726.6057113309"/>
        <n v="801640.4259086589"/>
        <n v="634605.3660649953"/>
        <n v="2596306.643848169"/>
        <n v="1962082.5150987648"/>
        <n v="3480490.0550859645"/>
        <n v="1140892.1232540028"/>
        <n v="81230.5637913073"/>
        <n v="2749682.4816202084"/>
        <n v="3502905.499998555"/>
        <n v="3295244.2838937347"/>
        <n v="102665.6052"/>
        <n v="108652.866"/>
        <n v="789693.3307780197"/>
        <n v="100.0"/>
        <n v="1593572.8219458836"/>
        <n v="200.5"/>
        <n v="50313.2"/>
        <n v="11413.3152069446"/>
        <n v="6100.0"/>
        <n v="114582.2"/>
        <n v="2557344.8346599923"/>
        <n v="1116239.0921566642"/>
        <n v="926139.199478539"/>
        <n v="362971.8876054939"/>
        <n v="2970004.1748762988"/>
        <n v="2303159.5566101545"/>
        <n v="1388229.167028686"/>
        <n v="1396571.1542439435"/>
        <n v="1.203636451277686E7"/>
        <n v="1589390.3391745489"/>
        <n v="974296.3309908297"/>
        <n v="1408093.552368431"/>
        <n v="558731.4"/>
        <n v="173599.7699847809"/>
        <n v="37839.5"/>
        <n v="1704193.3533758195"/>
        <n v="2271354.803267096"/>
        <n v="4967644.52289783"/>
        <n v="160270.6872152575"/>
        <n v="4016304.5886344914"/>
        <n v="17012.51527"/>
        <n v="3266251.192756873"/>
        <n v="5.980744014463551E7"/>
        <n v="5083003.5840209685"/>
        <n v="105.0001"/>
        <n v="44853.6472740836"/>
        <n v="1.1998648372988708E7"/>
        <n v="1257176.614344529"/>
        <n v="8597057.352723973"/>
        <n v="4375947.6553296195"/>
        <n v="1.0767076450346833E7"/>
        <n v="3.616821932277324E7"/>
        <n v="2343682.1766621214"/>
        <n v="5973479.092043694"/>
        <n v="1752681.734111025"/>
        <n v="1691419.7090268605"/>
        <n v="1202432.7064286622"/>
        <n v="6537.2608"/>
        <n v="223637.52072"/>
        <n v="8564453.579265747"/>
        <n v="2420972.0955897355"/>
        <n v="7075387.569513494"/>
        <n v="7767062.625196724"/>
        <n v="2.790073270064084E7"/>
        <n v="287725.7686"/>
        <n v="7607059.260747373"/>
        <n v="1.2751935100499835E7"/>
        <n v="1205976.0773400085"/>
        <n v="9666029.169369327"/>
        <n v="490200.5592823739"/>
        <n v="1.0376856235622648E7"/>
        <n v="2.4637372195392903E7"/>
        <n v="96196.205521818"/>
        <n v="9897751.71654564"/>
        <n v="10.0"/>
        <n v="1777789.0804504848"/>
        <n v="32741.1"/>
        <n v="12741.0"/>
        <n v="27741.1"/>
        <n v="7669622.991030213"/>
        <n v="1.7394431087814342E7"/>
        <n v="1462553.2046127678"/>
        <n v="1774058.2108842062"/>
        <n v="741684.2711678819"/>
        <n v="9528437.06765272"/>
        <n v="5000.0"/>
        <n v="20708.8341525147"/>
        <n v="2405004.184851485"/>
        <n v="8589727.942633545"/>
        <n v="1.0469698783747932E7"/>
        <n v="1.1319202934961796E7"/>
        <n v="1.0757500133491058E7"/>
        <n v="2.1799859680688288E7"/>
        <n v="5.1"/>
        <n v="1.0403065271781659E7"/>
        <n v="10.0000001"/>
        <n v="591578.0769474191"/>
        <n v="9282888.327112835"/>
        <n v="335416.1258053582"/>
        <n v="49597.6707428057"/>
        <n v="7949509.53322787"/>
        <n v="1.3912353415797839E7"/>
        <n v="574.3"/>
        <n v="1.1836784393508028E7"/>
        <n v="2164853.1242166907"/>
        <n v="8321085.380210415"/>
        <n v="8496668.073803283"/>
        <n v="2029197.8157342088"/>
        <n v="1.3234063197890121E7"/>
        <n v="1.0866612314139314E7"/>
        <n v="1.0902545250796333E7"/>
        <n v="1.1892506619330889E7"/>
        <n v="3.615602047384298E7"/>
        <n v="1035357.3614992728"/>
        <n v="2360329.5508997575"/>
        <n v="1.30392772102238E7"/>
        <n v="1.0707989811922401E7"/>
        <n v="1441880.29251313"/>
        <n v="750254.5688472512"/>
        <n v="5.554697532729751E7"/>
        <n v="4214708.456740625"/>
        <n v="1573255.404904616"/>
        <n v="1.192526170680949E7"/>
        <n v="3120749.43144537"/>
        <n v="3029531.992731462"/>
        <n v="2560151.2917201086"/>
        <n v="1.4215047154586323E7"/>
        <n v="469179.9508784957"/>
        <n v="1.054669198594188E7"/>
        <n v="1.0902778199072879E7"/>
        <n v="7506281.359547438"/>
        <n v="1.0517214324763149E7"/>
        <n v="78191.1"/>
        <n v="1.3259460570952611E7"/>
        <n v="9617022.639728453"/>
        <n v="1.1687126732700344E7"/>
        <n v="7010.0"/>
        <n v="1508814.1225582366"/>
        <n v="1.3069205742926199E7"/>
        <n v="1759274.7082190136"/>
        <n v="1.1707775346271059E7"/>
        <n v="1.1301172215252753E7"/>
        <n v="1.0678793697015744E7"/>
        <n v="2290402.5680582365"/>
        <n v="1139827.406690996"/>
        <n v="1.4315844145121774E7"/>
        <n v="1.2446818670847822E7"/>
        <n v="4716779.223331273"/>
        <n v="1.555904530397792E7"/>
        <n v="1.5581247351948902E7"/>
        <n v="45005.2"/>
        <n v="1.078752271315139E7"/>
        <n v="1.5562634646787075E7"/>
        <n v="1.1182083817293655E7"/>
        <n v="1079535.4249467973"/>
        <n v="1.2612869943638694E7"/>
        <n v="343162.0886441372"/>
        <n v="109018.2"/>
        <n v="506801.5396327592"/>
        <n v="1.3408950321774285E7"/>
        <n v="2073723.9689864835"/>
        <n v="1.1070011057488974E7"/>
        <n v="4103318.8213073215"/>
        <n v="1.6109800952344524E7"/>
        <n v="1612050.1"/>
        <n v="4.505387733536229E7"/>
        <n v="3273022.3646644778"/>
        <n v="1063767.3631033082"/>
        <n v="1.3752258073958397E7"/>
        <n v="1.4755228009936797E7"/>
        <n v="1.1114664132716475E7"/>
        <n v="3985580.2302667242"/>
        <n v="5.828919923032874E7"/>
        <n v="1.1486700826510543E7"/>
        <n v="1226423.4874816907"/>
        <n v="3964552.313170689"/>
        <n v="1640840.3"/>
        <n v="1.8106506949889667E7"/>
        <n v="2738190.4208938363"/>
        <n v="1.5202322409474665E7"/>
        <n v="1.6348075971494554E7"/>
        <n v="3445767.816292549"/>
        <n v="4340440.159228561"/>
        <n v="1.831055537397765E7"/>
        <n v="1.2503451937641766E7"/>
        <n v="1.6234693658547647E7"/>
        <n v="329898.8097734942"/>
        <n v="4.2776238340737134E7"/>
        <n v="1.5662029021986814E7"/>
        <n v="3433779.6796261887"/>
        <n v="6482757.585845532"/>
        <n v="52575.1670582367"/>
        <n v="1.0275617990940167E7"/>
        <n v="1.1968360709720328E7"/>
        <n v="1.5308649734266505E7"/>
        <n v="1246164.7537619453"/>
        <n v="4248856.246321443"/>
        <n v="2.902016628297301E7"/>
        <n v="1321479.5707626857"/>
        <n v="1.1324511636341574E7"/>
        <n v="3.8092512063579015E7"/>
        <n v="1.2539129936206276E7"/>
        <n v="1.442516634810462E7"/>
        <n v="509855.6856913136"/>
        <n v="4768906.662421701"/>
        <n v="1640263.67898479"/>
        <n v="1404565.8430015205"/>
        <n v="6056471.904557891"/>
        <n v="1.2796975256897751E7"/>
        <n v="1.2402330771805251E7"/>
        <n v="4235390.459433627"/>
        <n v="1.28009436881704E7"/>
        <n v="1.3674840009084048E7"/>
        <n v="4.958257608666941E7"/>
        <n v="4.968111951148787E7"/>
        <n v="1729854.4601754772"/>
        <n v="5235595.222410884"/>
        <n v="7354478.307989768"/>
        <n v="1192044.9682169957"/>
        <n v="1284797.6662018285"/>
        <n v="2.8259576395204253E7"/>
        <n v="4.710742690177693E7"/>
        <n v="1.2400499771810254E7"/>
        <n v="9135.0"/>
        <n v="1247495.0517497743"/>
        <n v="2.8399895388290156E7"/>
        <n v="5.195158233001553E7"/>
        <n v="2.617005792020953E7"/>
        <n v="5.238445068349452E7"/>
        <n v="3.3114145150339477E7"/>
        <n v="4734227.804249804"/>
        <n v="5.1742061852086164E7"/>
        <n v="1.0792321612293271E7"/>
        <n v="5.212347067856228E7"/>
        <n v="7723574.912385896"/>
        <n v="2818709.3872152576"/>
        <n v="1963170.00000001"/>
        <n v="5.1957897560349055E7"/>
        <n v="5.181088581297835E7"/>
        <n v="5.164774212716589E7"/>
        <n v="1.3724175745954078E7"/>
        <n v="1.52383152540647E7"/>
        <n v="5.0204102782666706E7"/>
        <n v="1.5085473367583107E7"/>
        <n v="2673127.406456474"/>
        <n v="7536767.8619166175"/>
        <n v="1616171.3397688481"/>
        <n v="5.240465190775571E7"/>
        <n v="5.1651701090338744E7"/>
        <n v="6.5192955515835255E7"/>
        <n v="3.296648019878072E7"/>
        <n v="6.694311646115765E7"/>
        <n v="9957828.995687028"/>
        <n v="9959624.002530927"/>
        <n v="1.2455107305116015E7"/>
        <n v="6.712509456636864E7"/>
        <n v="1.4985053701613016E7"/>
        <n v="1.4732238635625483E7"/>
        <n v="1.2955056471889194E7"/>
        <n v="1160084.067439429"/>
        <n v="3.845368625001785E7"/>
        <n v="1.4889755656037E7"/>
        <n v="741892.3146520681"/>
        <n v="1904666.5772655963"/>
        <n v="1.2043104141175348E7"/>
        <n v="5150529.064133251"/>
        <n v="2880687.5613671164"/>
        <n v="3533785.757928237"/>
        <n v="1922098.1391802235"/>
        <n v="9559054.407856146"/>
        <n v="9081070.894132078"/>
        <n v="9079163.107378144"/>
        <n v="9066651.136159636"/>
        <n v="9056271.240118047"/>
        <n v="9072226.717987042"/>
        <n v="9096245.933938928"/>
        <n v="159094.2235388797"/>
        <n v="9046297.11486128"/>
        <n v="2049280.2389882293"/>
        <n v="1.4678337131542116E7"/>
        <n v="1.4061017817724539E7"/>
        <n v="1068235.7683779332"/>
        <n v="2.998679216326582E7"/>
        <n v="4082832.44442956"/>
        <n v="791064.4653407662"/>
        <n v="1.3020459373797458E7"/>
        <n v="4256236.002121974"/>
        <n v="1940628.4257413351"/>
        <n v="676917.0"/>
        <n v="1.2555287763410358E7"/>
        <n v="1290903.2647381595"/>
        <n v="54320.6865210526"/>
        <n v="1.3739780149511142E7"/>
        <n v="1.3567024466198064E7"/>
        <n v="1.1631872381211E7"/>
        <n v="1.216534161806062E7"/>
        <n v="41025.6078432547"/>
        <n v="1.5501114562934028E7"/>
        <n v="1.2772067327100229E7"/>
        <n v="1.4090210882136062E7"/>
        <n v="1.5664451232700586E7"/>
        <n v="2377607.5034548435"/>
        <n v="519658.0743996018"/>
        <n v="327389.0237545887"/>
        <n v="183939.6872152575"/>
        <n v="138903.5726849249"/>
        <n v="1290236.0674714393"/>
        <n v="4576366.465971193"/>
        <n v="1076030.0025477984"/>
        <n v="1.3562709451485574E7"/>
        <n v="3.3445472574286193E7"/>
        <n v="1032051.3668829323"/>
        <n v="4.726606633080685E7"/>
        <n v="1.9504448335955422E7"/>
        <n v="223081.331658338"/>
        <n v="3.0980686016067643E7"/>
        <n v="249230.6466693924"/>
        <n v="494514.9063194007"/>
        <n v="3909868.2863627267"/>
        <n v="269077.8850926468"/>
        <n v="274160.0845947794"/>
        <n v="1011940.9997326778"/>
        <n v="2.5844408056053836E7"/>
        <n v="3718934.734625527"/>
        <n v="518229.6316276019"/>
        <n v="2435626.2892413517"/>
        <n v="548003.4025731898"/>
        <n v="991871.0199275773"/>
        <n v="593090.0741094392"/>
        <n v="148096.4512357278"/>
        <n v="7.174655661314608E7"/>
        <n v="1232153.0395348016"/>
        <n v="587990.8043387294"/>
        <n v="1947502.7517093113"/>
        <n v="434227.0788443636"/>
        <n v="1643174.5648191678"/>
        <n v="199727.5300445778"/>
        <n v="9.037487260104667E7"/>
        <n v="2268266.183544674"/>
        <n v="6.879207631270073E7"/>
        <n v="1.5959565909464313E7"/>
        <n v="5.64248126469003E7"/>
        <n v="3060994.6768448106"/>
        <n v="990415.0810611297"/>
        <n v="4.104284651147102E7"/>
        <n v="2004005.13282276"/>
        <n v="1.5925742100863248E7"/>
        <n v="1785995.2537505461"/>
        <n v="5.601820622872928E7"/>
        <n v="198463.5944890484"/>
        <n v="2237044.38390566"/>
        <n v="1.4102289690303368E7"/>
        <n v="8487.6229564742"/>
        <n v="13720.3229564742"/>
        <n v="3922237.799207042"/>
        <n v="3255968.584409249"/>
        <n v="51230.7783225472"/>
        <n v="1.067607787113054E8"/>
        <n v="1056821.963673672"/>
        <n v="6106.795392146"/>
        <n v="1.4878924183481764E7"/>
        <n v="1.5928880587928142E7"/>
        <n v="115340.1235388797"/>
        <n v="1457685.9115545189"/>
        <n v="129349.1"/>
        <n v="1.5796416238974106E7"/>
        <n v="1581750.949735282"/>
        <n v="180610.4"/>
        <n v="1.7424925035762724E7"/>
        <n v="3280325.521998466"/>
        <n v="48542.1172469272"/>
        <n v="502942.2226682906"/>
        <n v="3.386080812082049E7"/>
        <n v="843143.4086192299"/>
        <n v="2016021.4524074956"/>
        <n v="1.3886662886210982E7"/>
        <n v="835780.8037159987"/>
        <n v="71721.4"/>
        <n v="1.2976897522523204E7"/>
        <n v="2325729.3055831124"/>
        <n v="3295541.098719417"/>
        <n v="4221080.091829964"/>
        <n v="2607401.555342589"/>
        <n v="3103851.1033711517"/>
        <n v="7.366352226072095E7"/>
        <n v="445563.0303651397"/>
        <n v="299701.5466367117"/>
        <n v="1.759836962362653E7"/>
        <n v="748126.5197692729"/>
        <n v="30924.1224320845"/>
        <n v="3.2422313720116742E7"/>
        <n v="2893180.59315726"/>
        <n v="39288.6491327239"/>
        <n v="3026891.7074693493"/>
        <n v="46698.1328023861"/>
        <n v="1810277.8976467736"/>
        <n v="220303.7503110687"/>
        <n v="75668.3"/>
        <n v="2535293.1090263296"/>
        <n v="1.61828016965831E7"/>
        <n v="92787.0"/>
        <n v="2282563.854972243"/>
        <n v="1640175.6834143007"/>
        <n v="1333409.4200803079"/>
        <n v="7241277.350319758"/>
        <n v="3519793.666109272"/>
        <n v="3.45893611948087E7"/>
        <n v="1.6301262817844503E7"/>
        <n v="5.832818711515067E7"/>
        <n v="142220.7314774661"/>
        <n v="2.6187490719611853E7"/>
        <n v="6.88151676518234E7"/>
        <n v="34229.4347398596"/>
        <n v="42906.1828939706"/>
        <n v="5025.0"/>
        <n v="15191.5197692729"/>
        <n v="1729945.4192483507"/>
        <n v="6723545.399670586"/>
        <n v="2838954.4808483417"/>
        <n v="53504.831794545"/>
        <n v="51196.0379381906"/>
        <n v="3014018.8719343133"/>
        <n v="38609.2946822493"/>
        <n v="684682.0307211586"/>
        <n v="2.603368014115487E7"/>
        <n v="1.3498337564439615E7"/>
        <n v="2.593014909355072E7"/>
        <n v="28004.5813519607"/>
        <n v="206887.8437225482"/>
        <n v="2.0855730529242102E7"/>
        <n v="1263754.677228831"/>
        <n v="372662.815051953"/>
        <n v="292798.7519139702"/>
        <n v="2.655225122037826E7"/>
        <n v="92983.4439517354"/>
        <n v="3759869.0438421885"/>
        <n v="1031565.9111568365"/>
        <n v="1.3615108885254264E7"/>
        <n v="957838.114828453"/>
        <n v="1055756.2962547285"/>
        <n v="385658.6745208935"/>
        <n v="2013647.7668576494"/>
        <n v="1.9163197123316977E7"/>
        <n v="6473991.74966195"/>
        <n v="923801.0892759097"/>
        <n v="1.94587240199342E7"/>
        <n v="478701.3205915881"/>
        <n v="6865133.212528083"/>
        <n v="8.353008094237557E7"/>
        <n v="1.7126203405532666E7"/>
        <n v="2.5237916481943272E7"/>
        <n v="4.145631963572467E7"/>
        <n v="2.530140256368919E7"/>
        <n v="1.9102702390154615E7"/>
        <n v="3179159.277383572"/>
        <n v="1165682.6549713127"/>
        <n v="6652881.660531809"/>
        <n v="348274.9235388797"/>
        <n v="1.8293311336277544E7"/>
        <n v="3.98226767309893E7"/>
        <n v="7257809.253490025"/>
        <n v="1.9611189027694996E7"/>
        <n v="7427176.814073392"/>
        <n v="2722032.897022489"/>
        <n v="343269.8584736719"/>
        <n v="36531.8376253017"/>
        <n v="2957130.8729039244"/>
        <n v="3.1551060377428513E7"/>
        <n v="7.252427399529381E7"/>
        <n v="1.2985730966137746E7"/>
        <n v="2426.0"/>
        <n v="3.5034033163067766E7"/>
        <n v="3.2649877025333583E7"/>
        <n v="4.7335480921400055E7"/>
        <n v="22.0"/>
        <n v="3.267506649973905E7"/>
        <n v="7601777.003720318"/>
        <n v="3.3513300727425277E7"/>
        <n v="1194965.752327497"/>
        <n v="2.2576365839067608E7"/>
        <n v="3.1387811959456928E7"/>
        <n v="1.3433586302915389E7"/>
        <n v="1099041.2946260439"/>
        <n v="2.6122980728841063E7"/>
        <n v="3.1575514884293318E7"/>
        <n v="2.5362440160063986E7"/>
        <n v="2.5072181173129573E7"/>
        <n v="25922.3579718795"/>
        <n v="3.2737453567175914E7"/>
        <n v="558210.6445514183"/>
        <n v="7938129.503976608"/>
        <n v="335520.1"/>
        <n v="2.635230953094221E7"/>
        <n v="444263.0355796187"/>
        <n v="30.0"/>
        <n v="3320740.2697620345"/>
        <n v="4183795.537339843"/>
        <n v="3.216677391766458E7"/>
        <n v="2.491657567396045E7"/>
        <n v="3.1417885871800378E7"/>
        <n v="3.0985409985731587E7"/>
        <n v="320201.1"/>
        <n v="17865.4"/>
        <n v="6409463.002484963"/>
        <n v="1.2726872899917431E7"/>
        <n v="5.2604431923161075E7"/>
        <n v="3656734.4859848544"/>
        <n v="3660220.937915298"/>
        <n v="23028.0"/>
        <n v="9316324.400581703"/>
        <n v="9315169.344027791"/>
        <n v="5886091.329236806"/>
        <n v="2798853.017290459"/>
        <n v="594274.4879075688"/>
        <n v="3.182076156662488E7"/>
        <n v="2.1916057864740487E7"/>
        <n v="392707.2075987436"/>
        <n v="6521571.552653668"/>
        <n v="38053.2"/>
        <n v="3724517.3345806785"/>
        <n v="23.1"/>
        <n v="3.1452291738306064E7"/>
        <n v="178421.2"/>
        <n v="5540634.367341298"/>
        <n v="1.3916645983815167E7"/>
        <n v="372833.5199173186"/>
        <n v="3.1948772835707758E7"/>
        <n v="5023.1"/>
        <n v="5005.0"/>
        <n v="1.3476547122945933E7"/>
        <n v="33.3"/>
        <n v="2.216339798449999E7"/>
        <n v="3.921767729863275E7"/>
        <n v="608418.2545786501"/>
        <n v="47.0"/>
        <n v="1.2966387487334192E7"/>
        <n v="3.116944949232355E7"/>
        <n v="13389.0"/>
        <n v="411.0"/>
        <n v="28.0"/>
        <n v="4245045.4"/>
        <n v="3.0659264254604824E7"/>
        <n v="9122.3"/>
        <n v="3.9103013579815164E7"/>
        <n v="3.2257257196865514E7"/>
        <n v="1571541.7769787938"/>
        <n v="1263435.791906932"/>
        <n v="1.6356422065604853E7"/>
        <n v="984680.2204936058"/>
        <n v="1.4113955204292133E7"/>
        <n v="3.2099806812853113E7"/>
        <n v="5.145359330163232E7"/>
        <n v="2.0111914626308676E7"/>
        <n v="3.8499633468227275E7"/>
        <n v="3.848989180822728E7"/>
        <n v="8402369.607681954"/>
        <n v="2.672429816877197E7"/>
        <n v="2.718939216641737E7"/>
        <n v="4595461.568473672"/>
        <n v="2958743.220243953"/>
        <n v="2.025174961227276E7"/>
        <n v="390626.5646103493"/>
        <n v="9599404.655175267"/>
        <n v="442442.5945580202"/>
        <n v="3.898326291764676E7"/>
        <n v="470869.3072553323"/>
        <n v="31.1"/>
        <n v="1.240873047163674E7"/>
        <n v="5.512957558617911E7"/>
        <n v="40778.7212407663"/>
        <n v="2.0059327841056097E7"/>
        <n v="204632.8342821433"/>
        <n v="5.0"/>
        <n v="405.0"/>
        <n v="14525.0"/>
        <n v="1.01613696854102E7"/>
        <n v="801029.2174738785"/>
        <n v="106445.6324945798"/>
        <n v="2.6162179712164328E7"/>
        <n v="744065.4174738785"/>
        <n v="3.0347663424330473E7"/>
        <n v="1196.0"/>
        <n v="46878.3"/>
        <n v="9996743.154909872"/>
        <n v="19751.0"/>
        <n v="5138907.336388397"/>
        <n v="5.191506205387039E7"/>
        <n v="1748.47397261"/>
        <n v="28883.4716256343"/>
        <n v="2.487942391017793E7"/>
        <n v="1446.0"/>
        <n v="9118.5"/>
        <n v="3.9556163659928724E7"/>
        <n v="2.2327079892141424E7"/>
        <n v="3.108380881877782E7"/>
        <n v="1.3563677540309118E7"/>
        <n v="1.4893682493592078E7"/>
        <n v="7615286.763612855"/>
        <n v="8218053.325840491"/>
        <n v="7570689.157407557"/>
        <n v="1.6023223024726236E7"/>
        <n v="23.0"/>
        <n v="3.443667832019693E7"/>
        <n v="2096110.6425523134"/>
        <n v="2825400.4"/>
        <n v="4106703.5566570326"/>
        <n v="3.38746780088174E7"/>
        <n v="7657903.340749044"/>
        <n v="4231914.1"/>
        <n v="4.132975088593362E7"/>
        <n v="7476564.452996895"/>
        <n v="1.0460258250284398E7"/>
        <n v="7440560.445870125"/>
        <n v="5961.0"/>
        <n v="207079.3110855102"/>
        <n v="9622996.245452465"/>
        <n v="27731.9744879636"/>
        <n v="3.213213326457736E7"/>
        <n v="3.4215433186257415E7"/>
        <n v="812.5515314894"/>
        <n v="720.5"/>
        <n v="19108.1"/>
        <n v="9.667777667217962E7"/>
        <n v="191315.2962761988"/>
        <n v="2.9161570687162135E7"/>
        <n v="1.1022767783419408E7"/>
        <n v="1.414381027093857E7"/>
        <n v="1.6772411892114349E7"/>
        <n v="4170599.676849735"/>
        <n v="3.776389686397966E7"/>
        <n v="2.224452409920007E7"/>
        <n v="250.1"/>
        <n v="3.094700321531193E7"/>
        <n v="4.1232293536559835E7"/>
        <n v="7818828.998011404"/>
        <n v="1.8323416329532683E7"/>
        <n v="1.6596257390018648E7"/>
        <n v="3475902.4384634397"/>
        <n v="1.1196965642755556E8"/>
        <n v="1.081933278161522E7"/>
        <n v="2915504.4"/>
        <n v="46382.0"/>
        <n v="9.282824099018067E7"/>
        <n v="3.42634157457223E7"/>
        <n v="5010.0"/>
        <n v="8952607.249189664"/>
        <n v="1.382094348954204E7"/>
        <n v="23304.6778999878"/>
        <n v="53871.0"/>
        <n v="3.3066902910544436E7"/>
        <n v="1.147490022E8"/>
        <n v="36424.0"/>
        <n v="2047673.4186460667"/>
        <n v="9.334026141438669E7"/>
        <n v="14627.7"/>
        <n v="2925983.4"/>
        <n v="121650.447091685"/>
        <n v="2247803.018810008"/>
        <n v="6034600.422956474"/>
        <n v="2.5942754393683117E7"/>
        <n v="5971.0"/>
        <n v="2.5868803394783117E7"/>
        <n v="8260429.914163536"/>
        <n v="1.9414708976194404E7"/>
        <n v="661763.1612801112"/>
        <n v="4.3742232492425986E7"/>
        <n v="3.2236091309944555E7"/>
        <n v="7821838.090409757"/>
        <n v="1.5288781150301762E7"/>
        <n v="1.3819595597115599E7"/>
        <n v="3.0211255084919125E7"/>
        <n v="33271.7292758749"/>
        <n v="41535.3464953539"/>
        <n v="7.156896590374537E7"/>
        <n v="344242.7006305647"/>
        <n v="8.801249470926648E7"/>
        <n v="1.9806581610338558E7"/>
        <n v="2.330219725503307E7"/>
        <n v="1.751666488923292E7"/>
        <n v="2.05555966462674E7"/>
        <n v="1.705371810116809E7"/>
        <n v="31152.6"/>
        <n v="9110.0"/>
        <n v="2991866.763655154"/>
        <n v="2.215065154657079E7"/>
        <n v="50678.1"/>
        <n v="3.5088982599753566E7"/>
        <n v="4354486.217597928"/>
        <n v="4168430.616260817"/>
        <n v="391694.221650452"/>
        <n v="7728762.216259887"/>
        <n v="2.7757511138398074E7"/>
        <n v="7957907.292237195"/>
        <n v="4.330465153545076E7"/>
        <n v="2106071.0"/>
        <n v="7470723.80043717"/>
        <n v="568470.6620228245"/>
        <n v="91197.556537823"/>
        <n v="5966.0"/>
        <n v="7826497.811663373"/>
        <n v="1.083686645598907E8"/>
        <n v="2.175933198173824E7"/>
        <n v="3.819927964074172E7"/>
        <n v="2.3585960069023427E7"/>
        <n v="2.4567148673105832E7"/>
        <n v="1.0537137211011989E7"/>
        <n v="9305675.542923385"/>
        <n v="4.06484365823587E7"/>
        <n v="2.7930125191729944E7"/>
        <n v="2.584166061841865E7"/>
        <n v="2.1663474913900807E7"/>
        <n v="7755112.223748097"/>
        <n v="4658758.144631243"/>
        <n v="3487717.553122979"/>
        <n v="7.270383965423349E7"/>
        <n v="3.6472197799814574E7"/>
        <n v="3.378371106816749E7"/>
        <n v="5675815.197525609"/>
        <n v="4614350.64858874"/>
        <n v="68.2882659981"/>
        <n v="60786.0616552183"/>
        <n v="6.111776766735148E7"/>
        <n v="6.953058545585497E7"/>
        <n v="6665.0"/>
        <n v="4.383770920827704E7"/>
        <n v="41584.8814301461"/>
        <n v="2123298.623768541"/>
        <n v="2.978150168888647E7"/>
        <n v="76010.101"/>
        <n v="4621720.852027668"/>
        <n v="168058.6270478275"/>
        <n v="19715.001"/>
        <n v="3.1604780024466682E7"/>
        <n v="3.4956384803095385E7"/>
        <n v="3.2192816949837215E7"/>
        <n v="2.2130882194698054E7"/>
        <n v="76838.1089106387"/>
        <n v="3.991197932212979E7"/>
        <n v="4011038.3556390903"/>
        <n v="20669.3329564742"/>
        <n v="2321428.466079483"/>
        <n v="4.317161291187236E7"/>
        <n v="4761507.40152918"/>
        <n v="3.729975560359289E7"/>
        <n v="4.3315335471190214E7"/>
        <n v="9107393.485401953"/>
        <n v="8.366618617295426E7"/>
        <n v="2.756072715990166E7"/>
        <n v="6.544976958510386E7"/>
        <n v="5641.2609611098"/>
        <n v="4.733991168560557E7"/>
        <n v="958.0"/>
        <n v="3062260.0462407796"/>
        <n v="3171961.3933324646"/>
        <n v="2.7302846867725503E7"/>
        <n v="5817232.455273741"/>
        <n v="5.4"/>
        <n v="4777783.264863747"/>
        <n v="1.003008066652733E8"/>
        <n v="1.3046086144728048E7"/>
        <n v="2.533842148748424E7"/>
        <n v="2.4724120166155975E7"/>
        <n v="9501737.075176442"/>
        <n v="5843036.974370962"/>
        <n v="5.082621323849587E7"/>
        <n v="5828006.166197433"/>
        <n v="94202.1596156803"/>
        <n v="5650098.6042949995"/>
        <n v="2.309169407134122E7"/>
        <n v="3.1201894372948196E7"/>
        <n v="37956.8366592061"/>
        <n v="35376.7366592061"/>
        <n v="18783.3334236112"/>
        <n v="2.9885998678728335E7"/>
        <n v="4.775391983550622E7"/>
        <n v="3327035.609488497"/>
        <n v="2.506769684437426E7"/>
        <n v="39175.6428592061"/>
        <n v="798430.3637472384"/>
        <n v="16746.8366592061"/>
        <n v="5012.0"/>
        <n v="69981.395132878"/>
        <n v="525973.7454940305"/>
        <n v="2.1905030843332157E7"/>
        <n v="2.168531844475686E7"/>
        <n v="23528.5062"/>
        <n v="2.144686405438903E7"/>
        <n v="537924.3172470513"/>
        <n v="4.3368109156400196E7"/>
        <n v="2.0508056846722465E7"/>
        <n v="5.010819812765766E7"/>
        <n v="2886290.2186717577"/>
        <n v="2.3484779307955507E7"/>
        <n v="2.1512927633711625E7"/>
        <n v="455814.9086820306"/>
        <n v="5.493134652911504E7"/>
        <n v="2.1552730533711627E7"/>
        <n v="5.2924320289406955E7"/>
        <n v="5948677.160152549"/>
        <n v="2.3894476806949638E7"/>
        <n v="2.350089888349939E7"/>
        <n v="2.3567871443882525E7"/>
        <n v="2.3491778633470815E7"/>
        <n v="3.473199162272547E7"/>
        <n v="2.4997802409163885E7"/>
        <n v="1658636.2"/>
        <n v="2.230211722810586E7"/>
        <n v="41.483746953"/>
        <n v="2.5309056707816344E7"/>
        <n v="2.360654182690565E7"/>
        <n v="192749.664890608"/>
        <n v="1.0080122739189742E7"/>
        <n v="1.1942977909799276E7"/>
        <n v="4.3064068548630334E7"/>
        <n v="3.975491512571219E7"/>
        <n v="5.803476569148749E7"/>
        <n v="6.322939609743233E7"/>
        <n v="3756171.3466196456"/>
        <n v="2.9034323458923686E7"/>
        <n v="2.1873725982819647E7"/>
        <n v="8.65092469118502E7"/>
        <n v="5748232.335227015"/>
        <n v="1.2440978047780747E7"/>
        <n v="5814775.371009293"/>
        <n v="2.3789253926238313E7"/>
        <n v="1.2872261933265276E7"/>
        <n v="252865.3221141733"/>
        <n v="2.416233963430201E7"/>
        <n v="83613.8828504351"/>
        <n v="4.726284809076761E7"/>
        <n v="17381.7366592061"/>
        <n v="8613446.516742706"/>
        <n v="20854.6166592061"/>
        <n v="4.838430726086274E7"/>
        <n v="4528903.200800433"/>
        <n v="1.3389748163220853E7"/>
        <n v="5.302582849092888E7"/>
        <n v="9.148724684579974E7"/>
        <n v="2.32155516350598E7"/>
        <n v="2.2348215841664053E7"/>
        <n v="2.899921392353888E7"/>
        <n v="3353228.802269163"/>
        <n v="1.3176841218994653E7"/>
        <n v="2.1390143523506284E7"/>
        <n v="7.464605180505179E7"/>
        <n v="98636.7601980858"/>
        <n v="167870.2049574174"/>
        <n v="6.234945963080625E7"/>
        <n v="9948148.595583422"/>
        <n v="5005.1"/>
        <n v="4912259.553760478"/>
        <n v="2127530.640755456"/>
        <n v="4.012680658389802E7"/>
        <n v="6.712854741213138E7"/>
        <n v="3.705543908161274E7"/>
        <n v="1.2054974531761313E7"/>
        <n v="5794953.267740667"/>
        <n v="5766703.29924283"/>
        <n v="2.525487938281826E7"/>
        <n v="1.8082205926292293E7"/>
        <n v="1.915749768483795E7"/>
        <n v="5.049148129406148E7"/>
        <n v="2.4980470300454736E7"/>
        <n v="5.9505441298735864E7"/>
        <n v="4582696.179555808"/>
        <n v="19638.7"/>
        <n v="2.0152115202814568E7"/>
        <n v="7.58361038378705E7"/>
        <n v="6.1175529510543786E7"/>
        <n v="5640435.882994104"/>
        <n v="2.4831296950877078E7"/>
        <n v="6.6972766347056925E7"/>
        <n v="2020558.5138999878"/>
        <n v="2.9216324088831674E7"/>
        <n v="2.2386375496318866E7"/>
        <n v="3.305881498292406E7"/>
        <n v="1.6467215472350204E7"/>
        <n v="3.1334985175350077E7"/>
        <n v="8727174.485836402"/>
        <n v="2.940499871007718E7"/>
        <n v="5638661.053746552"/>
        <n v="3.062206697650188E7"/>
        <n v="5571703.547091685"/>
        <n v="1.32285111351963E7"/>
        <n v="1.6104508265335433E7"/>
        <n v="33525.1"/>
        <n v="130696.2"/>
        <n v="20710.0"/>
        <n v="5328.0"/>
        <n v="10010.0"/>
        <n v="2043085.5138999878"/>
        <n v="6.516622196752669E7"/>
        <n v="2.4784879915610105E7"/>
        <n v="1.8697657937415715E7"/>
        <n v="3.366302156629117E7"/>
        <n v="2.5695092032748822E7"/>
        <n v="3.0524377217494633E7"/>
        <n v="4361712.270338599"/>
        <n v="7378618.592853783"/>
        <n v="2.7647118075518582E7"/>
        <n v="4542338.345821117"/>
        <n v="2.699060073678769E7"/>
        <n v="3.2028640026424035E7"/>
        <n v="15815.0"/>
        <n v="3.146947261461733E7"/>
        <n v="6.324291113811525E7"/>
        <n v="4.005570731403502E7"/>
        <n v="202272.1321141733"/>
        <n v="2.607773187635434E7"/>
        <n v="3742506.536428896"/>
        <n v="3.712956391638175E7"/>
        <n v="25358.2"/>
        <n v="5.167207041180262E7"/>
        <n v="64007.9725822371"/>
        <n v="6.508864600559431E7"/>
        <n v="5000.1"/>
        <n v="25328.0"/>
        <n v="2140819.908582237"/>
        <n v="2.5513900208870046E7"/>
        <n v="2.925645881205421E7"/>
        <n v="1.8078374008910637E7"/>
        <n v="2.0992180354435064E7"/>
        <n v="2.8234797104413066E7"/>
        <n v="1.596382826006326E7"/>
        <n v="5.1909537129117414E7"/>
        <n v="2.1942353803478725E7"/>
        <n v="3.884572976046336E7"/>
        <n v="1.828384394149814E7"/>
        <n v="5963602.51717663"/>
        <n v="3.4355758659686185E7"/>
        <n v="2.0967789327900674E7"/>
        <n v="3037648.1970005576"/>
        <n v="1.0013145593903597E7"/>
        <n v="2.1083345427900676E7"/>
        <n v="16183.0"/>
        <n v="2.3342658834099025E7"/>
        <n v="5.6843668107027516E7"/>
        <n v="5.6663366704520874E7"/>
        <n v="2900428.017457536"/>
        <n v="3.414248755660847E7"/>
        <n v="2.899138676083084E7"/>
        <n v="9.19030994241154E7"/>
        <n v="3.5677251953819685E7"/>
        <n v="3096529.444589304"/>
        <n v="4977454.910556596"/>
        <n v="1.7378840650662657E7"/>
        <n v="8268259.7"/>
        <n v="1.6802770710943364E7"/>
        <n v="1.1924586890376067E7"/>
        <n v="3.068899757756223E7"/>
        <n v="4.4508855179522246E7"/>
        <n v="2.592006677971009E7"/>
        <n v="5020.0"/>
        <n v="3.2276219185111746E7"/>
        <n v="3.066796778464855E7"/>
        <n v="1.457177966893674E7"/>
        <n v="6223987.119099883"/>
        <n v="1.796949580837788E7"/>
        <n v="1.5157732230042623E7"/>
        <n v="2.754797828497623E7"/>
        <n v="3.161142661294124E7"/>
        <n v="1.92674141819758E7"/>
        <n v="15010.0"/>
        <n v="6862359.375211464"/>
        <n v="1.4916874079011876E7"/>
        <n v="1.2038824493246403E7"/>
        <n v="2.686870726114731E7"/>
        <n v="5539919.940791254"/>
        <n v="3.0525098749028742E7"/>
        <n v="18021.0"/>
        <n v="2.504316403278928E7"/>
        <n v="4572153.188664729"/>
        <n v="3.0562914867422115E7"/>
        <n v="2.9183461279982984E7"/>
        <n v="1.7539657145806722E7"/>
        <n v="1.0617359428812961E8"/>
        <n v="2.446115211056826E7"/>
        <n v="2.3172484811070513E7"/>
        <n v="9758843.403050818"/>
        <n v="10096.8583229342"/>
        <n v="1.0033847897421302E7"/>
        <n v="1.044622999876112E7"/>
        <n v="3.266112396490465E7"/>
        <n v="3.7266925205946356E7"/>
        <n v="4.384248216768366E7"/>
        <n v="245574.1967"/>
        <n v="1.848150101495825E7"/>
        <n v="20079.9"/>
        <n v="6.4280033317419596E7"/>
        <n v="1.4377774758197915E7"/>
        <n v="5.281578560291058E7"/>
        <n v="5.481902685551743E7"/>
        <n v="4.9866714145237364E7"/>
        <n v="1.7494363437752873E7"/>
        <n v="7840576.930412034"/>
        <n v="3.541681840017177E7"/>
        <n v="6.1277493030766174E7"/>
        <n v="2.7204401698171422E7"/>
        <n v="4.480318973936463E7"/>
        <n v="5790148.114724727"/>
        <n v="4.726658707444416E7"/>
        <n v="1.861445582987247E7"/>
        <n v="4.129312372514595E7"/>
        <n v="4179800.4"/>
        <n v="5001.5"/>
        <n v="122469.347091685"/>
        <n v="6.577927397429651E7"/>
        <n v="7.620392941534226E7"/>
        <n v="4.827542966716493E7"/>
        <n v="8.538829949533108E7"/>
        <n v="5.854225159807532E7"/>
        <n v="5.681946017162896E7"/>
        <n v="2.2951442434670832E7"/>
        <n v="131.2"/>
        <n v="1.4690829467196686E7"/>
        <n v="2.0193025868401147E7"/>
        <n v="2.5191750257442147E7"/>
        <n v="3.0463544972519435E7"/>
        <n v="31755.5293039808"/>
        <n v="3.8876646862223305E7"/>
        <n v="1.419167245831307E7"/>
        <n v="2.8983649304180004E7"/>
        <n v="6.498808969827464E7"/>
        <n v="6415579.941641049"/>
        <n v="4210423.800197897"/>
        <n v="1042094.6920388797"/>
        <n v="10040.0235388797"/>
        <n v="1.4290521851749256E7"/>
        <n v="5011.0"/>
        <n v="1.4271890857905474E7"/>
        <n v="15093.3"/>
        <n v="2.2792924330419883E7"/>
        <n v="95010.0"/>
        <n v="338881.6"/>
        <n v="1.6934823097942166E7"/>
        <n v="5.94728601400756E7"/>
        <n v="4.34323382975346E7"/>
        <n v="1.8886714544908844E7"/>
        <n v="3.0416103351376027E7"/>
        <n v="4710482.18147676"/>
        <n v="5001.0"/>
        <n v="2.8612131200473703E7"/>
        <n v="2.675713120281671E7"/>
        <n v="8486268.505267145"/>
        <n v="1.7012883946284235E7"/>
        <n v="1.2990224464435706E7"/>
        <n v="3940159.4089449197"/>
        <n v="3817320.906353682"/>
        <n v="1.642760340086839E7"/>
        <n v="3.4330309243179E7"/>
        <n v="2.1233350407169E7"/>
        <n v="2.0928653382952884E7"/>
        <n v="5810.2"/>
        <n v="1.785439025270172E7"/>
        <n v="2.5524861819296535E7"/>
        <n v="4408734.035737605"/>
        <n v="1.7405952182594504E7"/>
        <n v="3.253418126598501E7"/>
        <n v="2.2763221646324214E7"/>
        <n v="9585797.83488937"/>
        <n v="5088.0"/>
        <n v="8235599.791783047"/>
        <n v="8890951.593239876"/>
        <n v="197006.506320041"/>
        <n v="1.7591339779180747E7"/>
        <n v="111577.05"/>
        <n v="4426626.188664729"/>
        <n v="1.2989730693496777E7"/>
        <n v="1.3326374232064448E7"/>
        <n v="4.732082685973311E7"/>
        <n v="2.3021817859414645E7"/>
        <n v="2.1831288386393353E7"/>
        <n v="8874190.295689393"/>
        <n v="1.3186134831855258E7"/>
        <n v="4563411.536778755"/>
        <n v="348682.6467"/>
        <n v="2087929.222976085"/>
      </sharedItems>
    </cacheField>
    <cacheField name="Propose Date" numFmtId="172">
      <sharedItems containsSemiMixedTypes="0" containsDate="1" containsString="0">
        <d v="2023-06-13T00:00:00Z"/>
        <d v="2024-08-28T00:00:00Z"/>
        <d v="2024-09-03T00:00:00Z"/>
        <d v="2023-06-14T00:00:00Z"/>
        <d v="2024-09-08T00:00:00Z"/>
        <d v="2023-06-15T00:00:00Z"/>
        <d v="2023-06-16T00:00:00Z"/>
        <d v="2023-06-17T00:00:00Z"/>
        <d v="2023-06-18T00:00:00Z"/>
        <d v="2023-06-19T00:00:00Z"/>
        <d v="2023-06-20T00:00:00Z"/>
        <d v="2023-06-21T00:00:00Z"/>
        <d v="2023-06-22T00:00:00Z"/>
        <d v="2023-06-23T00:00:00Z"/>
        <d v="2023-06-24T00:00:00Z"/>
        <d v="2023-06-25T00:00:00Z"/>
        <d v="2023-06-26T00:00:00Z"/>
        <d v="2023-06-29T00:00:00Z"/>
        <d v="2023-06-30T00:00:00Z"/>
        <d v="2023-07-01T00:00:00Z"/>
        <d v="2023-07-02T00:00:00Z"/>
        <d v="2023-07-03T00:00:00Z"/>
        <d v="2023-07-04T00:00:00Z"/>
        <d v="2023-07-05T00:00:00Z"/>
        <d v="2023-07-06T00:00:00Z"/>
        <d v="2023-07-08T00:00:00Z"/>
        <d v="2023-07-11T00:00:00Z"/>
        <d v="2023-07-13T00:00:00Z"/>
        <d v="2023-07-14T00:00:00Z"/>
        <d v="2023-07-15T00:00:00Z"/>
        <d v="2023-07-16T00:00:00Z"/>
        <d v="2023-07-17T00:00:00Z"/>
        <d v="2023-07-18T00:00:00Z"/>
        <d v="2023-07-25T00:00:00Z"/>
        <d v="2024-08-07T00:00:00Z"/>
        <d v="2023-07-26T00:00:00Z"/>
        <d v="2023-07-29T00:00:00Z"/>
        <d v="2023-07-30T00:00:00Z"/>
        <d v="2023-07-31T00:00:00Z"/>
        <d v="2023-08-01T00:00:00Z"/>
        <d v="2023-08-02T00:00:00Z"/>
        <d v="2024-08-16T00:00:00Z"/>
        <d v="2023-08-05T00:00:00Z"/>
        <d v="2023-08-06T00:00:00Z"/>
        <d v="2023-08-09T00:00:00Z"/>
        <d v="2023-08-10T00:00:00Z"/>
        <d v="2023-08-12T00:00:00Z"/>
        <d v="2023-08-13T00:00:00Z"/>
        <d v="2023-08-14T00:00:00Z"/>
        <d v="2023-08-15T00:00:00Z"/>
        <d v="2023-08-16T00:00:00Z"/>
        <d v="2023-08-20T00:00:00Z"/>
        <d v="2023-08-21T00:00:00Z"/>
        <d v="2023-08-22T00:00:00Z"/>
        <d v="2023-08-23T00:00:00Z"/>
        <d v="2023-08-25T00:00:00Z"/>
        <d v="2023-08-28T00:00:00Z"/>
        <d v="2023-08-29T00:00:00Z"/>
        <d v="2023-09-02T00:00:00Z"/>
        <d v="2023-09-03T00:00:00Z"/>
        <d v="2023-09-04T00:00:00Z"/>
        <d v="2023-09-05T00:00:00Z"/>
        <d v="2023-09-06T00:00:00Z"/>
        <d v="2023-09-09T00:00:00Z"/>
        <d v="2023-09-10T00:00:00Z"/>
        <d v="2023-09-12T00:00:00Z"/>
        <d v="2023-09-13T00:00:00Z"/>
        <d v="2023-09-14T00:00:00Z"/>
        <d v="2023-09-16T00:00:00Z"/>
        <d v="2023-09-17T00:00:00Z"/>
        <d v="2023-09-18T00:00:00Z"/>
        <d v="2023-09-19T00:00:00Z"/>
        <d v="2023-09-21T00:00:00Z"/>
        <d v="2023-09-24T00:00:00Z"/>
        <d v="2023-09-25T00:00:00Z"/>
        <d v="2023-09-26T00:00:00Z"/>
        <d v="2023-09-27T00:00:00Z"/>
        <d v="2023-09-28T00:00:00Z"/>
        <d v="2023-09-29T00:00:00Z"/>
        <d v="2023-09-30T00:00:00Z"/>
        <d v="2023-10-01T00:00:00Z"/>
        <d v="2023-10-02T00:00:00Z"/>
        <d v="2023-10-03T00:00:00Z"/>
        <d v="2023-10-05T00:00:00Z"/>
        <d v="2023-10-06T00:00:00Z"/>
        <d v="2023-10-07T00:00:00Z"/>
        <d v="2023-10-08T00:00:00Z"/>
        <d v="2023-10-09T00:00:00Z"/>
        <d v="2023-10-11T00:00:00Z"/>
        <d v="2023-10-12T00:00:00Z"/>
        <d v="2023-10-14T00:00:00Z"/>
        <d v="2023-10-15T00:00:00Z"/>
        <d v="2023-10-16T00:00:00Z"/>
        <d v="2023-10-17T00:00:00Z"/>
        <d v="2023-10-18T00:00:00Z"/>
        <d v="2023-10-19T00:00:00Z"/>
        <d v="2023-10-20T00:00:00Z"/>
        <d v="2023-10-21T00:00:00Z"/>
        <d v="2023-10-22T00:00:00Z"/>
        <d v="2023-10-23T00:00:00Z"/>
        <d v="2023-10-24T00:00:00Z"/>
        <d v="2023-10-26T00:00:00Z"/>
        <d v="2023-10-27T00:00:00Z"/>
        <d v="2023-10-28T00:00:00Z"/>
        <d v="2023-10-29T00:00:00Z"/>
        <d v="2023-10-30T00:00:00Z"/>
        <d v="2023-11-01T00:00:00Z"/>
        <d v="2023-11-04T00:00:00Z"/>
        <d v="2023-11-05T00:00:00Z"/>
        <d v="2023-11-06T00:00:00Z"/>
        <d v="2023-11-07T00:00:00Z"/>
        <d v="2023-11-08T00:00:00Z"/>
        <d v="2023-11-09T00:00:00Z"/>
        <d v="2023-11-10T00:00:00Z"/>
        <d v="2023-11-11T00:00:00Z"/>
        <d v="2023-11-12T00:00:00Z"/>
        <d v="2023-11-13T00:00:00Z"/>
        <d v="2023-11-14T00:00:00Z"/>
        <d v="2023-11-15T00:00:00Z"/>
        <d v="2023-11-16T00:00:00Z"/>
        <d v="2023-11-17T00:00:00Z"/>
        <d v="2023-11-18T00:00:00Z"/>
        <d v="2023-11-19T00:00:00Z"/>
        <d v="2023-11-20T00:00:00Z"/>
        <d v="2023-11-21T00:00:00Z"/>
        <d v="2023-11-22T00:00:00Z"/>
        <d v="2023-11-23T00:00:00Z"/>
        <d v="2023-11-24T00:00:00Z"/>
        <d v="2023-11-25T00:00:00Z"/>
        <d v="2023-11-26T00:00:00Z"/>
        <d v="2023-11-27T00:00:00Z"/>
        <d v="2023-11-28T00:00:00Z"/>
        <d v="2023-11-29T00:00:00Z"/>
        <d v="2023-11-30T00:00:00Z"/>
        <d v="2023-12-02T00:00:00Z"/>
        <d v="2023-12-03T00:00:00Z"/>
        <d v="2023-12-04T00:00:00Z"/>
        <d v="2023-12-05T00:00:00Z"/>
        <d v="2023-12-06T00:00:00Z"/>
        <d v="2023-12-07T00:00:00Z"/>
        <d v="2023-12-08T00:00:00Z"/>
        <d v="2023-12-09T00:00:00Z"/>
        <d v="2023-12-11T00:00:00Z"/>
        <d v="2023-12-12T00:00:00Z"/>
        <d v="2023-12-13T00:00:00Z"/>
        <d v="2023-12-16T00:00:00Z"/>
        <d v="2023-12-17T00:00:00Z"/>
        <d v="2023-12-18T00:00:00Z"/>
        <d v="2023-12-19T00:00:00Z"/>
        <d v="2023-12-20T00:00:00Z"/>
        <d v="2023-12-22T00:00:00Z"/>
        <d v="2023-12-24T00:00:00Z"/>
        <d v="2023-12-25T00:00:00Z"/>
        <d v="2023-12-26T00:00:00Z"/>
        <d v="2023-12-27T00:00:00Z"/>
        <d v="2023-12-28T00:00:00Z"/>
        <d v="2023-12-30T00:00:00Z"/>
        <d v="2024-01-02T00:00:00Z"/>
        <d v="2024-01-03T00:00:00Z"/>
        <d v="2024-01-05T00:00:00Z"/>
        <d v="2024-01-06T00:00:00Z"/>
        <d v="2024-01-08T00:00:00Z"/>
        <d v="2024-01-09T00:00:00Z"/>
        <d v="2024-01-10T00:00:00Z"/>
        <d v="2024-01-12T00:00:00Z"/>
        <d v="2024-01-13T00:00:00Z"/>
        <d v="2024-01-14T00:00:00Z"/>
        <d v="2024-01-15T00:00:00Z"/>
        <d v="2024-01-16T00:00:00Z"/>
        <d v="2024-01-17T00:00:00Z"/>
        <d v="2024-01-20T00:00:00Z"/>
        <d v="2024-01-21T00:00:00Z"/>
        <d v="2024-01-22T00:00:00Z"/>
        <d v="2024-01-23T00:00:00Z"/>
        <d v="2024-01-24T00:00:00Z"/>
        <d v="2024-01-27T00:00:00Z"/>
        <d v="2024-01-28T00:00:00Z"/>
        <d v="2024-01-29T00:00:00Z"/>
        <d v="2024-01-31T00:00:00Z"/>
        <d v="2024-02-01T00:00:00Z"/>
        <d v="2024-02-02T00:00:00Z"/>
        <d v="2024-02-03T00:00:00Z"/>
        <d v="2024-02-04T00:00:00Z"/>
        <d v="2024-02-05T00:00:00Z"/>
        <d v="2024-02-06T00:00:00Z"/>
        <d v="2024-02-07T00:00:00Z"/>
        <d v="2024-02-08T00:00:00Z"/>
        <d v="2024-02-09T00:00:00Z"/>
        <d v="2024-02-10T00:00:00Z"/>
        <d v="2024-02-11T00:00:00Z"/>
        <d v="2024-02-12T00:00:00Z"/>
        <d v="2024-02-13T00:00:00Z"/>
        <d v="2024-02-14T00:00:00Z"/>
        <d v="2024-02-15T00:00:00Z"/>
        <d v="2024-02-16T00:00:00Z"/>
        <d v="2024-02-17T00:00:00Z"/>
        <d v="2024-02-18T00:00:00Z"/>
        <d v="2024-02-19T00:00:00Z"/>
        <d v="2024-02-20T00:00:00Z"/>
        <d v="2024-02-21T00:00:00Z"/>
        <d v="2024-02-22T00:00:00Z"/>
        <d v="2024-02-23T00:00:00Z"/>
        <d v="2024-02-24T00:00:00Z"/>
        <d v="2024-02-25T00:00:00Z"/>
        <d v="2024-02-26T00:00:00Z"/>
        <d v="2024-02-27T00:00:00Z"/>
        <d v="2024-02-28T00:00:00Z"/>
        <d v="2024-02-29T00:00:00Z"/>
        <d v="2024-03-01T00:00:00Z"/>
        <d v="2024-03-02T00:00:00Z"/>
        <d v="2024-03-03T00:00:00Z"/>
        <d v="2024-03-04T00:00:00Z"/>
        <d v="2024-03-05T00:00:00Z"/>
        <d v="2024-03-06T00:00:00Z"/>
        <d v="2024-03-07T00:00:00Z"/>
        <d v="2024-03-08T00:00:00Z"/>
        <d v="2024-03-09T00:00:00Z"/>
        <d v="2024-03-10T00:00:00Z"/>
        <d v="2024-03-11T00:00:00Z"/>
        <d v="2024-03-12T00:00:00Z"/>
        <d v="2024-03-13T00:00:00Z"/>
        <d v="2024-03-15T00:00:00Z"/>
        <d v="2024-03-16T00:00:00Z"/>
        <d v="2024-03-17T00:00:00Z"/>
        <d v="2024-03-18T00:00:00Z"/>
        <d v="2024-03-19T00:00:00Z"/>
        <d v="2024-03-20T00:00:00Z"/>
        <d v="2024-03-21T00:00:00Z"/>
        <d v="2024-03-22T00:00:00Z"/>
        <d v="2024-03-23T00:00:00Z"/>
        <d v="2024-03-24T00:00:00Z"/>
        <d v="2024-03-25T00:00:00Z"/>
        <d v="2024-03-26T00:00:00Z"/>
        <d v="2024-03-27T00:00:00Z"/>
        <d v="2024-03-29T00:00:00Z"/>
        <d v="2024-03-30T00:00:00Z"/>
        <d v="2024-03-31T00:00:00Z"/>
        <d v="2024-04-01T00:00:00Z"/>
        <d v="2024-04-02T00:00:00Z"/>
        <d v="2024-04-03T00:00:00Z"/>
        <d v="2024-04-05T00:00:00Z"/>
        <d v="2024-04-06T00:00:00Z"/>
        <d v="2024-04-07T00:00:00Z"/>
        <d v="2024-04-08T00:00:00Z"/>
        <d v="2024-04-09T00:00:00Z"/>
        <d v="2024-04-10T00:00:00Z"/>
        <d v="2024-04-12T00:00:00Z"/>
        <d v="2024-04-13T00:00:00Z"/>
        <d v="2024-04-14T00:00:00Z"/>
        <d v="2024-04-15T00:00:00Z"/>
        <d v="2024-04-16T00:00:00Z"/>
        <d v="2024-04-17T00:00:00Z"/>
        <d v="2024-04-18T00:00:00Z"/>
        <d v="2024-04-20T00:00:00Z"/>
        <d v="2024-04-21T00:00:00Z"/>
        <d v="2024-04-22T00:00:00Z"/>
        <d v="2024-04-23T00:00:00Z"/>
        <d v="2024-04-24T00:00:00Z"/>
        <d v="2024-04-25T00:00:00Z"/>
        <d v="2024-04-26T00:00:00Z"/>
        <d v="2024-04-27T00:00:00Z"/>
        <d v="2024-04-28T00:00:00Z"/>
        <d v="2024-04-29T00:00:00Z"/>
        <d v="2024-04-30T00:00:00Z"/>
        <d v="2024-05-01T00:00:00Z"/>
        <d v="2024-05-02T00:00:00Z"/>
        <d v="2024-05-04T00:00:00Z"/>
        <d v="2024-05-05T00:00:00Z"/>
        <d v="2024-05-06T00:00:00Z"/>
        <d v="2024-05-07T00:00:00Z"/>
        <d v="2024-05-08T00:00:00Z"/>
        <d v="2024-05-09T00:00:00Z"/>
        <d v="2024-05-10T00:00:00Z"/>
        <d v="2024-05-11T00:00:00Z"/>
        <d v="2024-05-12T00:00:00Z"/>
        <d v="2024-05-14T00:00:00Z"/>
        <d v="2024-05-15T00:00:00Z"/>
        <d v="2024-05-16T00:00:00Z"/>
        <d v="2024-05-18T00:00:00Z"/>
        <d v="2024-05-19T00:00:00Z"/>
        <d v="2024-05-20T00:00:00Z"/>
        <d v="2024-05-21T00:00:00Z"/>
        <d v="2024-05-22T00:00:00Z"/>
        <d v="2024-05-23T00:00:00Z"/>
        <d v="2024-05-25T00:00:00Z"/>
        <d v="2024-05-26T00:00:00Z"/>
        <d v="2024-05-27T00:00:00Z"/>
        <d v="2024-05-28T00:00:00Z"/>
        <d v="2024-05-29T00:00:00Z"/>
        <d v="2024-05-31T00:00:00Z"/>
        <d v="2024-06-01T00:00:00Z"/>
        <d v="2024-06-02T00:00:00Z"/>
        <d v="2024-06-03T00:00:00Z"/>
        <d v="2024-06-04T00:00:00Z"/>
        <d v="2024-06-05T00:00:00Z"/>
        <d v="2024-06-06T00:00:00Z"/>
        <d v="2024-06-07T00:00:00Z"/>
        <d v="2024-06-08T00:00:00Z"/>
        <d v="2024-06-09T00:00:00Z"/>
        <d v="2024-06-10T00:00:00Z"/>
        <d v="2024-06-11T00:00:00Z"/>
        <d v="2024-06-12T00:00:00Z"/>
        <d v="2024-06-13T00:00:00Z"/>
        <d v="2024-06-14T00:00:00Z"/>
        <d v="2024-06-15T00:00:00Z"/>
        <d v="2024-06-16T00:00:00Z"/>
        <d v="2024-06-17T00:00:00Z"/>
        <d v="2024-06-18T00:00:00Z"/>
        <d v="2024-06-19T00:00:00Z"/>
        <d v="2024-06-20T00:00:00Z"/>
        <d v="2024-06-21T00:00:00Z"/>
        <d v="2024-06-22T00:00:00Z"/>
        <d v="2024-06-23T00:00:00Z"/>
        <d v="2024-06-24T00:00:00Z"/>
        <d v="2024-06-25T00:00:00Z"/>
        <d v="2024-06-26T00:00:00Z"/>
        <d v="2024-06-27T00:00:00Z"/>
        <d v="2024-06-28T00:00:00Z"/>
        <d v="2024-06-29T00:00:00Z"/>
        <d v="2024-06-30T00:00:00Z"/>
        <d v="2024-07-01T00:00:00Z"/>
        <d v="2024-07-02T00:00:00Z"/>
        <d v="2024-07-03T00:00:00Z"/>
        <d v="2024-07-04T00:00:00Z"/>
        <d v="2024-07-05T00:00:00Z"/>
        <d v="2024-07-06T00:00:00Z"/>
        <d v="2024-07-07T00:00:00Z"/>
        <d v="2024-07-08T00:00:00Z"/>
        <d v="2024-07-09T00:00:00Z"/>
        <d v="2024-07-10T00:00:00Z"/>
        <d v="2024-07-11T00:00:00Z"/>
        <d v="2024-07-12T00:00:00Z"/>
        <d v="2024-07-13T00:00:00Z"/>
        <d v="2024-07-14T00:00:00Z"/>
        <d v="2024-07-15T00:00:00Z"/>
        <d v="2024-07-16T00:00:00Z"/>
        <d v="2024-07-17T00:00:00Z"/>
        <d v="2024-07-18T00:00:00Z"/>
        <d v="2024-07-19T00:00:00Z"/>
        <d v="2024-07-20T00:00:00Z"/>
        <d v="2024-07-21T00:00:00Z"/>
        <d v="2024-07-22T00:00:00Z"/>
        <d v="2024-07-23T00:00:00Z"/>
        <d v="2024-07-24T00:00:00Z"/>
        <d v="2024-07-26T00:00:00Z"/>
        <d v="2024-07-27T00:00:00Z"/>
        <d v="2024-07-29T00:00:00Z"/>
        <d v="2024-07-30T00:00:00Z"/>
        <d v="2024-07-31T00:00:00Z"/>
        <d v="2024-08-01T00:00:00Z"/>
        <d v="2024-08-02T00:00:00Z"/>
        <d v="2024-08-03T00:00:00Z"/>
        <d v="2024-08-04T00:00:00Z"/>
        <d v="2024-08-05T00:00:00Z"/>
        <d v="2024-08-06T00:00:00Z"/>
        <d v="2024-08-08T00:00:00Z"/>
        <d v="2024-08-09T00:00:00Z"/>
        <d v="2024-08-10T00:00:00Z"/>
        <d v="2024-08-11T00:00:00Z"/>
        <d v="2024-08-12T00:00:00Z"/>
        <d v="2024-08-13T00:00:00Z"/>
        <d v="2024-08-14T00:00:00Z"/>
        <d v="2024-08-15T00:00:00Z"/>
        <d v="2024-08-17T00:00:00Z"/>
        <d v="2024-08-18T00:00:00Z"/>
        <d v="2024-08-19T00:00:00Z"/>
        <d v="2024-08-20T00:00:00Z"/>
        <d v="2024-08-21T00:00:00Z"/>
        <d v="2024-08-22T00:00:00Z"/>
        <d v="2024-08-24T00:00:00Z"/>
        <d v="2024-08-25T00:00:00Z"/>
        <d v="2024-08-26T00:00:00Z"/>
        <d v="2024-08-27T00:00:00Z"/>
        <d v="2024-08-31T00:00:00Z"/>
        <d v="2024-09-02T00:00:00Z"/>
        <d v="2024-09-04T00:00:00Z"/>
        <d v="2024-09-07T00:00:00Z"/>
        <d v="2024-09-09T00:00:00Z"/>
        <d v="2024-09-10T00:00:00Z"/>
        <d v="2024-09-11T00:00:00Z"/>
        <d v="2024-09-14T00:00:00Z"/>
        <d v="2024-09-15T00:00:00Z"/>
        <d v="2024-09-16T00:00:00Z"/>
        <d v="2024-09-17T00:00:00Z"/>
        <d v="2024-09-18T00:00:00Z"/>
        <d v="2024-09-19T00:00:00Z"/>
        <d v="2024-09-21T00:00:00Z"/>
        <d v="2024-09-22T00:00:00Z"/>
        <d v="2024-09-23T00:00:00Z"/>
        <d v="2024-09-24T00:00:00Z"/>
        <d v="2024-09-25T00:00:00Z"/>
      </sharedItems>
    </cacheField>
    <cacheField name="Last Update" numFmtId="172">
      <sharedItems containsSemiMixedTypes="0" containsDate="1" containsString="0">
        <d v="2023-06-27T00:00:00Z"/>
        <d v="2024-09-30T00:00:00Z"/>
        <d v="2023-07-11T00:00:00Z"/>
        <d v="2023-06-20T00:00:00Z"/>
        <d v="2023-07-08T00:00:00Z"/>
        <d v="2023-07-10T00:00:00Z"/>
        <d v="2023-07-13T00:00:00Z"/>
        <d v="2023-06-30T00:00:00Z"/>
        <d v="2023-07-15T00:00:00Z"/>
        <d v="2023-07-16T00:00:00Z"/>
        <d v="2023-07-18T00:00:00Z"/>
        <d v="2023-07-17T00:00:00Z"/>
        <d v="2023-06-26T00:00:00Z"/>
        <d v="2023-07-19T00:00:00Z"/>
        <d v="2023-07-22T00:00:00Z"/>
        <d v="2023-07-20T00:00:00Z"/>
        <d v="2023-06-28T00:00:00Z"/>
        <d v="2023-06-29T00:00:00Z"/>
        <d v="2023-07-07T00:00:00Z"/>
        <d v="2023-07-23T00:00:00Z"/>
        <d v="2023-07-24T00:00:00Z"/>
        <d v="2023-07-01T00:00:00Z"/>
        <d v="2023-07-02T00:00:00Z"/>
        <d v="2023-07-03T00:00:00Z"/>
        <d v="2023-07-27T00:00:00Z"/>
        <d v="2023-07-05T00:00:00Z"/>
        <d v="2023-07-06T00:00:00Z"/>
        <d v="2023-07-25T00:00:00Z"/>
        <d v="2023-08-02T00:00:00Z"/>
        <d v="2023-08-06T00:00:00Z"/>
        <d v="2023-08-10T00:00:00Z"/>
        <d v="2023-08-07T00:00:00Z"/>
        <d v="2023-08-12T00:00:00Z"/>
        <d v="2023-08-11T00:00:00Z"/>
        <d v="2023-07-21T00:00:00Z"/>
        <d v="2023-08-09T00:00:00Z"/>
        <d v="2023-08-23T00:00:00Z"/>
        <d v="2024-09-04T00:00:00Z"/>
        <d v="2023-08-21T00:00:00Z"/>
        <d v="2023-08-13T00:00:00Z"/>
        <d v="2023-08-25T00:00:00Z"/>
        <d v="2023-08-05T00:00:00Z"/>
        <d v="2023-08-28T00:00:00Z"/>
        <d v="2023-08-31T00:00:00Z"/>
        <d v="2023-08-26T00:00:00Z"/>
        <d v="2023-08-30T00:00:00Z"/>
        <d v="2023-09-03T00:00:00Z"/>
        <d v="2023-09-04T00:00:00Z"/>
        <d v="2023-08-27T00:00:00Z"/>
        <d v="2023-09-06T00:00:00Z"/>
        <d v="2023-09-08T00:00:00Z"/>
        <d v="2023-08-18T00:00:00Z"/>
        <d v="2023-09-10T00:00:00Z"/>
        <d v="2023-09-11T00:00:00Z"/>
        <d v="2023-08-17T00:00:00Z"/>
        <d v="2023-08-19T00:00:00Z"/>
        <d v="2023-09-07T00:00:00Z"/>
        <d v="2023-09-13T00:00:00Z"/>
        <d v="2023-09-17T00:00:00Z"/>
        <d v="2023-08-24T00:00:00Z"/>
        <d v="2023-09-14T00:00:00Z"/>
        <d v="2023-09-18T00:00:00Z"/>
        <d v="2023-09-20T00:00:00Z"/>
        <d v="2023-09-21T00:00:00Z"/>
        <d v="2023-09-15T00:00:00Z"/>
        <d v="2023-09-19T00:00:00Z"/>
        <d v="2023-09-27T00:00:00Z"/>
        <d v="2023-10-10T00:00:00Z"/>
        <d v="2023-09-29T00:00:00Z"/>
        <d v="2023-10-03T00:00:00Z"/>
        <d v="2023-09-12T00:00:00Z"/>
        <d v="2023-09-30T00:00:00Z"/>
        <d v="2023-10-07T00:00:00Z"/>
        <d v="2023-10-09T00:00:00Z"/>
        <d v="2023-09-26T00:00:00Z"/>
        <d v="2023-10-11T00:00:00Z"/>
        <d v="2023-09-16T00:00:00Z"/>
        <d v="2023-10-08T00:00:00Z"/>
        <d v="2023-10-14T00:00:00Z"/>
        <d v="2023-10-04T00:00:00Z"/>
        <d v="2023-10-16T00:00:00Z"/>
        <d v="2023-10-06T00:00:00Z"/>
        <d v="2023-10-12T00:00:00Z"/>
        <d v="2023-10-21T00:00:00Z"/>
        <d v="2023-10-15T00:00:00Z"/>
        <d v="2023-10-25T00:00:00Z"/>
        <d v="2023-10-20T00:00:00Z"/>
        <d v="2023-10-19T00:00:00Z"/>
        <d v="2023-10-05T00:00:00Z"/>
        <d v="2023-10-13T00:00:00Z"/>
        <d v="2023-10-02T00:00:00Z"/>
        <d v="2023-10-23T00:00:00Z"/>
        <d v="2023-11-04T00:00:00Z"/>
        <d v="2023-10-29T00:00:00Z"/>
        <d v="2023-10-18T00:00:00Z"/>
        <d v="2023-10-31T00:00:00Z"/>
        <d v="2023-10-22T00:00:00Z"/>
        <d v="2023-10-17T00:00:00Z"/>
        <d v="2023-10-30T00:00:00Z"/>
        <d v="2023-10-26T00:00:00Z"/>
        <d v="2023-11-03T00:00:00Z"/>
        <d v="2023-11-06T00:00:00Z"/>
        <d v="2023-10-27T00:00:00Z"/>
        <d v="2023-11-07T00:00:00Z"/>
        <d v="2023-10-28T00:00:00Z"/>
        <d v="2023-11-08T00:00:00Z"/>
        <d v="2023-11-05T00:00:00Z"/>
        <d v="2023-11-14T00:00:00Z"/>
        <d v="2023-11-01T00:00:00Z"/>
        <d v="2023-11-02T00:00:00Z"/>
        <d v="2023-11-20T00:00:00Z"/>
        <d v="2023-11-12T00:00:00Z"/>
        <d v="2023-11-10T00:00:00Z"/>
        <d v="2023-11-21T00:00:00Z"/>
        <d v="2023-11-11T00:00:00Z"/>
        <d v="2023-11-25T00:00:00Z"/>
        <d v="2023-11-13T00:00:00Z"/>
        <d v="2023-11-26T00:00:00Z"/>
        <d v="2023-12-02T00:00:00Z"/>
        <d v="2023-11-27T00:00:00Z"/>
        <d v="2023-11-15T00:00:00Z"/>
        <d v="2023-11-19T00:00:00Z"/>
        <d v="2023-12-04T00:00:00Z"/>
        <d v="2023-11-30T00:00:00Z"/>
        <d v="2023-12-06T00:00:00Z"/>
        <d v="2023-12-07T00:00:00Z"/>
        <d v="2023-12-08T00:00:00Z"/>
        <d v="2023-11-16T00:00:00Z"/>
        <d v="2023-12-09T00:00:00Z"/>
        <d v="2023-11-28T00:00:00Z"/>
        <d v="2023-12-01T00:00:00Z"/>
        <d v="2023-12-12T00:00:00Z"/>
        <d v="2023-11-22T00:00:00Z"/>
        <d v="2023-11-29T00:00:00Z"/>
        <d v="2023-12-14T00:00:00Z"/>
        <d v="2023-12-15T00:00:00Z"/>
        <d v="2023-12-16T00:00:00Z"/>
        <d v="2023-12-17T00:00:00Z"/>
        <d v="2023-12-19T00:00:00Z"/>
        <d v="2023-12-18T00:00:00Z"/>
        <d v="2023-12-13T00:00:00Z"/>
        <d v="2023-12-05T00:00:00Z"/>
        <d v="2023-12-10T00:00:00Z"/>
        <d v="2023-12-20T00:00:00Z"/>
        <d v="2023-12-03T00:00:00Z"/>
        <d v="2023-12-25T00:00:00Z"/>
        <d v="2023-12-11T00:00:00Z"/>
        <d v="2023-12-26T00:00:00Z"/>
        <d v="2023-12-31T00:00:00Z"/>
        <d v="2023-12-22T00:00:00Z"/>
        <d v="2023-12-28T00:00:00Z"/>
        <d v="2024-01-01T00:00:00Z"/>
        <d v="2023-12-24T00:00:00Z"/>
        <d v="2024-01-02T00:00:00Z"/>
        <d v="2024-01-03T00:00:00Z"/>
        <d v="2023-12-27T00:00:00Z"/>
        <d v="2023-12-21T00:00:00Z"/>
        <d v="2024-01-05T00:00:00Z"/>
        <d v="2024-01-08T00:00:00Z"/>
        <d v="2024-01-06T00:00:00Z"/>
        <d v="2024-01-10T00:00:00Z"/>
        <d v="2024-01-12T00:00:00Z"/>
        <d v="2024-01-07T00:00:00Z"/>
        <d v="2024-01-19T00:00:00Z"/>
        <d v="2024-01-09T00:00:00Z"/>
        <d v="2024-01-18T00:00:00Z"/>
        <d v="2024-01-30T00:00:00Z"/>
        <d v="2024-01-22T00:00:00Z"/>
        <d v="2024-01-15T00:00:00Z"/>
        <d v="2024-01-13T00:00:00Z"/>
        <d v="2024-01-24T00:00:00Z"/>
        <d v="2024-01-25T00:00:00Z"/>
        <d v="2024-01-29T00:00:00Z"/>
        <d v="2024-01-16T00:00:00Z"/>
        <d v="2024-01-20T00:00:00Z"/>
        <d v="2024-02-03T00:00:00Z"/>
        <d v="2024-01-31T00:00:00Z"/>
        <d v="2024-01-28T00:00:00Z"/>
        <d v="2024-02-05T00:00:00Z"/>
        <d v="2024-01-26T00:00:00Z"/>
        <d v="2024-02-08T00:00:00Z"/>
        <d v="2024-02-12T00:00:00Z"/>
        <d v="2024-01-21T00:00:00Z"/>
        <d v="2024-01-17T00:00:00Z"/>
        <d v="2024-02-06T00:00:00Z"/>
        <d v="2024-02-13T00:00:00Z"/>
        <d v="2024-02-09T00:00:00Z"/>
        <d v="2024-02-14T00:00:00Z"/>
        <d v="2024-02-07T00:00:00Z"/>
        <d v="2024-02-19T00:00:00Z"/>
        <d v="2024-02-18T00:00:00Z"/>
        <d v="2024-02-02T00:00:00Z"/>
        <d v="2024-02-21T00:00:00Z"/>
        <d v="2024-02-11T00:00:00Z"/>
        <d v="2024-02-26T00:00:00Z"/>
        <d v="2024-03-01T00:00:00Z"/>
        <d v="2024-02-29T00:00:00Z"/>
        <d v="2024-04-27T00:00:00Z"/>
        <d v="2024-02-27T00:00:00Z"/>
        <d v="2024-02-17T00:00:00Z"/>
        <d v="2024-02-23T00:00:00Z"/>
        <d v="2024-02-24T00:00:00Z"/>
        <d v="2024-02-25T00:00:00Z"/>
        <d v="2024-03-04T00:00:00Z"/>
        <d v="2024-03-07T00:00:00Z"/>
        <d v="2024-02-10T00:00:00Z"/>
        <d v="2024-03-03T00:00:00Z"/>
        <d v="2024-03-06T00:00:00Z"/>
        <d v="2024-03-29T00:00:00Z"/>
        <d v="2024-02-15T00:00:00Z"/>
        <d v="2024-03-08T00:00:00Z"/>
        <d v="2024-03-11T00:00:00Z"/>
        <d v="2024-03-13T00:00:00Z"/>
        <d v="2024-02-20T00:00:00Z"/>
        <d v="2024-02-16T00:00:00Z"/>
        <d v="2024-03-09T00:00:00Z"/>
        <d v="2024-03-16T00:00:00Z"/>
        <d v="2024-03-12T00:00:00Z"/>
        <d v="2024-03-05T00:00:00Z"/>
        <d v="2024-03-14T00:00:00Z"/>
        <d v="2024-03-18T00:00:00Z"/>
        <d v="2024-03-26T00:00:00Z"/>
        <d v="2024-03-19T00:00:00Z"/>
        <d v="2024-03-31T00:00:00Z"/>
        <d v="2024-02-22T00:00:00Z"/>
        <d v="2024-03-21T00:00:00Z"/>
        <d v="2024-03-22T00:00:00Z"/>
        <d v="2024-03-30T00:00:00Z"/>
        <d v="2024-03-23T00:00:00Z"/>
        <d v="2024-03-25T00:00:00Z"/>
        <d v="2024-03-17T00:00:00Z"/>
        <d v="2024-03-20T00:00:00Z"/>
        <d v="2024-03-27T00:00:00Z"/>
        <d v="2024-04-01T00:00:00Z"/>
        <d v="2024-03-24T00:00:00Z"/>
        <d v="2024-04-07T00:00:00Z"/>
        <d v="2024-04-03T00:00:00Z"/>
        <d v="2024-04-13T00:00:00Z"/>
        <d v="2024-04-06T00:00:00Z"/>
        <d v="2024-04-02T00:00:00Z"/>
        <d v="2024-04-10T00:00:00Z"/>
        <d v="2024-03-15T00:00:00Z"/>
        <d v="2024-04-11T00:00:00Z"/>
        <d v="2024-04-14T00:00:00Z"/>
        <d v="2024-04-17T00:00:00Z"/>
        <d v="2024-04-15T00:00:00Z"/>
        <d v="2024-04-08T00:00:00Z"/>
        <d v="2024-04-05T00:00:00Z"/>
        <d v="2024-04-16T00:00:00Z"/>
        <d v="2024-04-18T00:00:00Z"/>
        <d v="2024-04-19T00:00:00Z"/>
        <d v="2024-04-25T00:00:00Z"/>
        <d v="2024-04-04T00:00:00Z"/>
        <d v="2024-03-28T00:00:00Z"/>
        <d v="2024-04-21T00:00:00Z"/>
        <d v="2024-04-22T00:00:00Z"/>
        <d v="2024-04-20T00:00:00Z"/>
        <d v="2024-04-09T00:00:00Z"/>
        <d v="2024-04-23T00:00:00Z"/>
        <d v="2024-04-24T00:00:00Z"/>
        <d v="2024-04-26T00:00:00Z"/>
        <d v="2024-05-06T00:00:00Z"/>
        <d v="2024-05-08T00:00:00Z"/>
        <d v="2024-04-30T00:00:00Z"/>
        <d v="2024-05-04T00:00:00Z"/>
        <d v="2024-05-03T00:00:00Z"/>
        <d v="2024-05-01T00:00:00Z"/>
        <d v="2024-04-12T00:00:00Z"/>
        <d v="2024-04-29T00:00:00Z"/>
        <d v="2024-05-05T00:00:00Z"/>
        <d v="2024-05-11T00:00:00Z"/>
        <d v="2024-05-07T00:00:00Z"/>
        <d v="2024-05-13T00:00:00Z"/>
        <d v="2024-05-16T00:00:00Z"/>
        <d v="2024-05-10T00:00:00Z"/>
        <d v="2024-05-26T00:00:00Z"/>
        <d v="2024-05-15T00:00:00Z"/>
        <d v="2024-05-14T00:00:00Z"/>
        <d v="2024-05-20T00:00:00Z"/>
        <d v="2024-05-02T00:00:00Z"/>
        <d v="2024-05-12T00:00:00Z"/>
        <d v="2024-05-18T00:00:00Z"/>
        <d v="2024-05-17T00:00:00Z"/>
        <d v="2024-05-19T00:00:00Z"/>
        <d v="2024-05-24T00:00:00Z"/>
        <d v="2024-05-22T00:00:00Z"/>
        <d v="2024-05-23T00:00:00Z"/>
        <d v="2024-06-06T00:00:00Z"/>
        <d v="2024-05-25T00:00:00Z"/>
        <d v="2024-06-03T00:00:00Z"/>
        <d v="2024-05-31T00:00:00Z"/>
        <d v="2024-06-01T00:00:00Z"/>
        <d v="2024-05-27T00:00:00Z"/>
        <d v="2024-06-02T00:00:00Z"/>
        <d v="2024-05-28T00:00:00Z"/>
        <d v="2024-06-04T00:00:00Z"/>
        <d v="2024-06-05T00:00:00Z"/>
        <d v="2024-06-18T00:00:00Z"/>
        <d v="2024-06-13T00:00:00Z"/>
        <d v="2024-06-07T00:00:00Z"/>
        <d v="2024-06-15T00:00:00Z"/>
        <d v="2024-06-09T00:00:00Z"/>
        <d v="2024-06-08T00:00:00Z"/>
        <d v="2024-06-10T00:00:00Z"/>
        <d v="2024-06-17T00:00:00Z"/>
        <d v="2024-06-11T00:00:00Z"/>
        <d v="2024-05-21T00:00:00Z"/>
        <d v="2024-06-16T00:00:00Z"/>
        <d v="2024-05-29T00:00:00Z"/>
        <d v="2024-06-14T00:00:00Z"/>
        <d v="2024-06-19T00:00:00Z"/>
        <d v="2024-06-21T00:00:00Z"/>
        <d v="2024-06-20T00:00:00Z"/>
        <d v="2024-05-30T00:00:00Z"/>
        <d v="2024-06-22T00:00:00Z"/>
        <d v="2024-06-12T00:00:00Z"/>
        <d v="2024-06-24T00:00:00Z"/>
        <d v="2024-06-25T00:00:00Z"/>
        <d v="2024-06-28T00:00:00Z"/>
        <d v="2024-06-29T00:00:00Z"/>
        <d v="2024-06-30T00:00:00Z"/>
        <d v="2024-06-27T00:00:00Z"/>
        <d v="2024-07-01T00:00:00Z"/>
        <d v="2024-07-02T00:00:00Z"/>
        <d v="2024-07-05T00:00:00Z"/>
        <d v="2024-07-04T00:00:00Z"/>
        <d v="2024-07-03T00:00:00Z"/>
        <d v="2024-07-06T00:00:00Z"/>
        <d v="2024-07-07T00:00:00Z"/>
        <d v="2024-07-15T00:00:00Z"/>
        <d v="2024-06-26T00:00:00Z"/>
        <d v="2024-07-30T00:00:00Z"/>
        <d v="2024-07-17T00:00:00Z"/>
        <d v="2024-07-09T00:00:00Z"/>
        <d v="2024-07-11T00:00:00Z"/>
        <d v="2024-07-14T00:00:00Z"/>
        <d v="2024-07-13T00:00:00Z"/>
        <d v="2024-07-28T00:00:00Z"/>
        <d v="2024-07-12T00:00:00Z"/>
        <d v="2024-07-26T00:00:00Z"/>
        <d v="2024-07-16T00:00:00Z"/>
        <d v="2024-07-18T00:00:00Z"/>
        <d v="2024-07-08T00:00:00Z"/>
        <d v="2024-07-19T00:00:00Z"/>
        <d v="2024-07-21T00:00:00Z"/>
        <d v="2024-07-22T00:00:00Z"/>
        <d v="2024-07-23T00:00:00Z"/>
        <d v="2024-08-06T00:00:00Z"/>
        <d v="2024-07-25T00:00:00Z"/>
        <d v="2024-07-24T00:00:00Z"/>
        <d v="2024-08-01T00:00:00Z"/>
        <d v="2024-07-29T00:00:00Z"/>
        <d v="2024-08-04T00:00:00Z"/>
        <d v="2024-08-26T00:00:00Z"/>
        <d v="2024-07-31T00:00:00Z"/>
        <d v="2024-08-03T00:00:00Z"/>
        <d v="2024-08-05T00:00:00Z"/>
        <d v="2024-08-09T00:00:00Z"/>
        <d v="2024-08-07T00:00:00Z"/>
        <d v="2024-08-08T00:00:00Z"/>
        <d v="2024-08-10T00:00:00Z"/>
        <d v="2024-08-12T00:00:00Z"/>
        <d v="2024-07-27T00:00:00Z"/>
        <d v="2024-08-23T00:00:00Z"/>
        <d v="2024-08-11T00:00:00Z"/>
        <d v="2024-08-14T00:00:00Z"/>
        <d v="2024-08-15T00:00:00Z"/>
        <d v="2024-08-16T00:00:00Z"/>
        <d v="2024-08-02T00:00:00Z"/>
        <d v="2024-08-17T00:00:00Z"/>
        <d v="2024-08-18T00:00:00Z"/>
        <d v="2024-08-25T00:00:00Z"/>
        <d v="2024-08-28T00:00:00Z"/>
        <d v="2024-08-20T00:00:00Z"/>
        <d v="2024-08-19T00:00:00Z"/>
        <d v="2024-08-24T00:00:00Z"/>
        <d v="2024-08-13T00:00:00Z"/>
        <d v="2024-08-27T00:00:00Z"/>
        <d v="2024-08-29T00:00:00Z"/>
        <d v="2024-09-01T00:00:00Z"/>
        <d v="2024-09-03T00:00:00Z"/>
        <d v="2024-08-31T00:00:00Z"/>
        <d v="2024-09-02T00:00:00Z"/>
        <d v="2024-08-30T00:00:00Z"/>
        <d v="2024-08-21T00:00:00Z"/>
        <d v="2024-08-22T00:00:00Z"/>
        <d v="2024-09-08T00:00:00Z"/>
        <d v="2024-09-16T00:00:00Z"/>
        <d v="2024-09-19T00:00:00Z"/>
        <d v="2024-09-17T00:00:00Z"/>
        <d v="2024-09-20T00:00:00Z"/>
        <d v="2024-09-21T00:00:00Z"/>
        <d v="2024-09-22T00:00:00Z"/>
        <d v="2024-09-25T00:00:00Z"/>
        <d v="2024-09-23T00:00:00Z"/>
        <d v="2024-09-26T00:00:00Z"/>
        <d v="2024-09-29T00:00:00Z"/>
        <d v="2024-09-27T00:00:00Z"/>
        <d v="2024-09-11T00:00:00Z"/>
        <d v="2024-09-14T00:00:00Z"/>
        <d v="2024-09-15T00:00:00Z"/>
        <d v="2024-09-18T00:00:00Z"/>
        <d v="2024-09-28T00:00:00Z"/>
        <d v="2024-09-24T00:00:00Z"/>
      </sharedItems>
    </cacheField>
    <cacheField name="USD Last Update" numFmtId="164">
      <sharedItems containsSemiMixedTypes="0" containsString="0" containsNumber="1">
        <n v="0.0"/>
        <n v="440855.4411485431"/>
        <n v="11884.277657790184"/>
        <n v="35190.945004463196"/>
        <n v="91728.73687791824"/>
        <n v="320389.9754962921"/>
        <n v="1190097.118573392"/>
        <n v="411315.29848337173"/>
        <n v="31886.36612892151"/>
        <n v="654452.6672995662"/>
        <n v="175887.6853504847"/>
        <n v="21382.809224596025"/>
        <n v="240230.7023905106"/>
        <n v="201576.39384412766"/>
        <n v="138628.32171288013"/>
        <n v="264550.00537872314"/>
        <n v="354671.3139538765"/>
        <n v="45448.1049656868"/>
        <n v="17966.891866207123"/>
        <n v="216844.1944232826"/>
        <n v="963017.1459159851"/>
        <n v="425460.34812927246"/>
        <n v="140171.34282302856"/>
        <n v="1868.7286227226257"/>
        <n v="2493.1304454803467"/>
        <n v="209979.77878189087"/>
        <n v="804959.9990386963"/>
        <n v="64399.2428889656"/>
        <n v="529103.0425643921"/>
        <n v="100430.40020751953"/>
        <n v="79593.99656677246"/>
        <n v="376681.58445739746"/>
        <n v="4988.37175886631"/>
        <n v="660.2297973632812"/>
        <n v="22146.16540596008"/>
        <n v="377451.9663787822"/>
        <n v="182613.5992958975"/>
        <n v="189138.3763370514"/>
        <n v="24864.872765654563"/>
        <n v="41457.7880525589"/>
        <n v="534.7219944000244"/>
        <n v="5209.113121032715"/>
        <n v="1256.5122842788696"/>
        <n v="20515.915464401245"/>
        <n v="205.0587272644043"/>
        <n v="1188.584077835083"/>
        <n v="1337.4944925308228"/>
        <n v="552162.5462468147"/>
        <n v="139528.33678993178"/>
        <n v="514918.88523101807"/>
        <n v="482013.4768486023"/>
        <n v="88551.34182929993"/>
        <n v="61319.03359937668"/>
        <n v="519.7083950042725"/>
        <n v="56754.76063568592"/>
        <n v="5392.269264221191"/>
        <n v="75487.63888597488"/>
        <n v="144114.63950157166"/>
        <n v="107.95333862304688"/>
        <n v="62711.168772160054"/>
        <n v="295206.97983994486"/>
        <n v="5164.606246948242"/>
        <n v="151613.16738383067"/>
        <n v="64274.171760628225"/>
        <n v="33663.91652393341"/>
        <n v="282610.15407562256"/>
        <n v="152132.23749160767"/>
        <n v="1.7118068050563812E7"/>
        <n v="168976.15137195587"/>
        <n v="396.84497833251953"/>
        <n v="248.0281114578247"/>
        <n v="28545.543954849243"/>
        <n v="65529.43958248854"/>
        <n v="66620.98069190979"/>
        <n v="78382.6070806675"/>
        <n v="33646.34667538156"/>
        <n v="1121.9181418418884"/>
        <n v="187515.58480478288"/>
        <n v="424889.60845947266"/>
        <n v="257217.41010070036"/>
        <n v="10421.578921318054"/>
        <n v="199041.0256758802"/>
        <n v="44092.83866882324"/>
        <n v="337553.6029815674"/>
        <n v="361.59793853759766"/>
        <n v="167864.8402448416"/>
        <n v="778.7728910417557"/>
        <n v="961.7147463393211"/>
        <n v="2216.8214321136475"/>
        <n v="1596.9981596946716"/>
        <n v="68357.06049442291"/>
        <n v="108027.04679489136"/>
        <n v="17382.753705978394"/>
        <n v="114095.51201915741"/>
        <n v="170720.25636672974"/>
        <n v="84619.78737840356"/>
        <n v="1347.7179050445557"/>
        <n v="163412.5325917449"/>
        <n v="540550.4567193985"/>
        <n v="80320.12238917351"/>
        <n v="8.063699015604944E8"/>
        <n v="806366.1797876358"/>
        <n v="247959.49429035187"/>
        <n v="285650.86326408386"/>
        <n v="219775.71102316998"/>
        <n v="4043.890857696533"/>
        <n v="233197.6668100357"/>
        <n v="49553.997246555424"/>
        <n v="311756.41708374023"/>
        <n v="179972.68836021423"/>
        <n v="405.8725833892822"/>
        <n v="1035.489797592163"/>
        <n v="237339.79270119668"/>
        <n v="967831.6252560616"/>
        <n v="128606.73090932821"/>
        <n v="25153.181664819716"/>
        <n v="3496.8125549030306"/>
        <n v="55448.94446227455"/>
        <n v="82321.27532958984"/>
        <n v="183548.03500652313"/>
        <n v="23163.536529352667"/>
        <n v="903379.6771345139"/>
        <n v="130143.1534576416"/>
        <n v="60947.0469686985"/>
        <n v="745528.9821412325"/>
        <n v="91183.36183691025"/>
        <n v="81.48493766784668"/>
        <n v="141231.90055847168"/>
        <n v="25551.40493221283"/>
        <n v="19094.579084396362"/>
        <n v="60.84670543670654"/>
        <n v="18774.889707565308"/>
        <n v="60.70974111557007"/>
        <n v="288975.4856014252"/>
        <n v="504.91859372735024"/>
        <n v="52909.59660290241"/>
        <n v="324.51576232910156"/>
        <n v="166659.53242063522"/>
        <n v="158221.27057170868"/>
        <n v="1069418.0067055263"/>
        <n v="78255.69694519043"/>
        <n v="50720.82905292511"/>
        <n v="20306.99817252159"/>
        <n v="204157.68256092072"/>
        <n v="3646.7741203308105"/>
        <n v="378466.9846916199"/>
        <n v="8500.88589811325"/>
        <n v="57204.50577785969"/>
        <n v="171533.83743667603"/>
        <n v="48085.680753707886"/>
        <n v="930.2995204925537"/>
        <n v="20590.681063842774"/>
        <n v="2165483.5875606537"/>
        <n v="18371.574969291687"/>
        <n v="3721.2750911712646"/>
        <n v="4188.214194774628"/>
        <n v="3442.17945933342"/>
        <n v="792.9431915283203"/>
        <n v="3043.7909603118896"/>
        <n v="130575.70901672317"/>
        <n v="935330.6803665161"/>
        <n v="138130.9799194336"/>
        <n v="50535.850524902344"/>
        <n v="3106388.0979447365"/>
        <n v="1.1480887444565535E8"/>
        <n v="135908.1592054367"/>
        <n v="203577.8356552124"/>
        <n v="226079.1541337967"/>
        <n v="635.4608774185181"/>
        <n v="117356.78630256653"/>
        <n v="9157.239246368408"/>
        <n v="105414.0174993301"/>
        <n v="284868.0763871622"/>
        <n v="1758.5296641254424"/>
        <n v="10389.19851257801"/>
        <n v="80852.26232767105"/>
        <n v="5703.471712589264"/>
        <n v="27182.742474079132"/>
        <n v="18391.639382839203"/>
        <n v="132358.3769440651"/>
        <n v="89601.52673721313"/>
        <n v="8699.747411727905"/>
        <n v="8349.085807800293"/>
        <n v="1641.8591737747192"/>
        <n v="314906.35774847027"/>
        <n v="731101.0220732689"/>
        <n v="38795.41872024536"/>
        <n v="2767.705464363098"/>
        <n v="32341.10360956192"/>
        <n v="726130.7726783752"/>
        <n v="5291220.188140869"/>
        <n v="161959.54506988524"/>
        <n v="513103.2653764343"/>
        <n v="47427.073669433594"/>
        <n v="89754.67777347565"/>
        <n v="23045.113191604614"/>
        <n v="16227.429418087006"/>
        <n v="56214.271577871325"/>
        <n v="110455.63011169434"/>
        <n v="541250.259411335"/>
        <n v="2621.1016178131104"/>
        <n v="130423.0824637413"/>
        <n v="1306.6195678710938"/>
        <n v="31943.193459033966"/>
        <n v="118272.8529725647"/>
        <n v="35577.21670865535"/>
        <n v="35618.89410018921"/>
        <n v="1625.1878471088407"/>
        <n v="5242.203235626221"/>
        <n v="122929.61944913864"/>
        <n v="43726.35269165039"/>
        <n v="4792.046475591659"/>
        <n v="28131.635189056396"/>
        <n v="11645.587386131287"/>
        <n v="5133632.7714829445"/>
        <n v="639.6103477478027"/>
        <n v="3369.573913660049"/>
        <n v="23144.556258544922"/>
        <n v="28403.631734848022"/>
        <n v="14489.015617222785"/>
        <n v="21733.55780447483"/>
        <n v="9345.329209804535"/>
        <n v="11193.685396194458"/>
        <n v="3346.193638086319"/>
        <n v="173463.07664935113"/>
        <n v="68091.73227890015"/>
        <n v="65012.438703083986"/>
        <n v="30044.30494112492"/>
        <n v="67587.137196064"/>
        <n v="20067.617797851562"/>
        <n v="66382.00737380981"/>
        <n v="49854.62370366096"/>
        <n v="1.2086651802062988E-9"/>
        <n v="39270.812900066376"/>
        <n v="50988.47222137451"/>
        <n v="27597.103930950165"/>
        <n v="4.492052628974915E-5"/>
        <n v="449205.26289749146"/>
        <n v="199893.310546875"/>
        <n v="243525.69580078125"/>
        <n v="227032.60002565384"/>
        <n v="70463.06467151642"/>
        <n v="852314.0514621735"/>
        <n v="1095.0079917907715"/>
        <n v="338968.53231811523"/>
        <n v="94649.38012933731"/>
        <n v="18.73999786376953"/>
        <n v="59076.24592781067"/>
        <n v="3176.135282006264"/>
        <n v="556365.502512455"/>
        <n v="547328.6936626434"/>
        <n v="561624.5739340782"/>
        <n v="5911.51286380291"/>
        <n v="712.3778820037842"/>
        <n v="445.9104919433594"/>
        <n v="5438.993310928345"/>
        <n v="237685.1772427559"/>
        <n v="60881.42395019531"/>
        <n v="300.8437919616699"/>
        <n v="90253.13758850098"/>
        <n v="294728.0863070488"/>
        <n v="187550.28578281403"/>
        <n v="69560.47089242935"/>
        <n v="113382.04055786133"/>
        <n v="6839.678764343262"/>
        <n v="42063.47942352295"/>
        <n v="55615.090220451355"/>
        <n v="8305492.200950623"/>
        <n v="70933.28332901001"/>
        <n v="630603.3177213669"/>
        <n v="38791.37742519379"/>
        <n v="1016502.2154192924"/>
        <n v="232424.17905807495"/>
        <n v="80233.32316684723"/>
        <n v="143491.3900823593"/>
        <n v="156356.79960250854"/>
        <n v="4243.613085746765"/>
        <n v="3353.1500120162964"/>
        <n v="836667.7529335022"/>
        <n v="3094.0776586532593"/>
        <n v="13446.874380111694"/>
        <n v="449897.15695381165"/>
        <n v="165678.6430835724"/>
        <n v="90354.11908721924"/>
        <n v="7085.906982421875"/>
        <n v="345528.823677063"/>
        <n v="78827.49714700603"/>
        <n v="182386.0669255066"/>
        <n v="3471.3475704193115"/>
        <n v="211695.50481233367"/>
        <n v="20731.563568115234"/>
        <n v="199130.61891174316"/>
        <n v="2460014.033317566"/>
        <n v="1480403.8563461304"/>
        <n v="2352.4765434265137"/>
        <n v="14331.968091011047"/>
        <n v="332241.49905347824"/>
        <n v="77860.96796979904"/>
        <n v="331439.63108577725"/>
        <n v="205622.93027251243"/>
        <n v="130660.90535736084"/>
        <n v="1871824.6919622933"/>
        <n v="460581.38894587994"/>
        <n v="586962.711227417"/>
        <n v="348.12278747558594"/>
        <n v="726340.8530712128"/>
        <n v="385360.6036603975"/>
        <n v="181662.5747680664"/>
        <n v="19074.618577957153"/>
        <n v="27564.14668893814"/>
        <n v="671383.8305110931"/>
        <n v="74935.81209182739"/>
        <n v="486085.0705318451"/>
        <n v="146587.23357725143"/>
        <n v="62807.127356529236"/>
        <n v="2.9462561386234283E7"/>
        <n v="4255.996999740601"/>
        <n v="294625.61386234284"/>
        <n v="788.1475925445557"/>
        <n v="4905.345916748047"/>
        <n v="12665.849685668945"/>
        <n v="18309.959193940165"/>
        <n v="1703.0866384506226"/>
        <n v="378.4636974334717"/>
        <n v="264269.3607006073"/>
        <n v="11153.223294258118"/>
        <n v="1016.708984375"/>
        <n v="1307.230224609375"/>
        <n v="87606.16467905045"/>
        <n v="70133.04677009583"/>
        <n v="376714.65587615967"/>
        <n v="451201.43218040466"/>
        <n v="21597.210963349342"/>
        <n v="396487.4529838562"/>
        <n v="352867.6115179062"/>
        <n v="6874.605178833008"/>
        <n v="68705.30662536621"/>
        <n v="1588.6077880859375"/>
        <n v="4581.325155735016"/>
        <n v="1559.150221824646"/>
        <n v="6453.38236284256"/>
        <n v="13054.452890367507"/>
        <n v="56962.94512939453"/>
        <n v="85618.36586236954"/>
        <n v="130472.71211901188"/>
        <n v="126.65849685668945"/>
        <n v="765758.1806182861"/>
        <n v="3595745.56350708"/>
        <n v="516.7873764038086"/>
        <n v="99574.88661336899"/>
        <n v="3668.635892868042"/>
        <n v="287230.9412097931"/>
        <n v="719149.112701416"/>
        <n v="1000.8687257766724"/>
        <n v="262774.31801802997"/>
        <n v="199569.17034387589"/>
        <n v="86155.50398826599"/>
        <n v="323571.4605998993"/>
        <n v="1727363.9624118805"/>
        <n v="6267227.057719231"/>
        <n v="811090.5866394043"/>
        <n v="62805.44242295456"/>
        <n v="532581.1870918274"/>
        <n v="306261.42416000366"/>
        <n v="825502.4909973145"/>
        <n v="6677.962108612061"/>
        <n v="13112.6673579216"/>
        <n v="214775.07469177246"/>
        <n v="413597.0618057251"/>
        <n v="575.3192901611328"/>
        <n v="1546.6411590576172"/>
        <n v="132353.61122131348"/>
        <n v="263702.100276947"/>
        <n v="266963.80615234375"/>
        <n v="6611.456823348999"/>
        <n v="7096.012115478516"/>
        <n v="5539.296886224746"/>
        <n v="67676.24457836151"/>
        <n v="1920117.8267564392"/>
        <n v="1469.2126274108887"/>
        <n v="10278.813362121582"/>
        <n v="587.6850509643555"/>
        <n v="1496.5782165527344"/>
        <n v="1835116.447108202"/>
        <n v="322392.94765075686"/>
        <n v="74243.94844293594"/>
        <n v="6892.440319061279"/>
        <n v="198223.41918945312"/>
        <n v="7465.518841266632"/>
        <n v="556299.6579713821"/>
        <n v="317417.2375488281"/>
        <n v="685296.2817649841"/>
        <n v="466913.5783029556"/>
        <n v="54191.81823730469"/>
        <n v="417130.9471130371"/>
        <n v="331091.30859375"/>
        <n v="508257.060546875"/>
        <n v="7563.416004180908"/>
        <n v="1037005.4662789197"/>
        <n v="574892.2698608398"/>
        <n v="1744.283454724015"/>
        <n v="536331.2721252441"/>
        <n v="2725102.2913074493"/>
        <n v="122202.55012512207"/>
        <n v="7315.996848917008"/>
        <n v="7468.303203582764"/>
        <n v="3347441.577911377"/>
        <n v="54912.51806415558"/>
        <n v="296305.302734375"/>
        <n v="729.3909072875977"/>
        <n v="14053.964138031006"/>
        <n v="7.837951660156251E-7"/>
        <n v="80432.73624420166"/>
        <n v="95806.37893867493"/>
        <n v="1056.9041740216637"/>
        <n v="2.3609445095062258E-4"/>
        <n v="2229814.5294189453"/>
        <n v="5.540664574909211E-6"/>
        <n v="85667.00112946094"/>
        <n v="959623.5275268555"/>
        <n v="3.773815484352112E-5"/>
        <n v="302281.4111709595"/>
        <n v="783.795166015625"/>
        <n v="331657.97014045715"/>
        <n v="38354.97998046875"/>
        <n v="135185.2431256485"/>
        <n v="2.0557626724243163E-7"/>
        <n v="880478.2604961395"/>
        <n v="34170.69396972656"/>
        <n v="263126.90505981445"/>
        <n v="3.322150802612305E-5"/>
        <n v="296017.76819229126"/>
        <n v="1449112.3947343826"/>
        <n v="310852.76851882937"/>
        <n v="541579.5109577179"/>
        <n v="10726.625442504883"/>
        <n v="8389035.22491455"/>
        <n v="8389035.224914549"/>
        <n v="292322.4540710449"/>
        <n v="6.416129473114013E-6"/>
        <n v="69917.49607086182"/>
        <n v="79695.83463668823"/>
        <n v="8727.157974243164"/>
        <n v="216.76727294921875"/>
        <n v="2.6497650403213502E-5"/>
        <n v="272566.48607444763"/>
        <n v="611698.2231445312"/>
        <n v="5687.193984985352"/>
        <n v="100585.54290962219"/>
        <n v="707799.1305651856"/>
        <n v="198.14796447753906"/>
        <n v="6869346.141815186"/>
        <n v="111711.32175922394"/>
        <n v="1667839.7744413202"/>
        <n v="1209674.120432971"/>
        <n v="713.5406494140625"/>
        <n v="84335.54649353027"/>
        <n v="2.491375777578354E-5"/>
        <n v="179.64178085327148"/>
        <n v="187.38618850708008"/>
        <n v="327676.18657547934"/>
        <n v="3343.8289165496826"/>
        <n v="3567514.419555664"/>
        <n v="387553.1917362213"/>
        <n v="37652.19421386719"/>
        <n v="79710.15886688232"/>
        <n v="362582.6869749069"/>
        <n v="40253.754930496216"/>
        <n v="9.642625808715819E-7"/>
        <n v="8.70672607421875E-7"/>
        <n v="8706.72607421875"/>
        <n v="9642.62580871582"/>
        <n v="8863.756141662598"/>
        <n v="315931.8970413208"/>
        <n v="190.3356170654297"/>
        <n v="312933.0634903908"/>
        <n v="1039523.2200622559"/>
        <n v="428930.6640625"/>
        <n v="1943013.6346817017"/>
        <n v="149164.6519241333"/>
        <n v="139792.06814956665"/>
        <n v="18503.687727479934"/>
        <n v="5817.008123588563"/>
        <n v="6359.6087453842165"/>
        <n v="192.8525161743164"/>
        <n v="110461.22982398987"/>
        <n v="49132.236557006836"/>
        <n v="8221.25452041626"/>
        <n v="37815.65284729004"/>
        <n v="964.262580871582"/>
        <n v="167.78070449829102"/>
        <n v="118434.50736999512"/>
        <n v="53626.45076751709"/>
        <n v="69959.59631824493"/>
        <n v="213157.60334157944"/>
        <n v="8660.052299490852"/>
        <n v="671.1228179931641"/>
        <n v="235410.55987262726"/>
        <n v="8401.010855255126"/>
        <n v="6422237.873077393"/>
        <n v="6824516.040802002"/>
        <n v="176465.82658290863"/>
        <n v="730678.4152984619"/>
        <n v="453963.42182521825"/>
        <n v="1.5363803105163574E-5"/>
        <n v="6869.346141815186"/>
        <n v="241844.73929177283"/>
        <n v="42018.60427856445"/>
        <n v="227461.93294525146"/>
        <n v="61340.678367614746"/>
        <n v="57566.5656536293"/>
        <n v="1122.3687744140625"/>
        <n v="304.125732421875"/>
        <n v="3.7823893139362332E-6"/>
        <n v="34455.30618906021"/>
        <n v="646235.1382727623"/>
        <n v="110847.84743452072"/>
        <n v="113880.58637094498"/>
        <n v="549.5476913452148"/>
        <n v="3732.037615776062"/>
        <n v="530843.5537233353"/>
        <n v="145508.92766571045"/>
        <n v="537.0024871826172"/>
        <n v="6154.469304561615"/>
        <n v="66148.3999671936"/>
        <n v="5945.327813625336"/>
        <n v="5961.032665252686"/>
        <n v="201278.24343884469"/>
        <n v="862508.809337616"/>
        <n v="17499.748046398163"/>
        <n v="68468.27041625977"/>
        <n v="1646.9685745239258"/>
        <n v="142.70057678222656"/>
        <n v="559280.6775851505"/>
        <n v="7196755.886077881"/>
        <n v="320723.7566728592"/>
        <n v="322287.8837585449"/>
        <n v="547006.5241241455"/>
        <n v="215918.55821228027"/>
        <n v="3468767.4045562744"/>
        <n v="242071.45509147644"/>
        <n v="1.150823616027832E-5"/>
        <n v="2.262704140253067E-5"/>
        <n v="124594.09097290039"/>
        <n v="208898.57222366333"/>
        <n v="574406.0542068481"/>
        <n v="133424.63614062278"/>
        <n v="68.35916449170344"/>
        <n v="2807333.188522339"/>
        <n v="7285.116195678711"/>
        <n v="4656.12245798111"/>
        <n v="1363694.7931671143"/>
        <n v="1488369.7701263428"/>
        <n v="244.34801983833313"/>
        <n v="131.83465957641602"/>
        <n v="7428137.77923584"/>
        <n v="106442.31845350743"/>
        <n v="320032.9130115509"/>
        <n v="4341.929252624512"/>
        <n v="73720.1905002594"/>
        <n v="3.876193356513977E-7"/>
        <n v="4019.326066970825"/>
        <n v="3.428402066230774E-7"/>
        <n v="3428.402066230774"/>
        <n v="199823.08615207672"/>
        <n v="1088.2651805877686"/>
        <n v="637888.0462646484"/>
        <n v="1049878.2674679707"/>
        <n v="8.830690005874634E-6"/>
        <n v="92552.53884124756"/>
        <n v="59481.187398433685"/>
        <n v="416094.5658416748"/>
        <n v="967618.7876639366"/>
        <n v="71702.70205640793"/>
        <n v="76282.91130065918"/>
        <n v="968942.6153392792"/>
        <n v="24997.04909324646"/>
        <n v="21306.466939155554"/>
        <n v="357100.7013320923"/>
        <n v="540075.9947309494"/>
        <n v="55094.15142440796"/>
        <n v="4627.188558769227"/>
        <n v="264399.8936829567"/>
        <n v="66.22914888819314"/>
        <n v="135964.913977623"/>
        <n v="258430.23341417313"/>
        <n v="242006.27492523193"/>
        <n v="1272957.3502349854"/>
        <n v="247415.71657746792"/>
        <n v="3222.878837585449"/>
        <n v="88162.14821720123"/>
        <n v="324.04267234802245"/>
        <n v="78910.52069616318"/>
        <n v="177981.32514953613"/>
        <n v="1.0300641551208496E-5"/>
        <n v="99859.64012050629"/>
        <n v="325372.3382949829"/>
        <n v="540604.7917079926"/>
        <n v="5794211.864471436"/>
        <n v="313096.19440270425"/>
        <n v="1078483.2119941711"/>
        <n v="138.75069618225098"/>
        <n v="50375.90036130734"/>
        <n v="7329.517050266266"/>
        <n v="7599.261079311371"/>
        <n v="6039.630308471829"/>
        <n v="183705.48716306686"/>
        <n v="7058611.869812012"/>
        <n v="7244290.828704834"/>
        <n v="17326.952934265137"/>
        <n v="17978.788414001465"/>
        <n v="30461.302161216736"/>
        <n v="7.244290828704834"/>
        <n v="2805531.0249328613"/>
        <n v="2805525.4138708115"/>
        <n v="18955.68651008606"/>
        <n v="367052.7576508522"/>
        <n v="24977.36747264862"/>
        <n v="589.3658447265625"/>
        <n v="49799.23912715912"/>
        <n v="54819.03844976425"/>
        <n v="20829.652276039124"/>
        <n v="6227.234549045563"/>
        <n v="9.435797810554504E10"/>
        <n v="84716.17698669434"/>
        <n v="15737.2081439209"/>
        <n v="3.827938270568847E-6"/>
        <n v="34765.27118682861"/>
        <n v="9.470763847351076E-6"/>
        <n v="53796.368242263794"/>
        <n v="564.6889495849609"/>
        <n v="329322.3484969139"/>
        <n v="62814.44072723389"/>
        <n v="26013.53200531006"/>
        <n v="5.960229949951172E7"/>
        <n v="477687.5974386725"/>
        <n v="149840.8842086792"/>
        <n v="2609.3517499923705"/>
        <n v="310163.98537259904"/>
        <n v="349858.89370991907"/>
        <n v="37775.31146021175"/>
        <n v="585975.5795717239"/>
        <n v="26447.66407394409"/>
        <n v="3.7256846334457395E-6"/>
        <n v="74927.69299507141"/>
        <n v="154788.60626220703"/>
        <n v="37971.795959472656"/>
        <n v="148810.68649291992"/>
        <n v="2798.431739807129"/>
        <n v="53844.99599933624"/>
        <n v="13350.86169416399"/>
        <n v="82368.14844989777"/>
        <n v="111237.64600988389"/>
        <n v="2148.9548344135283"/>
        <n v="286798.81490421295"/>
        <n v="48515.22442102432"/>
        <n v="9223.884477615356"/>
        <n v="47085.70476913452"/>
        <n v="485.91320037841797"/>
        <n v="8078419.132184029"/>
        <n v="826607.3460969925"/>
        <n v="116622.96014104845"/>
        <n v="40688.4070023861"/>
        <n v="162463.92726898193"/>
        <n v="636340.5299231338"/>
        <n v="254347.02597522736"/>
        <n v="104798.05621402932"/>
        <n v="3886137.140274048"/>
        <n v="771814.6473407745"/>
        <n v="215768.5947418213"/>
        <n v="1045558.4641002415"/>
        <n v="259.3332452774048"/>
        <n v="885101.1794228554"/>
        <n v="4552.665035028457"/>
        <n v="449393.0377960205"/>
        <n v="169663.35563993454"/>
        <n v="0.09632377681732178"/>
        <n v="6072.34001159668"/>
        <n v="53804.46502957929"/>
        <n v="98188.16337442398"/>
        <n v="194778.2757320404"/>
        <n v="2876999.616622925"/>
        <n v="214973.37083482742"/>
        <n v="824486.0903048515"/>
        <n v="583079.2220377922"/>
        <n v="162582.69772052765"/>
        <n v="84116.32449450248"/>
        <n v="159573.90238073803"/>
        <n v="270660.76830976986"/>
        <n v="35499.24475464701"/>
        <n v="191908.91302106448"/>
        <n v="419863.6382987325"/>
        <n v="5178992.419358541"/>
        <n v="295.3131437301636"/>
        <n v="87984.08918380737"/>
        <n v="1331772.0031738281"/>
        <n v="450383.671931809"/>
        <n v="50371.0912027359"/>
        <n v="489.1263961791992"/>
        <n v="14892.255663871765"/>
        <n v="45931.75816871826"/>
        <n v="936.6012096405029"/>
        <n v="2531.231117248535"/>
        <n v="4696.390066146851"/>
        <n v="34639.51149627208"/>
        <n v="33942.19262064762"/>
        <n v="35274.52405529336"/>
        <n v="1802772.7127075195"/>
        <n v="5492.771524429321"/>
        <n v="124.88016128540039"/>
        <n v="48808.8321685791"/>
        <n v="57.539992332458496"/>
        <n v="69464.72994232178"/>
        <n v="78685.56409265727"/>
        <n v="1838435.8683919907"/>
        <n v="507.537841796875"/>
        <n v="370514.61094805715"/>
        <n v="1758584.3870744705"/>
        <n v="174125.1266899109"/>
        <n v="234272.93213648797"/>
        <n v="336870.00732421875"/>
        <n v="33433.06989126331"/>
        <n v="144390.4428685136"/>
        <n v="137541.0413257891"/>
        <n v="0.8768170713088954"/>
        <n v="126890.08858859062"/>
        <n v="433825.0189189911"/>
        <n v="14007.68464833323"/>
        <n v="2915.541887283325"/>
        <n v="460.31993865966797"/>
        <n v="5.522171974182129E-10"/>
        <n v="17908.060336112976"/>
        <n v="88726.48620605469"/>
        <n v="199.06203420140145"/>
        <n v="764195.8477973271"/>
        <n v="58671.13471031189"/>
        <n v="457.7140808105469"/>
        <n v="144675.54048156738"/>
        <n v="18749.66338634491"/>
        <n v="43547.46657180786"/>
        <n v="435790.2669906616"/>
        <n v="1752346.8017578125"/>
        <n v="119571.08431345326"/>
        <n v="233177.47473716736"/>
        <n v="186.9380765203455"/>
        <n v="183719.5118408203"/>
        <n v="2615.839624404907"/>
        <n v="4587.265968322754"/>
        <n v="47.560720443725586"/>
        <n v="3742.713070693635"/>
        <n v="319386.29150390625"/>
        <n v="95.75342178344727"/>
        <n v="258791.12045288086"/>
        <n v="4.587265968322754"/>
        <n v="150843.15898488797"/>
        <n v="136405.22967481613"/>
        <n v="95.12144088745117"/>
        <n v="100218.7183725132"/>
        <n v="4.282610893249512"/>
        <n v="11.878412961959839"/>
        <n v="5375590.95815596"/>
        <n v="8952.363902330399"/>
        <n v="1.8728297770023346E-6"/>
        <n v="950.2496595280262"/>
        <n v="10908.213017940521"/>
        <n v="1743.6686990423098"/>
        <n v="0.8710836172103882"/>
        <n v="34813.824940037724"/>
        <n v="93305.90141962178"/>
        <n v="197.38476991653442"/>
        <n v="1027.3593139648438"/>
        <n v="45169.441597944526"/>
        <n v="458563.7828511707"/>
        <n v="4693.690776824951"/>
        <n v="110945.52606386213"/>
        <n v="345863.7502133846"/>
        <n v="23801.513524900554"/>
        <n v="351.2861633300781"/>
        <n v="27736.38151596553"/>
        <n v="166853.01147291213"/>
        <n v="37298.974485248764"/>
        <n v="148891.94700717926"/>
        <n v="4898.672103881836"/>
        <n v="85997.67444960044"/>
        <n v="2032.799229849199"/>
        <n v="104322.07343569674"/>
        <n v="4824.508190155029"/>
        <n v="1167.4537658691406"/>
        <n v="19107.085332870483"/>
        <n v="59068.7574634552"/>
        <n v="557615.8851134726"/>
        <n v="105303.27954362663"/>
        <n v="221715.07249028725"/>
        <n v="17783.167791366577"/>
        <n v="48200.712371349335"/>
        <n v="6874422.790050507"/>
        <n v="3781.53369140625"/>
        <n v="367780.76495910494"/>
        <n v="157680.1274181246"/>
        <n v="434838.22977018356"/>
        <n v="393939.6341722918"/>
        <n v="7.176371407318116E-5"/>
        <n v="810312.4799499512"/>
        <n v="42007.49176258122"/>
        <n v="79.18941974639893"/>
        <n v="96325.68359375"/>
        <n v="3391812.1320783948"/>
        <n v="508779.01039808145"/>
        <n v="1015.7275199890137"/>
        <n v="2199878.523196253"/>
        <n v="81.47255897521973"/>
        <n v="1915.3107404708862"/>
        <n v="4076.6329765319824"/>
        <n v="35447.64627170563"/>
        <n v="83.83303642272949"/>
        <n v="364134.5443758011"/>
        <n v="48058.95805358887"/>
        <n v="118057.75962909823"/>
        <n v="160113.26203746395"/>
        <n v="381324.5018398509"/>
        <n v="77703.27077261414"/>
        <n v="415850.79916000366"/>
        <n v="4465.049865083694"/>
        <n v="4169.034957885742"/>
        <n v="581.0800924301147"/>
        <n v="58131.06332382782"/>
        <n v="4255.255222320557"/>
        <n v="26711.25835418701"/>
        <n v="19812.30024590855"/>
        <n v="831801.4144897461"/>
        <n v="867.4715995788574"/>
        <n v="96.32568359375"/>
        <n v="270335.4597091675"/>
        <n v="4218.929178323746"/>
        <n v="69089.42548751831"/>
        <n v="19662.79912080992"/>
        <n v="4635.497093200684"/>
        <n v="27937.63783327559"/>
        <n v="69427.26163201332"/>
        <n v="222287.50360250473"/>
        <n v="19200.0"/>
        <n v="27865.347385406494"/>
        <n v="391.3644027709961"/>
        <n v="101980.93605041504"/>
        <n v="1202714.1422319412"/>
        <n v="59094.8214100887"/>
        <n v="354462.7318387508"/>
      </sharedItems>
    </cacheField>
    <cacheField name="Category" numFmtId="0">
      <sharedItems containsBlank="1">
        <s v=""/>
        <m/>
        <s v="Outreach"/>
        <s v="Development"/>
        <s v="Operations"/>
        <s v="Talent &amp; Education"/>
        <s v="Research"/>
        <s v="Economy"/>
      </sharedItems>
    </cacheField>
    <cacheField name="Subcategory" numFmtId="0">
      <sharedItems containsBlank="1">
        <s v=""/>
        <m/>
        <s v="Media"/>
        <s v="Protocol Subsidies"/>
        <s v="Multisig"/>
        <s v="Other"/>
        <s v="Wallets"/>
        <s v="Governance"/>
        <s v="Trainings &amp; Hackathon"/>
        <s v="Data Services &amp; Indexing"/>
        <s v="Explorers"/>
        <s v="Smart Contracts"/>
        <s v="RPCs and Nodes"/>
        <s v="Education"/>
        <s v="Software Development"/>
        <s v="Light Clients"/>
        <s v="Polkadot Protocol &amp; SDK"/>
        <s v="SDKs"/>
        <s v="Advertising"/>
        <s v="Community Building"/>
        <s v="Recruiting"/>
        <s v="Games"/>
        <s v="Business Development"/>
        <s v="Incubation"/>
        <s v="Research"/>
        <s v="Advertising/Digital Ads"/>
        <s v="Events/Conference Attendance &amp; Side Events"/>
        <s v="PR"/>
        <s v="Advertising/Influencers"/>
        <s v="Events/Conference Hosting"/>
        <s v="Staking"/>
        <s v="Events/Meetups"/>
        <s v="Software Services"/>
        <s v="Privacy"/>
        <s v="Loans"/>
        <s v="Advertising/Physical Ads"/>
        <s v="Stablecoins"/>
        <s v="Infrastructure"/>
        <s v="Advertising/Sponsorships"/>
        <s v="Market Operations"/>
        <s v="Ecosystem Services"/>
        <s v="Events"/>
        <s v="Security"/>
        <s v="Advertising/Platform Integrations"/>
        <s v="Bridge"/>
        <s v="Legal"/>
      </sharedItems>
    </cacheField>
    <cacheField name="hide from income statement (represented via child bounties and/or via the balance sheet)" numFmtId="0">
      <sharedItems containsBlank="1">
        <m/>
        <s v="x"/>
      </sharedItems>
    </cacheField>
    <cacheField name="bounty-related" numFmtId="0">
      <sharedItems containsBlank="1">
        <m/>
        <s v="x"/>
      </sharedItems>
    </cacheField>
    <cacheField name="recurring" numFmtId="0">
      <sharedItems containsBlank="1">
        <m/>
        <s v="x"/>
      </sharedItems>
    </cacheField>
    <cacheField name="Notes" numFmtId="0">
      <sharedItems containsBlank="1">
        <m/>
        <s v="did not properly execute"/>
        <s v="failed to execute"/>
      </sharedItems>
    </cacheField>
    <cacheField name="year" numFmtId="3">
      <sharedItems>
        <s v="2023"/>
        <s v="2024"/>
      </sharedItems>
    </cacheField>
    <cacheField name="month" numFmtId="3">
      <sharedItems containsSemiMixedTypes="0" containsString="0" containsNumber="1" containsInteger="1">
        <n v="6.0"/>
        <n v="9.0"/>
        <n v="7.0"/>
        <n v="8.0"/>
        <n v="10.0"/>
        <n v="11.0"/>
        <n v="12.0"/>
        <n v="1.0"/>
        <n v="2.0"/>
        <n v="3.0"/>
        <n v="4.0"/>
        <n v="5.0"/>
      </sharedItems>
    </cacheField>
    <cacheField name="quarter" numFmtId="3">
      <sharedItems>
        <s v="2023-Q2"/>
        <s v="2024-Q3"/>
        <s v="2023-Q3"/>
        <s v="2023-Q4"/>
        <s v="2024-Q1"/>
        <s v="2024-Q2"/>
      </sharedItems>
    </cacheField>
    <cacheField name="year-month" numFmtId="3">
      <sharedItems>
        <s v="2023-06"/>
        <s v="2024-09"/>
        <s v="2023-07"/>
        <s v="2023-08"/>
        <s v="2023-09"/>
        <s v="2023-10"/>
        <s v="2023-11"/>
        <s v="2023-12"/>
        <s v="2024-01"/>
        <s v="2024-02"/>
        <s v="2024-03"/>
        <s v="2024-04"/>
        <s v="2024-05"/>
        <s v="2024-06"/>
        <s v="2024-07"/>
        <s v="2024-08"/>
      </sharedItems>
    </cacheField>
    <cacheField name="half-years" numFmtId="0">
      <sharedItems>
        <s v="2023-H1"/>
        <s v="2024-H2"/>
        <s v="2023-H2"/>
        <s v="2024-H1"/>
      </sharedItems>
    </cacheField>
  </cacheFields>
</pivotCacheDefinition>
</file>

<file path=xl/pivotCache/pivotCacheDefinition5.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V1199" sheet="Referenda"/>
  </cacheSource>
  <cacheFields>
    <cacheField name="Ref" numFmtId="0">
      <sharedItems containsSemiMixedTypes="0" containsString="0" containsNumber="1" containsInteger="1">
        <n v="0.0"/>
        <n v="1130.0"/>
        <n v="1.0"/>
        <n v="2.0"/>
        <n v="3.0"/>
        <n v="4.0"/>
        <n v="5.0"/>
        <n v="1141.0"/>
        <n v="6.0"/>
        <n v="7.0"/>
        <n v="8.0"/>
        <n v="1149.0"/>
        <n v="9.0"/>
        <n v="10.0"/>
        <n v="11.0"/>
        <n v="12.0"/>
        <n v="13.0"/>
        <n v="14.0"/>
        <n v="15.0"/>
        <n v="16.0"/>
        <n v="17.0"/>
        <n v="18.0"/>
        <n v="19.0"/>
        <n v="20.0"/>
        <n v="21.0"/>
        <n v="22.0"/>
        <n v="23.0"/>
        <n v="24.0"/>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n v="68.0"/>
        <n v="69.0"/>
        <n v="70.0"/>
        <n v="71.0"/>
        <n v="72.0"/>
        <n v="73.0"/>
        <n v="74.0"/>
        <n v="75.0"/>
        <n v="76.0"/>
        <n v="77.0"/>
        <n v="78.0"/>
        <n v="79.0"/>
        <n v="80.0"/>
        <n v="81.0"/>
        <n v="82.0"/>
        <n v="83.0"/>
        <n v="84.0"/>
        <n v="85.0"/>
        <n v="86.0"/>
        <n v="87.0"/>
        <n v="1068.0"/>
        <n v="88.0"/>
        <n v="1077.0"/>
        <n v="89.0"/>
        <n v="90.0"/>
        <n v="91.0"/>
        <n v="92.0"/>
        <n v="93.0"/>
        <n v="94.0"/>
        <n v="95.0"/>
        <n v="96.0"/>
        <n v="97.0"/>
        <n v="98.0"/>
        <n v="99.0"/>
        <n v="1099.0"/>
        <n v="100.0"/>
        <n v="101.0"/>
        <n v="102.0"/>
        <n v="103.0"/>
        <n v="104.0"/>
        <n v="105.0"/>
        <n v="106.0"/>
        <n v="107.0"/>
        <n v="108.0"/>
        <n v="109.0"/>
        <n v="110.0"/>
        <n v="111.0"/>
        <n v="112.0"/>
        <n v="113.0"/>
        <n v="114.0"/>
        <n v="115.0"/>
        <n v="116.0"/>
        <n v="117.0"/>
        <n v="118.0"/>
        <n v="119.0"/>
        <n v="120.0"/>
        <n v="121.0"/>
        <n v="122.0"/>
        <n v="123.0"/>
        <n v="124.0"/>
        <n v="125.0"/>
        <n v="126.0"/>
        <n v="127.0"/>
        <n v="128.0"/>
        <n v="129.0"/>
        <n v="130.0"/>
        <n v="131.0"/>
        <n v="132.0"/>
        <n v="133.0"/>
        <n v="134.0"/>
        <n v="135.0"/>
        <n v="136.0"/>
        <n v="137.0"/>
        <n v="138.0"/>
        <n v="139.0"/>
        <n v="140.0"/>
        <n v="141.0"/>
        <n v="142.0"/>
        <n v="143.0"/>
        <n v="144.0"/>
        <n v="145.0"/>
        <n v="146.0"/>
        <n v="147.0"/>
        <n v="148.0"/>
        <n v="149.0"/>
        <n v="150.0"/>
        <n v="151.0"/>
        <n v="152.0"/>
        <n v="153.0"/>
        <n v="154.0"/>
        <n v="155.0"/>
        <n v="156.0"/>
        <n v="157.0"/>
        <n v="158.0"/>
        <n v="159.0"/>
        <n v="160.0"/>
        <n v="161.0"/>
        <n v="162.0"/>
        <n v="163.0"/>
        <n v="164.0"/>
        <n v="165.0"/>
        <n v="166.0"/>
        <n v="167.0"/>
        <n v="168.0"/>
        <n v="169.0"/>
        <n v="170.0"/>
        <n v="171.0"/>
        <n v="172.0"/>
        <n v="173.0"/>
        <n v="174.0"/>
        <n v="175.0"/>
        <n v="176.0"/>
        <n v="177.0"/>
        <n v="178.0"/>
        <n v="179.0"/>
        <n v="180.0"/>
        <n v="181.0"/>
        <n v="182.0"/>
        <n v="183.0"/>
        <n v="184.0"/>
        <n v="185.0"/>
        <n v="186.0"/>
        <n v="187.0"/>
        <n v="188.0"/>
        <n v="189.0"/>
        <n v="190.0"/>
        <n v="191.0"/>
        <n v="192.0"/>
        <n v="193.0"/>
        <n v="194.0"/>
        <n v="195.0"/>
        <n v="196.0"/>
        <n v="197.0"/>
        <n v="198.0"/>
        <n v="199.0"/>
        <n v="200.0"/>
        <n v="201.0"/>
        <n v="202.0"/>
        <n v="203.0"/>
        <n v="204.0"/>
        <n v="205.0"/>
        <n v="206.0"/>
        <n v="207.0"/>
        <n v="208.0"/>
        <n v="209.0"/>
        <n v="210.0"/>
        <n v="211.0"/>
        <n v="212.0"/>
        <n v="213.0"/>
        <n v="214.0"/>
        <n v="215.0"/>
        <n v="216.0"/>
        <n v="217.0"/>
        <n v="218.0"/>
        <n v="219.0"/>
        <n v="220.0"/>
        <n v="221.0"/>
        <n v="222.0"/>
        <n v="223.0"/>
        <n v="224.0"/>
        <n v="225.0"/>
        <n v="226.0"/>
        <n v="227.0"/>
        <n v="228.0"/>
        <n v="229.0"/>
        <n v="230.0"/>
        <n v="231.0"/>
        <n v="232.0"/>
        <n v="233.0"/>
        <n v="234.0"/>
        <n v="235.0"/>
        <n v="236.0"/>
        <n v="237.0"/>
        <n v="238.0"/>
        <n v="239.0"/>
        <n v="240.0"/>
        <n v="241.0"/>
        <n v="242.0"/>
        <n v="243.0"/>
        <n v="244.0"/>
        <n v="245.0"/>
        <n v="246.0"/>
        <n v="247.0"/>
        <n v="248.0"/>
        <n v="249.0"/>
        <n v="250.0"/>
        <n v="251.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n v="410.0"/>
        <n v="411.0"/>
        <n v="412.0"/>
        <n v="413.0"/>
        <n v="414.0"/>
        <n v="415.0"/>
        <n v="416.0"/>
        <n v="417.0"/>
        <n v="418.0"/>
        <n v="419.0"/>
        <n v="420.0"/>
        <n v="421.0"/>
        <n v="422.0"/>
        <n v="423.0"/>
        <n v="424.0"/>
        <n v="425.0"/>
        <n v="426.0"/>
        <n v="427.0"/>
        <n v="428.0"/>
        <n v="429.0"/>
        <n v="430.0"/>
        <n v="431.0"/>
        <n v="432.0"/>
        <n v="433.0"/>
        <n v="434.0"/>
        <n v="435.0"/>
        <n v="436.0"/>
        <n v="437.0"/>
        <n v="438.0"/>
        <n v="439.0"/>
        <n v="440.0"/>
        <n v="441.0"/>
        <n v="442.0"/>
        <n v="443.0"/>
        <n v="444.0"/>
        <n v="445.0"/>
        <n v="446.0"/>
        <n v="447.0"/>
        <n v="448.0"/>
        <n v="449.0"/>
        <n v="450.0"/>
        <n v="451.0"/>
        <n v="452.0"/>
        <n v="453.0"/>
        <n v="454.0"/>
        <n v="455.0"/>
        <n v="456.0"/>
        <n v="457.0"/>
        <n v="458.0"/>
        <n v="459.0"/>
        <n v="460.0"/>
        <n v="461.0"/>
        <n v="462.0"/>
        <n v="463.0"/>
        <n v="464.0"/>
        <n v="465.0"/>
        <n v="466.0"/>
        <n v="467.0"/>
        <n v="468.0"/>
        <n v="469.0"/>
        <n v="470.0"/>
        <n v="471.0"/>
        <n v="472.0"/>
        <n v="473.0"/>
        <n v="474.0"/>
        <n v="475.0"/>
        <n v="476.0"/>
        <n v="477.0"/>
        <n v="478.0"/>
        <n v="479.0"/>
        <n v="480.0"/>
        <n v="481.0"/>
        <n v="482.0"/>
        <n v="483.0"/>
        <n v="484.0"/>
        <n v="485.0"/>
        <n v="486.0"/>
        <n v="487.0"/>
        <n v="488.0"/>
        <n v="489.0"/>
        <n v="490.0"/>
        <n v="491.0"/>
        <n v="492.0"/>
        <n v="493.0"/>
        <n v="494.0"/>
        <n v="495.0"/>
        <n v="496.0"/>
        <n v="497.0"/>
        <n v="498.0"/>
        <n v="499.0"/>
        <n v="500.0"/>
        <n v="501.0"/>
        <n v="502.0"/>
        <n v="503.0"/>
        <n v="504.0"/>
        <n v="505.0"/>
        <n v="506.0"/>
        <n v="507.0"/>
        <n v="508.0"/>
        <n v="509.0"/>
        <n v="510.0"/>
        <n v="511.0"/>
        <n v="512.0"/>
        <n v="513.0"/>
        <n v="514.0"/>
        <n v="515.0"/>
        <n v="516.0"/>
        <n v="517.0"/>
        <n v="518.0"/>
        <n v="519.0"/>
        <n v="520.0"/>
        <n v="521.0"/>
        <n v="522.0"/>
        <n v="523.0"/>
        <n v="524.0"/>
        <n v="525.0"/>
        <n v="526.0"/>
        <n v="527.0"/>
        <n v="528.0"/>
        <n v="529.0"/>
        <n v="530.0"/>
        <n v="531.0"/>
        <n v="532.0"/>
        <n v="533.0"/>
        <n v="534.0"/>
        <n v="535.0"/>
        <n v="536.0"/>
        <n v="537.0"/>
        <n v="538.0"/>
        <n v="539.0"/>
        <n v="540.0"/>
        <n v="541.0"/>
        <n v="542.0"/>
        <n v="543.0"/>
        <n v="544.0"/>
        <n v="545.0"/>
        <n v="546.0"/>
        <n v="547.0"/>
        <n v="548.0"/>
        <n v="549.0"/>
        <n v="550.0"/>
        <n v="551.0"/>
        <n v="552.0"/>
        <n v="553.0"/>
        <n v="554.0"/>
        <n v="555.0"/>
        <n v="556.0"/>
        <n v="557.0"/>
        <n v="558.0"/>
        <n v="559.0"/>
        <n v="560.0"/>
        <n v="561.0"/>
        <n v="562.0"/>
        <n v="563.0"/>
        <n v="564.0"/>
        <n v="565.0"/>
        <n v="566.0"/>
        <n v="567.0"/>
        <n v="568.0"/>
        <n v="569.0"/>
        <n v="570.0"/>
        <n v="571.0"/>
        <n v="572.0"/>
        <n v="573.0"/>
        <n v="574.0"/>
        <n v="575.0"/>
        <n v="576.0"/>
        <n v="577.0"/>
        <n v="578.0"/>
        <n v="579.0"/>
        <n v="580.0"/>
        <n v="581.0"/>
        <n v="582.0"/>
        <n v="583.0"/>
        <n v="584.0"/>
        <n v="585.0"/>
        <n v="586.0"/>
        <n v="587.0"/>
        <n v="588.0"/>
        <n v="589.0"/>
        <n v="590.0"/>
        <n v="591.0"/>
        <n v="592.0"/>
        <n v="593.0"/>
        <n v="594.0"/>
        <n v="595.0"/>
        <n v="596.0"/>
        <n v="597.0"/>
        <n v="598.0"/>
        <n v="599.0"/>
        <n v="600.0"/>
        <n v="601.0"/>
        <n v="602.0"/>
        <n v="603.0"/>
        <n v="604.0"/>
        <n v="605.0"/>
        <n v="606.0"/>
        <n v="607.0"/>
        <n v="608.0"/>
        <n v="609.0"/>
        <n v="610.0"/>
        <n v="611.0"/>
        <n v="612.0"/>
        <n v="613.0"/>
        <n v="614.0"/>
        <n v="615.0"/>
        <n v="616.0"/>
        <n v="617.0"/>
        <n v="618.0"/>
        <n v="619.0"/>
        <n v="620.0"/>
        <n v="621.0"/>
        <n v="622.0"/>
        <n v="623.0"/>
        <n v="624.0"/>
        <n v="625.0"/>
        <n v="626.0"/>
        <n v="627.0"/>
        <n v="628.0"/>
        <n v="629.0"/>
        <n v="630.0"/>
        <n v="631.0"/>
        <n v="632.0"/>
        <n v="633.0"/>
        <n v="634.0"/>
        <n v="635.0"/>
        <n v="636.0"/>
        <n v="637.0"/>
        <n v="638.0"/>
        <n v="639.0"/>
        <n v="640.0"/>
        <n v="641.0"/>
        <n v="642.0"/>
        <n v="643.0"/>
        <n v="644.0"/>
        <n v="645.0"/>
        <n v="646.0"/>
        <n v="647.0"/>
        <n v="648.0"/>
        <n v="649.0"/>
        <n v="650.0"/>
        <n v="651.0"/>
        <n v="652.0"/>
        <n v="653.0"/>
        <n v="654.0"/>
        <n v="655.0"/>
        <n v="656.0"/>
        <n v="657.0"/>
        <n v="658.0"/>
        <n v="659.0"/>
        <n v="660.0"/>
        <n v="661.0"/>
        <n v="662.0"/>
        <n v="663.0"/>
        <n v="664.0"/>
        <n v="665.0"/>
        <n v="666.0"/>
        <n v="667.0"/>
        <n v="668.0"/>
        <n v="669.0"/>
        <n v="670.0"/>
        <n v="671.0"/>
        <n v="672.0"/>
        <n v="673.0"/>
        <n v="674.0"/>
        <n v="675.0"/>
        <n v="676.0"/>
        <n v="677.0"/>
        <n v="678.0"/>
        <n v="679.0"/>
        <n v="680.0"/>
        <n v="681.0"/>
        <n v="682.0"/>
        <n v="683.0"/>
        <n v="684.0"/>
        <n v="685.0"/>
        <n v="686.0"/>
        <n v="687.0"/>
        <n v="688.0"/>
        <n v="689.0"/>
        <n v="690.0"/>
        <n v="691.0"/>
        <n v="692.0"/>
        <n v="693.0"/>
        <n v="694.0"/>
        <n v="695.0"/>
        <n v="696.0"/>
        <n v="697.0"/>
        <n v="698.0"/>
        <n v="699.0"/>
        <n v="700.0"/>
        <n v="701.0"/>
        <n v="702.0"/>
        <n v="703.0"/>
        <n v="704.0"/>
        <n v="705.0"/>
        <n v="706.0"/>
        <n v="707.0"/>
        <n v="708.0"/>
        <n v="709.0"/>
        <n v="710.0"/>
        <n v="711.0"/>
        <n v="712.0"/>
        <n v="713.0"/>
        <n v="714.0"/>
        <n v="715.0"/>
        <n v="716.0"/>
        <n v="717.0"/>
        <n v="718.0"/>
        <n v="719.0"/>
        <n v="720.0"/>
        <n v="721.0"/>
        <n v="722.0"/>
        <n v="723.0"/>
        <n v="724.0"/>
        <n v="725.0"/>
        <n v="726.0"/>
        <n v="727.0"/>
        <n v="728.0"/>
        <n v="729.0"/>
        <n v="730.0"/>
        <n v="731.0"/>
        <n v="732.0"/>
        <n v="733.0"/>
        <n v="734.0"/>
        <n v="735.0"/>
        <n v="736.0"/>
        <n v="737.0"/>
        <n v="738.0"/>
        <n v="739.0"/>
        <n v="740.0"/>
        <n v="741.0"/>
        <n v="742.0"/>
        <n v="743.0"/>
        <n v="744.0"/>
        <n v="745.0"/>
        <n v="746.0"/>
        <n v="747.0"/>
        <n v="748.0"/>
        <n v="749.0"/>
        <n v="750.0"/>
        <n v="751.0"/>
        <n v="752.0"/>
        <n v="753.0"/>
        <n v="754.0"/>
        <n v="755.0"/>
        <n v="756.0"/>
        <n v="757.0"/>
        <n v="758.0"/>
        <n v="759.0"/>
        <n v="760.0"/>
        <n v="761.0"/>
        <n v="762.0"/>
        <n v="763.0"/>
        <n v="764.0"/>
        <n v="765.0"/>
        <n v="766.0"/>
        <n v="767.0"/>
        <n v="768.0"/>
        <n v="769.0"/>
        <n v="770.0"/>
        <n v="771.0"/>
        <n v="772.0"/>
        <n v="773.0"/>
        <n v="774.0"/>
        <n v="775.0"/>
        <n v="776.0"/>
        <n v="777.0"/>
        <n v="778.0"/>
        <n v="779.0"/>
        <n v="780.0"/>
        <n v="781.0"/>
        <n v="782.0"/>
        <n v="783.0"/>
        <n v="784.0"/>
        <n v="785.0"/>
        <n v="786.0"/>
        <n v="787.0"/>
        <n v="788.0"/>
        <n v="789.0"/>
        <n v="790.0"/>
        <n v="791.0"/>
        <n v="792.0"/>
        <n v="793.0"/>
        <n v="794.0"/>
        <n v="795.0"/>
        <n v="796.0"/>
        <n v="797.0"/>
        <n v="798.0"/>
        <n v="799.0"/>
        <n v="800.0"/>
        <n v="801.0"/>
        <n v="802.0"/>
        <n v="803.0"/>
        <n v="804.0"/>
        <n v="805.0"/>
        <n v="806.0"/>
        <n v="807.0"/>
        <n v="808.0"/>
        <n v="809.0"/>
        <n v="810.0"/>
        <n v="811.0"/>
        <n v="812.0"/>
        <n v="813.0"/>
        <n v="814.0"/>
        <n v="815.0"/>
        <n v="816.0"/>
        <n v="817.0"/>
        <n v="818.0"/>
        <n v="819.0"/>
        <n v="820.0"/>
        <n v="821.0"/>
        <n v="822.0"/>
        <n v="823.0"/>
        <n v="824.0"/>
        <n v="825.0"/>
        <n v="826.0"/>
        <n v="827.0"/>
        <n v="828.0"/>
        <n v="829.0"/>
        <n v="830.0"/>
        <n v="831.0"/>
        <n v="832.0"/>
        <n v="833.0"/>
        <n v="834.0"/>
        <n v="835.0"/>
        <n v="836.0"/>
        <n v="837.0"/>
        <n v="838.0"/>
        <n v="839.0"/>
        <n v="840.0"/>
        <n v="841.0"/>
        <n v="842.0"/>
        <n v="843.0"/>
        <n v="844.0"/>
        <n v="845.0"/>
        <n v="846.0"/>
        <n v="847.0"/>
        <n v="848.0"/>
        <n v="849.0"/>
        <n v="850.0"/>
        <n v="851.0"/>
        <n v="852.0"/>
        <n v="853.0"/>
        <n v="854.0"/>
        <n v="855.0"/>
        <n v="856.0"/>
        <n v="857.0"/>
        <n v="858.0"/>
        <n v="859.0"/>
        <n v="860.0"/>
        <n v="861.0"/>
        <n v="862.0"/>
        <n v="863.0"/>
        <n v="864.0"/>
        <n v="865.0"/>
        <n v="866.0"/>
        <n v="867.0"/>
        <n v="868.0"/>
        <n v="869.0"/>
        <n v="870.0"/>
        <n v="871.0"/>
        <n v="872.0"/>
        <n v="873.0"/>
        <n v="874.0"/>
        <n v="875.0"/>
        <n v="876.0"/>
        <n v="877.0"/>
        <n v="878.0"/>
        <n v="879.0"/>
        <n v="880.0"/>
        <n v="881.0"/>
        <n v="882.0"/>
        <n v="883.0"/>
        <n v="884.0"/>
        <n v="885.0"/>
        <n v="886.0"/>
        <n v="887.0"/>
        <n v="888.0"/>
        <n v="889.0"/>
        <n v="890.0"/>
        <n v="891.0"/>
        <n v="892.0"/>
        <n v="893.0"/>
        <n v="894.0"/>
        <n v="895.0"/>
        <n v="896.0"/>
        <n v="897.0"/>
        <n v="898.0"/>
        <n v="899.0"/>
        <n v="900.0"/>
        <n v="901.0"/>
        <n v="902.0"/>
        <n v="903.0"/>
        <n v="904.0"/>
        <n v="905.0"/>
        <n v="906.0"/>
        <n v="907.0"/>
        <n v="908.0"/>
        <n v="909.0"/>
        <n v="910.0"/>
        <n v="911.0"/>
        <n v="912.0"/>
        <n v="913.0"/>
        <n v="914.0"/>
        <n v="915.0"/>
        <n v="916.0"/>
        <n v="917.0"/>
        <n v="918.0"/>
        <n v="919.0"/>
        <n v="920.0"/>
        <n v="921.0"/>
        <n v="922.0"/>
        <n v="923.0"/>
        <n v="924.0"/>
        <n v="925.0"/>
        <n v="926.0"/>
        <n v="927.0"/>
        <n v="928.0"/>
        <n v="929.0"/>
        <n v="930.0"/>
        <n v="931.0"/>
        <n v="932.0"/>
        <n v="933.0"/>
        <n v="934.0"/>
        <n v="935.0"/>
        <n v="936.0"/>
        <n v="937.0"/>
        <n v="938.0"/>
        <n v="939.0"/>
        <n v="940.0"/>
        <n v="941.0"/>
        <n v="942.0"/>
        <n v="943.0"/>
        <n v="944.0"/>
        <n v="945.0"/>
        <n v="946.0"/>
        <n v="947.0"/>
        <n v="948.0"/>
        <n v="949.0"/>
        <n v="950.0"/>
        <n v="951.0"/>
        <n v="952.0"/>
        <n v="953.0"/>
        <n v="954.0"/>
        <n v="955.0"/>
        <n v="956.0"/>
        <n v="957.0"/>
        <n v="958.0"/>
        <n v="959.0"/>
        <n v="960.0"/>
        <n v="961.0"/>
        <n v="962.0"/>
        <n v="963.0"/>
        <n v="964.0"/>
        <n v="965.0"/>
        <n v="966.0"/>
        <n v="967.0"/>
        <n v="968.0"/>
        <n v="969.0"/>
        <n v="970.0"/>
        <n v="971.0"/>
        <n v="972.0"/>
        <n v="973.0"/>
        <n v="974.0"/>
        <n v="975.0"/>
        <n v="976.0"/>
        <n v="977.0"/>
        <n v="978.0"/>
        <n v="979.0"/>
        <n v="980.0"/>
        <n v="981.0"/>
        <n v="982.0"/>
        <n v="983.0"/>
        <n v="984.0"/>
        <n v="985.0"/>
        <n v="986.0"/>
        <n v="987.0"/>
        <n v="988.0"/>
        <n v="989.0"/>
        <n v="990.0"/>
        <n v="991.0"/>
        <n v="992.0"/>
        <n v="993.0"/>
        <n v="994.0"/>
        <n v="995.0"/>
        <n v="996.0"/>
        <n v="997.0"/>
        <n v="998.0"/>
        <n v="999.0"/>
        <n v="1000.0"/>
        <n v="1001.0"/>
        <n v="1002.0"/>
        <n v="1003.0"/>
        <n v="1004.0"/>
        <n v="1005.0"/>
        <n v="1006.0"/>
        <n v="1007.0"/>
        <n v="1008.0"/>
        <n v="1009.0"/>
        <n v="1010.0"/>
        <n v="1011.0"/>
        <n v="1012.0"/>
        <n v="1013.0"/>
        <n v="1014.0"/>
        <n v="1015.0"/>
        <n v="1016.0"/>
        <n v="1017.0"/>
        <n v="1018.0"/>
        <n v="1019.0"/>
        <n v="1020.0"/>
        <n v="1021.0"/>
        <n v="1022.0"/>
        <n v="1023.0"/>
        <n v="1024.0"/>
        <n v="1025.0"/>
        <n v="1026.0"/>
        <n v="1027.0"/>
        <n v="1028.0"/>
        <n v="1029.0"/>
        <n v="1030.0"/>
        <n v="1031.0"/>
        <n v="1032.0"/>
        <n v="1033.0"/>
        <n v="1034.0"/>
        <n v="1035.0"/>
        <n v="1036.0"/>
        <n v="1037.0"/>
        <n v="1038.0"/>
        <n v="1039.0"/>
        <n v="1040.0"/>
        <n v="1041.0"/>
        <n v="1042.0"/>
        <n v="1043.0"/>
        <n v="1044.0"/>
        <n v="1045.0"/>
        <n v="1046.0"/>
        <n v="1047.0"/>
        <n v="1048.0"/>
        <n v="1049.0"/>
        <n v="1050.0"/>
        <n v="1051.0"/>
        <n v="1052.0"/>
        <n v="1053.0"/>
        <n v="1054.0"/>
        <n v="1055.0"/>
        <n v="1056.0"/>
        <n v="1057.0"/>
        <n v="1058.0"/>
        <n v="1059.0"/>
        <n v="1060.0"/>
        <n v="1061.0"/>
        <n v="1062.0"/>
        <n v="1063.0"/>
        <n v="1064.0"/>
        <n v="1065.0"/>
        <n v="1066.0"/>
        <n v="1067.0"/>
        <n v="1069.0"/>
        <n v="1070.0"/>
        <n v="1071.0"/>
        <n v="1072.0"/>
        <n v="1073.0"/>
        <n v="1074.0"/>
        <n v="1075.0"/>
        <n v="1076.0"/>
        <n v="1078.0"/>
        <n v="1079.0"/>
        <n v="1080.0"/>
        <n v="1081.0"/>
        <n v="1082.0"/>
        <n v="1083.0"/>
        <n v="1084.0"/>
        <n v="1085.0"/>
        <n v="1086.0"/>
        <n v="1087.0"/>
        <n v="1088.0"/>
        <n v="1089.0"/>
        <n v="1090.0"/>
        <n v="1091.0"/>
        <n v="1092.0"/>
        <n v="1093.0"/>
        <n v="1094.0"/>
        <n v="1095.0"/>
        <n v="1096.0"/>
        <n v="1097.0"/>
        <n v="1098.0"/>
        <n v="1100.0"/>
        <n v="1101.0"/>
        <n v="1102.0"/>
        <n v="1103.0"/>
        <n v="1104.0"/>
        <n v="1105.0"/>
        <n v="1106.0"/>
        <n v="1107.0"/>
        <n v="1108.0"/>
        <n v="1109.0"/>
        <n v="1110.0"/>
        <n v="1111.0"/>
        <n v="1112.0"/>
        <n v="1113.0"/>
        <n v="1114.0"/>
        <n v="1115.0"/>
        <n v="1116.0"/>
        <n v="1117.0"/>
        <n v="1118.0"/>
        <n v="1119.0"/>
        <n v="1120.0"/>
        <n v="1121.0"/>
        <n v="1122.0"/>
        <n v="1123.0"/>
        <n v="1124.0"/>
        <n v="1125.0"/>
        <n v="1126.0"/>
        <n v="1127.0"/>
        <n v="1128.0"/>
        <n v="1129.0"/>
        <n v="1131.0"/>
        <n v="1132.0"/>
        <n v="1133.0"/>
        <n v="1134.0"/>
        <n v="1135.0"/>
        <n v="1136.0"/>
        <n v="1137.0"/>
        <n v="1138.0"/>
        <n v="1139.0"/>
        <n v="1140.0"/>
        <n v="1142.0"/>
        <n v="1143.0"/>
        <n v="1144.0"/>
        <n v="1145.0"/>
        <n v="1146.0"/>
        <n v="1147.0"/>
        <n v="1148.0"/>
        <n v="1150.0"/>
        <n v="1151.0"/>
        <n v="1152.0"/>
        <n v="1153.0"/>
        <n v="1154.0"/>
        <n v="1155.0"/>
        <n v="1156.0"/>
        <n v="1157.0"/>
        <n v="1158.0"/>
        <n v="1159.0"/>
        <n v="1160.0"/>
        <n v="1161.0"/>
        <n v="1162.0"/>
        <n v="1163.0"/>
        <n v="1164.0"/>
        <n v="1165.0"/>
        <n v="1166.0"/>
        <n v="1167.0"/>
        <n v="1168.0"/>
        <n v="1169.0"/>
        <n v="1170.0"/>
        <n v="1171.0"/>
        <n v="1172.0"/>
        <n v="1173.0"/>
        <n v="1174.0"/>
        <n v="1175.0"/>
        <n v="1176.0"/>
        <n v="1177.0"/>
        <n v="1178.0"/>
        <n v="1179.0"/>
        <n v="1180.0"/>
        <n v="1181.0"/>
        <n v="1182.0"/>
        <n v="1183.0"/>
        <n v="1184.0"/>
        <n v="1185.0"/>
        <n v="1186.0"/>
        <n v="1187.0"/>
        <n v="1188.0"/>
        <n v="1189.0"/>
        <n v="1190.0"/>
        <n v="1191.0"/>
        <n v="1192.0"/>
        <n v="1193.0"/>
        <n v="1194.0"/>
        <n v="1195.0"/>
        <n v="1196.0"/>
        <n v="1197.0"/>
      </sharedItems>
    </cacheField>
    <cacheField name="Title" numFmtId="0">
      <sharedItems containsBlank="1">
        <s v="[Reject] Supposed to be Hello World"/>
        <s v="WagMedia - Collective Content Creation for 52 Weeks"/>
        <s v="OpenCommunity Governance"/>
        <s v="Proposal"/>
        <s v="[Whitelisted Caller] Referendum #3: Upgrade Bridge Hub to v9420"/>
        <s v="PolkaWorld Ops and Maintenance proposal：2023.6 - 2023.8"/>
        <s v="KILT Decentralized Identity Provider (DIP) - Polkadot Medium Spender Proposal"/>
        <s v="Growing the Music Vertical on Polkadot: Onboarding Billfold"/>
        <s v="Saturn Gateway - A Multichain Multisig Application for the Polkadot Ecosystem"/>
        <s v="Nomination Pool Incentives - Fixing an issue with Motion 339"/>
        <s v="Nova Wallet 4th Proposal: Multistaking dashboard, Staking Nomination Pools, WalletConnect v2, New Assets tab UI, Community Requested Features, Reimbursement for delivered features"/>
        <s v="submerge.io: Open-Source Indexer, Analysis, KYT, and AML Compliance Platform for the Polkadot Ecosystem"/>
        <s v="Fix HostConfiguration"/>
        <s v="Polkashots.io Cloud Costs January-April 2023"/>
        <s v="Restructuring of Polkadot Brasil"/>
        <s v="Aibot proposal：June 2023 - August 2023"/>
        <s v="Subsquare and dotreasury new features development plan including governance statistics, dotreasury dark mode, etc"/>
        <s v="Encode Club Tranches 2 and 3"/>
        <s v="Subsquid - Public data indexing Infrastructure for Polkadot and Kusama (Q1 2023)"/>
        <s v="A Common Ledger App Compatible With All Polkadot And Kusama Parachains [ retroactive funding for development ]"/>
        <s v="Privacy Sidechains for all Substrate- Based Chains"/>
        <s v="[Whitelisted Caller] Referendum #18 Polkadot v9430"/>
        <s v="[Small Spender] Stakeworld's polkadot RPC and bootnode infrastructure - Q2 2023"/>
        <s v="Subscan | Infrastructure Costs of Subscan for Polkadot &amp; Westend &amp; Rococo &amp; Statemint &amp; Rockmine  Networks (from July to December 2022)"/>
        <s v="Ledger Apps Maintenance Proposal (Polkadot, Kusama, Statemine, Statemint)"/>
        <s v="Genesis DAO Ecosystem Integration"/>
        <s v="Polkassembly's Registrar Application"/>
        <s v="Proposal: ink! design security review by OpenZeppelin (treasury proposal 2/2)"/>
        <s v="Requesting a return of the submission deposit related to Motion #406."/>
        <s v="[OpenGov] Return of the bond for the rejection of (Gov1) Treasury Proposal #244 (MVP Workshop)"/>
        <s v="Requesting a return of the submission deposit related to Motion #405."/>
        <s v="Returning submission deposit for Anagolay proposal, related to rejecting proposal #256 (more info in the desc.)"/>
        <s v="Societal - A Homebase for Decentralized Communities"/>
        <s v="OpenGov submission of Motion 420 - Upstream funding Matrix.org Foundation"/>
        <s v="Requesting a return of the submission deposit"/>
        <s v="Milestone 2: Polkadot Hackathon Global Series 2023: Europe Edition"/>
        <s v="Encointer Treasury Proposal"/>
        <s v="RadiumBlock seeks reimbursement for Polkadot Endpoint Service (Q4 2022 and Q1 2023)"/>
        <s v="Polkadotters – retroactive and future funding of community powered media for Polkadot &amp; Kusama ecosystem in 2022-2024"/>
        <s v="OneBlock The 2023 Polkadot Summer Hackathon proposal"/>
        <s v="(Big Tipper) Small Funding for KryptosChain Media"/>
        <s v="(Small tipper) Funding for AnimatedCrypto channel "/>
        <s v="Next revision of increasing nomination pool limits &amp; commission"/>
        <s v="Pinknode Public Endpoint for Polkadot in Q4 2022"/>
        <s v="Notifi Vote RE: #1767 Notifi - Communication &amp; Notification Tooling for Polkadot's Broader Ecosystem"/>
        <s v="[Please reject] Erroneous Referendum Submission"/>
        <s v="Polkadot Relayers Incubator 2023"/>
        <s v="Treasury proposal for New Product Development &amp; OpenGov Deployment"/>
        <s v="Funded High Performance Public Infrastructure for the entire Polkadot Ecosystem (OnFinality)"/>
        <s v="Polkadot Hubs - Initiative case-study, education and support for future hubs (12 months period)"/>
        <s v="Approve Polkadot Assurance Legion Bounty"/>
        <s v="Part 1 of 2 request for 1100 DOT deposit reimbursement"/>
        <s v="Part 2 of 2 request for 1100 DOT deposit reimbursement"/>
        <s v="GovernGoofed, a proposal to tackle 3 of the most challenging issues in OpenGov V1"/>
        <s v="[Whitelisted Caller] Referendum #51: Open HRMP Channels Between System Parachains"/>
        <s v="DAO_Terminal: Enhancing User Involvement in Polkadot Governance"/>
        <s v="[Auction Admin] Referendum #53: Start an Auction"/>
        <s v="25-minute contextual primer on Polkadot 2.0"/>
        <s v="[TAKE TWO] Next revision of increasing nomination pool limits &amp; commission"/>
        <s v="Canceling Remaining Auctions and Introducing New Ones"/>
        <s v="Rust, Substrate, ink! technical content for rust developers."/>
        <s v="[Whitelisted Caller] Referendum #58: Increase Parachain Validators to 250"/>
        <s v="[Reject] incorrect preimage"/>
        <s v="A small tip for media representation"/>
        <s v="A small chatbot for the polkadot wiki"/>
        <s v="Metadata for offline signers"/>
        <s v="vote no pls , I missed preimage :("/>
        <s v="Treasury Proposal by 727.ventures: Polkadot Wink"/>
        <s v="AIWeb3 Chinese Unit proposal (爱Web3 中文社区提案)  -   PLEASE REJECT THIS, the amount of KSM is not correct!"/>
        <s v="AIWeb3 Chinese Unit proposal (爱Web3 中文社区提案)"/>
        <s v="Security Audit of trustless Ethereum 2.0 Light Client, developed as a Substrate Pallet"/>
        <s v="UI &amp; Front-end for Asset Conversion pallet (referenda68) - Project Status Update - Delivery Completed"/>
        <s v="[FAULTY PREIMAGE, PLEASE REJECT] A Polkadot Ecosystem App Store"/>
        <s v="Finsig SDK for Apple Products"/>
        <s v="Wasm Smart Contracts Bounty #19"/>
        <s v="A Polkadot Ecosystem App Store"/>
        <s v="Rejecting Gov1.0 Treasury Proposals and Facilitating Bond Reimbursement where applicable"/>
        <s v="Runtime Upgrade on Kusama to v9370"/>
        <s v="canceling"/>
        <s v="Smoldot development financing Q3/2023"/>
        <s v="Blockops Network - Grant Proposal for the development of One-Click Parachain Deployment"/>
        <s v="SmallTipper"/>
        <s v="deleted"/>
        <s v="Bounty to back Apillon Web3 development platform as a common good infrastructure"/>
        <s v="OnFinality High Performance Public Infrastructure (Q2 2023)"/>
        <s v="[Staking Admin] Referendum #84: Update System Collator Sets and Configurations"/>
        <s v="DOT holders 🤝 &amp; The Kusamarian 🤖❤️"/>
        <s v="Substrate, XCM rust technical practice videos."/>
        <s v="Maintenance for the substrate-api-client Feb-23 to Apr-23  -&gt; Wrong KSM PLEASE REJECT"/>
        <s v="Top-Up Request for Previously Funded Proposal #663"/>
        <s v="OnFinality Unified NFT API"/>
        <s v="Proposal to use $DED to Conduct Targeted Marketing during KBW 2024"/>
        <s v="Proposal: Artificial Intelligence for security monitoring on a network level "/>
        <s v="Gosemble Phase 2 - a Framework for building Substrate-compatible Runtimes in Go (Parachains &amp; Solochains)"/>
        <s v="Specialized Learning Path of Polkadot Ecosystem for Devs"/>
        <s v="Wrong $DOT amount, please nay"/>
        <s v="Infrastructure Funding for Polkadot Asset Hub - Migration of Kusama NFTs"/>
        <s v="Small tip for Polkadot community activation in Finland"/>
        <e v="#ERROR!"/>
        <s v="Milestone 2 and 3 Payment Request – YieldBay: Polkadot’s yield farming dashboard"/>
        <s v="POLKADOT INSIDER - 28 WEEKS OPERATION &amp; GROWTH FUNDING (AUGUST 2023 - FEBRUARY 2024)"/>
        <s v="Patron Milestones 2-7 Development"/>
        <s v="Top-up request for Reactive DOT and related works"/>
        <s v="A small tip for a staking rewards calculator"/>
        <s v="Milestone 3 Proposal: Polkadot x EasyA Hackathons at Harvard and in London (#60DaysOfPolkadot)"/>
        <s v="[Retroactive] Polytope Labs: ISMP Research &amp; Development"/>
        <s v="Milestone 3: Polkadot Hackathon Global Series 2023"/>
        <s v="Polkadot journal: A Marketing Proposal for Polkadot/Kusama"/>
        <s v="Proposal: OpenZeppelin x Polkadot Ecosystem Growth"/>
        <s v="Community-Centric Blockchain Education: Dacade's Commitment to Polkadot's Growth via learning through sharing"/>
        <s v="LayerX - rollout parachain as Trustless Bridge between Polkadot and Ethereum."/>
        <s v="Polkasafe - Milestone 2 - Retroactive funding proposal"/>
        <s v="[Whitelisted Caller] Referendum #110: Update Parachain Validation Config"/>
        <s v="Propose Curator for PAL Bounty"/>
        <s v="Refunding Pink Node's GOV1 Treasury Spend Deposit"/>
        <s v="Refunding MIDL.DEV's GOV1 Treasury Spend Deposit"/>
        <s v="Refunding Radium Block's GOV1 Treasury Spend Deposit"/>
        <s v="Refunding CCTF's GOV1 Treasury Spend Deposit"/>
        <s v="PolkaWorld Ops and Maintenance proposal：2023.9 - 2023.11"/>
        <s v="Societal: Advanced Treasury, Governance and Member Management Systems for Decentralized Communities"/>
        <s v="Maintenance for the substrate-api-client Sep-23 to Dec-23"/>
        <s v="An Open Communication Layer For Polkadot"/>
        <s v="Multix - Further development and Cypress Dapp testing plugin"/>
        <s v="Crypto-Friendly Substrate Scaffold Pallets for Every Parachains"/>
        <s v="[Whitelisted Caller] Referendum #122: Register KSM on Asset Hub"/>
        <s v="Recognising Paradox's Contributions to Reject Gov 1 Proposals and Release Bonds"/>
        <s v="Magnet Proposal: Polkadot’s Smart Contract Docking Station using DOT as Gas Based on the PAYG Model"/>
        <s v="Nova Spektr Milestone 3 Proposal: Dynamic Derivations, WalletConnect v2, Proxy accounts, Cross-chain transfers, Fiat values, EVM addresses &amp; more"/>
        <s v="RadiumBlock: Retroactive funding for High Performance Public Endpoint Service for Polkadot(Q4 2022 and Q1 2023)"/>
        <s v="Void - incorrect spend submitted"/>
        <s v="Allocate DOT Loan for Use Amongst Cross-Ecosystem DeFi within the Cosmos Ecosystem"/>
        <s v="Encointer Treasury Proposal (budget halving)"/>
        <s v="Cancel Old Auctions Schedule - Replaced by New Schedule After OpenGov Inclusion"/>
        <s v="Polkadot @ SXSW 2023, Austin, Texas on March 12th-15th 2023"/>
        <s v="Unbrick Nodle"/>
        <s v="Election of curation team - bounty 19: Wasm Smart Contracts Bounty"/>
        <s v="Proposal: Building a better understanding of blockchain across mainstream global media"/>
        <s v="Moderation Team Bounty"/>
        <s v="Create &amp; implement RFC14 - Improve locking mechanism for parachains"/>
        <s v="ink!Hub Treasury Proposal "/>
        <s v="OnFinality High Performance Public Infrastructure (Q3 2023)"/>
        <s v="Moonbeam: Swap Leases with Parachain 3342"/>
        <s v="(VOTE NAY!!) Polkadot Parachain Assets Onramp Bounty Program "/>
        <s v="Increasing Hiring Success in Polkadot by Missing Link"/>
        <s v="Increase MaxMemoryPages to 512MB"/>
        <s v="Refunding AlexPromoTeam GOV1 Treasury Spend Deposit"/>
        <s v="Small Tips retroactive for Content in Portuguese UPDATED (Vote Nay - if you set AYE Change your vote to NAY)"/>
        <s v="Subsquid - Public data indexing Infrastructure for Polkadot and Kusama (Q2 2023)"/>
        <s v="KAGOME – the C++ implementation of Polkadot Host milestone 2"/>
        <s v="Ignore / Nay (Duplicate Ref) "/>
        <s v="Notifi - Communication &amp; Notification Tooling for Polkadot's Broader Ecosystem V2 Proposal"/>
        <s v="Untitled"/>
        <s v="Bounty: The Genesis Incentive Pool"/>
        <s v="Polkadot System Parachain Collators - Tips"/>
        <s v="KryptosChain Media Support (Continuation) - Big Tipper Request"/>
        <s v="ink! OpenBrush 8-9, 11 milestone delivery"/>
        <s v="Retroactive and future maintenance/development of Parachains.info"/>
        <s v="Polkadot &amp; Teddy DAO: A New Way to Leverage Charitable Giving in Web3"/>
        <s v="Polkadot System Parachain Collators - Tips - Referenda #151 failed to execute"/>
        <s v="Increase DOT media visibility through media buying and airdrop campaign"/>
        <s v="PolkaWorld Ops and Maintenance proposal：2023.10 - 2024.3"/>
        <s v="Moderation Team Bounty Curator Proposal"/>
        <s v="AIWeb3 Chinese Unit proposal (爱Web3 中文社区提案) - September, 2023 - March, 2024"/>
        <s v="Apillon Platform Milestone 1 Proposal"/>
        <s v="Polkadot Live: Proposal for funding community driven development to initial release."/>
        <s v="Polkadot Parachain Assets Onramp Bounty Program"/>
        <s v="Polkadot Nominator Insight Hub. Spreading the Best Nominator Strategies through TOP Nomination Leaderboards"/>
        <s v="Tweak Polkadot's Ideal Staking Rate"/>
        <s v="Maintenance &amp; Support Python Libraries (April to September 2023)"/>
        <s v="A French content hub for Polkadot Ecosystem"/>
        <s v="Need to get tip which is not executed in old gov"/>
        <s v="Coinsider Media Campaign for Polkadot"/>
        <s v="Get tip for substrate PR"/>
        <s v="OpenSquare infrastructure products maintenance(2023 Q2 and Q3) and a new batch of features development"/>
        <s v="Dubbing Polkadot Decoded 2023 into Italian"/>
        <s v="Proposal for USDC Sufficiency on Polkadot Asset Hub"/>
        <s v="SubQuery &lt;&gt; Nova Wallet Common API:  Maintenance Cost For Q1-Q2 2023"/>
        <s v="Polkadot Unity SDK proposal to become a Verified Solution (Part 1)"/>
        <s v="Dot Leap 2: Let's grow!"/>
        <s v="Polkadot Blockchain Academy - retroactive funding for wave 3 of the Academy held at UC Berkeley this Summer."/>
        <s v="Beyond Raw Data: How Polkascan Transforms Subsquid Aggregates into a User-Friendly Polkadot Experience (Polkadot Treasury Proposal)"/>
        <s v="Polkawatch, Decentralization Analytics, Continued Operation and Development"/>
        <s v="Featured Research Proposal: Empowering the Polkadot Ecosystem [CryptoEQ]"/>
        <s v="Polkassembly Social Contract | Maintenance proposal Q3 &amp; Q4’23"/>
        <s v="Cryptozilla - retroactive and continuation of video content production. (Big Tipper)"/>
        <s v="Proposal：Polkadot Hackathon 2023 Winter in HongKong"/>
        <s v="Public rpc services for polkadot including the common chains in Q3 2023"/>
        <s v="Encode latest tranche request"/>
        <s v="ELLIPAL Self-custody Cold Wallet 1 Proposal: DOT/KSM Tokens, Staking,ASTR &amp; GLMR Parachains&amp;Tokens,DOT/KSM/ ASTR/GLMR Swap,WalletConnect v2,Polkadot Wallet Integration"/>
        <s v="Kuma Wallet - Milestone 5"/>
        <s v="Recognizing Alice und Bob and #stakedot"/>
        <s v="Polkadot RPC services Dwellir Q3 2023 (retroactive) "/>
        <s v="Removed"/>
        <s v="DOTCAST - Pursuing quality improvement by spreading honest and true awareness."/>
        <s v="[TrackingChain] Bring Adoption for Companies: Building Infrastructure for Web2 Integration (Big Tipper Discussion)"/>
        <s v="Please vote against"/>
        <s v="Educational content maintenance proposal by Cryptonitas"/>
        <s v="Polkadot Weigher"/>
        <s v="Big Tips for Content in Portuguese - Verbo da Sabedoria Channel"/>
        <s v="Polkadot Ecosystem App Store - Dynamic App Pages &amp; Project Reputation System - dotappstore.com"/>
        <s v="Polkadot Relayers 2023 Milestone 2"/>
        <s v="Proposal: The operating cost for the research organization Polkadot Ecology Research Institute for 2023/10-2024/3"/>
        <s v="💎DOT Airdrop on Terra 2.0 ✅"/>
        <s v="Kill Referendum 203 (Scam Referendum)"/>
        <s v="Treasury Proposal: Parachain Loan Financing (PLF) Kapex Parachain"/>
        <s v="Please ignore or disapprove!"/>
        <s v="Go-Substrate-Rpc-Client - Retroactive Maintenance Grant (Sept 2021 to Dec 2023)"/>
        <s v="[Root] Referendum #208"/>
        <s v="[Retroactive Funding] Dotinsights - A Research Hub &amp; Data Platform for Polkadot &amp; Kusama Ecosystem"/>
        <s v="[Whitelisted Caller] Referendum #211: Upgrade Polkadot v1,000,000"/>
        <s v="Encointer Lease2 Treasury Proposal 2/2"/>
        <s v="KryptosChain Media (The Next Level!) - 6 Months of funding"/>
        <s v="[PRE-IMAGE FIX + RESUBMISSION] Polkadot Ecosystem App Store - Dynamic App Pages &amp; Project Reputation System - dotappstore.com"/>
        <s v="Smoldot development financing Q4/2023"/>
        <s v="Long Overdue Tip for Leemo's Contributions to the Polkadot Ecosystem"/>
        <s v="KryptosChain en Español (Polkadot ecosystem video content in Spanish) - 12 weeks funding"/>
        <s v="BlockchainBrad Educational &amp; Journalist Content - 6 Months funding"/>
        <s v="Proof-driven Whistleblowing: Decrease in the Number of Teams in the Ecosystem. Several Posts/Research by Rita2me."/>
        <s v="PolkaTube: Empowering the Spanish-Speaking Polkadot Ecosystem with RUST Programming, Substrate, and Marketing Content"/>
        <s v="Markedot: Marketplace and marketing with profits for the Polkadot and Kusama  community."/>
        <s v="Polkadot Pulse 1.0 &amp; Polkadot Networking Night @ IBW, ETHIndia Week"/>
        <s v="Proposal: Funding for the Brazilian Portuguese Language Content Producers Group"/>
        <s v="Retroactive funding for 73videos about Polkadot ecosystem(波卡梦龙)"/>
        <s v="AfterSide Crypto in Italian (Polkadot ecosystem video content in Italian) - 2 Videos"/>
        <s v="Retroactive tip for Polkadot booth at Hacktivity Security Festival 2023"/>
        <s v="Non-custodial DOT payments integration for major eCommerce platforms"/>
        <s v=" [VOTE NAY - RESUBMISSION IN PROCESS] Activation and retention of developers in Turkey and India for the Polkadot Ecosystem"/>
        <s v="Polkadot Sanctuary: A Journey of Achievements and Innovations in Bali - Retroactive funding"/>
        <s v="Polkadot Treasury USDT Acquisition"/>
        <s v="Chain Cohort Event Sponsorship - Opportunity to tap more than 1000 developers community and technology university in Vietnam."/>
        <s v="Enhance analytics solutions for Polkadot: Chainspect's Treasury Proposal"/>
        <s v="Title: Polkadot @CoindeskConsensus 2023, April 26-28, 2023 in Austin, Texas"/>
        <s v="Invalid: Events Bounty V2 Curator Candidacy"/>
        <s v="Events Bounty V2 Curator Candidacy"/>
        <s v="Retroactive Funding - Polkasafe Revised Proposal"/>
        <s v="IBC x Largest Polkadot Developer Outreach Proposal"/>
        <s v="Cancel Referendum 211 (runtime upgrade) due to bad call "/>
        <s v="Crafting a Users &amp; Developers Onboarding Funnel"/>
        <s v="Retroactive &amp; Ongoing Funding Rationale: Republik Rupiah - Turning Indonesia into the Polkadot Island's With Education and Community"/>
        <s v="BRA_16-D! Quality improvement of content for the Spanish Comunity by BRA_16-D"/>
        <s v="PROPOSAL FOR ADVANCING DECENTRALIZED FINANCE EDUCATION IN LATIN AMERICA WITH THE POLKADOT ECOSYSTEM"/>
        <s v=" Milestone 4: Polkadot Hackathon Global Series 2023 APAC Edition"/>
        <s v="Cancel Referendum 241 (runtime upgrade) due to XCM issue"/>
        <s v="PR, Content marketing, Social amplifications proposal"/>
        <s v="substrate-etl Retroactive funding: Q3+Q4 2022-Q1+Q2 2023"/>
        <s v="Cryptor. Polkadot AMAs for 2 largest Russian speaking crypto communities."/>
        <s v="Bounty Proposal: Business Prospects for Polkadot in Brazil"/>
        <s v="VOTE NAY IN THIS PROPOSAL 251"/>
        <s v="[Small Spender] Referendum #252: Retroractive funding for Web3 Education and Investment YouTube Channel Proposal"/>
        <s v="Vote (NAY) Revised the Tip Proposal - Dotgraphic "/>
        <s v="[Small Spender] Referendum #254: Retroractive funding for Web3 Education and Investment YouTube Channel Proposal"/>
        <s v="Altcoin Daily - High impact Polkadot media promotion"/>
        <s v="MASON VERSLUIS - Medium to High impact Polkadot media promotion"/>
        <s v="Addressing Polkadot's Negative Image on Twitter"/>
        <s v="DECENTRALISEDCHAIN - Low impact Polkadot media promotion"/>
        <s v="Big Tips for Subtitling and Promoting Kusamarian's Gavin Wood Interview"/>
        <s v="6 months Educational Campaign in India - Crypto India"/>
        <s v="AllInCrypto's Strategic Content and Community Engagement Proposal"/>
        <s v="Tip for Adam Steeber's participation in Dot Take"/>
        <s v="TuPrimerBitcoin: Creation of quality content on Youtube to make the Spanish-speaking Polkadot ecosystem more visible."/>
        <s v="EatYourCryptos: Creation of Educational Content in Spanish on Youtube"/>
        <s v="A Pink Proposal for $PINK"/>
        <s v="Cancel Referendum 265 - Funding 999,999 DOT for meme coin in the name of Polkadot Marketing."/>
        <s v="Revised Tip Proposal After Community Feedback - Dotgraphic "/>
        <s v="[Whitelisted Caller] Referendum #268: Polkadot v1,000,0001"/>
        <s v="Maria Andersen Crypto | Youtube Media Package Funding"/>
        <s v="Crypto Crow | Youtube Media Package Funding"/>
        <s v="Proposal to Fund educational content for MAD CRIPTO MX YouTube Channel and twitter account"/>
        <s v="Clockwise Crypto | Youtube Media Package Funding"/>
        <s v="MineYourBiz  | Youtube Media Package Funding"/>
        <s v="Advancing Decentralization:  @asteeber's Educational Video on Runtime Upgrade"/>
        <s v="Mind The Chart | Youtube Media Package Funding"/>
        <s v="&quot;Mistake in preimage - please Nay&quot;"/>
        <s v="SIAMO TUTTI NON FUNGIBILI | Youtube &amp; Social Media Package Funding"/>
        <s v="Open HRMP channels: AssetHub &lt;&gt; Composable Finance &amp; AssetHub &lt;&gt; Zeitgeist"/>
        <s v="dApp Marvels 💎 - Ink! Ecosystem growth tool"/>
        <s v="CryptoWendyO | Youtube Media Package Funding"/>
        <s v="Discover Crypto | Youtube Media Package Funding"/>
        <s v="Crypto Blood | Youtube Media Package Funding"/>
        <s v="Wrong Proposal"/>
        <s v="Decentralized Staking Support Group"/>
        <s v="Connecting The Dots "/>
        <s v="AfterSide Crypto | 6 MONTHS - Youtube &amp; Social Media Package Funding"/>
        <s v="Polkadot System Parachain Collators - Tips Q4/2023"/>
        <s v="please vote nay"/>
        <s v="Maintenance for the substrate-api-client Jan-24 to Jun-24"/>
        <s v="Please reject"/>
        <s v="Quality Content Creation and P2P support - The Bitcoin Army's Orinoco Campaign"/>
        <s v="The HGA Marketing Proposal"/>
        <s v="Wrong Preimage please vote Nay"/>
        <s v="VOTE NAY - WE ARE REPOSTING - Polkadot Brand Awareness Partnership with Real Vision (Raoul Pal)"/>
        <s v="ignore - UI errors"/>
        <s v="Holder-targeted Audience Growth w/  Addressable.io &amp; The Kusamarian"/>
        <s v="Polkadot's Educational Campaign India: A Wise Advice Initiative"/>
        <s v="Effective Media Proposal Evaluation System for the Polkadot Marketing Collective/s (Stage 1: Focus on Builders)"/>
        <s v="Easybuild. Fast Path for Future Polkadot Builders committed to building."/>
        <s v="Nova Wallet 5th Proposal: Cloud backups, Push Notifications, Proxies, Deeplinks, OpenGov improvements, Network management, Reimbursement"/>
        <s v="Reward for Content already made on Rust"/>
        <s v="Supercharge Polkadot's Brand: Collaborative Partnership with (Mario Nawfal) IBC Ventures"/>
        <s v="Bounty 27 Curator Committee Proposal "/>
        <s v="YouTube Polkadot Round Table Discussion"/>
        <s v="Toni Ghinea - Creating Polkadot Content"/>
        <s v="DAPP CENTRE | Youtube Media Package Funding"/>
        <s v="Talisman Wallet - Retroactive Proposal #1"/>
        <s v="Subscan | Infrastructure Costs of Subscan for Polkadot &amp; Westend &amp; Rococo &amp; Statemint &amp; Rockmine  Networks (from January to September 2023)"/>
        <s v="Oracle Ecosystem Initiative"/>
        <s v="KryptosChain Short Term Funding"/>
        <s v="#ERROR PLEASE VOTE NAY"/>
        <s v="https://github.com/paritytech/polkadot-api/pull/200"/>
        <s v="#ERROR PLEASE VOTE NAY!"/>
        <s v="Bring Adoption for Companies: Empowering BlockSpace with PolkadotSDK as the Core Infrastructure"/>
        <s v="“NacionCrypto” Establishment of Study Group and Development of Technical and Non-Technical Content."/>
        <s v="Increase Awareness of Polkadot On-Brand Narratives via Twitter Ads"/>
        <s v="Bitskwela - Bringing Polkadot to the Thriving Philippine Web 3.0 Community"/>
        <s v="Posted in error please vote nay"/>
        <s v="A 12-Month Strategic Alliance proposal: Polkadot and Cheeky Crypto Partner for Decentralized Innovation"/>
        <s v="Polkadot Brand Awareness Partnership with Real Vision (Raoul Pal)"/>
        <s v="Building Developer Ecosystems In Turkey &amp; India"/>
        <s v=" Crypto Sj Media proposal - Educational &amp; Awareness  Campaign in India"/>
        <s v="Alpha Airdrop - Polkadot Education Content Creation Proposal (6 months)"/>
        <s v="Corespace Weigher"/>
        <s v="DOT Request - UPDATE REJECT THIS REQUEST"/>
        <s v="OG Tracker"/>
        <s v="Proposed Polkadot Auction Schedule 2024"/>
        <s v="Treasury Proposal: An expansive course on Substrate and Polkadot"/>
        <s v="Development &amp; Maintenance for Node Red Polkadot bridge, a Client for Low Code IoT Integration"/>
        <s v="Polkadot Sponsorship @Token 2049, Singapore on September 13th - 14th 2023"/>
        <s v="Polkadot Colombia Ambassadors: technology education marathon through ten universities in Colombia and one in San Salvador."/>
        <s v="Open HRMP channels between AssetHub and Polimec"/>
        <s v="test"/>
        <s v="Polkadot Ecosystem Growth with Key Opinion Leaders"/>
        <s v="Business Expansion with Fintech, Corporate and Institutions in Spain and Andorra"/>
        <s v="Funding for 6 months of Polkadot brand promotion"/>
        <s v="Lark Davis - Proposal for Funding Polkadot Content Creation"/>
        <s v="Bounty Proposal for Public RPCs for Relay and System Chains"/>
        <s v="Scholarship for Polkadot Blockchain Academy Founder's Track"/>
        <s v="Cancel Ref 341 - Dolpha.com seeking 150,000 DOT "/>
        <s v="Polkadot Workshop @ UPR Mayaguez"/>
        <s v="sub0 Asia 2024 - pre-funding request"/>
        <s v="Proposal for the Deregistration of Equilibrium Parachain"/>
        <s v="Financial Support for Polkadot Blockchain Academy (PBA)."/>
        <s v="Polkadot IRL ADS Campaign #1 - Out of Home Digital Billboards, Toronto Canada"/>
        <s v="Influencer Marketing Campaign for Polkadot Community Engagement"/>
        <s v="Polkadot Staking Dashboard: Maintenance and Growth of Polkadot UX Proposal"/>
        <s v="Amplification of important ecosystem posts on X"/>
        <s v=" Polkadot Unity SDK proposal to become a Verified Solution (Part 2)"/>
        <s v="Magnet Milestone 2 Proposal: Polkadot’s Smart Contract Docking Station using DOT as Gas Based on On-demand Coretime Model"/>
        <s v="Retroactive Funding to Pepe Araucano for the Polkadot Meetup Buenos Aires"/>
        <s v="Bagpipes - Powerful No-code Cross-Chain XCM Dapp and Workflow Builder for the Polkadot Ecosystem 🪄"/>
        <s v="Funding of Polkadot System Parachain Collators"/>
        <s v="[Retroactive] Funding Development Costs for Dot Code School PoC - An Interactive Coding School to Build Meaningful Web3 Applications using the Polkadot SDK"/>
        <s v="WagMedia - Collective Content Creation for 26 Weeks"/>
        <s v="substrate-etl 2.0: Polkadot + Kusama Data on Dune (12 months, 3/15/24-3/14/25)"/>
        <s v="Polkadot Music Events Initiative - onboarding fans, artists and builders to Polkadot through music"/>
        <s v="Big Tipper Proposal : Retroactive fund - Meetup Multi Chain 2023 - Curitiba, Brazil "/>
        <s v="2nd installment for the referendum #196 already approved (2/3)"/>
        <s v="Kalatori — non-custodial Polkadot/AssetHub payment gateway for eCommerce"/>
        <s v="Milestone 4 Report: Polkadot x EasyA Hackathons at Harvard and in London (#60DaysOfPolkadot)"/>
        <s v="Subsquid - Public data indexing Infrastructure for Polkadot and Kusama (Q3 2023)"/>
        <s v=" Proposal for retroactive funding of Fellowship product development."/>
        <s v="Ignite Polkadot | Campaign #1"/>
        <s v="Polkadot Blockchain Academy - funding and reimbursement for costs associated with Wave 4 in Hong Kong."/>
        <s v="Unchained (by Laura Shin) X Polkadot - Sponsorship Proposal "/>
        <s v="Infrastructure funding for Polkadot Asset Hub #2 -  Components"/>
        <s v="Reimburse AssetHub HRMP channel deposit"/>
        <s v="NFT XCM"/>
        <s v="Setting the relay chain's safeXcmVersion to v3"/>
        <s v="BLOX MEDIA GROUP - Media Package"/>
        <s v="Continuous Coverage on Ivan on Tech for a FULL YEAR"/>
        <s v="Executive Search for PolkaDot - Senior BD Executive Search for PolkaDot "/>
        <s v="Boosting NFT Education in Latin America with the Polkadot Ecosystem"/>
        <s v="Community Memecoin launch marketing campaign"/>
        <s v="Polkadot Decoded 2023, final tranche (June, Copenhagen, DK)"/>
        <s v="Promoting the adoption of Polkadot through Gaming - The Great Escape"/>
        <s v="A Chain of Blocks - ACOBJason - 6 Months Continual Polkadot EcoSystem News &amp; Explanations"/>
        <s v="THIS PROPOSAL IS AN ERROR. PLEASE IGNORE: THE AMOUNT IS NOT CORRECT. PLEASE VOTE NAY. "/>
        <s v="Marketing Support NoSpec"/>
        <s v="(please read the important update first) To build the Sónar +D DAO by Polkadot: How blockchain can revolutionize the music industry."/>
        <s v="Finding and fixing a vulnerability in broker-pallet"/>
        <s v="Assigning a Curator to Bounty 32 (System Parachain Collator Bounty)"/>
        <s v="Twitter Kols Outreach"/>
        <s v="Chopsticks Web for dry run governance proposals and more"/>
        <s v="Maintenance &amp; Support Substrate Python API (Oct-Dec 2023)"/>
        <s v="Error in Submission and Address"/>
        <s v="Small tip to CultureDot for their efforts to market Polkadot at Times Square."/>
        <s v="Approve Current Fellowship V and VI Dan Members"/>
        <s v="Proposal: Polkadot Brand Awareness Campaign with Crypto Banter - Ran Neuner / PLEASE VOTE NAY"/>
        <s v="Marketing Bounty"/>
        <s v="Re-submission: Open HRMP channels between AssetHub and Polimec"/>
        <s v="Web3 Association 2024 Sponsorship"/>
        <s v="Error! Please vote NAY"/>
        <s v="Representing Polkadot on Radio Intereconomía &amp; BDZ, the Main Spanish Web3 Event"/>
        <s v="Treasury Proposal for Zeeve Wrench - an open-source Parachain Automation Framework"/>
        <s v="ink! + Ethereum RPC = ethink!. Proposal-01: PoC and Prototype."/>
        <s v="Polkadot Southeast Asia Developer Community Expansion for 1 Year Operation"/>
        <s v="Curators Candidates - Bounty #28"/>
        <s v="Polkadot Developers Conference // sub0 September 19-20, 2023 in Lisbon, Portugal - Final tranche"/>
        <s v="Polkadot in Finance: A Strategic Partnership Development Proposal"/>
        <s v="Building a Polkadot Hub for DevRels, Talent Pipeline and Potential Deal Flow for the Polkadot Ecosystem from the Philippines"/>
        <s v="Open HRMP Channels Between AssetHub And InvArch"/>
        <s v="Behind the Code II' - A Web Documentary series - OpenGov proposal "/>
        <s v="Upgrade Polkadot v1,001,000"/>
        <s v="Marketing Support NoSpec Tipper 2"/>
        <s v="PolkaWarriors - Cultivate a robust &amp; collaborative community of Polkadot in Vietnam"/>
        <s v=" Illustrated Book: &quot;The Sacred Coin Quest&quot; - Create a Collective Memory"/>
        <s v="Big Tip for Content in Portuguese - Verbo DotSama"/>
        <s v="Retroactive tip for Polkadot hackathon brunch in Dubai and Budapest"/>
        <s v="DOT Experts Tip for Hector Bulgarini for Proposal #379: NFT XCM"/>
        <s v="Proposing Curators for Bounty #31"/>
        <s v="Encode Club x Polkadot Education Programming 2023 - A Summary Report of Tranche 4 to Request Funding for Tranche 5"/>
        <s v="Treasury Proposal: Marketing and media proposal for Polkadot in China"/>
        <s v="Private Transfers of DOT"/>
        <s v="Encode x Polkadot 2024 Programming"/>
        <s v="Update Sufficient Asset Minimum Balances"/>
        <m/>
        <s v="Open HRMP channels between AssetHub and Hashed Network"/>
        <s v="Polkadot Watchdogs Governance Monthly Incentive Referendum #1 - VOTE NAY"/>
        <s v="Treasury Proposal: DOT liquidity loan for Bifrost DOT liquid staking token (vDOT) to be returned + DOT Staking rewards to Polkadot Treasury"/>
        <s v="Press Kit Polkadot 2.0"/>
        <s v="Approval of curators for Bounty 33 (marketing bounty)"/>
        <s v="Retroactive reimburesement for para upgrade fees contributions"/>
        <s v="Integrating Polkadot Blockchain for Decentralized Electric Vehicle Charging Network"/>
        <s v="Open HRMP channels between AssetHub and Unique Network"/>
        <s v="Retroactive Funding for ORML, Chopsticks, and Subway"/>
        <s v="Clean up undecodable storage entry"/>
        <s v="DOT Experts Tip for OnlyDeFiGuy for Proposal #432 | Bifrost vDOT liquidity loan"/>
        <s v="OpenZeppelin x Polkadot Ecosystem Growth Phase M2"/>
        <s v="Update Polkadot Asset Hub v1,001,001 and Sufficient Asset Minimum Balances"/>
        <s v="Cancelling Referenda 416, 428, and 443 in a batch"/>
        <s v="[PLEASE REJECT] Bridging Minds with TEACHMEDEFI: Growing Polkadot‘s Mindshare in the Crypto Space"/>
        <s v="POLKADOT IRL CAMPAIGN #2 - BERLIN TAXIS"/>
        <s v="Polkadot Branding and Differentiation Partnership with Cointelegraph"/>
        <s v="[Retroactive] SubWallet 14 Months Development"/>
        <s v="Mistake in pre-image - please vote NAY"/>
        <s v="Project Glove: Introducing Capital Efficiency and Pseudo-Anonymity on top of OpenGov"/>
        <s v="Redot #1: Polkadot Restaking and Enabling Polkadot DA Capabilities"/>
        <s v="Dota: Build up an Inscription Ecosystem on Polkadot"/>
        <s v="De-register parachain ID 2057"/>
        <s v="CryptoRank.io Exclusive Proposal: Empowering Polkadot’s Presence in the Crypto Sphere and Attracting New Active Users"/>
        <s v="The Polkadot Caravan Tour: Bridging the Gap in the U.S. Crypto Landscape"/>
        <s v="USDT and USDC Acquisition for the Treasury"/>
        <s v="Upgrade System to v1.1.2"/>
        <s v="Tip for 2023 Treasury Budget Analysis"/>
        <s v="Tip for Educational Content: OpenGov Thought Leadership"/>
        <s v="3nd installment for the referendum #196 already approved (3/3)"/>
        <s v="Retroactive Funding for Mimir - A Powerful Multisig Management Application For Polkadot Ecosystem"/>
        <s v="Polkadot Hackathon Global Series 2024: North America Edition"/>
        <s v="Paseo - Developer Testnet Funding"/>
        <s v="Polkalator"/>
        <s v="Polkadot-API: development financing"/>
        <s v="Project Proposal: Integration &amp; Support for  Moonbeam"/>
        <s v="Setup of two Swiss Foundations for DED and Mythos"/>
        <s v="Games Bounty [38]"/>
        <s v="BD Bounty [39]"/>
        <s v="Big Tip for a Portuguese/English educational channel"/>
        <s v="Big Tip For Market Mobster Polkadot Content Since 2020"/>
        <s v="Compensate for insufficient `phragmenElection.renounce` unreserve amount"/>
        <s v="Tutorial Media funding for KryptosChain"/>
        <s v="NoSpec Content Creator Support. "/>
        <s v="Polkadot Decoded 2024 treasury spend tranche 1/2"/>
        <s v="Small Tips for Retroactive Content"/>
        <s v="ETHDenver 2024 - Polkadot - Event Recap Video Marketing - Amplify Presence at One of the Largest Blockchain Conferences"/>
        <s v="Retroactive tip for work done on exchanging a member in the ranked collective"/>
        <s v="Formation of new space. Eliminate blockage. Developed for peace!"/>
        <s v="DeFi Infrastructure &amp; Tooling Bounty"/>
        <s v="Polkassembly Social Contract 2024"/>
        <s v="Polkadot Moderation Team Bounty Top-up"/>
        <s v="Polkadot Ecosystem Discord Risk Mitigation"/>
        <s v="Retroactive Tip For Independent Content Creation"/>
        <s v="Polkadot Ambassador Program"/>
        <s v="Refill Marketing Bounty [33]"/>
        <s v="Setting setOnDemandQueueMaxSize to 500"/>
        <s v="Funding Development Costs to Expand Dot Code School – Bridging the Gap Between Online Learning and Real-World Web3 Development with Local Coding Environments"/>
        <s v="Polkadot Greece (Retroactive)"/>
        <s v="Proposal: 2024 Polkadot Decoded Asia (Singapore) September 16 -17 (During the Singapore Token 2049 week)"/>
        <s v="LiteSend - remittance service secured by Polkadot"/>
        <s v="Implementing a Polkadot-native system parachain for data storage: Phase 1/3"/>
        <s v="The Sónar+D DAO by Polkadot"/>
        <s v="Veles project proposal - Carbon credits pallet"/>
        <s v="Bounty Proposal: Business Development Polkadot in Spain &amp; Andorra - VOTE NAY"/>
        <s v="Dot Amplify"/>
        <s v="Swissborg Proposal - A One Month Polkadot Awareness Campaign "/>
        <s v="Unified Wallet And Dapp Interaction"/>
        <s v="Tip for Longtime Polkadot Supporters CryptoWise"/>
        <s v="Treasury Proposal: Futarchy, a New Signal Generating Tech for Polkadot Governance"/>
        <s v="Milestone 1: EasyA x Polkadot Developer Growth via In-Person Hackathons and Crash Courses (#180DaysOfPolkadot)"/>
        <s v="Retroactive funding for developing the RFCs Referenda Bot"/>
        <s v="Set `safeXcmVersion` to 3 for AssetHub, Collectives and BridgeHub"/>
        <s v="[Medium Spender] Referendum #506"/>
        <s v="Polkadot Community Workspace NYC by Transistor"/>
        <s v="Polkadot sponsorship for LIFT Learning - A Fenasbac + Central Bank of Brazil initiative"/>
        <s v="Approval of curators for Bounty 39 (BD bounty)"/>
        <s v="Approval of curators for Bounty 38 (Games bounty)"/>
        <s v="Dot Latam Day 2023 (Retroactive)"/>
        <s v="Big Tipper Proposal: ETHDenver Official Afterparty (Bash) Polkadot Airdrop "/>
        <s v="Open HRMP Channels between AssetHub and Crust Network"/>
        <s v="Conor Daly - 2024 Indianapolis 500 Sponsorship"/>
        <s v="Marketing Bounty Flex [#41] - VOTE NAY"/>
        <s v="Bounty Cleanup Proposal"/>
        <s v="Polkadot Desktop Wallet Tutorial by Altcoin Daily"/>
        <s v="Parachain Runtime Builder - Treasury"/>
        <s v="Tip for Common Good Referendum Deposit Clean-up and Validator Payout Bot"/>
        <s v="Representation of Polkadot at the NERDCONF 6th Edition event in Mexico City at the BBVA Tower."/>
        <s v="Explainer video for Polkadot 2.0 - easy and understandable "/>
        <s v="(PLEASE REJECT) Read below if you are a PolkadotJS user"/>
        <s v="Rising Karting Star Seeks Polkadot Partnership(withdrawn)"/>
        <s v="Transfer the Lease of Bifrost Parachain 3356 to Bifrost Parachain 2030 to avoid downtime"/>
        <s v="Polkadot marketing proposal in Chinese speaking areas"/>
        <s v="Bounty proposal: Business Development Polkadot in Spain &amp; Andorra"/>
        <s v="Reimbursement for lost pool rewards"/>
        <s v="Error - Vote NAY"/>
        <s v="Refill for marketing bounty number #33 [250k]"/>
        <s v="1TRIBE: Africa On DOT - Phase II"/>
        <s v="Bounty Proposal: [Spanish content and event production bounty]"/>
        <s v="Meetups Bounty [#43]"/>
        <s v="NOTE - Vote Nay [Incorrect Preimage]"/>
        <s v="Inscriptions generator and marketplace (tender offer)"/>
        <s v="Vote Nay"/>
        <s v=" Polkadot Developer Community in China Expansion for 1 Year Operation"/>
        <s v="POLKADOT &lt;&gt; KUSAMA BRIDGE SECURITY BOUNTY"/>
        <s v="Universal Hybrid Substrate Faucet"/>
        <s v="OpenGov Discord Voting Bot Development"/>
        <s v="Retroactive Small Tips for Content (February)"/>
        <s v="Talisman Unified Retroactive Proposal #2"/>
        <s v="Initialize Kusama GRANDPA light-client running on Polkadot BridgeHub"/>
        <s v="Request for transferring all the DOT from the hacker's account to the Starlay's account"/>
        <s v="Replaced by Proposal #551 Amharic Chain Polkadot Academy to Small Spender Track"/>
        <s v="[VOTE NAY] DED Token birthing phase: &quot;EDs&quot; and technical proposal | On-Demand Governance for Assets on Asset Hub. "/>
        <s v="SHITTY PROPOSAL SORRY "/>
        <s v="PolkaMAPS, a DOTins project"/>
        <s v="AmharicChain Polkadot Academy"/>
        <s v="Token Terminal x Polkadot data partnership - Polkadot ecosystem on Token Terminal and their partner platforms (Bloomberg, MarketVector)"/>
        <s v="Paseo Testnet - Curator submission"/>
        <s v="Polkadot Pulse Dubai Edition &amp; Networking Night @ Token2049, Dubai"/>
        <s v="{bash} Events (the PMEI team) - a music and technology sandbox | onboarding users into Polkadot through music"/>
        <s v="DED Bounty - VOTE NAY"/>
        <s v="BD Bounty (retry)"/>
        <s v="Games Bounty (retry)"/>
        <s v="Tip for maintenance of the ORML pallets"/>
        <s v="Polkadot Hydration: Treasury LP"/>
        <s v="Polkadot Hydration: Liquidity Incentives"/>
        <s v="AMI Bounty Program"/>
        <s v="Cancelling DED Tech Proposal, and Deferring to DED Bounty Fund"/>
        <s v="Please vote to reject! The preimages hash is incorrect."/>
        <s v="Pinkdrop: Powering User Engagement and Ecosystem Growth"/>
        <s v="Proposal: Codigo Brazuca + Polkadot Brazil - Tech Academy - from Basic to Advanced  -  8 Months Track"/>
        <s v="Retroactive Tip For Solo Content Creation"/>
        <s v="Duplicate of #545 - please ignore"/>
        <s v="Please vote to reject! The preimages hash is incorrect"/>
        <s v="PolkaWorld Ops and Maintenance proposal：2024.4 - 2025.4"/>
        <s v="Polkadot Anti-scam Team Bounty Top-up"/>
        <s v="Big Tip for Polkadot Brasil on X"/>
        <s v="Continuation of work through Messari Protocol Services"/>
        <s v="Increase Awareness of Polkadot On-Brand Messages via Twitter Ads (5/1/24-12/31/24)"/>
        <s v="StellaSwap Incentive Program"/>
        <s v="Polkadot Runtime Upgrade v1.1.3"/>
        <s v="RegionX | Coretime Marketplace for Polkadot"/>
        <s v="PBA referendum - vote NAY - incorrect preimage"/>
        <s v="Polkadot Blockchain Academy - Wave 5 in person and remote - Singapore 20th May to 20th June 2024"/>
        <s v="Request withdrawn - replaced by whitelisted caller #593"/>
        <s v="Vote NO - Mistake in submission - New referenda coming shortly -  Polkadot @ Coindesk Consensus"/>
        <s v="Nomination Pool: Remove max pool and max member limits"/>
        <s v="Polkadot @ Coindesk Consensus"/>
        <s v="VOTE NAY - ERROR IN PREIMAGE"/>
        <s v="Fund system chains sovereign accounts on Polkadot BridgeHub for Polkadot&lt;&gt;Kusama bridge"/>
        <s v="Open HRMP Channels between AssetHub and Mythos"/>
        <s v="Error - Vote no"/>
        <s v="Requesting a refill for marketing bounty number #33"/>
        <s v="Polkadot Advertising Campaign on Brave Browser - Top-Up Request "/>
        <s v="Proposing Curators for the DeFi Infrastructure &amp; Tooling Bounty"/>
        <s v="Polkadot P2P Network Health Weekly Reports"/>
        <s v="Funding for Decentralized Social Media Editorial Board"/>
        <s v="Polkadot Agents Program - Phase 1"/>
        <s v="VOTE NO. Mistake in submission - New referendum coming shrtly"/>
        <s v="Lawsuit against Giotto Bounty"/>
        <s v="Mistake vote NO"/>
        <s v="This is a tip request for Boosting NFT Education in Latin America with the Polkadot Ecosystem"/>
        <s v="Contribution to the Italian Polkadot Community: Funding Request"/>
        <s v="Manta Wallet Retroactive Funding"/>
        <s v="Telenova: Polkadot Wallet built into Telegram. Retroactive Funding for 6 months"/>
        <s v="Setting onDemandBaseFee to 0.025 DOT"/>
        <s v="Polkadot x The Tie Partnership to Increase Institutional Exposure and Access"/>
        <s v="Integration of Polkadot into ChatG (An Ai Chat Startup)"/>
        <s v="Set BEEFY genesis (thus starting BEEFY consensus on Polkadot)"/>
        <s v="Conor Daly Indy500 Replacement Ref"/>
        <s v="PolkaBot.AI - Decentralized AI education hub on Polkadot "/>
        <s v="Subsquid Migration to ArrowSquid &amp; Indexing Upgrades"/>
        <s v="ink! Analyzer: Retroactive funding for ink! v5 support"/>
        <s v="VOTE no, wrong track"/>
        <s v="Discord Governance Bot Self Tip Request - 0xTaylor"/>
        <s v="Polkadot Growth Index 📈 and AI Insights 💡"/>
        <s v=" Vote Nay"/>
        <s v="Technical Support Bounty #625"/>
        <s v="[Big Tipper] Referendum #626"/>
        <s v="Proposal for Polkadot OpenGov Funding: WEB3DEV Bootcamp for Rust and Pallets Learning"/>
        <s v="Tip for Adam Steeber + Kusamarian concerning #514 Conor Daly - 2024 Indianapolis 500 Sponsorship"/>
        <s v="[Revision] Nomination Pool: Remove max pool and max member limits"/>
        <s v="Subsquare polkadot fellowship support milestone 1"/>
        <s v="TEACHMEDEFI - Growing Polkadot’s Mindshare in the Crypto Space"/>
        <s v="DOTCAST /This_is_the_DOT"/>
        <s v="OG Tracker 2.0"/>
        <s v="REJECT"/>
        <s v="Approval of curators for Bounty 43 (Meetup bounty)"/>
        <s v="Tip for 7 Polkadot Decentralized Voices"/>
        <s v="Bump parachain validation timeouts"/>
        <s v="Curators Candidates - Bounty #42"/>
        <s v="Polkadot in Spanish X account and Marketing Decentralization"/>
        <s v="Maintenance &amp; Support Substrate Python API (Jan-Mar 2024)"/>
        <s v="Mythical Games and Polkadot, a proposal from Mythos Foundation Swiss"/>
        <s v="#644 Polkadot - Sports Sponsorship Fund"/>
        <s v="Set Asset Rates for Treasury Assets"/>
        <s v="CURATORS PROPOSAL FOR BOUNTY 44 - POLKADOT &lt;&gt; KUSAMA BRIDGE SECURITY BUGBOUNTY"/>
        <s v="Polkadot.JS API UI enhancements"/>
        <s v="Upgrade Polkadot to Release v1.2.0"/>
        <s v="Infrastructure Builders Program Bounty"/>
        <s v="(Vote Nay) Polkadot Ecosystem growth campaigns"/>
        <s v="The Block x Polkadot"/>
        <s v="Test Proposal - Please Vote Nay"/>
        <s v="Magnet Milestone 3 Proposal: An Appchain Tech Stack leverages the Coretime Model to enhance DOT use cases and facilitate Polkadot's growth"/>
        <s v="Polkadot AmharicChain Hub: Mastering Polkadot | Empowering Learning"/>
        <s v="POLKADOT IRL CAMPAIGN #5 - POLKADOT X LYFT NYC"/>
        <s v="PolkaBiz  - Where founders forge investment-ready innovations."/>
        <s v="Semi-Retroactive &amp; Ongoing Funding for Cryptopolitan for Media Boost, Engagement, and Reach 2024 "/>
        <s v="Tip for Polkadot Presentation at Vienna Crypto Meetup"/>
        <s v="Tip Request for @OnlyDeFiGuy for the Expert Report on Referendum #561"/>
        <s v="Wrong amount vote nay"/>
        <s v="Polkadot Beam Sponsorship at ETHPrague 2024"/>
        <s v="⧓ Apillon Platform - Milestone 2 Proposal"/>
        <s v="Polkadot Fleet of Bikes in Paris for the Olympic &amp; Paralympic Games : A Unique &amp; Massive Marketing opportunity."/>
        <s v="Retroactive Tip for Portuguese Content Creation"/>
        <s v="52 Weeks of Kus Coverage ❤️🤖"/>
        <s v="Polkadot Drone Shows Over VELD Music Fest (100K+ Attendance) - Brand Awareness + PR Campaign"/>
        <s v="Retrospective Funding Proposal of the Polkadot HK Event"/>
        <s v="Infinity Wallet - A unique native desktop Wallet &amp; Web3 Browser - Milestone 1"/>
        <s v="Retroactive self-tip Request for Maintenance and Ongoing Development Validator Dashboard and Services"/>
        <s v="Retroactive Polkadot Event in Guadalajara Mexico - Talent Land 2024"/>
        <s v="Improving Polkadot’s Presence In the U.S. With The Texas Blockchain Council"/>
        <s v="Nova Spektr Milestone 4 Proposal: OpenGov voting and delegation, Support for complex account structures, Flexible multisigs, Operation basket, Assets Portfolio view, Fellowship voting, Web-hosted app"/>
        <s v="Polkadot Aligned Sponsorship at Proto Layers @ Prague [cancelled]"/>
        <s v="Polkadot Dapps over Apps"/>
        <s v="Proposal for Ensuring Continuity in Creating Content about Polkadot - VOTE NAY. THE PREIMAGE PROPOSAL IS PULLED"/>
        <s v="Initialize Snowbridge on BridgeHub and AssetHub"/>
        <s v="Proposal for JAM Ratification, Conformance, Performance by Polkadot Fellows"/>
        <s v="Pop Network | Enabling simple and powerful smart contract development, with DOT"/>
        <s v="Chainalysis analytics solutions on Polkadot Relay Network"/>
        <s v="Polkadot Q2 Marketing Campaigns by Distractive "/>
        <s v="Proposal for Klaster Integration into the Polkadot Ecosystem"/>
        <s v=" Integration of Avata with the Polkadot Ecosystem"/>
        <s v="Enable async backing on polkadot"/>
        <s v="Curators Candidates - Bounty #40"/>
        <s v="G6 Networks: Polkadot Ecosystem Expansion with Institutions"/>
        <s v="Proposal for unlocking $PINK from Phala soverign account to sibling account"/>
        <s v="Polkadot Bridge Hub 1.2.2 upgrade: Unstuck bridge with Kusama"/>
        <s v="Polkadot-API: Apr-Jul development financing"/>
        <s v="（Wrong commit! Please vote NAY）"/>
        <s v="Sponsorship and Side Event: Merge Madrid"/>
        <s v="The operating cost for the research organization Polkadot Ecology Research Institute for 2024/4-2025/3"/>
        <s v="BlockDeep Labs: Ecosystem Services Proposal for Polkadot Treasury"/>
        <s v="Restrict delegations on root and treasurer tracks"/>
        <s v="Elevating the Polkadot Ecosystem: Encode x Polkadot Programme 2024 "/>
        <s v="Approve the Polkadot EVM Collective"/>
        <s v="Reducing duration of spending periods"/>
        <s v="Reducing inflation - VOTE NAY"/>
        <s v="Wrong preimage - Please vote NAY"/>
        <s v="Test the brand-new spend() extrinsic"/>
        <s v="Ongoing Development of Gossamer (16 months)"/>
        <s v="NFT in Polkadot, the first book on NFTs in the Polkadot ecosystem."/>
        <s v="Retroactive Funding Request for PolkadotPrague 2023 Marketing Costs"/>
        <s v="Implement Optimistic Project Funding"/>
        <s v="VOTE NO - DUPLICATE"/>
        <s v="Incentivize Interlay iBTC capacity as Polkadot common good"/>
        <s v="Tip Request for Fardeen Haque for Awesome Dot"/>
        <s v="Proposal Outdated - Do Not Vote: LAOS already won Auction 68 with SF Bid"/>
        <s v="Establishing an Insurance Bounty to increase fiscal efficiency of Polkadot treasury"/>
        <s v="Top Up for Polkadot at Consensus "/>
        <s v="Polkadot @ Coinfest Asia 2024"/>
        <s v="TIP: Gamer Streaming Reimbursement"/>
        <s v="Open HRMP channels between AssetHub and SORA"/>
        <s v="ink! + Ethereum RPC = ethink!. Proposal-02: Getting Testnet-Ready."/>
        <s v="REJECT "/>
        <s v="The Gray Paper Interview' Retrospective Funding for Post-Production"/>
        <s v="Please vote NAY - Wrong preimage"/>
        <s v="#727 Semi-Retroactive Proposal for the translation of the Polkadot Wiki to Hungarian"/>
        <s v="Polkadot Insider 52 weeks Operation (May 2024 - May 2025)"/>
        <s v="Tip Ajay Dhore for transferring the polkadot_api npm package"/>
        <s v="Proposal: Establish the Polkadot Community Foundation to represent DOT holders IRL"/>
        <s v="Marketing support to help raise a new  US$100 Million Polkadot Ecosystem Fund"/>
        <s v="Please, VOTE NAY"/>
        <s v="Decoded 2024 Sponsorship for active community members"/>
        <s v="PREMATURE UN-NOTE OF PREIMAGE - BERLIN TAXI - REFILL #1 - WILL NOT EXECUTE"/>
        <s v="Reimbursement - Polkadot Pulse Dubai Edition &amp; Polkamix w/ Afrojack @ Token2049, Dubai"/>
        <s v="Kampela hardware cold signer productizing proposal"/>
        <s v="Onboarding Established Generative Artists to Polkadot Asset Hub and driving user engagement"/>
        <s v="Polkadot Blockchain Academy Wave 5 Singapore - Demo day seed prize fund proposal"/>
        <s v="Changing the curves of the referendums that were affected by extended confirmation periods"/>
        <s v="Move Part of Treasury to Asset Hub"/>
        <s v="CoinMarketCap x Polkadot 6 months integration (Renewable)"/>
        <s v="Express Lane"/>
        <s v="Empower Polkadot Playground - Educate With Game For Highschool and University"/>
        <s v="MobilePolka: Unveiling Polkadot's Depths on the Go"/>
        <s v="Polkadot 2.0 Definition"/>
        <s v="Bringing Stellar Liquidity to Polkadot: Loan DOT Collateral for Pendulum’s Spacewalk Bridge Vaults"/>
        <s v="Runtime Verification: Advanced Rust Property Test Verification for Polkadot Ecosystem"/>
        <s v="Propose Curator for IBP"/>
        <s v="Polkadot @ Blockchain Rio 2024"/>
        <s v="Should we abolish DV?"/>
        <s v="Learn Polkadot Tip for Polkadot Brand Being Elevated by Conor Daly and Inter Miami"/>
        <s v="PRE-IMAGE ERROR - VOTE NAY"/>
        <s v="Pilot MOU Proposal for a Collaboration between the Polkadot Ecosystem and the Founder Institute:"/>
        <s v="Test the brand-new spend() extrinsic (resubmission of 708)"/>
        <s v="Replacing curators for events bounty 17"/>
        <s v="Open source alternative to centralized polkadot API gateways and node as a service"/>
        <s v="POLKADOT IRL CAMPAIGN #6 - THE CITY &amp; CANARY WHARF, LONDON UK"/>
        <s v="Retroactive Payments for {bash} + adding Zebu Live Official Closing Party"/>
        <s v="HEROIC x Polkadot sponsorship"/>
        <s v="The JAM Spring Time Tour &amp; Top Up - The Kus x Key Pictures"/>
        <s v="Retroactive Tip - Reimbursement for Miami trip wrt Polkadot x Inter Miami proposal"/>
        <s v="Replacing curators for event bounty 17 (backup)"/>
        <s v="OG Tracker 2.0 Top Up"/>
        <s v="Recovering lost funds for local initiative"/>
        <s v="2nd Milestone Request for Rewards and Fees for Polkadot Prodigy Hackathon 2024"/>
        <s v="Make DED the official meme coin of Polkadot"/>
        <s v="dotafair: Fair Launch Chain,  A zero-threshold Fair Launch platform aims to build a DOT-based public benefit chain ecosystem, adding more use cases and adoption for DOT."/>
        <s v="Pease VOTE NAY, parameter is wrong"/>
        <s v="AIWeb3 Chinese Unit(爱Web3 中文社区) operation June. 2024 - Dec. 2024"/>
        <s v="DOTphin Event Multipass by Sovereign Nature with WalletConnect integration &amp; upgradeable, dynamic NFTs by Unique Network"/>
        <s v="Kinera, a Decentralised Media Platform [CANCELLED]"/>
        <s v="Events Bounty Top Up Proposal "/>
        <s v="Proposal: Funding for Design and Development of XCQ, the Cross-Consensus Query Language"/>
        <s v="Proposal for the Development of SubstrateSQL Server"/>
        <s v="ink! Analyzer: Retroactive funding for ink! 4.x to 5.0 migration features, and other major improvements (56,750 USDT)"/>
        <s v="Ignore - superceded by 781"/>
        <s v="DOT Experts Tip for OnlyDeFiGuy for Proposal #684 Chainalysis analytics solutions in DOT"/>
        <s v="DOT Experts Tip for OnlyDeFiGuy for Proposal #684 Chainalysis analytics solutions in USD"/>
        <s v="Developer tools for Polkadot-API"/>
        <s v="VOTE NAY, WRONG PRE-IMAGE"/>
        <s v="Chainalysis analytics solutions on Polkadot Network"/>
        <s v="Cancel Chainanalysis ref"/>
        <s v="Cancel root ref #693"/>
        <s v="Proposal for DED Bounties: Revitalizing Community Engagement"/>
        <s v="Top-up of Proposal 657 due to DOT price change."/>
        <s v="Polkadot Relayers Incubator 2024"/>
        <s v="[Whitelisted Caller] Upgrade Polkadot v1.2.4"/>
        <s v="Maintenance for the substrate-api-client Jul-24 to Dec-24"/>
        <s v="Beamex PERPadot: DOT LP Depth Loan, a significant DOT liquidity depth on Beamex Perpetual Exchange"/>
        <s v="Beamex PERPadot: Liquidity Incentives  program to attract liquidity and onboard new users to the Polkadot ecosystem via Perpetual Trading "/>
        <s v="[Retroactive] RegionX Corehub | Parachain management"/>
        <s v="Polkadot Ecosystem vCISO Program w/Spearbit"/>
        <s v="DOTCAST /This_is_the_DOT Top Up"/>
        <s v="Presentation on Augmented Reality Advertising for Polkadot by Overthereality"/>
        <s v="Polkadot Dapps over Apps (REVISED)"/>
        <s v="Inclusion of Moonbeam in marketing narratives"/>
        <s v="Curators Candidates - Bounty #49"/>
        <s v="Polkadot in Spanish Editorial Board and Marketing Top Up "/>
        <s v="Ecosystem Test Environment Bounty"/>
        <s v="Polkadot Education Program for Top Ethiopian Universities."/>
        <s v="Automated Reward Payout Initiative"/>
        <s v="Pre-Image error vote NAY"/>
        <s v="12 Months of Polkadot Advertising on Spotify x 2 Ad Campaigns"/>
        <s v="Open-Source Registrar Development Continuity"/>
        <s v="Pre-Image error, vote NAY"/>
        <s v="A reactive library for building Substrate front-end"/>
        <s v="error vote no"/>
        <s v="#814 Proposal: Promotion to &quot;VII Dan: Free Master&quot; for Gavin Wood - Evidence below"/>
        <s v="*UPDATED* Polkadot Drone Show + NFT Drop Over VELD Music Fest (100K+ Attendance) - Brand Awareness + PR Campaign"/>
        <s v="Proposal: Adding More Auctions For LP18 On Polkadot"/>
        <s v="Polkadot Business Development in Brazil - Continuation of Operations"/>
        <s v="Referendum #819 for the Polkadot UX Bounty"/>
        <s v="Title Sponsorship at the Crypto AI Summer Conference"/>
        <s v=" Free Beer Stand &amp; BD/Networking Space at Polkadot Decoded"/>
        <s v="Referendum #822 - Refill for marketing bounty number #33"/>
        <s v="Vote Nay. Is a toturial about How to Request Stable asset USDT, USDC"/>
        <s v="AssetX the new Polkadot Asset Hub DEX"/>
        <s v=" Cancelling treasury proposal #774"/>
        <s v="Revolutionizing Social Media for a Better Internet"/>
        <s v="Polkadot.js UI Bug When Initiating A Parathread for Parachain Auction"/>
        <s v="StorageHub’s Codebase Audit"/>
        <s v="Referendum 631 top up due to DOT price change"/>
        <s v="Funding the Technical Fellowship Sub-Treasury"/>
        <s v="VIRTUNE AB X POLKADOT - ETP CAMPAIGN, SWEDEN &amp; THE NORDICS"/>
        <s v="Inclusion of DED in marketing narratives"/>
        <s v="Retroactive Sponsorship Reimbursement for Polkadot CCTF Yacht event at Token 2049, Dubai"/>
        <s v="BD &amp; Marketing Proposal. Polkadot as the preferred network of chains for digitizing financial assets and similar real world assets "/>
        <s v="Polkadot Education - Polkadot Onboarding for Business"/>
        <s v="Treasury proposal for renewal of API licenses for Blockexplorers"/>
        <s v="Upgrade Polkadot v1.2.5"/>
        <s v="Big Tips for Content in Portuguese - JOÃO HAZIM - 440 DOT"/>
        <s v="RE-SUBMISSION OF REF #734 - BERLIN TAXI REFILL"/>
        <s v="Decoded 2024:  PopUp Hub for the community"/>
        <s v="VOTE NAY - ERROR PREIMAGE"/>
        <s v="Volatility adjustment for REF651 and REF742"/>
        <s v="Kudos: Unlocking the Full Potential of Polkadot’s Developer Community"/>
        <s v="Retroactive - Participation of Polkadot in Unlock summit 2024 Mexico, Puebla Talk + Workshop"/>
        <s v="JUST Retroactive Compensation for Contributions to the Polkadot Ecosystem"/>
        <s v="."/>
        <s v="Fixed Maximum Supply for Fiscal Certainty"/>
        <s v="lol - NAY"/>
        <s v="please vote no, wrong preimage"/>
        <s v="Inclusion of Hydration in marketing narratives"/>
        <s v="Polkadot London Event - Dawn of RWAs "/>
        <s v="Verified Organization Badges on Twitter/X for Parachains, Top Wallets &amp; Comms Channels"/>
        <s v="Reduce minBalance of USDT/C to 0.01"/>
        <s v="Polkadot Head Ambassador Application: six / David Pethes"/>
        <s v="Polkadot Head Ambassador Application: Leemo"/>
        <s v="Polkadot Head Ambassador Application: Ezio Rojas"/>
        <s v="Head Ambassador Application: Max Rebol"/>
        <s v="Inclusion of Novasama Technologies' Products in Marketing Narratives"/>
        <s v="Polkadot Head Ambassador Application: Albert(I Love Cripto)"/>
        <s v="Polkadot Head Ambassador Application: Irina Karagyaur"/>
        <s v="(EDIT) VOTE NAY "/>
        <s v="Preimage removed - referendum revoked"/>
        <s v="Incognitee: Productive Privacy Sidechains for DOT, KSM and all Substrate- Based Chains"/>
        <s v="Polkadot Head Ambassador Application: Alice und Bob"/>
        <s v="Polkadot Head Ambassador Application: Michiko Watanabe"/>
        <s v="[Whitelisted Caller] Upgrade Polkadot: v1.2.6"/>
        <s v="Polkadot Head Ambassador Application: William"/>
        <s v="Polkadot Head Ambassador Application: Abdulbee"/>
        <s v="Top-up of Proposal #87 due to DOT price change"/>
        <s v="#876 Polkadot Head Ambassador Application: Lorena (Blockya)"/>
        <s v="Proposal: Expanding the Polkadot ecosystem with Polkadot for Beginners (book) v2"/>
        <s v="Wrong pre-image, please vote NO"/>
        <s v="Polkadot Head Ambassador Application with focus on AI Growth: Zoé"/>
        <s v="Polkadot Head Ambassador Application: Mario Altenburger"/>
        <s v="Timed Out - Vote Nay"/>
        <s v="Requesting &quot;Top Up&quot; of Ref #601 due to DOT price change"/>
        <s v="Polkadot Head Ambassador Application: Patrizia De Bella"/>
        <s v="Should we allow EVM compatible contracts on Asset Hub?"/>
        <s v="Kampela Productizing Proposal, Redux"/>
        <s v="Resubmission of Promotion to &quot;VII Dan: Free Master&quot; for Gavin Wood - Evidence below"/>
        <s v="Enable approval voting protocol improvements"/>
        <s v="Polkadot Head Ambassador Application: Angelina "/>
        <s v="[Whitelisted Caller] Make WETH asset sufficient and set asset metadata"/>
        <s v="Please vote Nay - Technical issues with Pure Proxy"/>
        <s v="Proposal: OpenZeppelin x Polkadot Ecosystem Growth Phase M3"/>
        <s v="Asia Blockchain Summit 2024 Sponsorship"/>
        <s v="Inclusion of Dot Code School in Marketing Narratives"/>
        <s v="Requesting &quot;Top Up&quot; of Approved Ref #644 due to DOT price change"/>
        <s v="[Whitelisted Caller] Update Max HRMP Channels"/>
        <s v="2024 Polkadot Hackathons (September 2024 in Singapore and November 2024 in Bangkok)"/>
        <s v="pre-image pulled "/>
        <s v="Revised Proposal: Polkadot Sponsorship of traditional Family Office Investment Conference Series"/>
        <s v="Head Ambassador Proposal for Polkadot - Georgi #900"/>
        <s v="PLEASE VOTE NAY 😅"/>
        <s v="Polkadot Head Ambassador Application: Mexican Collective"/>
        <s v="Plaza smart contract tooling"/>
        <s v=" Top Up request: Universal Hybrid Substrate Faucet"/>
        <s v="&quot;Reward Mode&quot; - Unlocking Gaming Rewards with Polkadot.  TapNation is introducing 734,366 new users to the Polkadot ecosystem, adding 73,437 new wallets every month throughout the partnership period."/>
        <s v="Please reject."/>
        <s v="Hope Clary For Head Ambassador Team"/>
        <s v="Establish a rule for &quot;top up&quot;"/>
        <s v="Polkadot Head Ambassador Application:  Rish"/>
        <s v="Polkadot Head Ambassador Application | Cris, Patricia, Tin"/>
        <s v="Treasury Proposal: Polkadot Bounty Manager UI Development"/>
        <s v="Full Disclosure for Head Ambassador Sponsorship - Whistle-Blower Series Part 1"/>
        <s v="Referendum 912 posted on the wrong track"/>
        <s v="Ecosystem Agent Tip for Adam Steeber's bounty &amp; multisig tutorial"/>
        <s v="Top Up | RegionX Coretime Marketplace for Polkadot"/>
        <s v="Referendum for PolkaDotJobs.xyz: A Polkadot Native Job Board Provided as a Public Good"/>
        <s v="Dot Play Bounty"/>
        <s v="PROPOSAL -  FHE-WASM Research and Development for the Polkadot Ecosystem"/>
        <s v="Removing curators from Spanish bounty"/>
        <s v="Refill for marketing bounty number #33 - 500k DOT"/>
        <s v="Retracted"/>
        <s v="Polkadot User Segments &amp; Conversions 👨‍👩‍👧‍👦 for Ink!, Pallets &amp; XCM "/>
        <s v="Removing curators from Games Bounty [38]"/>
        <s v="Polkadot Head Ambassador for Gaming Application - Angie Dalton"/>
        <s v="KAGOME – the C++ implementation of Polkadot Host milestone 3"/>
        <s v="Polkadot Head Ambassador Application - Jimmy Tudeski"/>
        <s v="Please vote Nay, Preimage removed."/>
        <s v="Cancel 923"/>
        <s v="Cancel 917"/>
        <s v="Top up | HEROIC x Polkadot sponsorship due to DOT price drop"/>
        <s v="Proposing The Polkadot Tooling Collective"/>
        <s v="Polkasafe - The 360° multisig solution for Polkadot | Last Retroactive Funding Proposal"/>
        <s v="Polkadot Head Ambassador Application - Mario Schraepen"/>
        <s v="Polkadot Anti-Scam Team refill due to price volatility"/>
        <s v="Close bounty 33"/>
        <s v="Exclude Astar from marketing narratives"/>
        <s v="Continuation and Salary Request for Editorial Board in Spanish Members"/>
        <s v="Please vote nay. Sorry about that"/>
        <s v="Polkadot Head Ambassador Application: DJ Hà Trang &amp; SubWallet"/>
        <s v="Phink – ink! fuzzer for security and robustness  "/>
        <s v="Top-up of Proposal 751 due to DOT price change"/>
        <s v="Snowbridge Launch and Treasury Proposal"/>
        <s v="Removing Moonbeam from marketing narratives"/>
        <s v="Small Tip Proposal: We live in a society"/>
        <s v="Reactive DOT: funding request for continuation of development"/>
        <s v="Authena x Polkadot: The Future of Scalable Traceability"/>
        <s v="Kylix Finance - The Lending Parachain | Funding Proposal"/>
        <s v="Polkadot Head Ambassador Application: Bekka"/>
        <s v="Infinity Wallet - Milestone 2"/>
        <s v="Funding for 3 month Polkadot Brand Campaign"/>
        <s v="Educational Content in Spanish by long time active members at the Ecosystem"/>
        <s v="I would like to help Polkadot Marketing on X and Binance platform"/>
        <s v="Direction of marketing strategy"/>
        <s v=" Polkadot Global Football Foundation "/>
        <s v="Proposal to Tip Art Curators and a Polkadot Candidate Ambassador in the UAE."/>
        <s v="Polkadot Head Ambassador Proposal - Lucy Coulden"/>
        <s v="please vote Nay. Thanks a lot!"/>
        <s v="Proposal: Request for DOT Top-Up to Cover Price Difference"/>
        <s v="Plaza name"/>
        <s v="Plaza and Defi Bounty"/>
        <s v="Polkadot Head Ambassador : DonDiegoSanchez"/>
        <s v="Retroactive Tip for the development of LiteScan - A lightweight indexer for Polkadot Chains"/>
        <s v="[Whitelisted Caller] Register Polkadot People Chain"/>
        <s v="[Whitelisted Caller] Update HRMP Channel Limits"/>
        <s v="Nielsen reports"/>
        <s v="Retroactive Funding Proposal: Completed Remarker Development and Future Polkadot NFT Standards Implementation Post-Plaza Upgrade"/>
        <s v="[Wish For Change] Pledging to allocate 1% of Treasury Spending to Social Good Projects."/>
        <s v="please vote nay "/>
        <s v="Please vote nay, thank you!"/>
        <s v="Proposal to the Polkadot Community - Dustin Plantholt for Head Ambassador"/>
        <s v="TEST Bounty Please Vote For NAY !"/>
        <s v="People Chain Migration and Release"/>
        <s v="Polkadot Head Ambassador Application with focus on China Market - Siyu Liu"/>
        <s v="dAppForge - AI powered plug-in for Polkadot developers that reduces development time. "/>
        <s v="VOTE NAY - ERROR "/>
        <s v="Dotswap.org: Asset Hub DEX UI v1+v2 2024 Development+Hosting by MVP Workshop+Colorful Notion"/>
        <s v="Live Music on Polkadot: Billfold + Radiate Onboarding"/>
        <s v="Restricting games bounty (38) from investing in games related to mythical"/>
        <s v="Polkadot Head Ambassador - Alice und Bob"/>
        <s v="Proposal: Freelancing Platform Development "/>
        <s v="Polkadot Head Ambassador Application: Luca Poggi"/>
        <s v="Fellowship: Retain Wei at Rank III"/>
        <s v="Subsquid - Public data indexing Infrastructure for Polkadot and Kusama (Q4 2023)"/>
        <s v="Edit: Thanks"/>
        <s v="Incognitee: Privacy Sidechain on Paseo (Retroactive)"/>
        <s v="Incognitee: Privacy Sidechains (Soft Loan Q3'24)"/>
        <s v="Dissolve the &quot;Polkadot Alliance&quot; collective due to inactivity"/>
        <s v="A Wish for Continuity: Celebrating Polkadot's Core Values"/>
        <s v="Subsquare polkadot collectives support milestone 2"/>
        <s v="[Whitelisted Caller] Upgrade BridgeHub: v1.2.8"/>
        <s v="test proposal"/>
        <s v="Proposal for Top-Up for Funding of Polkadot System Parachain Collators"/>
        <s v="[Whitelisted Caller] Enable Elastic Scaling MVP node feature"/>
        <s v="Please vote NAY - Resubmitted as #1014"/>
        <s v="Propuesta de polkadot cafe/coworking"/>
        <s v="-"/>
        <s v="(Temp Check) Milestone_2 Funding Request for Motif: vote NAY"/>
        <s v="Requesting 1M DED tip"/>
        <s v="Further decentralize collators set on Polkadot System Parachains - Resubmission of #1008"/>
        <s v="Vote Nay for this Proposal "/>
        <s v="Head Ambassador Proposal: Dustin Lee"/>
        <s v="Vote nay on this"/>
        <s v="Refunding Polkadot Ecology Research Institute GOV1 Treasury Spend Deposit"/>
        <s v="Polkadot Head Ambassador – Hope Clary for Product"/>
        <s v="Recognition for the sponsorship and diffusion work of the ecosystem in the last month."/>
        <s v="AI-Powered Interactive Assistance for Efficient Research Paper Reading"/>
        <s v="JAM0 @ sub0/Devcon 7 @ Bangkok - November 9-16, 2024"/>
        <s v="[Small Tipper] Referendum #1025 - Creating a new vision for Polkadot Ambassador Program"/>
        <s v="[Treasurer] Fix and Add Asset Rates"/>
        <s v="Vote NAY - Wrong track"/>
        <s v="Inclusion of Bifrost Products &amp; Solutions in Marketing Narratives"/>
        <s v="Investment Conference Series for Polkadot, with Revenue-share Model for Treasury"/>
        <s v="AllInCrypto's Strategic Content and Community Engagement Proposal for Continued Partnership"/>
        <s v="Proposing Curators for the UX Bounty"/>
        <s v="Close Bounty 46 – AMI Bounty Program"/>
        <s v="Less noise, more Polkadot"/>
        <s v="AssetPortal (Milestone 1)"/>
        <s v="Polkadot for 100,000+ Students"/>
        <s v="Behind the Code II: Additional Funding for more episodes of Web3 Thinkers/Builders and Top-up on treasury #604 payout"/>
        <s v="To acquire Partyfy trademark"/>
        <s v="Polkadot Growth Initiative (PGI)"/>
        <s v="Enhancing Coretime DevTools for Seamless Parachain Builder Experience"/>
        <s v="Remove Michiko Watanabe from the Polkadot Ambassador Program"/>
        <s v="forceSetBalance treasury to 0"/>
        <s v="Dazhbog: A Decentralized Perpetual Futures Exchange"/>
        <s v="Creating a standardized interview for Head Ambassadors"/>
        <s v="ink! 5.0 Codebase Security Audit"/>
        <s v="Request for Tip the experiment with beer bar at the Polkadot Decoded 2024"/>
        <s v="[Small Tipper] Referendum #1047 "/>
        <s v="The Polkadot Halving"/>
        <s v="Ecosystem agent tip for Saimon contributions - Developer, Community and Business"/>
        <s v="Increase recommended core count for validators reference hardware from 4 to 8"/>
        <s v="Polkadot OpenGov TOP-UP KILLER: utility.batch treasury.spends with USDC + USDT"/>
        <s v="Tip for HA Lucy Coulden to cover expenses at Coinfest Asia"/>
        <s v="50 Polkadot Ecosystem PR campaigns in the most influential media"/>
        <s v="Subscan | Infrastructure Costs of Subscan for Polkadot &amp; Westend &amp; Rococo &amp; Statemint &amp; Rockmine  Networks (from October 2023 to June 2024)"/>
        <s v="Make the next Polkadot Hub official in Budapest, Hungary"/>
        <s v="VOTE NAY!"/>
        <s v="Inclusion of Centrifuge in Marketing Narratives"/>
        <s v="Polkadot Live: Milestone 2 Development Proposal"/>
        <s v="[Small Tipper] Referendum #1061"/>
        <s v="Milestone 2 Funding Request for Motif: Polkadot Proactive Staking Assistance"/>
        <s v="Improved Proposal from Chainalysis to Polkadot"/>
        <s v="Tip for exposing Michiko Watanabe"/>
        <s v="Remove myself from the Fellowship collective"/>
        <s v="Deposit DOT into parachain child accounts to accelerate opening XCM channels"/>
        <s v="Solidity smart contract tooling - research for AssetHub/Plaza"/>
        <s v="Changes to PAL Security Bounty"/>
        <s v="PlutoWallet 1st proposal: Account abstraction, Full featured NFT support, Transaction Analyzer"/>
        <s v="[Polkadot Community Foundation] Polkadot at Slush 2024"/>
        <s v="Retroactive tip request for retro posters"/>
        <s v="Open Source Developer Grants Bounty Program"/>
        <s v="Rust, ink! technical content for  developers"/>
        <s v="Polkadot App - PCF IP Rights &amp; Funding for publishing the app"/>
        <s v="[Medium Spender] Open-source KYT on Dot #1083"/>
        <s v="Retroactive tip by 6 months at Polkadot Peru and international activities"/>
        <s v="The Modern Market Show Headline Sponsorship - 6 Months"/>
        <s v="Polkadot Advertising Campaign on Brave Browser - Top-Up Request - PLEASE SEE COMMENT 9/5/24"/>
        <s v="Tip Sourav for PSVM Merge Request #23"/>
        <s v="Resubmission of ref#975 Retroactive Funding Proposal: Completed Remarker Development and Future Development"/>
        <s v="B2B Marketing &amp; Sales Enablement For The Polkadot Ecosystem"/>
        <s v="The Dots Magazine - 2nd proposal "/>
        <s v="POLKADOT CHARITY FOUNDATION - Establishment &amp; Inaugural Initiative Launch"/>
        <s v="Bye 😉"/>
        <s v="From Pitch to Market: Enhancing Founder Success with PolkaBiz"/>
        <s v="(Already passed as 1072, but didn't execute) Solidity smart contract tooling - research for AssetHub/Plaza"/>
        <s v="IN IT FOR THE TECH{NO} - Polkadot Opening Party @Token2049, SIngapore"/>
        <s v="DOTUI: Polkadot UI/UX Design System Draft"/>
        <s v="Bounty Cleanup"/>
        <s v="[Small Tipper] Referendum #1100 - Creation of Head Ambassador pages in PolkadotJS apps"/>
        <s v="Polkadot participation in Hack Seasons during Token2049"/>
        <s v="Kheopswap retroactive funding"/>
        <s v="Polkadot-API: Aug 2024 - Jan 2025 development financing"/>
        <s v="Convert Part of DOT Assets to Stablecoins"/>
        <s v="Polkadot At The Australian Crypto Convention"/>
        <s v="CoinGecko - Polkadot Campaign"/>
        <s v="[Whitelisted Caller] Register the Polkadot Coretime Chain"/>
        <s v="Wrong Call Data Please Vote NAY"/>
        <s v="Polkadot AI Navigator: Enhancing User Experience with an Intelligent Ecosystem Assistant Proposal"/>
        <s v="Connecting the DOTS: Training the Next Generation of Blockchain Security Experts"/>
        <s v="2025 Polkadot Motorsports Program w/ Global Ambassador - Conor Daly"/>
        <s v="Support for Investigative Work and Communication Initiatives in Polkadot"/>
        <s v="&quot;sub0 RESET&quot; @Devcon Bangkok - back to the roots"/>
        <s v="Cyborg Network: Unlocking the Web 2.5 potential of Polkadot with Blockchain powered Edge Computing"/>
        <s v="FiDi | Polkadot’s Code-Free Intelligence"/>
        <s v="Polkadot Virtual Machine (PVM) Formal Specification Development"/>
        <s v="[Retroactive] SubWallet 08 Months Development"/>
        <s v="Coretime Notifications"/>
        <s v="Alternative Proposal on Blockchain AML/CTF Compliance from GlobalLedger."/>
        <s v="*UPDATED* Proposal for the Polkadot Community to Earn RWA Yield on Idle Stablecoins via Centrifuge"/>
        <s v="ink! Alliance for a more successful Plaza"/>
        <s v="[Small Tip] NFT Portal update and ownership adquisition"/>
        <s v="Polkadot Blockchain Academy; PBA-X production and launch, Wave 6 production and execution. September 2024 to the end of March 2025."/>
        <s v="Snowbridge: Update Bridge Pricing Parameters to Lower Transfer Fees"/>
        <s v="Retroactive Tip to AwesomeDot Team for high quality technical podcasts"/>
        <s v="[Whitelisted Caller] Increase validator set size to 400"/>
        <s v="Polkadot India IIT Roorkee Workshops and Hackathon (1/5)"/>
        <s v="Polkawatch, Decentralization Analytics, Retroactive Infrastructure and Maintenance Q1-Q3 2024"/>
        <s v="EasyA x Polkadot - Developer Growth via In-Person Hackathons and Crash Courses (#180DaysOfPolkadot): Milestones 1 &amp; 2 Report"/>
        <s v="Bitskwela - Expanding Polkadot to the Thriving Philippine Web 3.0 Community"/>
        <s v="Polkadot's Economics Parameters: Proposal 1 (10% constant total inflation)"/>
        <s v="Polkadot's Economics Parameters: Proposal 2 (8% constant total inflation)"/>
        <s v="Polkadot's Economics Parameters: Proposal 3 (8% total inflation in the first year, then gradually decreasing)"/>
        <s v="Staking Rewards Partnership - Stake App &amp; Terminal Integration"/>
        <s v="Duplicate - vote NAY"/>
        <s v="[Whitelisted Caller] Upgrade Polkadot to v1.3.x (transition to Agile Coretime)"/>
        <s v="Fellowship: Retain bkchr at rank 6"/>
        <s v="Polkadot ecosystem ‘open for all’ organic PR &amp; media campaign"/>
        <s v="G6 Milestone 2: Enterprise SDK for Managed Blockchains and Polkadot Citizens Integration"/>
        <s v="Open source Substrate Indexer in Rust with a decentralized Blockchain Explorer, by Mosaic Chain"/>
        <s v="Implementing a Polkadot-native system parachain for data storage: Phase 2/3"/>
        <s v="[Root] Please reject/ignore"/>
        <s v="Please reject/ignore."/>
        <s v="Polkadot's Economics Parameters: Proposal 4 (5% constant total inflation)"/>
        <s v="UNNOTE THE PREIMAGE- PLEASE DON'T VOTE"/>
        <s v="Retroactive Tip for polkadot &amp; kusama OpenGov Voting Observer Twitter(X) Bot"/>
        <s v="Compensation tip for coverage of activities"/>
        <s v="[Wish For Change] Referendum #1157 - Make polkadot.com code, open source"/>
        <s v="Argus Explorer : Open-source, PVM-focused blockchain explorer designed to address critical needs within the Polkadot ecosystem."/>
        <s v="Support for Investigative Work and Communication Initiatives in Polkadot - Revisited"/>
        <s v="Close Bounty 19 – Wasm Smart Contracts Bounty"/>
        <s v="[Whitelisted Caller] Configure the Coretime Chain and start sales"/>
        <s v="Please Vote on #1177 (Deprecated -&gt; .DOT Authority Registration for the Polkadot App)"/>
        <s v="[Retroactive $DED token] Social Media marketing for dotisded"/>
        <s v="ChessOnchain on Polkadot "/>
        <s v="Development of @noble/curves/sr25519 package by Paul Miller and audit sponsorship (1/2)"/>
        <s v="Marketing Bounty 2.0"/>
        <s v="[Small Tipper] Tip for Creating a UI for the Substrate Kitties Tutorial"/>
        <s v="Showcasing Polkadot’s Capabilities: The Spammening"/>
        <s v="Only Retroactive Funding Proposal: Completed Remarker Development"/>
        <s v="Educational content maintenance proposal by Cryptonitas. "/>
        <s v="[Whitelisted Caller] Fix incorrect price for first coretime sale"/>
        <s v="Polkadot Community Foundation &lt;&gt; Ledger - Giveaway to Increase 𝕏 Followers"/>
        <s v="Tip for 4+ Years of Phunky Polkadot Activism"/>
        <s v="VDS Academy Channel - 6 months funding"/>
        <s v="Sub0 Thailand 2024 Sponsorship for active devs and community members"/>
        <s v=".DOT Authority Registration for the Polkadot App"/>
        <s v="SoyPolkadot: Driving Mass Adoption in LATAM through Real Experiences and Rewards"/>
        <s v="FanSociety - an on-chain fan club protocol for musicians and fans"/>
        <s v="Action Research for OpenGov"/>
        <s v="Anti-phishing browser extension"/>
        <s v="World’s Gymnastics on Polkadot"/>
        <s v="Polkadot User Acquisition tool 👨‍💻⬆️ [$DOT difference adjustment]"/>
        <s v="Bounty Proposal: [Continuation of the Spanish content and event production bounty]"/>
        <s v="Reduce the Set of Head Ambassadors and Start an Effective Ambassador Program"/>
        <s v="Polkadot Korea: 3-Months Marketing and Community Expansion Services by CoinEasy 🍊"/>
        <s v="Canceling referendum 1186"/>
        <s v="Proposal to Demote Don Diego Sanchez as Head Ambassador"/>
        <s v="Inroduce KYC/DID for HA and Bounty Curators"/>
        <s v="Kill Referendum #1189 - Keep Mr Sanchez in the Relay Chain"/>
        <s v="PolkaIdentity's Registrar Application"/>
        <s v="SQD (fka Subsquid) - Public data indexing Infrastructure for Polkadot and Kusama (Q1 2024)"/>
        <s v="Compensation tip for Business Development activity and grow C-Level ecosystem"/>
        <s v="Remove all 20 Head Ambassadors and remove the Ambassador Collective"/>
        <s v="Proposal for Funding the Development of the polkadot-typed-api Library"/>
        <s v="Proposal to remove ONLY the 20 current Head Ambassadors "/>
      </sharedItems>
    </cacheField>
    <cacheField name="Status" numFmtId="0">
      <sharedItems>
        <s v="Rejected"/>
        <s v="Confirming"/>
        <s v="Executed"/>
        <s v="TimedOut"/>
        <s v="Executed_err"/>
        <s v="Killed"/>
        <s v="Cancelled"/>
        <s v="Approved"/>
        <s v="Deciding"/>
        <s v="Preparing"/>
      </sharedItems>
    </cacheField>
    <cacheField name="DOT" numFmtId="165">
      <sharedItems containsSemiMixedTypes="0" containsString="0" containsNumber="1">
        <n v="0.0"/>
        <n v="106000.1662581875"/>
        <n v="2179.57"/>
        <n v="6454.0"/>
        <n v="16823.0"/>
        <n v="61477.0"/>
        <n v="286149.337532309"/>
        <n v="75435.0"/>
        <n v="5750.0"/>
        <n v="120026.26"/>
        <n v="42290.787749713054"/>
        <n v="3936.69"/>
        <n v="43663.107"/>
        <n v="36969.0"/>
        <n v="26765.99"/>
        <n v="49880.0"/>
        <n v="68479.0"/>
        <n v="8775.0"/>
        <n v="3469.0"/>
        <n v="41867.704"/>
        <n v="175419.0"/>
        <n v="77500.0"/>
        <n v="25533.0"/>
        <n v="382.7"/>
        <n v="500.0"/>
        <n v="38249.0"/>
        <n v="146628.0"/>
        <n v="11730.685"/>
        <n v="99672.0"/>
        <n v="19256.0"/>
        <n v="14746.0"/>
        <n v="69786.0"/>
        <n v="932.45"/>
        <n v="120.0"/>
        <n v="4246.19"/>
        <n v="72916.6667"/>
        <n v="35277.535"/>
        <n v="36538.0"/>
        <n v="4747.129"/>
        <n v="7915.0"/>
        <n v="100.0"/>
        <n v="1000.0"/>
        <n v="250.0"/>
        <n v="3956.0"/>
        <n v="40.0"/>
        <n v="234.0"/>
        <n v="110693.7"/>
        <n v="28078.569"/>
        <n v="97000.0"/>
        <n v="17820.0"/>
        <n v="12117.0"/>
        <n v="11229.05"/>
        <n v="999.0"/>
        <n v="15139.0"/>
        <n v="29946.0"/>
        <n v="20.0"/>
        <n v="12455.083"/>
        <n v="59203.58"/>
        <n v="990.0"/>
        <n v="38291.26867436736"/>
        <n v="14269.071"/>
        <n v="6686.0"/>
        <n v="63916.0"/>
        <n v="31612.0"/>
        <n v="3668676.0"/>
        <n v="36686.0"/>
        <n v="80.0"/>
        <n v="50.0"/>
        <n v="15375.745"/>
        <n v="14257.0"/>
        <n v="18391.596"/>
        <n v="8497.687388828632"/>
        <n v="225.0"/>
        <n v="43920.94"/>
        <n v="99520.0"/>
        <n v="60246.888"/>
        <n v="2441.0"/>
        <n v="43877.1439"/>
        <n v="10400.0"/>
        <n v="81300.0"/>
        <n v="41936.15"/>
        <n v="172.387"/>
        <n v="212.8825"/>
        <n v="360.2"/>
        <n v="16842.0"/>
        <n v="26616.0"/>
        <n v="4100.0"/>
        <n v="27259.0"/>
        <n v="42820.0"/>
        <n v="20359.6878"/>
        <n v="300.0"/>
        <n v="40105.193"/>
        <n v="129145.0"/>
        <n v="19401.45"/>
        <n v="1.94779899E8"/>
        <n v="194779.0"/>
        <n v="59895.0"/>
        <n v="71068.0"/>
        <n v="53938.013"/>
        <n v="950.0"/>
        <n v="58018.0"/>
        <n v="12153.7439"/>
        <n v="75600.0"/>
        <n v="44196.0"/>
        <n v="58253.66"/>
        <n v="253862.0"/>
        <n v="35008.393"/>
        <n v="6075.79"/>
        <n v="841.34"/>
        <n v="14833.623"/>
        <n v="22400.0"/>
        <n v="45074.0"/>
        <n v="247058.0"/>
        <n v="32420.0"/>
        <n v="16231.0"/>
        <n v="171454.05"/>
        <n v="24937.0"/>
        <n v="32480.0"/>
        <n v="6444.7"/>
        <n v="5233.0"/>
        <n v="15.0"/>
        <n v="5000.0"/>
        <n v="67438.0"/>
        <n v="130.227"/>
        <n v="11183.81"/>
        <n v="42685.0"/>
        <n v="37851.0"/>
        <n v="255835.014"/>
        <n v="16955.0"/>
        <n v="12115.0"/>
        <n v="5457.0"/>
        <n v="43154.0"/>
        <n v="980.0"/>
        <n v="90540.0"/>
        <n v="1711.0"/>
        <n v="12091.65"/>
        <n v="33943.0"/>
        <n v="9452.0"/>
        <n v="4774.6"/>
        <n v="425660.0"/>
        <n v="4395.0"/>
        <n v="925.0"/>
        <n v="200.0"/>
        <n v="700.0"/>
        <n v="26281.383"/>
        <n v="168432.0"/>
        <n v="28010.0"/>
        <n v="10000.0"/>
        <n v="592573.0"/>
        <n v="2.4474149E7"/>
        <n v="24474.0"/>
        <n v="42650.0"/>
        <n v="150.0"/>
        <n v="22687.0"/>
        <n v="1800.0"/>
        <n v="18982.6915423"/>
        <n v="54753.61"/>
        <n v="420.69"/>
        <n v="1959.93"/>
        <n v="14165.0"/>
        <n v="1111.0"/>
        <n v="4895.0"/>
        <n v="3535.0"/>
        <n v="24701.0"/>
        <n v="17000.0"/>
        <n v="1563.0"/>
        <n v="1500.0"/>
        <n v="350.0"/>
        <n v="59746.84"/>
        <n v="138711.0"/>
        <n v="6970.0"/>
        <n v="590.0"/>
        <n v="5917.0"/>
        <n v="137768.0"/>
        <n v="1000000.0"/>
        <n v="33124.7"/>
        <n v="82140.34"/>
        <n v="9700.0"/>
        <n v="16182.0"/>
        <n v="4455.0"/>
        <n v="3161.0"/>
        <n v="10891.119"/>
        <n v="21400.0"/>
        <n v="99025.0"/>
        <n v="17765.0"/>
        <n v="240.0"/>
        <n v="4351.0"/>
        <n v="21219.12"/>
        <n v="5304.73"/>
        <n v="310.02"/>
        <n v="21849.0"/>
        <n v="8000.0"/>
        <n v="905.66"/>
        <n v="1674.0"/>
        <n v="999999.0"/>
        <n v="632.18"/>
        <n v="3266.28"/>
        <n v="4700.0"/>
        <n v="2107.27"/>
        <n v="3160.91"/>
        <n v="1661.0"/>
        <n v="1628.0"/>
        <n v="498.3"/>
        <n v="25361.29"/>
        <n v="9807.68"/>
        <n v="9364.15"/>
        <n v="4327.47"/>
        <n v="9735.0"/>
        <n v="2400.0"/>
        <n v="7939.0"/>
        <n v="7289.03"/>
        <n v="2.0E-10"/>
        <n v="5645.0"/>
        <n v="6098.0"/>
        <n v="3463.0"/>
        <n v="5.3723E-6"/>
        <n v="53723.0"/>
        <n v="32000.0"/>
        <n v="28489.0"/>
        <n v="8842.0"/>
        <n v="125484.0"/>
        <n v="47837.0"/>
        <n v="11877.0"/>
        <n v="3.0"/>
        <n v="8300.0"/>
        <n v="572.63"/>
        <n v="79975.0"/>
        <n v="78676.0"/>
        <n v="70475.0"/>
        <n v="999.99"/>
        <n v="900.0"/>
        <n v="35395.0"/>
        <n v="12000.0"/>
        <n v="42865.0"/>
        <n v="22195.0"/>
        <n v="9999.0"/>
        <n v="13560.0"/>
        <n v="6431.0"/>
        <n v="1086847.0"/>
        <n v="9000.0"/>
        <n v="71503.0"/>
        <n v="5210.0"/>
        <n v="149657.0"/>
        <n v="26706.0"/>
        <n v="11239.0"/>
        <n v="16981.0"/>
        <n v="21000.0"/>
        <n v="610.0"/>
        <n v="482.0"/>
        <n v="99950.0"/>
        <n v="450.0"/>
        <n v="1950.0"/>
        <n v="48750.0"/>
        <n v="22252.0"/>
        <n v="11059.0"/>
        <n v="41667.0"/>
        <n v="10541.327"/>
        <n v="26448.736"/>
        <n v="25910.7234"/>
        <n v="2500.0"/>
        <n v="26058.0"/>
        <n v="325000.0"/>
        <n v="176852.0"/>
        <n v="282.0"/>
        <n v="1798.0"/>
        <n v="44429.5"/>
        <n v="10356.9"/>
        <n v="45234.77"/>
        <n v="25796.18"/>
        <n v="20632.0"/>
        <n v="248986.130762"/>
        <n v="57781.69"/>
        <n v="71842.0"/>
        <n v="106700.0"/>
        <n v="55858.31"/>
        <n v="24000.0"/>
        <n v="2750.0"/>
        <n v="4267.0"/>
        <n v="91557.0"/>
        <n v="9900.0"/>
        <n v="64658.0"/>
        <n v="21969.0"/>
        <n v="8250.0"/>
        <n v="4417012.0"/>
        <n v="540.0"/>
        <n v="44170.12"/>
        <n v="2000.0"/>
        <n v="2744.11"/>
        <n v="38684.0"/>
        <n v="1658.0"/>
        <n v="160.0"/>
        <n v="12489.0"/>
        <n v="9975.0"/>
        <n v="56600.0"/>
        <n v="65050.0"/>
        <n v="3157.89"/>
        <n v="55000.0"/>
        <n v="51574.0"/>
        <n v="673.0"/>
        <n v="226.0"/>
        <n v="1678.37"/>
        <n v="8208.0"/>
        <n v="11655.0"/>
        <n v="17038.37"/>
        <n v="100000.0"/>
        <n v="500000.0"/>
        <n v="13333.0"/>
        <n v="550.0"/>
        <n v="38460.0"/>
        <n v="34315.574377"/>
        <n v="25555.0"/>
        <n v="11250.0"/>
        <n v="43946.0"/>
        <n v="209250.0"/>
        <n v="818361.0"/>
        <n v="81836.0"/>
        <n v="6655.868"/>
        <n v="64516.0"/>
        <n v="37100.0"/>
        <n v="952.0"/>
        <n v="1655.0"/>
        <n v="21670.0"/>
        <n v="51034.0"/>
        <n v="13509.0"/>
        <n v="31500.0"/>
        <n v="712.17"/>
        <n v="8666.0"/>
        <n v="184235.82"/>
        <n v="172066.93"/>
        <n v="32528.24"/>
        <n v="9507.0"/>
        <n v="20000.0"/>
        <n v="969.0"/>
        <n v="54121.0"/>
        <n v="28761.0"/>
        <n v="65178.0"/>
        <n v="41242.84"/>
        <n v="50000.0"/>
        <n v="30000.0"/>
        <n v="44032.0"/>
        <n v="93962.490651"/>
        <n v="52090.67"/>
        <n v="217.2437202987"/>
        <n v="310930.0"/>
        <n v="11275.0"/>
        <n v="923.38"/>
        <n v="290000.0"/>
        <n v="5986.39"/>
        <n v="34540.0"/>
        <n v="90.0"/>
        <n v="8.0E-8"/>
        <n v="8260.0"/>
        <n v="10458.0"/>
        <n v="121.8441544774"/>
        <n v="2.5E-5"/>
        <n v="250000.0"/>
        <n v="5.867E-7"/>
        <n v="9986.112944"/>
        <n v="3.9326E-6"/>
        <n v="39326.0"/>
        <n v="4471.0"/>
        <n v="14737.47"/>
        <n v="2.0E-8"/>
        <n v="98026.0"/>
        <n v="3600.0"/>
        <n v="31200.0"/>
        <n v="3.5E-6"/>
        <n v="35100.0"/>
        <n v="171827.0"/>
        <n v="32393.2"/>
        <n v="64329.0"/>
        <n v="999999.9999999999"/>
        <n v="6.621E-7"/>
        <n v="7215.0"/>
        <n v="9500.0"/>
        <n v="3.1474E-6"/>
        <n v="31474.0"/>
        <n v="84476.0"/>
        <n v="620.0"/>
        <n v="11121.0"/>
        <n v="97747.61"/>
        <n v="17406.0"/>
        <n v="248929.562796"/>
        <n v="167214.563518"/>
        <n v="3.7865E-6"/>
        <n v="38921.48979"/>
        <n v="58902.0"/>
        <n v="5600.0"/>
        <n v="9468.0"/>
        <n v="50817.27"/>
        <n v="1.0E-7"/>
        <n v="45588.0"/>
        <n v="45555.0"/>
        <n v="150000.0"/>
        <n v="21524.0"/>
        <n v="18694.0"/>
        <n v="2812.27"/>
        <n v="694.2"/>
        <n v="16344.73"/>
        <n v="7270.0"/>
        <n v="5300.0"/>
        <n v="16348.0"/>
        <n v="7935.0"/>
        <n v="9355.5"/>
        <n v="31353.0"/>
        <n v="999.999999999"/>
        <n v="35713.0"/>
        <n v="1212.24"/>
        <n v="968000.0"/>
        <n v="24323.0"/>
        <n v="68868.6"/>
        <n v="2.1557E-6"/>
        <n v="33956.17"/>
        <n v="5800.0"/>
        <n v="31352.0"/>
        <n v="8420.0"/>
        <n v="8235.42"/>
        <n v="155.0"/>
        <n v="42.0"/>
        <n v="5.365E-7"/>
        <n v="5365.0"/>
        <n v="91663.0"/>
        <n v="16153.0"/>
        <n v="74533.0"/>
        <n v="21557.0"/>
        <n v="907.0"/>
        <n v="9924.0"/>
        <n v="889.0"/>
        <n v="824.0"/>
        <n v="28549.62"/>
        <n v="122705.0"/>
        <n v="2395.0"/>
        <n v="9560.0"/>
        <n v="83906.813273"/>
        <n v="48117.0"/>
        <n v="45000.0"/>
        <n v="77820.0"/>
        <n v="30148.0"/>
        <n v="34763.0"/>
        <n v="1.6448E-6"/>
        <n v="2.9719E-6"/>
        <n v="16448.0"/>
        <n v="29719.0"/>
        <n v="81718.0"/>
        <n v="17898.6052999"/>
        <n v="10.054836659398221"/>
        <n v="368016.0"/>
        <n v="725.0"/>
        <n v="202030.0"/>
        <n v="35.5"/>
        <n v="14278.99"/>
        <n v="42404.0"/>
        <n v="596.0"/>
        <n v="9732.0"/>
        <n v="5.54E-8"/>
        <n v="554.0"/>
        <n v="4.9E-8"/>
        <n v="490.0"/>
        <n v="26195.0"/>
        <n v="88000.0"/>
        <n v="150217.81"/>
        <n v="1.2563E-6"/>
        <n v="12563.0"/>
        <n v="8265.0"/>
        <n v="56016.0"/>
        <n v="134627.0"/>
        <n v="9997.0"/>
        <n v="138218.0"/>
        <n v="3500.0"/>
        <n v="2858.213094"/>
        <n v="75142.0"/>
        <n v="7873.0"/>
        <n v="39713.0"/>
        <n v="10.222279992449682"/>
        <n v="20422.0"/>
        <n v="37882.0"/>
        <n v="199260.0"/>
        <n v="35400.53"/>
        <n v="13242.0"/>
        <n v="46.1"/>
        <n v="10979.0"/>
        <n v="26400.0"/>
        <n v="1.3982E-6"/>
        <n v="13982.0"/>
        <n v="80188.0"/>
        <n v="49075.43"/>
        <n v="175000.0"/>
        <n v="7885.497423885508"/>
        <n v="1049.0"/>
        <n v="833.7089787367938"/>
        <n v="31705.0"/>
        <n v="3000.0"/>
        <n v="2960.0"/>
        <n v="4670.0"/>
        <n v="1.0"/>
        <n v="499999.0"/>
        <n v="3282.0"/>
        <n v="60431.0"/>
        <n v="4015.0"/>
        <n v="8822.0"/>
        <n v="9461.0"/>
        <n v="3690.0"/>
        <n v="891.0"/>
        <n v="1.45E10"/>
        <n v="14500.0"/>
        <n v="2737.92"/>
        <n v="6.0E-7"/>
        <n v="6000.0"/>
        <n v="1.4048E-6"/>
        <n v="9286.0"/>
        <n v="53335.0"/>
        <n v="4504.0"/>
        <n v="9600000.0"/>
        <n v="73323.210812"/>
        <n v="23000.0"/>
        <n v="408.45"/>
        <n v="53701.995939383596"/>
        <n v="6220.882129141348"/>
        <n v="89945.0"/>
        <n v="4178.0"/>
        <n v="6.702E-7"/>
        <n v="12604.0"/>
        <n v="24800.0"/>
        <n v="6702.0"/>
        <n v="26265.0"/>
        <n v="440.0"/>
        <n v="2150.3914"/>
        <n v="13855.6"/>
        <n v="17822.33"/>
        <n v="348.7"/>
        <n v="46194.0"/>
        <n v="1519.0"/>
        <n v="7496.0"/>
        <n v="1324503.0"/>
        <n v="135527.0"/>
        <n v="18677.58"/>
        <n v="6429.820923917001"/>
        <n v="25000.0"/>
        <n v="97920.28"/>
        <n v="39139.0"/>
        <n v="16741.2753"/>
        <n v="598000.0"/>
        <n v="134899.0"/>
        <n v="34000.0"/>
        <n v="164989.27"/>
        <n v="139470.9"/>
        <n v="724.78"/>
        <n v="70835.0"/>
        <n v="27843.0"/>
        <n v="0.0156"/>
        <n v="8381.094462911777"/>
        <n v="17081.0"/>
        <n v="33884.0"/>
        <n v="37573.39"/>
        <n v="141395.0"/>
        <n v="99995.0"/>
        <n v="28755.0"/>
        <n v="16677.616320548717"/>
        <n v="27759.78012921434"/>
        <n v="50258.89931502318"/>
        <n v="7579.086436742526"/>
        <n v="35635.496039612284"/>
        <n v="86022.0619187487"/>
        <n v="1011087.5028339707"/>
        <n v="15378.0"/>
        <n v="260000.0"/>
        <n v="96156.88454391209"/>
        <n v="9987.0"/>
        <n v="2350.0"/>
        <n v="9106.82015969656"/>
        <n v="400.0"/>
        <n v="770.0"/>
        <n v="7685.83"/>
        <n v="7531.108582106518"/>
        <n v="400000.0"/>
        <n v="868.0"/>
        <n v="10.0"/>
        <n v="14232.0"/>
        <n v="17215.35027143376"/>
        <n v="386545.0"/>
        <n v="77903.48999999999"/>
        <n v="386546.0"/>
        <n v="31532.0"/>
        <n v="49257.65"/>
        <n v="76800.0"/>
        <n v="6983.1592999098075"/>
        <n v="32918.29421201371"/>
        <n v="28179.53948390753"/>
        <n v="0.16410732827358065"/>
        <n v="26503.51"/>
        <n v="99393.0"/>
        <n v="2777.282430111532"/>
        <n v="1.0E-10"/>
        <n v="3950.0"/>
        <n v="19000.0"/>
        <n v="34.792381103747694"/>
        <n v="162813.42"/>
        <n v="12500.0"/>
        <n v="30981.0"/>
        <n v="4170.0"/>
        <n v="9928.0"/>
        <n v="95000.0"/>
        <n v="28076.27283365398"/>
        <n v="54500.0"/>
        <n v="39.04572244804335"/>
        <n v="43142.0"/>
        <n v="853.267900316889"/>
        <n v="75000.0"/>
        <n v="63696.0"/>
        <n v="37560.00540369759"/>
        <n v="32411.0"/>
        <n v="24954.49995183644"/>
        <n v="1357653.8318808456"/>
        <n v="2261.0"/>
        <n v="4.73E-7"/>
        <n v="208.86982028936083"/>
        <n v="399.4893227591249"/>
        <n v="0.22"/>
        <n v="8272.05"/>
        <n v="23565.244376945895"/>
        <n v="45.0"/>
        <n v="220.0"/>
        <n v="10990.260201361352"/>
        <n v="115814.40660121101"/>
        <n v="28020.29019006855"/>
        <n v="87351.0"/>
        <n v="6011.2862554427065"/>
        <n v="7005.0725475171375"/>
        <n v="42140.22833031294"/>
        <n v="9075.282322185627"/>
        <n v="37604.0"/>
        <n v="21719.485942694035"/>
        <n v="435.3061528599015"/>
        <n v="26347.477673099304"/>
        <n v="4540.0"/>
        <n v="14092.0"/>
        <n v="133030.10576920657"/>
        <n v="25621.53529685904"/>
        <n v="51393.898203181925"/>
        <n v="11173.0"/>
        <n v="1652900.0"/>
        <n v="888.0"/>
        <n v="87741.2487135893"/>
        <n v="36550.49846711192"/>
        <n v="93699.0"/>
        <n v="84886.1651419605"/>
        <n v="1.68608E-5"/>
        <n v="168608.0"/>
        <n v="9062.133125743414"/>
        <n v="705760.6468072619"/>
        <n v="122331.84544659207"/>
        <n v="461342.5206260634"/>
        <n v="7647.0"/>
        <n v="87553.24"/>
        <n v="28386.044450650203"/>
        <n v="38497.95377798981"/>
        <n v="91686.42784137791"/>
        <n v="18683.1302325399"/>
        <n v="99988.0"/>
        <n v="963.23"/>
        <n v="139.38"/>
        <n v="13977.149428024786"/>
        <n v="6020.0"/>
        <n v="4763.709198081145"/>
        <n v="200000.0"/>
        <n v="65000.0"/>
        <n v="946.91"/>
        <n v="16612.0"/>
        <n v="4727.762847787826"/>
        <n v="6717.381660240008"/>
        <n v="16693.23"/>
        <n v="49773.0"/>
        <n v="4450.58982421829"/>
        <n v="6700.0"/>
        <n v="22000.0"/>
        <n v="289183.0"/>
        <n v="14208.877354780498"/>
        <n v="85227.73"/>
        <n v="2439.2"/>
        <n v="47597.91"/>
      </sharedItems>
    </cacheField>
    <cacheField name="USD Propose Date" numFmtId="164">
      <sharedItems containsSemiMixedTypes="0" containsString="0" containsNumber="1">
        <n v="0.0"/>
        <n v="451400.0"/>
        <n v="9626.827714920044"/>
        <n v="28506.33201599121"/>
        <n v="74304.62093353271"/>
        <n v="271534.51709747314"/>
        <n v="1133000.0"/>
        <n v="333184.87071990967"/>
        <n v="25396.87156677246"/>
        <n v="530137.6538887024"/>
        <n v="180000.0"/>
        <n v="17817.975249123574"/>
        <n v="197835.91983825018"/>
        <n v="167189.41288661957"/>
        <n v="121047.09766098976"/>
        <n v="225578.401222229"/>
        <n v="319723.23665475845"/>
        <n v="40969.806826114655"/>
        <n v="16196.496852397919"/>
        <n v="195477.1219524727"/>
        <n v="847173.0464744568"/>
        <n v="374373.66366386414"/>
        <n v="123340.42263650894"/>
        <n v="1848.6813043117522"/>
        <n v="2415.313959121704"/>
        <n v="2550.107479095459"/>
        <n v="195078.12193584442"/>
        <n v="747834.3188896179"/>
        <n v="59829.01510682583"/>
        <n v="508348.6253128052"/>
        <n v="96423.39492416382"/>
        <n v="73839.81000995636"/>
        <n v="362524.6718673706"/>
        <n v="4843.896057701111"/>
        <n v="623.3766174316406"/>
        <n v="21344.45496540546"/>
        <n v="366532.4699567448"/>
        <n v="177330.67929085018"/>
        <n v="186192.67222309113"/>
        <n v="24190.722915806295"/>
        <n v="38649.0385389328"/>
        <n v="488.3011817932129"/>
        <n v="4883.011817932129"/>
        <n v="1246.5652227401733"/>
        <n v="21765.575653076172"/>
        <n v="216.77236557006836"/>
        <n v="1251.2494668960571"/>
        <n v="1256.5122842788696"/>
        <n v="556351.9753691197"/>
        <n v="143621.25811869334"/>
        <n v="497267.4136161804"/>
        <n v="91353.66299629211"/>
        <n v="63148.25598335266"/>
        <n v="545.2579021453857"/>
        <n v="61227.28246085643"/>
        <n v="5301.590266227722"/>
        <n v="80293.15419864655"/>
        <n v="158825.4703502655"/>
        <n v="106.07458114624023"/>
        <n v="64508.252939070226"/>
        <n v="103.58542442321777"/>
        <n v="325016.46138450626"/>
        <n v="5434.9128341674805"/>
        <n v="183325.99999999997"/>
        <n v="74438.51840883636"/>
        <n v="35115.54053878784"/>
        <n v="332237.6813659668"/>
        <n v="164320.3201599121"/>
        <n v="1.8554478895202637E7"/>
        <n v="185540.94522094727"/>
        <n v="404.603271484375"/>
        <n v="248.95095825195312"/>
        <n v="33289.72213745117"/>
        <n v="76697.32342167378"/>
        <n v="71116.79726886749"/>
        <n v="91740.99769817735"/>
        <n v="37314.0"/>
        <n v="1138.63023519516"/>
        <n v="222265.37885418892"/>
        <n v="503628.80447387695"/>
        <n v="304504.62928609084"/>
        <n v="12337.497002124786"/>
        <n v="221767.362281052"/>
        <n v="52363.85459899902"/>
        <n v="405386.421918869"/>
        <n v="399.0641784667969"/>
        <n v="195674.3712114811"/>
        <n v="804.3589559373855"/>
        <n v="993.3112441039085"/>
        <n v="2333.003520965576"/>
        <n v="1680.695736503601"/>
        <n v="78584.89060020447"/>
        <n v="118120.84882736206"/>
        <n v="18498.44570159912"/>
        <n v="122987.59301948547"/>
        <n v="193442.9811668396"/>
        <n v="90004.46167887497"/>
        <n v="1326.2157440185547"/>
        <n v="177293.79457834244"/>
        <n v="570913.7742042542"/>
        <n v="87075.59324355125"/>
        <n v="8.741911175372972E8"/>
        <n v="874187.0827379227"/>
        <n v="268814.58124637604"/>
        <n v="318843.313583374"/>
        <n v="242960.53415033102"/>
        <n v="4309.509634971619"/>
        <n v="247704.9609889984"/>
        <n v="51238.14529046054"/>
        <n v="322765.8199310303"/>
        <n v="188689.9229850769"/>
        <n v="428.67398262023926"/>
        <n v="1062.4747276306152"/>
        <n v="246977.81079312327"/>
        <n v="1012129.512418747"/>
        <n v="142089.46907217262"/>
        <n v="25165.674229249955"/>
        <n v="3521.520161495209"/>
        <n v="60441.0481690278"/>
        <n v="92024.64294433594"/>
        <n v="187338.44711971283"/>
        <n v="25153.181664819716"/>
        <n v="1022796.1723079681"/>
        <n v="134215.65748214722"/>
        <n v="65452.15421628952"/>
        <n v="684226.2976417779"/>
        <n v="99516.75789690018"/>
        <n v="81.49321556091309"/>
        <n v="132429.46731567383"/>
        <n v="26276.729926395416"/>
        <n v="21484.6989941597"/>
        <n v="61.584270000457764"/>
        <n v="21305.04608154297"/>
        <n v="63.915138244628906"/>
        <n v="278098.27057266235"/>
        <n v="537.025170999527"/>
        <n v="45565.603036952016"/>
        <n v="325.9397506713867"/>
        <n v="172759.68663454056"/>
        <n v="153194.9607310295"/>
        <n v="1029157.2274032126"/>
        <n v="68205.52244901657"/>
        <n v="49334.08271074295"/>
        <n v="22221.716001033783"/>
        <n v="175051.9150943756"/>
        <n v="3934.0003204345703"/>
        <n v="363453.4581756592"/>
        <n v="6633.92164349556"/>
        <n v="46098.59400590658"/>
        <n v="129405.38109707832"/>
        <n v="35332.12506866455"/>
        <n v="934.5145225524902"/>
        <n v="17847.732157516482"/>
        <n v="1563703.3404779434"/>
        <n v="16420.932630300522"/>
        <n v="3736.2759113311768"/>
        <n v="3502.2451877593994"/>
        <n v="731.3097953796387"/>
        <n v="2559.5842838287354"/>
        <n v="96099.16412011957"/>
        <n v="615879.8572769165"/>
        <n v="102419.9368429184"/>
        <n v="36488.7809753418"/>
        <n v="2205127.14460063"/>
        <n v="9.107504105131412E7"/>
        <n v="95556.41083431244"/>
        <n v="169095.1355934143"/>
        <n v="594.7073936462402"/>
        <n v="97215.02479076385"/>
        <n v="7713.09757232666"/>
        <n v="81341.8622506333"/>
        <n v="234622.18687062262"/>
        <n v="1782.2135768079759"/>
        <n v="8303.05891652584"/>
        <n v="60008.68885755539"/>
        <n v="4706.6468987464905"/>
        <n v="20737.206633090973"/>
        <n v="14776.682028770447"/>
        <n v="111841.16629743576"/>
        <n v="76972.58520126343"/>
        <n v="6957.194310665131"/>
        <n v="6676.769971847534"/>
        <n v="1557.9129934310913"/>
        <n v="265943.93814985274"/>
        <n v="617427.6263766289"/>
        <n v="31024.724469184875"/>
        <n v="2791.2367963790894"/>
        <n v="27427.212115764618"/>
        <n v="635867.3463134766"/>
        <n v="4691026.210784912"/>
        <n v="155388.83592438698"/>
        <n v="408103.83283005713"/>
        <n v="48193.216371536255"/>
        <n v="79801.3394165039"/>
        <n v="21969.779205322266"/>
        <n v="15974.38235092163"/>
        <n v="55039.19618329239"/>
        <n v="113437.13712692261"/>
        <n v="524911.7992520332"/>
        <n v="2776.5824794769287"/>
        <n v="101400.66644906998"/>
        <n v="1369.8936080932617"/>
        <n v="24835.02953672409"/>
        <n v="113912.04795364379"/>
        <n v="28477.743570003506"/>
        <n v="26841.840744018555"/>
        <n v="1612.9493752384185"/>
        <n v="5202.7268409729"/>
        <n v="121612.78387641907"/>
        <n v="44528.45764160156"/>
        <n v="4852.908289670944"/>
        <n v="26792.10901260376"/>
        <n v="8775.448216438293"/>
        <n v="5242197.993422985"/>
        <n v="634.9464225769043"/>
        <n v="3345.0035785388945"/>
        <n v="17282.60667612076"/>
        <n v="24868.734884262085"/>
        <n v="11472.500903282165"/>
        <n v="16767.356404628754"/>
        <n v="8810.937036514282"/>
        <n v="8635.885307312012"/>
        <n v="2643.281110954285"/>
        <n v="124001.21331771852"/>
        <n v="47953.563081054686"/>
        <n v="48439.48298387527"/>
        <n v="22385.417729129793"/>
        <n v="50357.83993721008"/>
        <n v="12414.875793457031"/>
        <n v="41067.37455177307"/>
        <n v="37705.16754365921"/>
        <n v="1.034572982788086E-9"/>
        <n v="28979.385974407196"/>
        <n v="31304.92394542694"/>
        <n v="17777.788065433502"/>
        <n v="2.757944291768074E-5"/>
        <n v="275794.4291768074"/>
        <n v="164276.4129638672"/>
        <n v="149377.56803750992"/>
        <n v="46361.629281044006"/>
        <n v="657955.5178356171"/>
        <n v="1048.668384552002"/>
        <n v="250825.7475590706"/>
        <n v="62275.172016620636"/>
        <n v="15.990258693695068"/>
        <n v="44239.71571922302"/>
        <n v="3049.3286376714705"/>
        <n v="412789.20645713806"/>
        <n v="406084.44647979736"/>
        <n v="371451.0351061821"/>
        <n v="5270.625336585045"/>
        <n v="527.0678043365479"/>
        <n v="421.6542434692383"/>
        <n v="4651.2800216674805"/>
        <n v="182924.50707435608"/>
        <n v="41344.71130371094"/>
        <n v="218.63176345825195"/>
        <n v="65589.52903747559"/>
        <n v="234291.26351594925"/>
        <n v="121313.29974889755"/>
        <n v="54744.92454957962"/>
        <n v="75581.82838439941"/>
        <n v="5573.881149291992"/>
        <n v="28131.635189056396"/>
        <n v="38017.319400310516"/>
        <n v="6568170.625558376"/>
        <n v="56219.993591308594"/>
        <n v="446655.3557510376"/>
        <n v="32545.129623413086"/>
        <n v="934857.2867660522"/>
        <n v="166823.46098327637"/>
        <n v="76871.14963245392"/>
        <n v="116144.58509731293"/>
        <n v="143633.2540512085"/>
        <n v="4341.748194694519"/>
        <n v="3430.6928358078003"/>
        <n v="711406.1181306839"/>
        <n v="3303.708815574646"/>
        <n v="14316.0715341568"/>
        <n v="326951.47812366486"/>
        <n v="149237.42135810852"/>
        <n v="74169.36198091507"/>
        <n v="6706.6969871521"/>
        <n v="279447.94336366653"/>
        <n v="80221.37476058006"/>
        <n v="201279.58867034913"/>
        <n v="3760.547399520874"/>
        <n v="194877.0070031493"/>
        <n v="18802.73699760437"/>
        <n v="181278.80293178558"/>
        <n v="2260941.3981437683"/>
        <n v="1253156.8216552734"/>
        <n v="1893.6917638778687"/>
        <n v="12482.965863227844"/>
        <n v="308460.4737598896"/>
        <n v="71904.79930415153"/>
        <n v="378230.8648057174"/>
        <n v="215694.95036857604"/>
        <n v="164419.1303215027"/>
        <n v="1984203.328906746"/>
        <n v="460469.9117054415"/>
        <n v="572518.3773050308"/>
        <n v="318.7652778625488"/>
        <n v="850306.378698349"/>
        <n v="465976.46819307323"/>
        <n v="221487.83111572266"/>
        <n v="23933.441638946533"/>
        <n v="37135.99835395813"/>
        <n v="796826.9513225555"/>
        <n v="83656.13107681274"/>
        <n v="536184.5748748779"/>
        <n v="182180.68801116943"/>
        <n v="68414.15977478027"/>
        <n v="3.662862602365112E7"/>
        <n v="4520.265998840332"/>
        <n v="369742.02148277283"/>
        <n v="837.086296081543"/>
        <n v="5517.03314781189"/>
        <n v="15762.951850891113"/>
        <n v="21627.636901774407"/>
        <n v="1675.2514243125916"/>
        <n v="372.278094291687"/>
        <n v="288024.1159915924"/>
        <n v="12398.438097000122"/>
        <n v="1196.4717102050781"/>
        <n v="99550.58369779587"/>
        <n v="81497.63431549072"/>
        <n v="462432.6919555664"/>
        <n v="531470.788192749"/>
        <n v="23902.934509763716"/>
        <n v="418714.1823768616"/>
        <n v="387722.34568977356"/>
        <n v="7517.786979675293"/>
        <n v="74426.0910987854"/>
        <n v="1872.5149631500244"/>
        <n v="4935.082166671753"/>
        <n v="1657.2489891052246"/>
        <n v="7000.6293869018555"/>
        <n v="11761.407751846313"/>
        <n v="57518.68469238281"/>
        <n v="81674.00951385498"/>
        <n v="119398.7124393463"/>
        <n v="137.49210357666016"/>
        <n v="687460.5178833008"/>
        <n v="3437302.589416504"/>
        <n v="551.9115829467773"/>
        <n v="84436.88692951202"/>
        <n v="3494.9371337890625"/>
        <n v="244391.42211914062"/>
        <n v="635443.115234375"/>
        <n v="968.9763307571411"/>
        <n v="220802.29448091207"/>
        <n v="170458.16407680511"/>
        <n v="75040.27962684631"/>
        <n v="293130.6780872345"/>
        <n v="1431681.6169023514"/>
        <n v="5446794.743771553"/>
        <n v="544678.8088035583"/>
        <n v="44299.700056133275"/>
        <n v="429401.4618110657"/>
        <n v="251948.96178245544"/>
        <n v="679107.7136993408"/>
        <n v="6347.201267242432"/>
        <n v="11133.04255247116"/>
        <n v="145772.22484111786"/>
        <n v="343301.3254518509"/>
        <n v="544.4565582275391"/>
        <n v="1361.1413955688477"/>
        <n v="91938.29556369781"/>
        <n v="218607.7938079834"/>
        <n v="222077.7587890625"/>
        <n v="6245.936965942383"/>
        <n v="6939.929962158203"/>
        <n v="4995.634742531776"/>
        <n v="60789.09625339508"/>
        <n v="1324930.264808178"/>
        <n v="1438.298225402832"/>
        <n v="7191.49112701416"/>
        <n v="575.3192901611328"/>
        <n v="1441.7725563049316"/>
        <n v="1240406.8876082087"/>
        <n v="234491.61868450165"/>
        <n v="67461.78718185425"/>
        <n v="6386.410903930664"/>
        <n v="734606.3137054443"/>
        <n v="146921.26274108887"/>
        <n v="7118.335179805756"/>
        <n v="398489.30549144745"/>
        <n v="211765.32058238983"/>
        <n v="479901.2574291229"/>
        <n v="315848.6814317703"/>
        <n v="38291.335105895996"/>
        <n v="382913.35105895996"/>
        <n v="233341.62712097168"/>
        <n v="342483.2841796875"/>
        <n v="7778.054237365723"/>
        <n v="730845.3485614477"/>
        <n v="398888.56686387537"/>
        <n v="1663.5615600668034"/>
        <n v="385217.6904678345"/>
        <n v="2395514.7299432755"/>
        <n v="86866.58920049667"/>
        <n v="7248.587509374618"/>
        <n v="7850.059032440186"/>
        <n v="2242629.680633545"/>
        <n v="44795.50434894562"/>
        <n v="258459.05799865723"/>
        <n v="702.84583568573"/>
        <n v="11884.592771530151"/>
        <n v="6.338449478149414E-7"/>
        <n v="65444.4908618927"/>
        <n v="87549.09729194641"/>
        <n v="1020.0177600685447"/>
        <n v="2.0856547355651856E-4"/>
        <n v="2085654.7355651855"/>
        <n v="4.894614533424378E-6"/>
        <n v="83310.3350061696"/>
        <n v="867422.9621887207"/>
        <n v="3.4112275411033634E-5"/>
        <n v="273238.233089447"/>
        <n v="693.9383697509766"/>
        <n v="341122.7541103363"/>
        <n v="43804.35234069824"/>
        <n v="144389.47181625364"/>
        <n v="1.9594879150390627E-7"/>
        <n v="960403.8117980957"/>
        <n v="37851.216888427734"/>
        <n v="328043.87969970703"/>
        <n v="3.679979419708252E-5"/>
        <n v="369049.3646621704"/>
        <n v="1806628.0678577423"/>
        <n v="345477.73993797303"/>
        <n v="686077.2486963272"/>
        <n v="10522.542953491211"/>
        <n v="1.0522542953491211E7"/>
        <n v="1.052254295349121E7"/>
        <n v="320698.97689819336"/>
        <n v="7.102098705482483E-6"/>
        <n v="77392.60256767273"/>
        <n v="101902.94170379639"/>
        <n v="9653.962898254395"/>
        <n v="214.53250885009766"/>
        <n v="3.563197384929657E-5"/>
        <n v="356319.7384929657"/>
        <n v="975098.1887435913"/>
        <n v="7156.599235534668"/>
        <n v="120533.44212341309"/>
        <n v="1059424.1428501892"/>
        <n v="216.76727294921875"/>
        <n v="1.0838363647460938E7"/>
        <n v="172448.17348480225"/>
        <n v="2181708.172095138"/>
        <n v="1465528.5439902127"/>
        <n v="701.1487579345703"/>
        <n v="94918.59436035156"/>
        <n v="3.594092575454712E-5"/>
        <n v="189.83718872070312"/>
        <n v="357022.68164573674"/>
        <n v="4459.629058837891"/>
        <n v="4459629.058837891"/>
        <n v="525362.1416473389"/>
        <n v="50299.698638916016"/>
        <n v="85042.41905593872"/>
        <n v="456445.24404507637"/>
        <n v="38326.57394504547"/>
        <n v="9.369309425354003E-7"/>
        <n v="9369.309425354004"/>
        <n v="9542.867012023926"/>
        <n v="443918.593208313"/>
        <n v="194.75238800048828"/>
        <n v="441454.12799835205"/>
        <n v="1453586.196899414"/>
        <n v="484528.7322998047"/>
        <n v="2738695.6310272217"/>
        <n v="204839.19108581543"/>
        <n v="177906.70127105713"/>
        <n v="26763.757290229798"/>
        <n v="6606.549268341065"/>
        <n v="190.3356170654297"/>
        <n v="155549.213515892"/>
        <n v="69764.63045120239"/>
        <n v="9404.310569763184"/>
        <n v="50860.04695892334"/>
        <n v="959.6235275268555"/>
        <n v="191.9247055053711"/>
        <n v="154222.7292251587"/>
        <n v="76514.23579216003"/>
        <n v="85706.30886983871"/>
        <n v="287226.7545289993"/>
        <n v="8578.613281241422"/>
        <n v="686.2890625"/>
        <n v="301187.53719234467"/>
        <n v="10223.492288131714"/>
        <n v="8490893.363952637"/>
        <n v="8219184.776306152"/>
        <n v="206523.99929141998"/>
        <n v="849418.6401367188"/>
        <n v="584982.7256011963"/>
        <n v="1.8310917625427245E-5"/>
        <n v="8706.72607421875"/>
        <n v="295647.0707196045"/>
        <n v="50228.30333709717"/>
        <n v="271509.9596939087"/>
        <n v="72917.64036178589"/>
        <n v="71319.16790834427"/>
        <n v="1304.929723739624"/>
        <n v="353.5938606262207"/>
        <n v="4.516740624427795E-6"/>
        <n v="44955.70236682892"/>
        <n v="768084.7243337631"/>
        <n v="135353.11469364166"/>
        <n v="579.287109375"/>
        <n v="3982.598876953125"/>
        <n v="539700.0765380859"/>
        <n v="156096.15270996094"/>
        <n v="5821.105873584747"/>
        <n v="63692.0117855072"/>
        <n v="6106.8487200737"/>
        <n v="5520.83874130249"/>
        <n v="187845.85164945602"/>
        <n v="807353.1355810165"/>
        <n v="16251.327435970306"/>
        <n v="64869.59928512573"/>
        <n v="1628.525505065918"/>
        <n v="135.71045875549316"/>
        <n v="561140.0570355842"/>
        <n v="6687657.833099365"/>
        <n v="321790.03195524216"/>
        <n v="300944.60248947144"/>
        <n v="520433.5325717926"/>
        <n v="218098.5592136383"/>
        <n v="3617131.471633911"/>
        <n v="248035.0075340271"/>
        <n v="1.2299668005371093E-5"/>
        <n v="2.1530187940597532E-5"/>
        <n v="119158.96606445312"/>
        <n v="215301.87940597534"/>
        <n v="592013.1559371948"/>
        <n v="124040.10543983603"/>
        <n v="69.0"/>
        <n v="2525461.612174988"/>
        <n v="6862.369060516357"/>
        <n v="4975.217568874359"/>
        <n v="1365362.5518035889"/>
        <n v="241.35154271125793"/>
        <n v="135.97270011901855"/>
        <n v="6798635.005950928"/>
        <n v="97077.64126362324"/>
        <n v="288289.31879234314"/>
        <n v="4007.269241333008"/>
        <n v="62501.218980789185"/>
        <n v="3.5579197816848757E-7"/>
        <n v="3557.9197816848755"/>
        <n v="3.1468965578079226E-7"/>
        <n v="3146.8965578079224"/>
        <n v="168230.5210852623"/>
        <n v="1032.4564218521118"/>
        <n v="605707.7674865723"/>
        <n v="1033955.6174070692"/>
        <n v="9.152291476631165E-6"/>
        <n v="91522.91476631165"/>
        <n v="59963.41145038605"/>
        <n v="406401.7490386963"/>
        <n v="959494.6980743408"/>
        <n v="71249.2181854248"/>
        <n v="69967.38910675049"/>
        <n v="966160.2652339935"/>
        <n v="24465.416431427002"/>
        <n v="19979.24959841926"/>
        <n v="352505.9938430786"/>
        <n v="529760.1077871323"/>
        <n v="55505.59379053116"/>
        <n v="4685.823518371582"/>
        <n v="268061.2350692749"/>
        <n v="135994.75111293793"/>
        <n v="264457.91552972794"/>
        <n v="252264.86933994293"/>
        <n v="1319176.7137813568"/>
        <n v="235962.1541203785"/>
        <n v="2999.474000930786"/>
        <n v="85793.61847114563"/>
        <n v="298.6773758888245"/>
        <n v="71131.86355495453"/>
        <n v="171043.00918579102"/>
        <n v="9.058800584983825E-6"/>
        <n v="90588.00584983826"/>
        <n v="348173.99978637695"/>
        <n v="558387.5338973999"/>
        <n v="6963479.995727539"/>
        <n v="344957.3423823929"/>
        <n v="1230096.9123840332"/>
        <n v="143.93511772155762"/>
        <n v="56750.0"/>
        <n v="7549.396924495697"/>
        <n v="6000.0"/>
        <n v="228173.1453680992"/>
        <n v="7161952.972412109"/>
        <n v="22840.98529815674"/>
        <n v="22536.43882751465"/>
        <n v="34812.38008975983"/>
        <n v="7.454471111297607"/>
        <n v="3600387.0964050293"/>
        <n v="3600379.8956308365"/>
        <n v="23632.940900802612"/>
        <n v="435149.98524570465"/>
        <n v="29085.82767724991"/>
        <n v="579.5432662963867"/>
        <n v="63909.133690834045"/>
        <n v="68538.23553037643"/>
        <n v="27849.29367542267"/>
        <n v="6724.585546016693"/>
        <n v="1.1061022138595581E11"/>
        <n v="110610.22138595581"/>
        <n v="20885.65085083008"/>
        <n v="4.420243835449218E-6"/>
        <n v="44202.43835449219"/>
        <n v="1.00758183303833E-5"/>
        <n v="66603.11006259918"/>
        <n v="573.7937545776367"/>
        <n v="373230.86069107056"/>
        <n v="69978.59954833984"/>
        <n v="31470.10943222046"/>
        <n v="6.7076609802246094E7"/>
        <n v="514013.97538130055"/>
        <n v="165310.3175163269"/>
        <n v="2935.6956169366836"/>
        <n v="385978.0"/>
        <n v="44712.0"/>
        <n v="651986.8218326569"/>
        <n v="29839.33460330963"/>
        <n v="4.786577800655365E-6"/>
        <n v="90017.94479179382"/>
        <n v="165112.61711120605"/>
        <n v="44620.353220939636"/>
        <n v="174866.2455010414"/>
        <n v="2810.906524658203"/>
        <n v="52800.323696136475"/>
        <n v="13737.61185642929"/>
        <n v="88515.44646148682"/>
        <n v="116250.8306952715"/>
        <n v="2274.4873797893524"/>
        <n v="300604.9959039688"/>
        <n v="50624.48362827301"/>
        <n v="9691.0637216568"/>
        <n v="50535.9095954895"/>
        <n v="508.80577087402344"/>
        <n v="8423934.624249458"/>
        <n v="835220.5386967659"/>
        <n v="116193.46928014756"/>
        <n v="40000.0"/>
        <n v="151847.87511825562"/>
        <n v="565553.360956688"/>
        <n v="220774.05807971954"/>
        <n v="94433.66681342841"/>
        <n v="3373179.864883423"/>
        <n v="760934.097981453"/>
        <n v="191786.14616394043"/>
        <n v="925765.0315320491"/>
        <n v="235.66460609436035"/>
        <n v="782579.8740506172"/>
        <n v="4066.7855525016785"/>
        <n v="407150.3692126274"/>
        <n v="162672.58729934692"/>
        <n v="0.0911429214477539"/>
        <n v="5842.494964599609"/>
        <n v="48554.0"/>
        <n v="98954.96079540253"/>
        <n v="196299.3906440735"/>
        <n v="3140722.0363616943"/>
        <n v="232000.69439937113"/>
        <n v="873057.7194285393"/>
        <n v="607203.63945961"/>
        <n v="182025.50992012024"/>
        <n v="105572.99999999999"/>
        <n v="180850.0"/>
        <n v="305038.0"/>
        <n v="46000.0"/>
        <n v="198100.0"/>
        <n v="478202.13999999996"/>
        <n v="5620700.048310282"/>
        <n v="283.28704833984375"/>
        <n v="87127.76458740234"/>
        <n v="1473092.6513671875"/>
        <n v="544800.0"/>
        <n v="62333.62140083313"/>
        <n v="499.3180847167969"/>
        <n v="14667.468738555908"/>
        <n v="56840.0"/>
        <n v="936.2214088439941"/>
        <n v="2362.5051498413086"/>
        <n v="4577.461409568787"/>
        <n v="45690.37691624164"/>
        <n v="46045.8"/>
        <n v="2445631.980895996"/>
        <n v="5293.828506469727"/>
        <n v="121.97761535644531"/>
        <n v="59048.92921447754"/>
        <n v="59.04892921447754"/>
        <n v="84038.43605804443"/>
        <n v="105000.0"/>
        <n v="2357618.3092451096"/>
        <n v="499.52064514160156"/>
        <n v="486430.0197947788"/>
        <n v="2446093.1586198807"/>
        <n v="200046.04034423828"/>
        <n v="312501.517162323"/>
        <n v="487236.328125"/>
        <n v="44302.72"/>
        <n v="208841.0"/>
        <n v="176400.0"/>
        <n v="1.0"/>
        <n v="168194.8561301708"/>
        <n v="629866.3690209389"/>
        <n v="17600.0"/>
        <n v="3053.5645484924316"/>
        <n v="488.57032775878906"/>
        <n v="5.918869972229004E-10"/>
        <n v="23379.536390304565"/>
        <n v="112458.52947235107"/>
        <n v="200.00000000000003"/>
        <n v="936828.2938421345"/>
        <n v="71924.99041557312"/>
        <n v="460.31993865966797"/>
        <n v="180652.8064198494"/>
        <n v="23858.346462249756"/>
        <n v="56133.5775680542"/>
        <n v="537136.3687515259"/>
        <n v="2261626.8157958984"/>
        <n v="151200.0"/>
        <n v="279159.9006652832"/>
        <n v="200.0"/>
        <n v="220981.95292663574"/>
        <n v="2774.016237258911"/>
        <n v="4208.274841308594"/>
        <n v="45.06931781768799"/>
        <n v="3900.0"/>
        <n v="342799.72314834595"/>
        <n v="91.41325950622559"/>
        <n v="291132.94887542725"/>
        <n v="4.88088321685791"/>
        <n v="183326.0"/>
        <n v="158194.30594158173"/>
        <n v="97.6176643371582"/>
        <n v="121800.0"/>
        <n v="14.64264965057373"/>
        <n v="6500000.000000001"/>
        <n v="10824.924332618713"/>
        <n v="2.264568425178528E-6"/>
        <n v="1000.0"/>
        <n v="10753.478892326355"/>
        <n v="1900.0"/>
        <n v="1.0463358497619628"/>
        <n v="39342.46575465202"/>
        <n v="112078.0"/>
        <n v="202.33449697494507"/>
        <n v="1000.8862209320068"/>
        <n v="50000.0"/>
        <n v="508000.0"/>
        <n v="4386.328220367432"/>
        <n v="120000.0"/>
        <n v="374090.3441362381"/>
        <n v="25744.000000000004"/>
        <n v="342.60887145996094"/>
        <n v="30000.0"/>
        <n v="181000.0"/>
        <n v="38980.0"/>
        <n v="161516.0683670044"/>
        <n v="4295.183181762695"/>
        <n v="94800.0"/>
        <n v="115000.0"/>
        <n v="4391.077041625977"/>
        <n v="1120.9545135498047"/>
        <n v="20356.533966064453"/>
        <n v="63185.96401977539"/>
        <n v="596482.79"/>
        <n v="116160.0"/>
        <n v="240000.0"/>
        <n v="20084.555625915527"/>
        <n v="54732.86341667175"/>
        <n v="8097015.120506287"/>
        <n v="4428.399250030518"/>
        <n v="437560.0"/>
        <n v="182275.0"/>
        <n v="410482.8574447632"/>
        <n v="371875.0"/>
        <n v="7.386492238769531E-5"/>
        <n v="738649.2238769531"/>
        <n v="39700.0"/>
        <n v="85.17589569091797"/>
        <n v="85175.89569091797"/>
        <n v="3000000.0"/>
        <n v="520000.0"/>
        <n v="1062.6832246780396"/>
        <n v="1961043.83"/>
        <n v="85.01465797424316"/>
        <n v="1916.3177490234375"/>
        <n v="4258.48388671875"/>
        <n v="31069.07338142395"/>
        <n v="81.2582015991211"/>
        <n v="359839.61147716525"/>
        <n v="40160.579681396484"/>
        <n v="114000.0"/>
        <n v="165000.0"/>
        <n v="390240.0"/>
        <n v="79520.0"/>
        <n v="425573.53404045105"/>
        <n v="4037.5247836732865"/>
        <n v="4191.651821136475"/>
        <n v="584.2324308300018"/>
        <n v="60000.0"/>
        <n v="4292.720794677734"/>
        <n v="25274.80157852173"/>
        <n v="19800.0"/>
        <n v="833806.9915771484"/>
        <n v="833.8069915771484"/>
        <n v="83.38069915771484"/>
        <n v="276591.5894508362"/>
        <n v="4029.343722567558"/>
        <n v="70688.29975318909"/>
        <n v="20506.0"/>
        <n v="4466.025829315186"/>
        <n v="74552.39635469913"/>
        <n v="222287.50360250473"/>
        <n v="19200.0"/>
        <n v="29851.649570465088"/>
        <n v="371.26392364501953"/>
        <n v="101980.93605041504"/>
        <n v="1392787.5079345703"/>
        <n v="69510.61"/>
        <n v="416938.7456372213"/>
        <n v="11722.541048431396"/>
        <n v="211196.0251045418"/>
        <n v="1039.7517681121826"/>
        <n v="20795.035362243652"/>
      </sharedItems>
    </cacheField>
    <cacheField name="Track" numFmtId="0">
      <sharedItems>
        <s v="SmallTipper"/>
        <s v="BigSpender"/>
        <s v="SmallSpender"/>
        <s v="WhitelistedCaller"/>
        <s v="MediumSpender"/>
        <s v="Root"/>
        <s v="Treasurer"/>
        <s v="GeneralAdmin"/>
        <s v="BigTipper"/>
        <s v="AuctionAdmin"/>
        <s v="StakingAdmin"/>
        <s v="ReferendumKiller"/>
        <s v="ReferendumCanceller"/>
        <s v="FellowshipAdmin"/>
        <s v="LeaseAdmin"/>
        <s v="WishForChange"/>
      </sharedItems>
    </cacheField>
    <cacheField name="AYEs" numFmtId="3">
      <sharedItems containsSemiMixedTypes="0" containsString="0" containsNumber="1">
        <n v="7735.4101"/>
        <n v="3.669754449431836E7"/>
        <n v="2233979.009701535"/>
        <n v="378059.8396858491"/>
        <n v="8.585082224565667E7"/>
        <n v="2528444.8001554697"/>
        <n v="9648535.68311292"/>
        <n v="4.519716738172916E7"/>
        <n v="2074686.070993722"/>
        <n v="2678085.5293575157"/>
        <n v="6253826.758248116"/>
        <n v="5.6351951517166995E7"/>
        <n v="3.6401206899206065E7"/>
        <n v="786169.714188578"/>
        <n v="18333.1"/>
        <n v="81100.5"/>
        <n v="3378026.860683102"/>
        <n v="2374590.5707282093"/>
        <n v="2648904.398457322"/>
        <n v="4112784.7833038564"/>
        <n v="636529.2273782742"/>
        <n v="6.606000011524445E7"/>
        <n v="954772.8672961564"/>
        <n v="3210641.9696878437"/>
        <n v="5206765.447026082"/>
        <n v="4674309.070914032"/>
        <n v="3504455.105842395"/>
        <n v="1549724.6118197916"/>
        <n v="1999230.0560329945"/>
        <n v="1972241.1905529392"/>
        <n v="1824897.4281974696"/>
        <n v="1832886.2950795456"/>
        <n v="5716836.764256967"/>
        <n v="2027584.2021437099"/>
        <n v="1986121.7661197702"/>
        <n v="1421644.9241235747"/>
        <n v="2264937.4916216643"/>
        <n v="2946712.004114563"/>
        <n v="3627633.1003135424"/>
        <n v="1312361.345130413"/>
        <n v="1184379.4564274505"/>
        <n v="95326.1830414097"/>
        <n v="1926512.2894038626"/>
        <n v="535586.4422059607"/>
        <n v="578479.153888036"/>
        <n v="22100.0"/>
        <n v="1736554.51924286"/>
        <n v="3174849.7778280494"/>
        <n v="2881164.8922535484"/>
        <n v="258648.0611109425"/>
        <n v="1.1334665505857082E7"/>
        <n v="922871.0506156298"/>
        <n v="804877.8936606903"/>
        <n v="397715.71"/>
        <n v="6.2443324698371075E7"/>
        <n v="495269.8360762875"/>
        <n v="1.6388178298898268E8"/>
        <n v="2588925.6659325603"/>
        <n v="6.157420157551171E7"/>
        <n v="3.977665007842737E7"/>
        <n v="1026127.0465299801"/>
        <n v="6.124214665431561E7"/>
        <n v="122018.0659236606"/>
        <n v="44182.6993408617"/>
        <n v="381841.6537766811"/>
        <n v="4847597.456583484"/>
        <n v="8335.1"/>
        <n v="220863.9527388797"/>
        <n v="0.0"/>
        <n v="24.15"/>
        <n v="284632.6898"/>
        <n v="3561178.420361336"/>
        <n v="24660.0"/>
        <n v="924670.6679387339"/>
        <n v="4880359.655201729"/>
        <n v="400680.9321555039"/>
        <n v="5.6403189080470085E7"/>
        <n v="8435.0"/>
        <n v="701086.5995730502"/>
        <n v="586.6001"/>
        <n v="6210049.197051994"/>
        <n v="536698.3342410373"/>
        <n v="2770176.478645523"/>
        <n v="6921.2"/>
        <n v="3.8681362508912414E7"/>
        <n v="7574005.649151822"/>
        <n v="2732511.4242491024"/>
        <n v="3812823.3020713115"/>
        <n v="4.4924577120154776E7"/>
        <n v="332889.2860128057"/>
        <n v="10.864"/>
        <n v="2.2720684784871742E7"/>
        <n v="1317634.1273362057"/>
        <n v="4.9285393704682246E7"/>
        <n v="12107.60327"/>
        <n v="7908415.330092529"/>
        <n v="575.1"/>
        <n v="3171.71527"/>
        <n v="7725902.403130105"/>
        <n v="2374640.5356330145"/>
        <n v="2280748.43645582"/>
        <n v="241778.9867892313"/>
        <n v="4039651.941887917"/>
        <n v="8401407.083628017"/>
        <n v="1139247.9246899975"/>
        <n v="5.207763522551637E7"/>
        <n v="1234996.1824093596"/>
        <n v="1454747.933590664"/>
        <n v="4201378.731518984"/>
        <n v="2718300.389463449"/>
        <n v="469.5001"/>
        <n v="1.3428261636466892E7"/>
        <n v="46.5606"/>
        <n v="349300.0235388797"/>
        <n v="1110896.6022407254"/>
        <n v="1607072.6209056086"/>
        <n v="6.832810810186908E7"/>
        <n v="9549371.48081784"/>
        <n v="6915202.110300566"/>
        <n v="6935202.312304886"/>
        <n v="6964815.49971053"/>
        <n v="6459460.543195448"/>
        <n v="552334.3568617809"/>
        <n v="2416625.7260041023"/>
        <n v="1.0393061010226985E7"/>
        <n v="9881167.304925859"/>
        <n v="1.3377423438059485E7"/>
        <n v="1639770.42252777"/>
        <n v="8.206835035509123E7"/>
        <n v="6510028.820878574"/>
        <n v="8838877.482657176"/>
        <n v="2.5778966219183177E7"/>
        <n v="477424.7660347505"/>
        <n v="250564.3001"/>
        <n v="1532577.915722291"/>
        <n v="1053668.0843173577"/>
        <n v="8.366270379160039E7"/>
        <n v="642061.6815548666"/>
        <n v="1.2979680756598456E8"/>
        <n v="1.148536594206403E7"/>
        <n v="2.260258761832344E7"/>
        <n v="1.4190929773337824E7"/>
        <n v="1259065.6445507207"/>
        <n v="1.1694379632907165E7"/>
        <n v="1620177.6132044385"/>
        <n v="6.735201764582942E7"/>
        <n v="1.500948115578165E7"/>
        <n v="9815523.715501022"/>
        <n v="7.962913429153393E7"/>
        <n v="709765.1801915593"/>
        <n v="539671.9548509261"/>
        <n v="1.0908977520959217E7"/>
        <n v="9073901.901891729"/>
        <n v="263544.2916222079"/>
        <n v="1738801.961481443"/>
        <n v="5500.2001"/>
        <n v="8173838.924613327"/>
        <n v="1.0935687746352661E7"/>
        <n v="1.1550445501611734E7"/>
        <n v="1.5145558668774566E7"/>
        <n v="3072144.4368458968"/>
        <n v="2.1296002802137867E7"/>
        <n v="1.415097775408714E7"/>
        <n v="2.900250996645172E7"/>
        <n v="2.853342736191947E7"/>
        <n v="6714486.932214823"/>
        <n v="3.2922393783723775E7"/>
        <n v="4.0992246510089815E7"/>
        <n v="1.6363832556860913E7"/>
        <n v="1.3862980444431776E7"/>
        <n v="1124068.261025354"/>
        <n v="1.5885988959660273E7"/>
        <n v="7.987862777888377E7"/>
        <n v="3.459635421283184E7"/>
        <n v="1.664284886018637E7"/>
        <n v="239659.293476854"/>
        <n v="3.0182311032798253E7"/>
        <n v="7838951.480903813"/>
        <n v="1.5974743506895315E7"/>
        <n v="453451.1"/>
        <n v="1.1359224421684125E8"/>
        <n v="1.940517177411935E7"/>
        <n v="9618419.74893157"/>
        <n v="4.183694146930335E7"/>
        <n v="1.560995924957572E7"/>
        <n v="4.729266341660337E7"/>
        <n v="3492930.8145728265"/>
        <n v="3.1642966237652868E7"/>
        <n v="42262.7451"/>
        <n v="1.213702657335041E7"/>
        <n v="3.1090138862718776E7"/>
        <n v="3.0524674569029473E7"/>
        <n v="3424916.8906073472"/>
        <n v="3.0398607270912297E7"/>
        <n v="305821.9566813823"/>
        <n v="155746.3318779763"/>
        <n v="3.119588903066481E7"/>
        <n v="3.326273688073045E7"/>
        <n v="65021.755100001"/>
        <n v="3.2315766331863116E7"/>
        <n v="3.0376400769506324E7"/>
        <n v="22322.9872152575"/>
        <n v="3.118663247414238E7"/>
        <n v="7594055.146525093"/>
        <n v="7170544.101573456"/>
        <n v="3.036573339115184E7"/>
        <n v="3.2575630328886285E7"/>
        <n v="3.506008154796286E7"/>
        <n v="4.0944721186264046E7"/>
        <n v="30782.7824"/>
        <n v="1.3526278503535137E7"/>
        <n v="268301.7400043632"/>
        <n v="4.253635629766143E7"/>
        <n v="3.2596761284318846E7"/>
        <n v="8747316.168064626"/>
        <n v="3.491141157795172E7"/>
        <n v="54351.1965872279"/>
        <n v="3.2009625444757596E7"/>
        <n v="3.342557354838428E7"/>
        <n v="4.6815598214285605E7"/>
        <n v="3.0641890579793774E7"/>
        <n v="4.070204191998445E7"/>
        <n v="3.0276875258131795E7"/>
        <n v="4.4349149885587655E7"/>
        <n v="158902.6395762959"/>
        <n v="3.0799899878889088E7"/>
        <n v="1.6096052322877951E7"/>
        <n v="4.215251327346247E7"/>
        <n v="310887.5519093985"/>
        <n v="3.01186582052E7"/>
        <n v="3.0458354505445477E7"/>
        <n v="3.0565509954260625E7"/>
        <n v="3915886.003298794"/>
        <n v="75835.6460449078"/>
        <n v="4.144936497389439E7"/>
        <n v="4.861064937283248E7"/>
        <n v="3.0394841984804146E7"/>
        <n v="405745.7794890173"/>
        <n v="3.1727688998453148E7"/>
        <n v="86511.1236388797"/>
        <n v="9657506.947035635"/>
        <n v="4.198844824830957E7"/>
        <n v="7420.0"/>
        <n v="5.0372653225207165E7"/>
        <n v="3.2834677912353866E7"/>
        <n v="1199182.177945212"/>
        <n v="4.084510661581922E7"/>
        <n v="3.0301602456372637E7"/>
        <n v="3.049210498361186E7"/>
        <n v="3.396786575441203E7"/>
        <n v="1.2611289326016707E7"/>
        <n v="4.447467007021421E7"/>
        <n v="4.170657932097578E7"/>
        <n v="3.0197495688847136E7"/>
        <n v="6960541.497850952"/>
        <n v="16033.3"/>
        <n v="25152.4251194975"/>
        <n v="117996.6605492723"/>
        <n v="134664.2983679656"/>
        <n v="3.082788707886366E7"/>
        <n v="3.0405853046075806E7"/>
        <n v="3.0009445E7"/>
        <n v="3.000600001E7"/>
        <n v="3.09119566222856E7"/>
        <n v="3.0790426015789296E7"/>
        <n v="3.378994176920147E7"/>
        <n v="3.0578919776982248E7"/>
        <n v="4.0095955500001E7"/>
        <n v="3915480.7786718556"/>
        <n v="8388366.351820052"/>
        <n v="2776898.2918266035"/>
        <n v="1.0201382906180096E8"/>
        <n v="4.015662752277223E7"/>
        <n v="4.00292686E7"/>
        <n v="4.2846134456303306E7"/>
        <n v="4.008488575168E7"/>
        <n v="19054.0"/>
        <n v="12005.0"/>
        <n v="4.008898921257388E7"/>
        <n v="0.01"/>
        <n v="4.00534141E7"/>
        <n v="354426.6326709574"/>
        <n v="5.0738421406445645E7"/>
        <n v="1.2195779086624645E7"/>
        <n v="66319.9858"/>
        <n v="28005.0011"/>
        <n v="46808.0"/>
        <n v="706090.0284884511"/>
        <n v="35845.1898"/>
        <n v="4.013379374191113E7"/>
        <n v="15014.5693732923"/>
        <n v="2.8468141141384706E7"/>
        <n v="10200.0"/>
        <n v="1.1597520754924638E7"/>
        <n v="4.0031866502648085E7"/>
        <n v="15130.5360900128"/>
        <n v="4.245212836202146E7"/>
        <n v="33573.9872152575"/>
        <n v="5887272.612024391"/>
        <n v="7951.3"/>
        <n v="5010.2"/>
        <n v="4.258797100522304E7"/>
        <n v="4.0819009214806415E7"/>
        <n v="5732.8372980983"/>
        <n v="104439.4898"/>
        <n v="4.465946919095604E7"/>
        <n v="446964.1980092828"/>
        <n v="4.967111193559184E7"/>
        <n v="30700.1"/>
        <n v="1.4313621314417174E7"/>
        <n v="2062021.4808090366"/>
        <n v="65403.9885414647"/>
        <n v="4.4187135340540595E7"/>
        <n v="5.226050330335246E7"/>
        <n v="1.570833500163753E7"/>
        <n v="6228798.944682249"/>
        <n v="16010.0"/>
        <n v="15000.0"/>
        <n v="15021.1"/>
        <n v="35000.00000001"/>
        <n v="1.0E-9"/>
        <n v="4865870.116532736"/>
        <n v="1000.1000010001"/>
        <n v="90810.5760615647"/>
        <n v="123349.5885424647"/>
        <n v="4.069527459459643E7"/>
        <n v="5.0609674107939035E7"/>
        <n v="9500.1"/>
        <n v="5.362030762578072E7"/>
        <n v="1100.601"/>
        <n v="27.20000001"/>
        <n v="4.344460132650781E7"/>
        <n v="1938416.8089000662"/>
        <n v="2452744.3595240074"/>
        <n v="5.3048548260518506E7"/>
        <n v="3.1116971862839773E7"/>
        <n v="705123.0032703419"/>
        <n v="4.391815148159021E7"/>
        <n v="2341030.322045777"/>
        <n v="1.1784649916953847E7"/>
        <n v="820167.5394027361"/>
        <n v="4.077124636234969E7"/>
        <n v="4.012783179648351E7"/>
        <n v="4.0139274507129185E7"/>
        <n v="642341.841820502"/>
        <n v="1.277154673353161E7"/>
        <n v="1299312.8215687599"/>
        <n v="1.0395602393778948E7"/>
        <n v="2186348.418541134"/>
        <n v="4.290680056530482E7"/>
        <n v="29367.0693732923"/>
        <n v="174575.1980649949"/>
        <n v="1284846.0818512216"/>
        <n v="18965.6761885379"/>
        <n v="1.4242921524911059E7"/>
        <n v="6.330314211125132E7"/>
        <n v="4.0012051951830134E7"/>
        <n v="5.441849491967519E7"/>
        <n v="4.026127863549032E7"/>
        <n v="1.322039321812113E7"/>
        <n v="956373.4506632377"/>
        <n v="4.3493004495830566E7"/>
        <n v="1.276356410238278E7"/>
        <n v="4.397089448350183E7"/>
        <n v="4.395592366645032E7"/>
        <n v="5.909476852444479E7"/>
        <n v="6135.6418470812"/>
        <n v="4.0552992542348444E7"/>
        <n v="4.067533323733385E7"/>
        <n v="4.120019627424938E7"/>
        <n v="4.261972314879799E7"/>
        <n v="1.4931890672529168E7"/>
        <n v="4.225674058329386E7"/>
        <n v="8.023698548943074E7"/>
        <n v="5.584778703853539E7"/>
        <n v="4.232410623543862E7"/>
        <n v="4.106191528092714E7"/>
        <n v="2449152.4135266454"/>
        <n v="1.8698599488974273E7"/>
        <n v="1.1339551889382637E8"/>
        <n v="265094.6151087827"/>
        <n v="4.072271855255669E7"/>
        <n v="4.006224401349976E7"/>
        <n v="20972.75511"/>
        <n v="8.823238309167229E7"/>
        <n v="5.4305843981351405E7"/>
        <n v="1.5053993907782946E7"/>
        <n v="4.205530829556923E7"/>
        <n v="25251.0"/>
        <n v="4.616974755489394E7"/>
        <n v="96537.7063194007"/>
        <n v="2822333.194635843"/>
        <n v="1.6431166850760797E7"/>
        <n v="12262.1531"/>
        <n v="1.6188858585702918E7"/>
        <n v="3868657.0971086035"/>
        <n v="25142.16037"/>
        <n v="206693.3777962458"/>
        <n v="1.3950343378647817E7"/>
        <n v="1.6332373649223462E7"/>
        <n v="5.536930947291529E7"/>
        <n v="3.305601927908205E7"/>
        <n v="22474.1362587345"/>
        <n v="82271.5289358169"/>
        <n v="3221218.82419314"/>
        <n v="406265.0568534576"/>
        <n v="1.570805249379172E7"/>
        <n v="5.347126750729976E7"/>
        <n v="5.484933424733982E7"/>
        <n v="1.650780816486209E7"/>
        <n v="4.920106429207879E7"/>
        <n v="18546.501"/>
        <n v="1.6200841224434428E7"/>
        <n v="7.054771671067053E7"/>
        <n v="7.94505155868593E7"/>
        <n v="6623982.139878463"/>
        <n v="4.922644423606378E7"/>
        <n v="435659.7318281898"/>
        <n v="2951739.321320447"/>
        <n v="2682637.447763442"/>
        <n v="5.929524864911567E7"/>
        <n v="1.646791793183994E7"/>
        <n v="2438772.265202299"/>
        <n v="5.0703275599762715E7"/>
        <n v="6233430.81305844"/>
        <n v="17022.8"/>
        <n v="1.5429450623665174E7"/>
        <n v="3056926.415414998"/>
        <n v="4011045.8533452693"/>
        <n v="996528.6622540269"/>
        <n v="6.924945406874073E7"/>
        <n v="3519457.6617520647"/>
        <n v="357610.8190186394"/>
        <n v="6.277156721532117E7"/>
        <n v="1.5656937631619591E7"/>
        <n v="277908.3436185267"/>
        <n v="1.5747458876525125E7"/>
        <n v="5.4020773505315796E7"/>
        <n v="1.0709022656888427E8"/>
        <n v="5876880.270488367"/>
        <n v="5.2014640126166955E7"/>
        <n v="521453.4074852575"/>
        <n v="8.9287631441525E7"/>
        <n v="390214.7004691655"/>
        <n v="5.1388946833150886E7"/>
        <n v="5.3714025922557965E7"/>
        <n v="5.313423483003441E7"/>
        <n v="550.0"/>
        <n v="5.8051105417226255E7"/>
        <n v="1.982663704532581E7"/>
        <n v="3.0073282522088356E7"/>
        <n v="2.1774369355430014E7"/>
        <n v="38210.7065089378"/>
        <n v="5052.42"/>
        <n v="6303042.257454891"/>
        <n v="6.56381745139761E7"/>
        <n v="1.219522559384857E8"/>
        <n v="3170874.660111985"/>
        <n v="5692593.665392343"/>
        <n v="1.914115084021847E7"/>
        <n v="2.5536990760058828E7"/>
        <n v="3.682739521376238E7"/>
        <n v="7.629591859518103E7"/>
        <n v="2961619.968297197"/>
        <n v="305211.4276028223"/>
        <n v="4.97698949781311E7"/>
        <n v="4.005788845602789E7"/>
        <n v="5.783022838123502E7"/>
        <n v="4.52831669928855E7"/>
        <n v="4.475472834893425E7"/>
        <n v="3256261.08794438"/>
        <n v="7030776.94725024"/>
        <n v="1.1111518046745734E8"/>
        <n v="2973029.555406196"/>
        <n v="3.990367906261194E7"/>
        <n v="8.016832127427164E7"/>
        <n v="2266670.1158870035"/>
        <n v="8545920.303610448"/>
        <n v="2593462.4618386147"/>
        <n v="11093.2"/>
        <n v="7.209142301734157E7"/>
        <n v="5.962496221763242E7"/>
        <n v="6.8575843461037E7"/>
        <n v="5.4419645404911175E7"/>
        <n v="2.5092810810570687E7"/>
        <n v="3.2613245069945853E7"/>
        <n v="7.606264303949694E7"/>
        <n v="9.644876906770921E7"/>
        <n v="6.227270645543522E7"/>
        <n v="2590503.6868194886"/>
        <n v="6.224676456649029E7"/>
        <n v="6.2276848443343E7"/>
        <n v="4.337411657282051E7"/>
        <n v="571976.729612511"/>
        <n v="2.5419753158659376E7"/>
        <n v="231496.3877401491"/>
        <n v="6143539.839719509"/>
        <n v="4.3595244972515054E7"/>
        <n v="6168691.171117416"/>
        <n v="2676.5"/>
        <n v="3.6828302610091045E7"/>
        <n v="5.031454435451154E7"/>
        <n v="2741623.0037323334"/>
        <n v="4.06685615959131E7"/>
        <n v="6.622422831225044E7"/>
        <n v="1.6979236869608227E7"/>
        <n v="2.50131365889723E7"/>
        <n v="5.327197928171667E7"/>
        <n v="5.350181199562601E7"/>
        <n v="716434.4270274406"/>
        <n v="3.9545297569549695E7"/>
        <n v="5366620.89512665"/>
        <n v="6.822262387859622E7"/>
        <n v="12187.6238876499"/>
        <n v="2.2788592006619725E7"/>
        <n v="5030.211"/>
        <n v="3.6588895925391264E7"/>
        <n v="4965874.744405296"/>
        <n v="4424404.1293616155"/>
        <n v="27572.1915504368"/>
        <n v="1536.0"/>
        <n v="30061.7151"/>
        <n v="4610983.325563604"/>
        <n v="2.8277300918579224E7"/>
        <n v="2.4519970660588082E7"/>
        <n v="1.6398563393097922E7"/>
        <n v="38.0233960344"/>
        <n v="8.966078829988521E7"/>
        <n v="51063.3338906851"/>
        <n v="3858268.0759964073"/>
        <n v="6.128728843590205E7"/>
        <n v="2.788864812668885E7"/>
        <n v="144746.2855027388"/>
        <n v="56434.4628020922"/>
        <n v="223662.7050747599"/>
        <n v="286690.0646839105"/>
        <n v="1.957999529438962E7"/>
        <n v="3.3321280719731968E7"/>
        <n v="3.0955745308786813E7"/>
        <n v="1.0063210331016317E7"/>
        <n v="8.085623036125809E7"/>
        <n v="2084645.057263179"/>
        <n v="6.944506625600159E7"/>
        <n v="7.711076833889154E7"/>
        <n v="1455004.3264711692"/>
        <n v="161606.7647552435"/>
        <n v="2970382.273284831"/>
        <n v="52422.31"/>
        <n v="0.1"/>
        <n v="6.139930534382708E7"/>
        <n v="2.2586316265388865E7"/>
        <n v="5.1964057789723456E7"/>
        <n v="2.8993230107458778E7"/>
        <n v="6378737.315504522"/>
        <n v="4.114682858828724E7"/>
        <n v="5.3068844008963026E7"/>
        <n v="2.260301831403366E7"/>
        <n v="5.649735380051413E7"/>
        <n v="5.663275906343913E7"/>
        <n v="6656004.024445286"/>
        <n v="351354.5467962191"/>
        <n v="4080227.2882983503"/>
        <n v="2.2019297241739362E7"/>
        <n v="5.5976035508463316E7"/>
        <n v="2.055178827516754E7"/>
        <n v="2.1772603304757383E7"/>
        <n v="159023.2204742318"/>
        <n v="1.5509676192860667E7"/>
        <n v="5272.33429015"/>
        <n v="2.668803964254866E7"/>
        <n v="2.7123074765413158E7"/>
        <n v="6301797.348995305"/>
        <n v="3.858853669086745E7"/>
        <n v="2.6266859183600828E7"/>
        <n v="1.983412784100694E7"/>
        <n v="1.982902712300694E7"/>
        <n v="4.3585097631919436E7"/>
        <n v="9.584684971349336E7"/>
        <n v="4.06707686570151E7"/>
        <n v="58275.5709033567"/>
        <n v="4.811509113231536E7"/>
        <n v="9840638.10170878"/>
        <n v="9637007.806086784"/>
        <n v="13.1"/>
        <n v="9528497.355784496"/>
        <n v="1.5540508163125664E7"/>
        <n v="9.649316618004514E7"/>
        <n v="6.045112892136628E7"/>
        <n v="1.4070614507029708E7"/>
        <n v="1.1710285727579564E7"/>
        <n v="3.028339744175481E7"/>
        <n v="6.6444242702947125E7"/>
        <n v="6.408688965207504E7"/>
        <n v="4.0595759980480224E7"/>
        <n v="2.4138423605158653E7"/>
        <n v="4.212462315131025E7"/>
        <n v="3.308373006945709E7"/>
        <n v="72002.4497526022"/>
        <n v="278396.3914973283"/>
        <n v="21144.9235388797"/>
        <n v="5042.5"/>
        <n v="174943.3292221152"/>
        <n v="19588.6"/>
        <n v="1.5925082458441354E7"/>
        <n v="6.820345296552911E7"/>
        <n v="3.0757536434500918E7"/>
        <n v="4.83865529140287E7"/>
        <n v="5585.9852822421"/>
        <n v="9.547172776203313E7"/>
        <n v="1.3999206840506938E8"/>
        <n v="3.2949208165320445E7"/>
        <n v="3.1222951084648177E7"/>
        <n v="2.2276762370600972E7"/>
        <n v="90.0"/>
        <n v="1.5118191149519898E7"/>
        <n v="1.543054023117283E7"/>
        <n v="6696387.242893838"/>
        <n v="1585353.068169271"/>
        <n v="2.6044238677712448E7"/>
        <n v="6126356.3945755465"/>
        <n v="3.328821125117913E7"/>
        <n v="1.460571317144677E7"/>
        <n v="1.6010808858177153E7"/>
        <n v="1.1359882397318932E8"/>
        <n v="3.1263802759612262E7"/>
        <n v="1.2670754229037007E7"/>
        <n v="2.2092464028749596E7"/>
        <n v="2.510706426516827E7"/>
        <n v="2.7861549025205825E7"/>
        <n v="3067530.4542505695"/>
        <n v="2.1956707246073242E7"/>
        <n v="9.513183595277497E7"/>
        <n v="4.27810084451573E7"/>
        <n v="2.633359030294356E7"/>
        <n v="2.9272225681329094E7"/>
        <n v="6.0186620898426965E7"/>
        <n v="7.164889069742276E7"/>
        <n v="2.3407486917756654E7"/>
        <n v="5.495008536106465E7"/>
        <n v="2792589.2605857137"/>
        <n v="7.827719518856193E7"/>
        <n v="2.501772531707894E7"/>
        <n v="2.1781669610639274E7"/>
        <n v="4.157178981025734E7"/>
        <n v="0.02"/>
        <n v="1.2378219411409115E7"/>
        <n v="1.8931912162431866E7"/>
        <n v="4.0"/>
        <n v="3.43843341452359E7"/>
        <n v="3.24976708496217E7"/>
        <n v="1.2956314595299855E7"/>
        <n v="2.7695702597177453E7"/>
        <n v="2.0291719983277466E7"/>
        <n v="3.808948874393382E7"/>
        <n v="3.2434635027898677E7"/>
        <n v="3.9"/>
        <n v="6147712.278539262"/>
        <n v="1.5790448086064912E7"/>
        <n v="1.2201796754149145E7"/>
        <n v="3.7226426753030896E7"/>
        <n v="2.3251352540421523E7"/>
        <n v="1.979789156981795E7"/>
        <n v="1.2682149199485077E7"/>
        <n v="1.2423933222471114E7"/>
        <n v="1.27845626729478E7"/>
        <n v="1.3959692809620485E7"/>
        <n v="5.400262213176732E7"/>
        <n v="4.4294834772344775E7"/>
        <n v="4.141246787565949E7"/>
        <n v="122718.7035491526"/>
        <n v="32604.01"/>
        <n v="8.062275986886974E7"/>
        <n v="1.9604690371823773E7"/>
        <n v="3.130147925432312E7"/>
        <n v="4.047935764175173E7"/>
        <n v="8.930637306363092E7"/>
        <n v="3.852607850973605E7"/>
        <n v="1253886.5470499354"/>
        <n v="6.3851171334315635E7"/>
        <n v="7.739687108635575E7"/>
        <n v="2.462397184997969E7"/>
        <n v="4.845083724324816E7"/>
        <n v="431.2303287823"/>
        <n v="4.993081629468225E7"/>
        <n v="3626138.55503579"/>
        <n v="9.54882896811075E7"/>
        <n v="4.135087819551657E7"/>
        <n v="20637.01"/>
        <n v="3.0680796148644384E7"/>
        <n v="6.294993000640261E7"/>
        <n v="4.598609098312451E7"/>
        <n v="110690.447091685"/>
        <n v="7.010156531E7"/>
        <n v="2.746472260536186E7"/>
        <n v="5.3078060435503535E7"/>
        <n v="5.554173244854301E7"/>
        <n v="7.077082042633684E7"/>
        <n v="2.668836595087183E7"/>
        <n v="2.214555960666927E7"/>
        <n v="7596050.504003475"/>
        <n v="1.365173018580691E7"/>
        <n v="5.569914678446152E7"/>
        <n v="1.1023924643445787E8"/>
        <n v="6459370.140016061"/>
        <n v="2189733.730543222"/>
        <n v="1.5691629735900668E7"/>
        <n v="8.347302205830307E7"/>
        <n v="3.837832311101514E7"/>
        <n v="2.4781612820135582E7"/>
        <n v="2.126443815495793E7"/>
        <n v="1.1900966157190477E7"/>
        <n v="2.6345761323407378E7"/>
        <n v="8062.0"/>
        <n v="1.5079383147556683E7"/>
        <n v="2373684.058770129"/>
        <n v="6.608190551E7"/>
        <n v="1.5486823745310143E7"/>
        <n v="5.7411484900751E7"/>
        <n v="4.369177981816692E7"/>
        <n v="2.8856070129855145E7"/>
        <n v="6.71098173642961E7"/>
        <n v="5.509427683145718E7"/>
        <n v="1.5630059168483255E7"/>
        <n v="2.2666868331777394E7"/>
        <n v="3.651738030086333E7"/>
        <n v="4.557832235378346E7"/>
        <n v="1.2750026550196104E8"/>
        <n v="8.03343693584753E7"/>
        <n v="7.219814847494596E7"/>
        <n v="6.76384267371569E7"/>
        <n v="3551695.3569179988"/>
        <n v="2.0"/>
        <n v="6.922501980393365E7"/>
        <n v="2.0151109116747275E7"/>
        <n v="2.9200896385980844E7"/>
        <n v="3.795721278723195E7"/>
        <n v="4.140273258308712E7"/>
        <n v="46210.2"/>
        <n v="1.6829807692869313E7"/>
        <n v="22559.5610012343"/>
        <n v="4.3775773303951435E7"/>
        <n v="2.852289554537966E7"/>
        <n v="10009.2480460108"/>
        <n v="7.386552094267233E7"/>
        <n v="2.7728138077237185E7"/>
        <n v="7.374476799739224E7"/>
        <n v="3.037627761639012E7"/>
        <n v="1.0757018181980687E8"/>
        <n v="5.8766640236364126E7"/>
        <n v="1.957365060392119E7"/>
        <n v="8.104297126360759E7"/>
        <n v="4.114354769820072E7"/>
        <n v="9792206.23882322"/>
        <n v="6.2418651328313775E7"/>
        <n v="6.476004899118147E7"/>
        <n v="149548.4807177868"/>
        <n v="720.0"/>
        <n v="4.169980396486731E7"/>
        <n v="4.18317662206843E7"/>
        <n v="521008.1670816278"/>
        <n v="7.945687603354435E7"/>
        <n v="2.322254547911089E7"/>
        <n v="529708.6358786034"/>
        <n v="1.5704305859246816E7"/>
        <n v="2.6542863801833585E7"/>
        <n v="5459116.52353888"/>
        <n v="1.2293383619492548E7"/>
        <n v="9970428.09812112"/>
        <n v="6.60528486E7"/>
        <n v="7.547054917272668E7"/>
        <n v="7.009742036974022E7"/>
        <n v="56.14"/>
        <n v="1.5190356339182127E7"/>
        <n v="1.7302899227684572E7"/>
        <n v="9.58845640645024E7"/>
        <n v="3.815879603813138E7"/>
        <n v="9299448.942535723"/>
        <n v="4906243.470630565"/>
        <n v="3573791.397174845"/>
        <n v="1.4044302470903544E7"/>
        <n v="5.332484746138717E7"/>
        <n v="1.279854844864592E7"/>
        <n v="6439928.768173273"/>
        <n v="152076.357810075"/>
        <n v="4.638678910095427E7"/>
        <n v="1.77674757830758E7"/>
        <n v="1.0913055714323848E7"/>
        <n v="9906673.546190666"/>
        <n v="4287060.945655815"/>
        <n v="0.0913564389"/>
        <n v="4396613.709590542"/>
        <n v="1.9150399945134796E7"/>
        <n v="1.0E-10"/>
        <n v="1.6703818859296778E7"/>
        <n v="2.0983748858454604E7"/>
        <n v="4431.7090568882"/>
        <n v="9396264.12615785"/>
        <n v="8.618542929292434E7"/>
        <n v="2.1738347371875145E7"/>
        <n v="6.323707081344256E7"/>
        <n v="3896.6"/>
        <n v="3.366649862889355E7"/>
        <n v="6.070405556605734E7"/>
        <n v="101091.347091685"/>
        <n v="255711.5045491526"/>
        <n v="3950876.7834916604"/>
        <n v="147720.2235026052"/>
        <n v="1.3754766585765146E7"/>
        <n v="2.8799948869792882E7"/>
        <n v="1.942837050608435E7"/>
        <n v="6.4898750195877545E7"/>
        <n v="4.933559880294791E7"/>
        <n v="6.91038403E7"/>
        <n v="1.5145920207192047E7"/>
        <n v="3.3260842215631638E7"/>
        <n v="2.197050939096417E7"/>
        <n v="2.7864662748175625E7"/>
        <n v="341749.851087096"/>
        <n v="1.329316836791525E8"/>
        <n v="1.2980898190504821E7"/>
        <n v="1.941925958081955E7"/>
        <n v="2.8306624080530148E7"/>
        <n v="26441.2873962073"/>
        <n v="3.784836731300163E7"/>
        <n v="3.049174069755226E7"/>
        <n v="1.319405825608982E7"/>
        <n v="7.307224211055021E7"/>
        <n v="5417265.502133329"/>
        <n v="2.9991246777148005E7"/>
        <n v="4.169707124053409E7"/>
        <n v="5.208743713188946E7"/>
        <n v="5.537192978383908E7"/>
        <n v="5.2841564359386615E7"/>
        <n v="5.369510900747268E7"/>
        <n v="2.9921716146354165E7"/>
        <n v="3.3216673944585253E7"/>
        <n v="4.96434955507643E7"/>
        <n v="3.315065044034099E7"/>
        <n v="5.342226577575157E7"/>
        <n v="7698865.058179578"/>
        <n v="3065.0"/>
        <n v="1500.0"/>
        <n v="542288.2271781533"/>
        <n v="3.444482280267985E7"/>
        <n v="2.1342302071591366E7"/>
        <n v="3.0732960823749024E7"/>
        <n v="1.125431398822826E8"/>
        <n v="2.985985225971056E7"/>
        <n v="5.2493596645968154E7"/>
        <n v="1.2937821604188425E7"/>
        <n v="3.0974740613899987E7"/>
        <n v="45364.0075154096"/>
        <n v="96029.5035491526"/>
        <n v="3.4918656859011024E7"/>
        <n v="3.172932455185468E7"/>
        <n v="16802.1"/>
        <n v="10250.0"/>
        <n v="1.9083987422196902E7"/>
        <n v="491832.8060161418"/>
        <n v="5.492771246911078E7"/>
        <n v="5.52858735903843E7"/>
        <n v="5.220136340542938E7"/>
        <n v="1.1272447543251139E8"/>
        <n v="31875.5"/>
        <n v="1.770066171190921E8"/>
        <n v="712115.9404656086"/>
        <n v="5.077895885038168E7"/>
        <n v="3.1071944884705897E7"/>
        <n v="1.7054234560637236E7"/>
        <n v="8.017412290095802E7"/>
        <n v="1.1294653892117849E8"/>
        <n v="4.673127682493523E7"/>
        <n v="12521.31"/>
        <n v="6.296512044949929E7"/>
        <n v="2.919863110064184E7"/>
        <n v="113644.5035491526"/>
        <n v="2.9564057638391156E7"/>
        <n v="7.458957652638148E7"/>
        <n v="1.2985389954747396E7"/>
        <n v="4.180861837168637E7"/>
        <n v="1.0"/>
        <n v="16808.2"/>
        <n v="4267288.736659206"/>
        <n v="3.499809522072946E7"/>
        <n v="3.3818971071207E7"/>
        <n v="4.422981833195496E7"/>
        <n v="25.0"/>
        <n v="3.0562661664434727E7"/>
        <n v="1.4262022395099157E7"/>
        <n v="2.625018893959899E7"/>
        <n v="4509341.639131336"/>
        <n v="130990.7676965972"/>
        <n v="4.25851524793277E7"/>
        <n v="2.3767840837128732E7"/>
        <n v="7.789642531161715E7"/>
        <n v="8815862.310485724"/>
        <n v="3.045598777091937E7"/>
        <n v="8568846.540208358"/>
        <n v="3.264959107145469E7"/>
        <n v="6.586257964394606E7"/>
        <n v="6520141.744506969"/>
        <n v="1.838659518221967E7"/>
        <n v="3.1364133254728504E7"/>
        <n v="3.2647400784457095E7"/>
        <n v="3.183094912919754E7"/>
        <n v="4.4705331452646196E7"/>
        <n v="5.599536818435215E7"/>
        <n v="5.081961894285834E7"/>
        <n v="9311400.620263318"/>
        <n v="9335971.723523442"/>
        <n v="4.815068734285921E7"/>
        <n v="1.8101668504312247E7"/>
        <n v="4000.0"/>
        <n v="15180.0"/>
        <n v="3.1100449816806424E7"/>
        <n v="2.8985474102104615E7"/>
        <n v="3.114909616528476E7"/>
        <n v="9.474276885776511E7"/>
        <n v="3.1823241022766776E7"/>
        <n v="9740932.885919372"/>
        <n v="4.292524341600219E7"/>
        <n v="1125511.6518042728"/>
        <n v="2.9713857204188425E7"/>
        <n v="1.714440946958107E7"/>
        <n v="3.019877696062692E7"/>
        <n v="40266.0"/>
        <n v="1.4466678391418938E7"/>
        <n v="106.01"/>
        <n v="23334.194168017"/>
        <n v="620716.7720727368"/>
        <n v="2.8987939452572685E7"/>
        <n v="16801.3"/>
        <n v="4.182155646233633E7"/>
        <n v="3.22845124855428E7"/>
        <n v="4.2618192408359155E7"/>
        <n v="5.2340210788594946E7"/>
        <n v="3.32143054E7"/>
        <n v="6.894933109778328E7"/>
        <n v="3.703132546132515E7"/>
        <n v="1.437159864334295E7"/>
        <n v="1.1820083629383178E7"/>
        <n v="1.2731431257480343E8"/>
        <n v="9.531929846509185E7"/>
        <n v="3.8242723337224916E7"/>
        <n v="83415.6006392736"/>
        <n v="4734.20002"/>
        <n v="15006.0"/>
        <n v="11386.0"/>
        <n v="2.9577739344875216E7"/>
        <n v="2.1563985409844562E7"/>
        <n v="4.7853378682593554E7"/>
        <n v="4.285255670083053E7"/>
        <n v="1.3699937689"/>
        <n v="2.0783294551735915E7"/>
        <n v="1.7818485914200198E7"/>
        <n v="3.1689444334927734E7"/>
        <n v="1.2711859240654344E7"/>
        <n v="2.484511062944059E7"/>
        <n v="19779.7082379344"/>
        <n v="4.940814509543248E7"/>
        <n v="2.2616070936989058E7"/>
        <n v="3.360922878593484E7"/>
        <n v="1033254.0"/>
        <n v="4.69377313054947E7"/>
        <n v="1.1973099886054438E7"/>
        <n v="4.045969286637053E7"/>
        <n v="4.140217040859899E7"/>
        <n v="4.707503801226264E7"/>
        <n v="1.1836558841470054E8"/>
        <n v="1607321.109797351"/>
        <n v="5.0711450429356776E7"/>
        <n v="5.2701645617995776E7"/>
        <n v="5250.0"/>
        <n v="5001.0"/>
        <n v="1079241.2539981725"/>
        <n v="4322283.397091685"/>
        <n v="5004.0"/>
        <n v="55301.1161"/>
        <n v="3.784979681634601E7"/>
        <n v="19.0"/>
        <n v="1268.5"/>
        <n v="1.5898960173307216E7"/>
        <n v="5930.0"/>
        <n v="1.6210102142908735E7"/>
        <n v="4295337.041259702"/>
        <n v="11.1"/>
        <n v="3.751909734940234E7"/>
        <n v="9353907.860771323"/>
        <n v="1.2087105943842551E8"/>
        <n v="5.301870255827736E7"/>
        <n v="4.794423852298371E7"/>
        <n v="3.523737657779649E7"/>
        <n v="1.6146934306015544E7"/>
        <n v="4.736488322219491E7"/>
        <n v="3.342422625274793E7"/>
        <n v="4235012.669099883"/>
        <n v="4.695526879164066E7"/>
        <n v="4.2568815529078335E7"/>
        <n v="15115.0"/>
        <n v="1.4513679410218088E7"/>
        <n v="1.135461772353888E7"/>
        <n v="4.0434183399439685E7"/>
        <n v="902745.8605456332"/>
        <n v="1.6811915807091683E7"/>
        <n v="1.5141068634570908E7"/>
        <n v="2.4636932693886217E7"/>
        <n v="108150.3978087989"/>
        <n v="314079.4264767482"/>
        <n v="2195987.7082379344"/>
        <n v="1.2715237192638762E7"/>
        <n v="6.152575816055166E7"/>
        <n v="9486771.120498113"/>
        <n v="4605189.746663303"/>
        <n v="4.429923834902626E7"/>
        <n v="1.681288615883938E7"/>
        <n v="3.871594954579604E7"/>
        <n v="8602937.539091974"/>
        <n v="10068.0235388797"/>
        <n v="4.342637167885351E7"/>
        <n v="2.7079656423110157E7"/>
        <n v="1.1815022547114246E7"/>
        <n v="4.1"/>
        <n v="12001.1"/>
        <n v="1.0578643225598459E8"/>
        <n v="203519.4400707925"/>
        <n v="2000.0"/>
        <n v="1.1749197237761617E7"/>
        <n v="2218005.5696152695"/>
        <n v="4.7940994054149434E7"/>
        <n v="1.0174431288309304E7"/>
        <n v="4.1329883917112865E7"/>
        <n v="21915.1"/>
        <n v="4.502370914317193E7"/>
        <n v="2.9927313415197026E7"/>
        <n v="1.2329841210595997E7"/>
        <n v="6.304759505914222E7"/>
        <n v="4398216.2473408375"/>
        <n v="5.408314907064396E7"/>
        <n v="2.717535683048169E7"/>
        <n v="4250279.919099883"/>
        <n v="8942.0"/>
        <n v="18800.1"/>
        <n v="7010.00001"/>
        <n v="1.4363199370489394E7"/>
        <n v="5725555.027848743"/>
        <n v="3.134094597638106E7"/>
        <n v="3.869458555986859E7"/>
        <n v="3000.0"/>
        <n v="14468.0"/>
        <n v="3026268.0091053997"/>
        <n v="1.4706374365614694E7"/>
        <n v="4.14894423E7"/>
        <n v="5.298999680999183E7"/>
        <n v="1.4190621387846066E7"/>
        <n v="5032.7"/>
        <n v="4.452022628859079E7"/>
        <n v="4.918123806118247E7"/>
        <n v="5.718283561807246E7"/>
        <n v="101437.5035491526"/>
        <n v="7.610984679573442E7"/>
        <n v="1.474167103836064E8"/>
        <n v="30103.6"/>
        <n v="12128.1"/>
        <n v="303934.8839112458"/>
        <n v="4352276.7191098835"/>
        <n v="2553526.215452451"/>
        <n v="9.244245422629054E7"/>
        <n v="2.1404002581348646E7"/>
        <n v="1.2976355054132156E7"/>
        <n v="1313969.0247088675"/>
        <n v="4.118844611014923E7"/>
        <n v="188487.9236388797"/>
        <n v="4725542.267999757"/>
        <n v="4542354.601069988"/>
        <n v="1.0324158804212146E8"/>
        <n v="2.1959132232613496E7"/>
        <n v="8685698.802526953"/>
        <n v="4.058725684568697E7"/>
        <n v="5836347.799715488"/>
        <n v="5.612412538190799E7"/>
        <n v="4406835.982832746"/>
        <n v="1.0066866622981516E8"/>
        <n v="3.0739429596271645E7"/>
        <n v="4541345.292115511"/>
        <n v="9834608.186227543"/>
        <n v="3.070794182116525E7"/>
        <n v="2.2087412215700775E7"/>
        <n v="11000.2"/>
        <n v="1.2974212915716931E7"/>
        <n v="6.388538490946686E7"/>
        <n v="4828254.1979971565"/>
        <n v="7.0"/>
        <n v="1.364670676237744E8"/>
        <n v="4.146800343905327E7"/>
        <n v="2.869098507616227E7"/>
        <n v="1.3742857834263552E7"/>
        <n v="4814733.035546438"/>
        <n v="3.1170942640807975E7"/>
        <n v="4531090.681495907"/>
        <n v="148795.1001"/>
        <n v="4244007.291017088"/>
        <n v="4375058.091017088"/>
        <n v="5.939218063456839E7"/>
        <n v="120.0"/>
        <n v="4439321.397091685"/>
        <n v="2.3065912906977966E7"/>
        <n v="1.7739033202181304E8"/>
        <n v="2630770.009293892"/>
        <n v="3.323719197163225E7"/>
        <n v="14.20001"/>
        <n v="2.69910187417103E7"/>
        <n v="1.080142498549886E7"/>
        <n v="2.5893778054673433E7"/>
        <n v="1.2966839128852705E7"/>
        <n v="2.7974503198543172E7"/>
        <n v="1.6846687473041557E7"/>
        <n v="9244235.639371142"/>
        <n v="2.0803866017677832E8"/>
        <n v="9139805.65673943"/>
        <n v="1.132879214759723E7"/>
        <n v="1.3224451681109417E7"/>
        <n v="1.4050450014495924E7"/>
        <n v="6570877.635332696"/>
        <n v="176200.09"/>
        <n v="400.1"/>
        <n v="44.0001"/>
        <n v="1.6817526918704983E7"/>
        <n v="10500.0"/>
        <n v="97561.0"/>
        <n v="18910.2"/>
        <n v="4274621.343538879"/>
        <n v="1421692.3867388112"/>
        <n v="22.0"/>
        <n v="752135.302733264"/>
        <n v="660196.302733264"/>
        <n v="686726.302733264"/>
        <n v="179889.7967388111"/>
        <n v="112537.4735388797"/>
        <n v="4343111.911655218"/>
        <n v="1322369.3735388797"/>
        <n v="7044.0"/>
      </sharedItems>
    </cacheField>
    <cacheField name="NAYs" numFmtId="3">
      <sharedItems containsSemiMixedTypes="0" containsString="0" containsNumber="1">
        <n v="2776016.4071780127"/>
        <n v="2.728405603320686E7"/>
        <n v="3249706.493460312"/>
        <n v="1761651.3027568972"/>
        <n v="0.0"/>
        <n v="800119.465234279"/>
        <n v="2859825.6206017635"/>
        <n v="220434.313481849"/>
        <n v="637265.3748057142"/>
        <n v="317570.8033617394"/>
        <n v="429028.9145927421"/>
        <n v="4.76672621E7"/>
        <n v="20264.5"/>
        <n v="2763283.584264918"/>
        <n v="3389665.0673079365"/>
        <n v="3200852.7298340774"/>
        <n v="375143.0475345054"/>
        <n v="701265.3519029213"/>
        <n v="846335.2475345054"/>
        <n v="7250812.633153093"/>
        <n v="2185637.1675414243"/>
        <n v="100.1"/>
        <n v="2747592.845394487"/>
        <n v="390263.0608"/>
        <n v="1469069.3459266594"/>
        <n v="4422681.847630495"/>
        <n v="50674.5001"/>
        <n v="476201.8865112867"/>
        <n v="322967.6608"/>
        <n v="344405.6556"/>
        <n v="322553.7556"/>
        <n v="379790.9589303516"/>
        <n v="8474908.448823085"/>
        <n v="8053184.338945685"/>
        <n v="373221.6924692313"/>
        <n v="673386.802499875"/>
        <n v="5921508.980960048"/>
        <n v="3816011.5749859964"/>
        <n v="3520391.387092367"/>
        <n v="1191227.811113608"/>
        <n v="624726.6057113309"/>
        <n v="801640.4259086589"/>
        <n v="634605.3660649953"/>
        <n v="2596306.643848169"/>
        <n v="1962082.5150987648"/>
        <n v="3480490.0550859645"/>
        <n v="1140892.1232540028"/>
        <n v="81230.5637913073"/>
        <n v="2749682.4816202084"/>
        <n v="3502905.499998555"/>
        <n v="3295244.2838937347"/>
        <n v="102665.6052"/>
        <n v="108652.866"/>
        <n v="789693.3307780197"/>
        <n v="100.0"/>
        <n v="1593572.8219458836"/>
        <n v="200.5"/>
        <n v="50313.2"/>
        <n v="11413.3152069446"/>
        <n v="6100.0"/>
        <n v="114582.2"/>
        <n v="2557344.8346599923"/>
        <n v="1116239.0921566642"/>
        <n v="926139.199478539"/>
        <n v="362971.8876054939"/>
        <n v="2970004.1748762988"/>
        <n v="2303159.5566101545"/>
        <n v="1388229.167028686"/>
        <n v="1396571.1542439435"/>
        <n v="1.203636451277686E7"/>
        <n v="1589390.3391745489"/>
        <n v="974296.3309908297"/>
        <n v="1408093.552368431"/>
        <n v="558731.4"/>
        <n v="173599.7699847809"/>
        <n v="37839.5"/>
        <n v="1704193.3533758195"/>
        <n v="2271354.803267096"/>
        <n v="4967644.52289783"/>
        <n v="160270.6872152575"/>
        <n v="4016304.5886344914"/>
        <n v="17012.51527"/>
        <n v="3266251.192756873"/>
        <n v="5.980744014463551E7"/>
        <n v="5083003.5840209685"/>
        <n v="105.0001"/>
        <n v="44853.6472740836"/>
        <n v="1.1998648372988708E7"/>
        <n v="1257176.614344529"/>
        <n v="8597057.352723973"/>
        <n v="4375947.6553296195"/>
        <n v="1.0767076450346833E7"/>
        <n v="3.616821932277324E7"/>
        <n v="2343682.1766621214"/>
        <n v="5973479.092043694"/>
        <n v="1752681.734111025"/>
        <n v="1691419.7090268605"/>
        <n v="1202432.7064286622"/>
        <n v="6537.2608"/>
        <n v="223637.52072"/>
        <n v="8564453.579265747"/>
        <n v="2420972.0955897355"/>
        <n v="7075387.569513494"/>
        <n v="7767062.625196724"/>
        <n v="2.790073270064084E7"/>
        <n v="287725.7686"/>
        <n v="7607059.260747373"/>
        <n v="1.2751935100499835E7"/>
        <n v="1205976.0773400085"/>
        <n v="9666029.169369327"/>
        <n v="490200.5592823739"/>
        <n v="1.0376856235622648E7"/>
        <n v="2.4637372195392903E7"/>
        <n v="96196.205521818"/>
        <n v="9897751.71654564"/>
        <n v="10.0"/>
        <n v="1777789.0804504848"/>
        <n v="32741.1"/>
        <n v="12741.0"/>
        <n v="27741.1"/>
        <n v="7669622.991030213"/>
        <n v="1.7394431087814342E7"/>
        <n v="1462553.2046127678"/>
        <n v="1774058.2108842062"/>
        <n v="741684.2711678819"/>
        <n v="9528437.06765272"/>
        <n v="5000.0"/>
        <n v="20708.8341525147"/>
        <n v="2405004.184851485"/>
        <n v="8589727.942633545"/>
        <n v="1.0469698783747932E7"/>
        <n v="1.1319202934961796E7"/>
        <n v="1.0757500133491058E7"/>
        <n v="2.1799859680688288E7"/>
        <n v="5.1"/>
        <n v="1.0403065271781659E7"/>
        <n v="10.0000001"/>
        <n v="591578.0769474191"/>
        <n v="9282888.327112835"/>
        <n v="335416.1258053582"/>
        <n v="49597.6707428057"/>
        <n v="7949509.53322787"/>
        <n v="1.3912353415797839E7"/>
        <n v="574.3"/>
        <n v="1.1836784393508028E7"/>
        <n v="2164853.1242166907"/>
        <n v="8321085.380210415"/>
        <n v="8496668.073803283"/>
        <n v="2029197.8157342088"/>
        <n v="1.3234063197890121E7"/>
        <n v="1.0866612314139314E7"/>
        <n v="1.0902545250796333E7"/>
        <n v="1.1892506619330889E7"/>
        <n v="3.615602047384298E7"/>
        <n v="1035357.3614992728"/>
        <n v="2360329.5508997575"/>
        <n v="1.30392772102238E7"/>
        <n v="1.0707989811922401E7"/>
        <n v="1441880.29251313"/>
        <n v="750254.5688472512"/>
        <n v="5.554697532729751E7"/>
        <n v="4214708.456740625"/>
        <n v="1573255.404904616"/>
        <n v="1.192526170680949E7"/>
        <n v="3120749.43144537"/>
        <n v="3029531.992731462"/>
        <n v="2560151.2917201086"/>
        <n v="1.4215047154586323E7"/>
        <n v="469179.9508784957"/>
        <n v="1.054669198594188E7"/>
        <n v="1.0902778199072879E7"/>
        <n v="7506281.359547438"/>
        <n v="1.0517214324763149E7"/>
        <n v="78191.1"/>
        <n v="1.3259460570952611E7"/>
        <n v="9617022.639728453"/>
        <n v="1.1687126732700344E7"/>
        <n v="7010.0"/>
        <n v="1508814.1225582366"/>
        <n v="1.3069205742926199E7"/>
        <n v="1759274.7082190136"/>
        <n v="1.1707775346271059E7"/>
        <n v="1.1301172215252753E7"/>
        <n v="1.0678793697015744E7"/>
        <n v="2290402.5680582365"/>
        <n v="1139827.406690996"/>
        <n v="1.4315844145121774E7"/>
        <n v="1.2446818670847822E7"/>
        <n v="4716779.223331273"/>
        <n v="1.555904530397792E7"/>
        <n v="1.5581247351948902E7"/>
        <n v="45005.2"/>
        <n v="1.078752271315139E7"/>
        <n v="1.5562634646787075E7"/>
        <n v="1.1182083817293655E7"/>
        <n v="1079535.4249467973"/>
        <n v="1.2612869943638694E7"/>
        <n v="343162.0886441372"/>
        <n v="109018.2"/>
        <n v="506801.5396327592"/>
        <n v="1.3408950321774285E7"/>
        <n v="2073723.9689864835"/>
        <n v="1.1070011057488974E7"/>
        <n v="4103318.8213073215"/>
        <n v="1.6109800952344524E7"/>
        <n v="1612050.1"/>
        <n v="4.505387733536229E7"/>
        <n v="3273022.3646644778"/>
        <n v="1063767.3631033082"/>
        <n v="1.3752258073958397E7"/>
        <n v="1.4755228009936797E7"/>
        <n v="1.1114664132716475E7"/>
        <n v="3985580.2302667242"/>
        <n v="5.828919923032874E7"/>
        <n v="1.1486700826510543E7"/>
        <n v="1226423.4874816907"/>
        <n v="3964552.313170689"/>
        <n v="1640840.3"/>
        <n v="1.8106506949889667E7"/>
        <n v="2738190.4208938363"/>
        <n v="1.5202322409474665E7"/>
        <n v="1.6348075971494554E7"/>
        <n v="3445767.816292549"/>
        <n v="4340440.159228561"/>
        <n v="1.831055537397765E7"/>
        <n v="1.2503451937641766E7"/>
        <n v="1.6234693658547647E7"/>
        <n v="329898.8097734942"/>
        <n v="4.2776238340737134E7"/>
        <n v="1.5662029021986814E7"/>
        <n v="3433779.6796261887"/>
        <n v="6482757.585845532"/>
        <n v="52575.1670582367"/>
        <n v="1.0275617990940167E7"/>
        <n v="1.1968360709720328E7"/>
        <n v="1.5308649734266505E7"/>
        <n v="1246164.7537619453"/>
        <n v="4248856.246321443"/>
        <n v="2.902016628297301E7"/>
        <n v="1321479.5707626857"/>
        <n v="1.1324511636341574E7"/>
        <n v="3.8092512063579015E7"/>
        <n v="1.2539129936206276E7"/>
        <n v="1.442516634810462E7"/>
        <n v="509855.6856913136"/>
        <n v="4768906.662421701"/>
        <n v="1640263.67898479"/>
        <n v="1404565.8430015205"/>
        <n v="6056471.904557891"/>
        <n v="1.2796975256897751E7"/>
        <n v="1.2402330771805251E7"/>
        <n v="4235390.459433627"/>
        <n v="1.28009436881704E7"/>
        <n v="1.3674840009084048E7"/>
        <n v="4.958257608666941E7"/>
        <n v="4.968111951148787E7"/>
        <n v="1729854.4601754772"/>
        <n v="5235595.222410884"/>
        <n v="7354478.307989768"/>
        <n v="1192044.9682169957"/>
        <n v="1284797.6662018285"/>
        <n v="2.8259576395204253E7"/>
        <n v="4.710742690177693E7"/>
        <n v="1.2400499771810254E7"/>
        <n v="9135.0"/>
        <n v="1247495.0517497743"/>
        <n v="2.8399895388290156E7"/>
        <n v="5.195158233001553E7"/>
        <n v="2.617005792020953E7"/>
        <n v="5.238445068349452E7"/>
        <n v="3.3114145150339477E7"/>
        <n v="4734227.804249804"/>
        <n v="5.1742061852086164E7"/>
        <n v="1.0792321612293271E7"/>
        <n v="5.212347067856228E7"/>
        <n v="7723574.912385896"/>
        <n v="2818709.3872152576"/>
        <n v="1963170.00000001"/>
        <n v="5.1957897560349055E7"/>
        <n v="5.181088581297835E7"/>
        <n v="5.164774212716589E7"/>
        <n v="1.3724175745954078E7"/>
        <n v="1.52383152540647E7"/>
        <n v="5.0204102782666706E7"/>
        <n v="1.5085473367583107E7"/>
        <n v="2673127.406456474"/>
        <n v="7536767.8619166175"/>
        <n v="1616171.3397688481"/>
        <n v="5.240465190775571E7"/>
        <n v="5.1651701090338744E7"/>
        <n v="6.5192955515835255E7"/>
        <n v="3.296648019878072E7"/>
        <n v="6.694311646115765E7"/>
        <n v="9957828.995687028"/>
        <n v="9959624.002530927"/>
        <n v="1.2455107305116015E7"/>
        <n v="6.712509456636864E7"/>
        <n v="1.4985053701613016E7"/>
        <n v="1.4732238635625483E7"/>
        <n v="1.2955056471889194E7"/>
        <n v="1160084.067439429"/>
        <n v="3.845368625001785E7"/>
        <n v="1.4889755656037E7"/>
        <n v="741892.3146520681"/>
        <n v="1904666.5772655963"/>
        <n v="1.2043104141175348E7"/>
        <n v="5150529.064133251"/>
        <n v="2880687.5613671164"/>
        <n v="3533785.757928237"/>
        <n v="1922098.1391802235"/>
        <n v="9559054.407856146"/>
        <n v="9081070.894132078"/>
        <n v="9079163.107378144"/>
        <n v="9066651.136159636"/>
        <n v="9056271.240118047"/>
        <n v="9072226.717987042"/>
        <n v="9096245.933938928"/>
        <n v="159094.2235388797"/>
        <n v="9046297.11486128"/>
        <n v="2049280.2389882293"/>
        <n v="1.4678337131542116E7"/>
        <n v="1.4061017817724539E7"/>
        <n v="1068235.7683779332"/>
        <n v="2.998679216326582E7"/>
        <n v="4082832.44442956"/>
        <n v="791064.4653407662"/>
        <n v="1.3020459373797458E7"/>
        <n v="4256236.002121974"/>
        <n v="1940628.4257413351"/>
        <n v="676917.0"/>
        <n v="1.2555287763410358E7"/>
        <n v="1290903.2647381595"/>
        <n v="54320.6865210526"/>
        <n v="1.3739780149511142E7"/>
        <n v="1.3567024466198064E7"/>
        <n v="1.1631872381211E7"/>
        <n v="1.216534161806062E7"/>
        <n v="41025.6078432547"/>
        <n v="1.5501114562934028E7"/>
        <n v="1.2772067327100229E7"/>
        <n v="1.4090210882136062E7"/>
        <n v="1.5664451232700586E7"/>
        <n v="2377607.5034548435"/>
        <n v="519658.0743996018"/>
        <n v="327389.0237545887"/>
        <n v="183939.6872152575"/>
        <n v="138903.5726849249"/>
        <n v="1290236.0674714393"/>
        <n v="4576366.465971193"/>
        <n v="1076030.0025477984"/>
        <n v="1.3562709451485574E7"/>
        <n v="3.3445472574286193E7"/>
        <n v="1032051.3668829323"/>
        <n v="4.726606633080685E7"/>
        <n v="1.9504448335955422E7"/>
        <n v="223081.331658338"/>
        <n v="3.0980686016067643E7"/>
        <n v="249230.6466693924"/>
        <n v="494514.9063194007"/>
        <n v="3909868.2863627267"/>
        <n v="269077.8850926468"/>
        <n v="274160.0845947794"/>
        <n v="1011940.9997326778"/>
        <n v="2.5844408056053836E7"/>
        <n v="3718934.734625527"/>
        <n v="518229.6316276019"/>
        <n v="2435626.2892413517"/>
        <n v="548003.4025731898"/>
        <n v="991871.0199275773"/>
        <n v="593090.0741094392"/>
        <n v="148096.4512357278"/>
        <n v="7.174655661314608E7"/>
        <n v="1232153.0395348016"/>
        <n v="587990.8043387294"/>
        <n v="1947502.7517093113"/>
        <n v="434227.0788443636"/>
        <n v="1643174.5648191678"/>
        <n v="199727.5300445778"/>
        <n v="9.037487260104667E7"/>
        <n v="2268266.183544674"/>
        <n v="6.879207631270073E7"/>
        <n v="1.5959565909464313E7"/>
        <n v="5.64248126469003E7"/>
        <n v="3060994.6768448106"/>
        <n v="990415.0810611297"/>
        <n v="4.104284651147102E7"/>
        <n v="2004005.13282276"/>
        <n v="1.5925742100863248E7"/>
        <n v="1785995.2537505461"/>
        <n v="5.601820622872928E7"/>
        <n v="198463.5944890484"/>
        <n v="2237044.38390566"/>
        <n v="1.4102289690303368E7"/>
        <n v="8487.6229564742"/>
        <n v="13720.3229564742"/>
        <n v="3922237.799207042"/>
        <n v="3255968.584409249"/>
        <n v="51230.7783225472"/>
        <n v="1.067607787113054E8"/>
        <n v="1056821.963673672"/>
        <n v="6106.795392146"/>
        <n v="1.4878924183481764E7"/>
        <n v="1.5928880587928142E7"/>
        <n v="115340.1235388797"/>
        <n v="1457685.9115545189"/>
        <n v="129349.1"/>
        <n v="1.5796416238974106E7"/>
        <n v="1581750.949735282"/>
        <n v="180610.4"/>
        <n v="1.7424925035762724E7"/>
        <n v="3280325.521998466"/>
        <n v="48542.1172469272"/>
        <n v="502942.2226682906"/>
        <n v="3.386080812082049E7"/>
        <n v="843143.4086192299"/>
        <n v="2016021.4524074956"/>
        <n v="1.3886662886210982E7"/>
        <n v="835780.8037159987"/>
        <n v="71721.4"/>
        <n v="1.2976897522523204E7"/>
        <n v="2325729.3055831124"/>
        <n v="3295541.098719417"/>
        <n v="4221080.091829964"/>
        <n v="2607401.555342589"/>
        <n v="3103851.1033711517"/>
        <n v="7.366352226072095E7"/>
        <n v="445563.0303651397"/>
        <n v="299701.5466367117"/>
        <n v="1.759836962362653E7"/>
        <n v="748126.5197692729"/>
        <n v="30924.1224320845"/>
        <n v="3.2422313720116742E7"/>
        <n v="2893180.59315726"/>
        <n v="39288.6491327239"/>
        <n v="3026891.7074693493"/>
        <n v="46698.1328023861"/>
        <n v="1810277.8976467736"/>
        <n v="220303.7503110687"/>
        <n v="75668.3"/>
        <n v="2535293.1090263296"/>
        <n v="1.61828016965831E7"/>
        <n v="92787.0"/>
        <n v="2282563.854972243"/>
        <n v="1640175.6834143007"/>
        <n v="1333409.4200803079"/>
        <n v="7241277.350319758"/>
        <n v="3519793.666109272"/>
        <n v="3.45893611948087E7"/>
        <n v="1.6301262817844503E7"/>
        <n v="5.832818711515067E7"/>
        <n v="142220.7314774661"/>
        <n v="2.6187490719611853E7"/>
        <n v="6.88151676518234E7"/>
        <n v="34229.4347398596"/>
        <n v="42906.1828939706"/>
        <n v="5025.0"/>
        <n v="15191.5197692729"/>
        <n v="1729945.4192483507"/>
        <n v="6723545.399670586"/>
        <n v="2838954.4808483417"/>
        <n v="53504.831794545"/>
        <n v="51196.0379381906"/>
        <n v="3014018.8719343133"/>
        <n v="38609.2946822493"/>
        <n v="684682.0307211586"/>
        <n v="2.603368014115487E7"/>
        <n v="1.3498337564439615E7"/>
        <n v="2.593014909355072E7"/>
        <n v="28004.5813519607"/>
        <n v="206887.8437225482"/>
        <n v="2.0855730529242102E7"/>
        <n v="1263754.677228831"/>
        <n v="372662.815051953"/>
        <n v="292798.7519139702"/>
        <n v="2.655225122037826E7"/>
        <n v="92983.4439517354"/>
        <n v="3759869.0438421885"/>
        <n v="1031565.9111568365"/>
        <n v="1.3615108885254264E7"/>
        <n v="957838.114828453"/>
        <n v="1055756.2962547285"/>
        <n v="385658.6745208935"/>
        <n v="2013647.7668576494"/>
        <n v="1.9163197123316977E7"/>
        <n v="6473991.74966195"/>
        <n v="923801.0892759097"/>
        <n v="1.94587240199342E7"/>
        <n v="478701.3205915881"/>
        <n v="6865133.212528083"/>
        <n v="8.353008094237557E7"/>
        <n v="1.7126203405532666E7"/>
        <n v="2.5237916481943272E7"/>
        <n v="4.145631963572467E7"/>
        <n v="2.530140256368919E7"/>
        <n v="1.9102702390154615E7"/>
        <n v="3179159.277383572"/>
        <n v="1165682.6549713127"/>
        <n v="6652881.660531809"/>
        <n v="348274.9235388797"/>
        <n v="1.8293311336277544E7"/>
        <n v="3.98226767309893E7"/>
        <n v="7257809.253490025"/>
        <n v="1.9611189027694996E7"/>
        <n v="7427176.814073392"/>
        <n v="2722032.897022489"/>
        <n v="343269.8584736719"/>
        <n v="36531.8376253017"/>
        <n v="2957130.8729039244"/>
        <n v="3.1551060377428513E7"/>
        <n v="7.252427399529381E7"/>
        <n v="1.2985730966137746E7"/>
        <n v="2426.0"/>
        <n v="3.5034033163067766E7"/>
        <n v="3.2649877025333583E7"/>
        <n v="4.7335480921400055E7"/>
        <n v="22.0"/>
        <n v="3.267506649973905E7"/>
        <n v="7601777.003720318"/>
        <n v="3.3513300727425277E7"/>
        <n v="1194965.752327497"/>
        <n v="2.2576365839067608E7"/>
        <n v="3.1387811959456928E7"/>
        <n v="1.3433586302915389E7"/>
        <n v="1099041.2946260439"/>
        <n v="2.6122980728841063E7"/>
        <n v="3.1575514884293318E7"/>
        <n v="2.5362440160063986E7"/>
        <n v="2.5072181173129573E7"/>
        <n v="25922.3579718795"/>
        <n v="3.2737453567175914E7"/>
        <n v="558210.6445514183"/>
        <n v="7938129.503976608"/>
        <n v="335520.1"/>
        <n v="2.635230953094221E7"/>
        <n v="444263.0355796187"/>
        <n v="30.0"/>
        <n v="3320740.2697620345"/>
        <n v="4183795.537339843"/>
        <n v="3.216677391766458E7"/>
        <n v="2.491657567396045E7"/>
        <n v="3.1417885871800378E7"/>
        <n v="3.0985409985731587E7"/>
        <n v="320201.1"/>
        <n v="17865.4"/>
        <n v="6409463.002484963"/>
        <n v="1.2726872899917431E7"/>
        <n v="5.2604431923161075E7"/>
        <n v="3656734.4859848544"/>
        <n v="3660220.937915298"/>
        <n v="23028.0"/>
        <n v="9316324.400581703"/>
        <n v="9315169.344027791"/>
        <n v="5886091.329236806"/>
        <n v="2798853.017290459"/>
        <n v="594274.4879075688"/>
        <n v="3.182076156662488E7"/>
        <n v="2.1916057864740487E7"/>
        <n v="392707.2075987436"/>
        <n v="6521571.552653668"/>
        <n v="38053.2"/>
        <n v="3724517.3345806785"/>
        <n v="23.1"/>
        <n v="3.1452291738306064E7"/>
        <n v="178421.2"/>
        <n v="5540634.367341298"/>
        <n v="1.3916645983815167E7"/>
        <n v="372833.5199173186"/>
        <n v="3.1948772835707758E7"/>
        <n v="5023.1"/>
        <n v="5005.0"/>
        <n v="1.3476547122945933E7"/>
        <n v="33.3"/>
        <n v="2.216339798449999E7"/>
        <n v="3.921767729863275E7"/>
        <n v="608418.2545786501"/>
        <n v="47.0"/>
        <n v="1.2966387487334192E7"/>
        <n v="3.116944949232355E7"/>
        <n v="13389.0"/>
        <n v="411.0"/>
        <n v="28.0"/>
        <n v="4245045.4"/>
        <n v="3.0659264254604824E7"/>
        <n v="9122.3"/>
        <n v="3.9103013579815164E7"/>
        <n v="3.2257257196865514E7"/>
        <n v="1571541.7769787938"/>
        <n v="1263435.791906932"/>
        <n v="1.6356422065604853E7"/>
        <n v="984680.2204936058"/>
        <n v="1.4113955204292133E7"/>
        <n v="3.2099806812853113E7"/>
        <n v="5.145359330163232E7"/>
        <n v="2.0111914626308676E7"/>
        <n v="3.8499633468227275E7"/>
        <n v="3.848989180822728E7"/>
        <n v="8402369.607681954"/>
        <n v="2.672429816877197E7"/>
        <n v="2.718939216641737E7"/>
        <n v="4595461.568473672"/>
        <n v="2958743.220243953"/>
        <n v="2.025174961227276E7"/>
        <n v="390626.5646103493"/>
        <n v="9599404.655175267"/>
        <n v="442442.5945580202"/>
        <n v="3.898326291764676E7"/>
        <n v="470869.3072553323"/>
        <n v="31.1"/>
        <n v="1.240873047163674E7"/>
        <n v="5.512957558617911E7"/>
        <n v="40778.7212407663"/>
        <n v="2.0059327841056097E7"/>
        <n v="204632.8342821433"/>
        <n v="5.0"/>
        <n v="405.0"/>
        <n v="14525.0"/>
        <n v="1.01613696854102E7"/>
        <n v="801029.2174738785"/>
        <n v="106445.6324945798"/>
        <n v="2.6162179712164328E7"/>
        <n v="744065.4174738785"/>
        <n v="3.0347663424330473E7"/>
        <n v="1196.0"/>
        <n v="46878.3"/>
        <n v="9996743.154909872"/>
        <n v="19751.0"/>
        <n v="5138907.336388397"/>
        <n v="5.191506205387039E7"/>
        <n v="1748.47397261"/>
        <n v="28883.4716256343"/>
        <n v="2.487942391017793E7"/>
        <n v="1446.0"/>
        <n v="9118.5"/>
        <n v="3.9556163659928724E7"/>
        <n v="2.2327079892141424E7"/>
        <n v="3.108380881877782E7"/>
        <n v="1.3563677540309118E7"/>
        <n v="1.4893682493592078E7"/>
        <n v="7615286.763612855"/>
        <n v="8218053.325840491"/>
        <n v="7570689.157407557"/>
        <n v="1.6023223024726236E7"/>
        <n v="23.0"/>
        <n v="3.443667832019693E7"/>
        <n v="2096110.6425523134"/>
        <n v="2825400.4"/>
        <n v="4106703.5566570326"/>
        <n v="3.38746780088174E7"/>
        <n v="7657903.340749044"/>
        <n v="4231914.1"/>
        <n v="4.132975088593362E7"/>
        <n v="7476564.452996895"/>
        <n v="1.0460258250284398E7"/>
        <n v="7440560.445870125"/>
        <n v="5961.0"/>
        <n v="207079.3110855102"/>
        <n v="9622996.245452465"/>
        <n v="27731.9744879636"/>
        <n v="3.213213326457736E7"/>
        <n v="3.4215433186257415E7"/>
        <n v="812.5515314894"/>
        <n v="720.5"/>
        <n v="19108.1"/>
        <n v="9.667777667217962E7"/>
        <n v="191315.2962761988"/>
        <n v="2.9161570687162135E7"/>
        <n v="1.1022767783419408E7"/>
        <n v="1.414381027093857E7"/>
        <n v="1.6772411892114349E7"/>
        <n v="4170599.676849735"/>
        <n v="3.776389686397966E7"/>
        <n v="2.224452409920007E7"/>
        <n v="250.1"/>
        <n v="3.094700321531193E7"/>
        <n v="4.1232293536559835E7"/>
        <n v="7818828.998011404"/>
        <n v="1.8323416329532683E7"/>
        <n v="1.6596257390018648E7"/>
        <n v="3475902.4384634397"/>
        <n v="1.1196965642755556E8"/>
        <n v="1.081933278161522E7"/>
        <n v="2915504.4"/>
        <n v="46382.0"/>
        <n v="9.282824099018067E7"/>
        <n v="3.42634157457223E7"/>
        <n v="5010.0"/>
        <n v="8952607.249189664"/>
        <n v="1.382094348954204E7"/>
        <n v="23304.6778999878"/>
        <n v="53871.0"/>
        <n v="3.3066902910544436E7"/>
        <n v="1.147490022E8"/>
        <n v="36424.0"/>
        <n v="2047673.4186460667"/>
        <n v="9.334026141438669E7"/>
        <n v="14627.7"/>
        <n v="2925983.4"/>
        <n v="121650.447091685"/>
        <n v="2247803.018810008"/>
        <n v="6034600.422956474"/>
        <n v="2.5942754393683117E7"/>
        <n v="5971.0"/>
        <n v="2.5868803394783117E7"/>
        <n v="8260429.914163536"/>
        <n v="1.9414708976194404E7"/>
        <n v="661763.1612801112"/>
        <n v="4.3742232492425986E7"/>
        <n v="3.2236091309944555E7"/>
        <n v="7821838.090409757"/>
        <n v="1.5288781150301762E7"/>
        <n v="1.3819595597115599E7"/>
        <n v="3.0211255084919125E7"/>
        <n v="33271.7292758749"/>
        <n v="41535.3464953539"/>
        <n v="7.156896590374537E7"/>
        <n v="344242.7006305647"/>
        <n v="8.801249470926648E7"/>
        <n v="1.9806581610338558E7"/>
        <n v="2.330219725503307E7"/>
        <n v="1.751666488923292E7"/>
        <n v="2.05555966462674E7"/>
        <n v="1.705371810116809E7"/>
        <n v="31152.6"/>
        <n v="9110.0"/>
        <n v="2991866.763655154"/>
        <n v="2.215065154657079E7"/>
        <n v="50678.1"/>
        <n v="3.5088982599753566E7"/>
        <n v="4354486.217597928"/>
        <n v="4168430.616260817"/>
        <n v="391694.221650452"/>
        <n v="7728762.216259887"/>
        <n v="2.7757511138398074E7"/>
        <n v="7957907.292237195"/>
        <n v="4.330465153545076E7"/>
        <n v="2106071.0"/>
        <n v="7470723.80043717"/>
        <n v="568470.6620228245"/>
        <n v="91197.556537823"/>
        <n v="5966.0"/>
        <n v="7826497.811663373"/>
        <n v="1.083686645598907E8"/>
        <n v="2.175933198173824E7"/>
        <n v="3.819927964074172E7"/>
        <n v="2.3585960069023427E7"/>
        <n v="2.4567148673105832E7"/>
        <n v="1.0537137211011989E7"/>
        <n v="9305675.542923385"/>
        <n v="4.06484365823587E7"/>
        <n v="2.7930125191729944E7"/>
        <n v="2.584166061841865E7"/>
        <n v="2.1663474913900807E7"/>
        <n v="7755112.223748097"/>
        <n v="4658758.144631243"/>
        <n v="3487717.553122979"/>
        <n v="7.270383965423349E7"/>
        <n v="3.6472197799814574E7"/>
        <n v="3.378371106816749E7"/>
        <n v="5675815.197525609"/>
        <n v="4614350.64858874"/>
        <n v="68.2882659981"/>
        <n v="60786.0616552183"/>
        <n v="6.111776766735148E7"/>
        <n v="6.953058545585497E7"/>
        <n v="6665.0"/>
        <n v="4.383770920827704E7"/>
        <n v="41584.8814301461"/>
        <n v="2123298.623768541"/>
        <n v="2.978150168888647E7"/>
        <n v="76010.101"/>
        <n v="4621720.852027668"/>
        <n v="168058.6270478275"/>
        <n v="19715.001"/>
        <n v="3.1604780024466682E7"/>
        <n v="3.4956384803095385E7"/>
        <n v="3.2192816949837215E7"/>
        <n v="2.2130882194698054E7"/>
        <n v="76838.1089106387"/>
        <n v="3.991197932212979E7"/>
        <n v="4011038.3556390903"/>
        <n v="20669.3329564742"/>
        <n v="2321428.466079483"/>
        <n v="4.317161291187236E7"/>
        <n v="4761507.40152918"/>
        <n v="3.729975560359289E7"/>
        <n v="4.3315335471190214E7"/>
        <n v="9107393.485401953"/>
        <n v="8.366618617295426E7"/>
        <n v="2.756072715990166E7"/>
        <n v="6.544976958510386E7"/>
        <n v="5641.2609611098"/>
        <n v="4.733991168560557E7"/>
        <n v="958.0"/>
        <n v="3062260.0462407796"/>
        <n v="3171961.3933324646"/>
        <n v="2.7302846867725503E7"/>
        <n v="5817232.455273741"/>
        <n v="5.4"/>
        <n v="4777783.264863747"/>
        <n v="1.003008066652733E8"/>
        <n v="1.3046086144728048E7"/>
        <n v="2.533842148748424E7"/>
        <n v="2.4724120166155975E7"/>
        <n v="9501737.075176442"/>
        <n v="5843036.974370962"/>
        <n v="5.082621323849587E7"/>
        <n v="5828006.166197433"/>
        <n v="94202.1596156803"/>
        <n v="5650098.6042949995"/>
        <n v="2.309169407134122E7"/>
        <n v="3.1201894372948196E7"/>
        <n v="37956.8366592061"/>
        <n v="35376.7366592061"/>
        <n v="18783.3334236112"/>
        <n v="2.9885998678728335E7"/>
        <n v="4.775391983550622E7"/>
        <n v="3327035.609488497"/>
        <n v="2.506769684437426E7"/>
        <n v="39175.6428592061"/>
        <n v="798430.3637472384"/>
        <n v="16746.8366592061"/>
        <n v="5012.0"/>
        <n v="69981.395132878"/>
        <n v="525973.7454940305"/>
        <n v="2.1905030843332157E7"/>
        <n v="2.168531844475686E7"/>
        <n v="23528.5062"/>
        <n v="2.144686405438903E7"/>
        <n v="537924.3172470513"/>
        <n v="4.3368109156400196E7"/>
        <n v="2.0508056846722465E7"/>
        <n v="5.010819812765766E7"/>
        <n v="2886290.2186717577"/>
        <n v="2.3484779307955507E7"/>
        <n v="2.1512927633711625E7"/>
        <n v="455814.9086820306"/>
        <n v="5.493134652911504E7"/>
        <n v="2.1552730533711627E7"/>
        <n v="5.2924320289406955E7"/>
        <n v="5948677.160152549"/>
        <n v="2.3894476806949638E7"/>
        <n v="2.350089888349939E7"/>
        <n v="2.3567871443882525E7"/>
        <n v="2.3491778633470815E7"/>
        <n v="3.473199162272547E7"/>
        <n v="2.4997802409163885E7"/>
        <n v="1658636.2"/>
        <n v="2.230211722810586E7"/>
        <n v="41.483746953"/>
        <n v="2.5309056707816344E7"/>
        <n v="2.360654182690565E7"/>
        <n v="192749.664890608"/>
        <n v="1.0080122739189742E7"/>
        <n v="1.1942977909799276E7"/>
        <n v="4.3064068548630334E7"/>
        <n v="3.975491512571219E7"/>
        <n v="5.803476569148749E7"/>
        <n v="6.322939609743233E7"/>
        <n v="3756171.3466196456"/>
        <n v="2.9034323458923686E7"/>
        <n v="2.1873725982819647E7"/>
        <n v="8.65092469118502E7"/>
        <n v="5748232.335227015"/>
        <n v="1.2440978047780747E7"/>
        <n v="5814775.371009293"/>
        <n v="2.3789253926238313E7"/>
        <n v="1.2872261933265276E7"/>
        <n v="252865.3221141733"/>
        <n v="2.416233963430201E7"/>
        <n v="83613.8828504351"/>
        <n v="4.726284809076761E7"/>
        <n v="17381.7366592061"/>
        <n v="8613446.516742706"/>
        <n v="20854.6166592061"/>
        <n v="4.838430726086274E7"/>
        <n v="4528903.200800433"/>
        <n v="1.3389748163220853E7"/>
        <n v="5.302582849092888E7"/>
        <n v="9.148724684579974E7"/>
        <n v="2.32155516350598E7"/>
        <n v="2.2348215841664053E7"/>
        <n v="2.899921392353888E7"/>
        <n v="3353228.802269163"/>
        <n v="1.3176841218994653E7"/>
        <n v="2.1390143523506284E7"/>
        <n v="7.464605180505179E7"/>
        <n v="98636.7601980858"/>
        <n v="167870.2049574174"/>
        <n v="6.234945963080625E7"/>
        <n v="9948148.595583422"/>
        <n v="5005.1"/>
        <n v="4912259.553760478"/>
        <n v="2127530.640755456"/>
        <n v="4.012680658389802E7"/>
        <n v="6.712854741213138E7"/>
        <n v="3.705543908161274E7"/>
        <n v="1.2054974531761313E7"/>
        <n v="5794953.267740667"/>
        <n v="5766703.29924283"/>
        <n v="2.525487938281826E7"/>
        <n v="1.8082205926292293E7"/>
        <n v="1.915749768483795E7"/>
        <n v="5.049148129406148E7"/>
        <n v="2.4980470300454736E7"/>
        <n v="5.9505441298735864E7"/>
        <n v="4582696.179555808"/>
        <n v="19638.7"/>
        <n v="2.0152115202814568E7"/>
        <n v="7.58361038378705E7"/>
        <n v="6.1175529510543786E7"/>
        <n v="5640435.882994104"/>
        <n v="2.4831296950877078E7"/>
        <n v="6.6972766347056925E7"/>
        <n v="2020558.5138999878"/>
        <n v="2.9216324088831674E7"/>
        <n v="2.2386375496318866E7"/>
        <n v="3.305881498292406E7"/>
        <n v="1.6467215472350204E7"/>
        <n v="3.1334985175350077E7"/>
        <n v="8727174.485836402"/>
        <n v="2.940499871007718E7"/>
        <n v="5638661.053746552"/>
        <n v="3.062206697650188E7"/>
        <n v="5571703.547091685"/>
        <n v="1.32285111351963E7"/>
        <n v="1.6104508265335433E7"/>
        <n v="33525.1"/>
        <n v="130696.2"/>
        <n v="20710.0"/>
        <n v="5328.0"/>
        <n v="10010.0"/>
        <n v="2043085.5138999878"/>
        <n v="6.516622196752669E7"/>
        <n v="2.4784879915610105E7"/>
        <n v="1.8697657937415715E7"/>
        <n v="3.366302156629117E7"/>
        <n v="2.5695092032748822E7"/>
        <n v="3.0524377217494633E7"/>
        <n v="4361712.270338599"/>
        <n v="7378618.592853783"/>
        <n v="2.7647118075518582E7"/>
        <n v="4542338.345821117"/>
        <n v="2.699060073678769E7"/>
        <n v="3.2028640026424035E7"/>
        <n v="15815.0"/>
        <n v="3.146947261461733E7"/>
        <n v="6.324291113811525E7"/>
        <n v="4.005570731403502E7"/>
        <n v="202272.1321141733"/>
        <n v="2.607773187635434E7"/>
        <n v="3742506.536428896"/>
        <n v="3.712956391638175E7"/>
        <n v="25358.2"/>
        <n v="5.167207041180262E7"/>
        <n v="64007.9725822371"/>
        <n v="6.508864600559431E7"/>
        <n v="5000.1"/>
        <n v="25328.0"/>
        <n v="2140819.908582237"/>
        <n v="2.5513900208870046E7"/>
        <n v="2.925645881205421E7"/>
        <n v="1.8078374008910637E7"/>
        <n v="2.0992180354435064E7"/>
        <n v="2.8234797104413066E7"/>
        <n v="1.596382826006326E7"/>
        <n v="5.1909537129117414E7"/>
        <n v="2.1942353803478725E7"/>
        <n v="3.884572976046336E7"/>
        <n v="1.828384394149814E7"/>
        <n v="5963602.51717663"/>
        <n v="3.4355758659686185E7"/>
        <n v="2.0967789327900674E7"/>
        <n v="3037648.1970005576"/>
        <n v="1.0013145593903597E7"/>
        <n v="2.1083345427900676E7"/>
        <n v="16183.0"/>
        <n v="2.3342658834099025E7"/>
        <n v="5.6843668107027516E7"/>
        <n v="5.6663366704520874E7"/>
        <n v="2900428.017457536"/>
        <n v="3.414248755660847E7"/>
        <n v="2.899138676083084E7"/>
        <n v="9.19030994241154E7"/>
        <n v="3.5677251953819685E7"/>
        <n v="3096529.444589304"/>
        <n v="4977454.910556596"/>
        <n v="1.7378840650662657E7"/>
        <n v="8268259.7"/>
        <n v="1.6802770710943364E7"/>
        <n v="1.1924586890376067E7"/>
        <n v="3.068899757756223E7"/>
        <n v="4.4508855179522246E7"/>
        <n v="2.592006677971009E7"/>
        <n v="5020.0"/>
        <n v="3.2276219185111746E7"/>
        <n v="3.066796778464855E7"/>
        <n v="1.457177966893674E7"/>
        <n v="6223987.119099883"/>
        <n v="1.796949580837788E7"/>
        <n v="1.5157732230042623E7"/>
        <n v="2.754797828497623E7"/>
        <n v="3.161142661294124E7"/>
        <n v="1.92674141819758E7"/>
        <n v="15010.0"/>
        <n v="6862359.375211464"/>
        <n v="1.4916874079011876E7"/>
        <n v="1.2038824493246403E7"/>
        <n v="2.686870726114731E7"/>
        <n v="5539919.940791254"/>
        <n v="3.0525098749028742E7"/>
        <n v="18021.0"/>
        <n v="2.504316403278928E7"/>
        <n v="4572153.188664729"/>
        <n v="3.0562914867422115E7"/>
        <n v="2.9183461279982984E7"/>
        <n v="1.7539657145806722E7"/>
        <n v="1.0617359428812961E8"/>
        <n v="2.446115211056826E7"/>
        <n v="2.3172484811070513E7"/>
        <n v="9758843.403050818"/>
        <n v="10096.8583229342"/>
        <n v="1.0033847897421302E7"/>
        <n v="1.044622999876112E7"/>
        <n v="3.266112396490465E7"/>
        <n v="3.7266925205946356E7"/>
        <n v="4.384248216768366E7"/>
        <n v="245574.1967"/>
        <n v="1.848150101495825E7"/>
        <n v="20079.9"/>
        <n v="6.4280033317419596E7"/>
        <n v="1.4377774758197915E7"/>
        <n v="5.281578560291058E7"/>
        <n v="5.481902685551743E7"/>
        <n v="4.9866714145237364E7"/>
        <n v="1.7494363437752873E7"/>
        <n v="7840576.930412034"/>
        <n v="3.541681840017177E7"/>
        <n v="6.1277493030766174E7"/>
        <n v="2.7204401698171422E7"/>
        <n v="4.480318973936463E7"/>
        <n v="5790148.114724727"/>
        <n v="4.726658707444416E7"/>
        <n v="1.861445582987247E7"/>
        <n v="4.129312372514595E7"/>
        <n v="4179800.4"/>
        <n v="5001.5"/>
        <n v="122469.347091685"/>
        <n v="6.577927397429651E7"/>
        <n v="7.620392941534226E7"/>
        <n v="4.827542966716493E7"/>
        <n v="8.538829949533108E7"/>
        <n v="5.854225159807532E7"/>
        <n v="5.681946017162896E7"/>
        <n v="2.2951442434670832E7"/>
        <n v="131.2"/>
        <n v="1.4690829467196686E7"/>
        <n v="2.0193025868401147E7"/>
        <n v="2.5191750257442147E7"/>
        <n v="3.0463544972519435E7"/>
        <n v="31755.5293039808"/>
        <n v="3.8876646862223305E7"/>
        <n v="1.419167245831307E7"/>
        <n v="2.8983649304180004E7"/>
        <n v="6.498808969827464E7"/>
        <n v="6415579.941641049"/>
        <n v="4210423.800197897"/>
        <n v="1042094.6920388797"/>
        <n v="10040.0235388797"/>
        <n v="1.4290521851749256E7"/>
        <n v="5011.0"/>
        <n v="1.4271890857905474E7"/>
        <n v="15093.3"/>
        <n v="2.2792924330419883E7"/>
        <n v="95010.0"/>
        <n v="338881.6"/>
        <n v="1.6934823097942166E7"/>
        <n v="5.94728601400756E7"/>
        <n v="4.34323382975346E7"/>
        <n v="1.8886714544908844E7"/>
        <n v="3.0416103351376027E7"/>
        <n v="4710482.18147676"/>
        <n v="5001.0"/>
        <n v="2.8612131200473703E7"/>
        <n v="2.675713120281671E7"/>
        <n v="8486268.505267145"/>
        <n v="1.7012883946284235E7"/>
        <n v="1.2990224464435706E7"/>
        <n v="3940159.4089449197"/>
        <n v="3817320.906353682"/>
        <n v="1.642760340086839E7"/>
        <n v="3.4330309243179E7"/>
        <n v="2.1233350407169E7"/>
        <n v="2.0928653382952884E7"/>
        <n v="5810.2"/>
        <n v="1.785439025270172E7"/>
        <n v="2.5524861819296535E7"/>
        <n v="4408734.035737605"/>
        <n v="1.7405952182594504E7"/>
        <n v="3.253418126598501E7"/>
        <n v="2.2763221646324214E7"/>
        <n v="9585797.83488937"/>
        <n v="5088.0"/>
        <n v="8235599.791783047"/>
        <n v="8890951.593239876"/>
        <n v="197006.506320041"/>
        <n v="1.7591339779180747E7"/>
        <n v="111577.05"/>
        <n v="4426626.188664729"/>
        <n v="1.2989730693496777E7"/>
        <n v="1.3326374232064448E7"/>
        <n v="4.732082685973311E7"/>
        <n v="2.3021817859414645E7"/>
        <n v="2.1831288386393353E7"/>
        <n v="8874190.295689393"/>
        <n v="1.3186134831855258E7"/>
        <n v="4563411.536778755"/>
        <n v="348682.6467"/>
        <n v="2087929.222976085"/>
        <n v="498558.7375446422"/>
        <n v="6171660.79258277"/>
        <n v="444460.6015007849"/>
        <n v="8782893.71006326"/>
        <n v="1054186.4462574802"/>
        <n v="316120.6182410822"/>
        <n v="21810.1"/>
        <n v="26805.2396381158"/>
        <n v="90005.7"/>
        <n v="40.65"/>
      </sharedItems>
    </cacheField>
    <cacheField name="Propose Date" numFmtId="172">
      <sharedItems containsSemiMixedTypes="0" containsDate="1" containsString="0">
        <d v="2023-06-13T00:00:00Z"/>
        <d v="2024-08-28T00:00:00Z"/>
        <d v="2024-09-03T00:00:00Z"/>
        <d v="2023-06-14T00:00:00Z"/>
        <d v="2024-09-08T00:00:00Z"/>
        <d v="2023-06-15T00:00:00Z"/>
        <d v="2023-06-16T00:00:00Z"/>
        <d v="2023-06-17T00:00:00Z"/>
        <d v="2023-06-18T00:00:00Z"/>
        <d v="2023-06-19T00:00:00Z"/>
        <d v="2023-06-20T00:00:00Z"/>
        <d v="2023-06-21T00:00:00Z"/>
        <d v="2023-06-22T00:00:00Z"/>
        <d v="2023-06-23T00:00:00Z"/>
        <d v="2023-06-24T00:00:00Z"/>
        <d v="2023-06-25T00:00:00Z"/>
        <d v="2023-06-26T00:00:00Z"/>
        <d v="2023-06-29T00:00:00Z"/>
        <d v="2023-06-30T00:00:00Z"/>
        <d v="2023-07-01T00:00:00Z"/>
        <d v="2023-07-02T00:00:00Z"/>
        <d v="2023-07-03T00:00:00Z"/>
        <d v="2023-07-04T00:00:00Z"/>
        <d v="2023-07-05T00:00:00Z"/>
        <d v="2023-07-06T00:00:00Z"/>
        <d v="2023-07-08T00:00:00Z"/>
        <d v="2023-07-11T00:00:00Z"/>
        <d v="2023-07-13T00:00:00Z"/>
        <d v="2023-07-14T00:00:00Z"/>
        <d v="2023-07-15T00:00:00Z"/>
        <d v="2023-07-16T00:00:00Z"/>
        <d v="2023-07-17T00:00:00Z"/>
        <d v="2023-07-18T00:00:00Z"/>
        <d v="2023-07-25T00:00:00Z"/>
        <d v="2024-08-07T00:00:00Z"/>
        <d v="2023-07-26T00:00:00Z"/>
        <d v="2023-07-29T00:00:00Z"/>
        <d v="2023-07-30T00:00:00Z"/>
        <d v="2023-07-31T00:00:00Z"/>
        <d v="2023-08-01T00:00:00Z"/>
        <d v="2023-08-02T00:00:00Z"/>
        <d v="2024-08-16T00:00:00Z"/>
        <d v="2023-08-05T00:00:00Z"/>
        <d v="2023-08-06T00:00:00Z"/>
        <d v="2023-08-09T00:00:00Z"/>
        <d v="2023-08-10T00:00:00Z"/>
        <d v="2023-08-12T00:00:00Z"/>
        <d v="2023-08-13T00:00:00Z"/>
        <d v="2023-08-14T00:00:00Z"/>
        <d v="2023-08-15T00:00:00Z"/>
        <d v="2023-08-16T00:00:00Z"/>
        <d v="2023-08-20T00:00:00Z"/>
        <d v="2023-08-21T00:00:00Z"/>
        <d v="2023-08-22T00:00:00Z"/>
        <d v="2023-08-23T00:00:00Z"/>
        <d v="2023-08-25T00:00:00Z"/>
        <d v="2023-08-28T00:00:00Z"/>
        <d v="2023-08-29T00:00:00Z"/>
        <d v="2023-09-02T00:00:00Z"/>
        <d v="2023-09-03T00:00:00Z"/>
        <d v="2023-09-04T00:00:00Z"/>
        <d v="2023-09-05T00:00:00Z"/>
        <d v="2023-09-06T00:00:00Z"/>
        <d v="2023-09-09T00:00:00Z"/>
        <d v="2023-09-10T00:00:00Z"/>
        <d v="2023-09-12T00:00:00Z"/>
        <d v="2023-09-13T00:00:00Z"/>
        <d v="2023-09-14T00:00:00Z"/>
        <d v="2023-09-16T00:00:00Z"/>
        <d v="2023-09-17T00:00:00Z"/>
        <d v="2023-09-18T00:00:00Z"/>
        <d v="2023-09-19T00:00:00Z"/>
        <d v="2023-09-21T00:00:00Z"/>
        <d v="2023-09-24T00:00:00Z"/>
        <d v="2023-09-25T00:00:00Z"/>
        <d v="2023-09-26T00:00:00Z"/>
        <d v="2023-09-27T00:00:00Z"/>
        <d v="2023-09-28T00:00:00Z"/>
        <d v="2023-09-29T00:00:00Z"/>
        <d v="2023-09-30T00:00:00Z"/>
        <d v="2023-10-01T00:00:00Z"/>
        <d v="2023-10-02T00:00:00Z"/>
        <d v="2023-10-03T00:00:00Z"/>
        <d v="2023-10-05T00:00:00Z"/>
        <d v="2023-10-06T00:00:00Z"/>
        <d v="2023-10-07T00:00:00Z"/>
        <d v="2023-10-08T00:00:00Z"/>
        <d v="2023-10-09T00:00:00Z"/>
        <d v="2023-10-11T00:00:00Z"/>
        <d v="2023-10-12T00:00:00Z"/>
        <d v="2023-10-14T00:00:00Z"/>
        <d v="2023-10-15T00:00:00Z"/>
        <d v="2023-10-16T00:00:00Z"/>
        <d v="2023-10-17T00:00:00Z"/>
        <d v="2023-10-18T00:00:00Z"/>
        <d v="2023-10-19T00:00:00Z"/>
        <d v="2023-10-20T00:00:00Z"/>
        <d v="2023-10-21T00:00:00Z"/>
        <d v="2023-10-22T00:00:00Z"/>
        <d v="2023-10-23T00:00:00Z"/>
        <d v="2023-10-24T00:00:00Z"/>
        <d v="2023-10-26T00:00:00Z"/>
        <d v="2023-10-27T00:00:00Z"/>
        <d v="2023-10-28T00:00:00Z"/>
        <d v="2023-10-29T00:00:00Z"/>
        <d v="2023-10-30T00:00:00Z"/>
        <d v="2023-11-01T00:00:00Z"/>
        <d v="2023-11-04T00:00:00Z"/>
        <d v="2023-11-05T00:00:00Z"/>
        <d v="2023-11-06T00:00:00Z"/>
        <d v="2023-11-07T00:00:00Z"/>
        <d v="2023-11-08T00:00:00Z"/>
        <d v="2023-11-09T00:00:00Z"/>
        <d v="2023-11-10T00:00:00Z"/>
        <d v="2023-11-11T00:00:00Z"/>
        <d v="2023-11-12T00:00:00Z"/>
        <d v="2023-11-13T00:00:00Z"/>
        <d v="2023-11-14T00:00:00Z"/>
        <d v="2023-11-15T00:00:00Z"/>
        <d v="2023-11-16T00:00:00Z"/>
        <d v="2023-11-17T00:00:00Z"/>
        <d v="2023-11-18T00:00:00Z"/>
        <d v="2023-11-19T00:00:00Z"/>
        <d v="2023-11-20T00:00:00Z"/>
        <d v="2023-11-21T00:00:00Z"/>
        <d v="2023-11-22T00:00:00Z"/>
        <d v="2023-11-23T00:00:00Z"/>
        <d v="2023-11-24T00:00:00Z"/>
        <d v="2023-11-25T00:00:00Z"/>
        <d v="2023-11-26T00:00:00Z"/>
        <d v="2023-11-27T00:00:00Z"/>
        <d v="2023-11-28T00:00:00Z"/>
        <d v="2023-11-29T00:00:00Z"/>
        <d v="2023-11-30T00:00:00Z"/>
        <d v="2023-12-02T00:00:00Z"/>
        <d v="2023-12-03T00:00:00Z"/>
        <d v="2023-12-04T00:00:00Z"/>
        <d v="2023-12-05T00:00:00Z"/>
        <d v="2023-12-06T00:00:00Z"/>
        <d v="2023-12-07T00:00:00Z"/>
        <d v="2023-12-08T00:00:00Z"/>
        <d v="2023-12-09T00:00:00Z"/>
        <d v="2023-12-11T00:00:00Z"/>
        <d v="2023-12-12T00:00:00Z"/>
        <d v="2023-12-13T00:00:00Z"/>
        <d v="2023-12-16T00:00:00Z"/>
        <d v="2023-12-17T00:00:00Z"/>
        <d v="2023-12-18T00:00:00Z"/>
        <d v="2023-12-19T00:00:00Z"/>
        <d v="2023-12-20T00:00:00Z"/>
        <d v="2023-12-22T00:00:00Z"/>
        <d v="2023-12-24T00:00:00Z"/>
        <d v="2023-12-25T00:00:00Z"/>
        <d v="2023-12-26T00:00:00Z"/>
        <d v="2023-12-27T00:00:00Z"/>
        <d v="2023-12-28T00:00:00Z"/>
        <d v="2023-12-30T00:00:00Z"/>
        <d v="2024-01-02T00:00:00Z"/>
        <d v="2024-01-03T00:00:00Z"/>
        <d v="2024-01-05T00:00:00Z"/>
        <d v="2024-01-06T00:00:00Z"/>
        <d v="2024-01-08T00:00:00Z"/>
        <d v="2024-01-09T00:00:00Z"/>
        <d v="2024-01-10T00:00:00Z"/>
        <d v="2024-01-12T00:00:00Z"/>
        <d v="2024-01-13T00:00:00Z"/>
        <d v="2024-01-14T00:00:00Z"/>
        <d v="2024-01-15T00:00:00Z"/>
        <d v="2024-01-16T00:00:00Z"/>
        <d v="2024-01-17T00:00:00Z"/>
        <d v="2024-01-20T00:00:00Z"/>
        <d v="2024-01-21T00:00:00Z"/>
        <d v="2024-01-22T00:00:00Z"/>
        <d v="2024-01-23T00:00:00Z"/>
        <d v="2024-01-24T00:00:00Z"/>
        <d v="2024-01-27T00:00:00Z"/>
        <d v="2024-01-28T00:00:00Z"/>
        <d v="2024-01-29T00:00:00Z"/>
        <d v="2024-01-31T00:00:00Z"/>
        <d v="2024-02-01T00:00:00Z"/>
        <d v="2024-02-02T00:00:00Z"/>
        <d v="2024-02-03T00:00:00Z"/>
        <d v="2024-02-04T00:00:00Z"/>
        <d v="2024-02-05T00:00:00Z"/>
        <d v="2024-02-06T00:00:00Z"/>
        <d v="2024-02-07T00:00:00Z"/>
        <d v="2024-02-08T00:00:00Z"/>
        <d v="2024-02-09T00:00:00Z"/>
        <d v="2024-02-10T00:00:00Z"/>
        <d v="2024-02-11T00:00:00Z"/>
        <d v="2024-02-12T00:00:00Z"/>
        <d v="2024-02-13T00:00:00Z"/>
        <d v="2024-02-14T00:00:00Z"/>
        <d v="2024-02-15T00:00:00Z"/>
        <d v="2024-02-16T00:00:00Z"/>
        <d v="2024-02-17T00:00:00Z"/>
        <d v="2024-02-18T00:00:00Z"/>
        <d v="2024-02-19T00:00:00Z"/>
        <d v="2024-02-20T00:00:00Z"/>
        <d v="2024-02-21T00:00:00Z"/>
        <d v="2024-02-22T00:00:00Z"/>
        <d v="2024-02-23T00:00:00Z"/>
        <d v="2024-02-24T00:00:00Z"/>
        <d v="2024-02-25T00:00:00Z"/>
        <d v="2024-02-26T00:00:00Z"/>
        <d v="2024-02-27T00:00:00Z"/>
        <d v="2024-02-28T00:00:00Z"/>
        <d v="2024-02-29T00:00:00Z"/>
        <d v="2024-03-01T00:00:00Z"/>
        <d v="2024-03-02T00:00:00Z"/>
        <d v="2024-03-03T00:00:00Z"/>
        <d v="2024-03-04T00:00:00Z"/>
        <d v="2024-03-05T00:00:00Z"/>
        <d v="2024-03-06T00:00:00Z"/>
        <d v="2024-03-07T00:00:00Z"/>
        <d v="2024-03-08T00:00:00Z"/>
        <d v="2024-03-09T00:00:00Z"/>
        <d v="2024-03-10T00:00:00Z"/>
        <d v="2024-03-11T00:00:00Z"/>
        <d v="2024-03-12T00:00:00Z"/>
        <d v="2024-03-13T00:00:00Z"/>
        <d v="2024-03-15T00:00:00Z"/>
        <d v="2024-03-16T00:00:00Z"/>
        <d v="2024-03-17T00:00:00Z"/>
        <d v="2024-03-18T00:00:00Z"/>
        <d v="2024-03-19T00:00:00Z"/>
        <d v="2024-03-20T00:00:00Z"/>
        <d v="2024-03-21T00:00:00Z"/>
        <d v="2024-03-22T00:00:00Z"/>
        <d v="2024-03-23T00:00:00Z"/>
        <d v="2024-03-24T00:00:00Z"/>
        <d v="2024-03-25T00:00:00Z"/>
        <d v="2024-03-26T00:00:00Z"/>
        <d v="2024-03-27T00:00:00Z"/>
        <d v="2024-03-29T00:00:00Z"/>
        <d v="2024-03-30T00:00:00Z"/>
        <d v="2024-03-31T00:00:00Z"/>
        <d v="2024-04-01T00:00:00Z"/>
        <d v="2024-04-02T00:00:00Z"/>
        <d v="2024-04-03T00:00:00Z"/>
        <d v="2024-04-05T00:00:00Z"/>
        <d v="2024-04-06T00:00:00Z"/>
        <d v="2024-04-07T00:00:00Z"/>
        <d v="2024-04-08T00:00:00Z"/>
        <d v="2024-04-09T00:00:00Z"/>
        <d v="2024-04-10T00:00:00Z"/>
        <d v="2024-04-12T00:00:00Z"/>
        <d v="2024-04-13T00:00:00Z"/>
        <d v="2024-04-14T00:00:00Z"/>
        <d v="2024-04-15T00:00:00Z"/>
        <d v="2024-04-16T00:00:00Z"/>
        <d v="2024-04-17T00:00:00Z"/>
        <d v="2024-04-18T00:00:00Z"/>
        <d v="2024-04-20T00:00:00Z"/>
        <d v="2024-04-21T00:00:00Z"/>
        <d v="2024-04-22T00:00:00Z"/>
        <d v="2024-04-23T00:00:00Z"/>
        <d v="2024-04-24T00:00:00Z"/>
        <d v="2024-04-25T00:00:00Z"/>
        <d v="2024-04-26T00:00:00Z"/>
        <d v="2024-04-27T00:00:00Z"/>
        <d v="2024-04-28T00:00:00Z"/>
        <d v="2024-04-29T00:00:00Z"/>
        <d v="2024-04-30T00:00:00Z"/>
        <d v="2024-05-01T00:00:00Z"/>
        <d v="2024-05-02T00:00:00Z"/>
        <d v="2024-05-04T00:00:00Z"/>
        <d v="2024-05-05T00:00:00Z"/>
        <d v="2024-05-06T00:00:00Z"/>
        <d v="2024-05-07T00:00:00Z"/>
        <d v="2024-05-08T00:00:00Z"/>
        <d v="2024-05-09T00:00:00Z"/>
        <d v="2024-05-10T00:00:00Z"/>
        <d v="2024-05-11T00:00:00Z"/>
        <d v="2024-05-12T00:00:00Z"/>
        <d v="2024-05-14T00:00:00Z"/>
        <d v="2024-05-15T00:00:00Z"/>
        <d v="2024-05-16T00:00:00Z"/>
        <d v="2024-05-18T00:00:00Z"/>
        <d v="2024-05-19T00:00:00Z"/>
        <d v="2024-05-20T00:00:00Z"/>
        <d v="2024-05-21T00:00:00Z"/>
        <d v="2024-05-22T00:00:00Z"/>
        <d v="2024-05-23T00:00:00Z"/>
        <d v="2024-05-25T00:00:00Z"/>
        <d v="2024-05-26T00:00:00Z"/>
        <d v="2024-05-27T00:00:00Z"/>
        <d v="2024-05-28T00:00:00Z"/>
        <d v="2024-05-29T00:00:00Z"/>
        <d v="2024-05-31T00:00:00Z"/>
        <d v="2024-06-01T00:00:00Z"/>
        <d v="2024-06-02T00:00:00Z"/>
        <d v="2024-06-03T00:00:00Z"/>
        <d v="2024-06-04T00:00:00Z"/>
        <d v="2024-06-05T00:00:00Z"/>
        <d v="2024-06-06T00:00:00Z"/>
        <d v="2024-06-07T00:00:00Z"/>
        <d v="2024-06-08T00:00:00Z"/>
        <d v="2024-06-09T00:00:00Z"/>
        <d v="2024-06-10T00:00:00Z"/>
        <d v="2024-06-11T00:00:00Z"/>
        <d v="2024-06-12T00:00:00Z"/>
        <d v="2024-06-13T00:00:00Z"/>
        <d v="2024-06-14T00:00:00Z"/>
        <d v="2024-06-15T00:00:00Z"/>
        <d v="2024-06-16T00:00:00Z"/>
        <d v="2024-06-17T00:00:00Z"/>
        <d v="2024-06-18T00:00:00Z"/>
        <d v="2024-06-19T00:00:00Z"/>
        <d v="2024-06-20T00:00:00Z"/>
        <d v="2024-06-21T00:00:00Z"/>
        <d v="2024-06-22T00:00:00Z"/>
        <d v="2024-06-23T00:00:00Z"/>
        <d v="2024-06-24T00:00:00Z"/>
        <d v="2024-06-25T00:00:00Z"/>
        <d v="2024-06-26T00:00:00Z"/>
        <d v="2024-06-27T00:00:00Z"/>
        <d v="2024-06-28T00:00:00Z"/>
        <d v="2024-06-29T00:00:00Z"/>
        <d v="2024-06-30T00:00:00Z"/>
        <d v="2024-07-01T00:00:00Z"/>
        <d v="2024-07-02T00:00:00Z"/>
        <d v="2024-07-03T00:00:00Z"/>
        <d v="2024-07-04T00:00:00Z"/>
        <d v="2024-07-05T00:00:00Z"/>
        <d v="2024-07-06T00:00:00Z"/>
        <d v="2024-07-07T00:00:00Z"/>
        <d v="2024-07-08T00:00:00Z"/>
        <d v="2024-07-09T00:00:00Z"/>
        <d v="2024-07-10T00:00:00Z"/>
        <d v="2024-07-11T00:00:00Z"/>
        <d v="2024-07-12T00:00:00Z"/>
        <d v="2024-07-13T00:00:00Z"/>
        <d v="2024-07-14T00:00:00Z"/>
        <d v="2024-07-15T00:00:00Z"/>
        <d v="2024-07-16T00:00:00Z"/>
        <d v="2024-07-17T00:00:00Z"/>
        <d v="2024-07-18T00:00:00Z"/>
        <d v="2024-07-19T00:00:00Z"/>
        <d v="2024-07-20T00:00:00Z"/>
        <d v="2024-07-21T00:00:00Z"/>
        <d v="2024-07-22T00:00:00Z"/>
        <d v="2024-07-23T00:00:00Z"/>
        <d v="2024-07-24T00:00:00Z"/>
        <d v="2024-07-26T00:00:00Z"/>
        <d v="2024-07-27T00:00:00Z"/>
        <d v="2024-07-29T00:00:00Z"/>
        <d v="2024-07-30T00:00:00Z"/>
        <d v="2024-07-31T00:00:00Z"/>
        <d v="2024-08-01T00:00:00Z"/>
        <d v="2024-08-02T00:00:00Z"/>
        <d v="2024-08-03T00:00:00Z"/>
        <d v="2024-08-04T00:00:00Z"/>
        <d v="2024-08-05T00:00:00Z"/>
        <d v="2024-08-06T00:00:00Z"/>
        <d v="2024-08-08T00:00:00Z"/>
        <d v="2024-08-09T00:00:00Z"/>
        <d v="2024-08-10T00:00:00Z"/>
        <d v="2024-08-11T00:00:00Z"/>
        <d v="2024-08-12T00:00:00Z"/>
        <d v="2024-08-13T00:00:00Z"/>
        <d v="2024-08-14T00:00:00Z"/>
        <d v="2024-08-15T00:00:00Z"/>
        <d v="2024-08-17T00:00:00Z"/>
        <d v="2024-08-18T00:00:00Z"/>
        <d v="2024-08-19T00:00:00Z"/>
        <d v="2024-08-20T00:00:00Z"/>
        <d v="2024-08-21T00:00:00Z"/>
        <d v="2024-08-22T00:00:00Z"/>
        <d v="2024-08-24T00:00:00Z"/>
        <d v="2024-08-25T00:00:00Z"/>
        <d v="2024-08-26T00:00:00Z"/>
        <d v="2024-08-27T00:00:00Z"/>
        <d v="2024-08-31T00:00:00Z"/>
        <d v="2024-09-02T00:00:00Z"/>
        <d v="2024-09-04T00:00:00Z"/>
        <d v="2024-09-07T00:00:00Z"/>
        <d v="2024-09-09T00:00:00Z"/>
        <d v="2024-09-10T00:00:00Z"/>
        <d v="2024-09-11T00:00:00Z"/>
        <d v="2024-09-14T00:00:00Z"/>
        <d v="2024-09-15T00:00:00Z"/>
        <d v="2024-09-16T00:00:00Z"/>
        <d v="2024-09-17T00:00:00Z"/>
        <d v="2024-09-18T00:00:00Z"/>
        <d v="2024-09-19T00:00:00Z"/>
        <d v="2024-09-21T00:00:00Z"/>
        <d v="2024-09-22T00:00:00Z"/>
        <d v="2024-09-23T00:00:00Z"/>
        <d v="2024-09-24T00:00:00Z"/>
        <d v="2024-09-25T00:00:00Z"/>
        <d v="2024-09-26T00:00:00Z"/>
        <d v="2024-09-27T00:00:00Z"/>
        <d v="2024-09-28T00:00:00Z"/>
        <d v="2024-09-29T00:00:00Z"/>
        <d v="2024-09-30T00:00:00Z"/>
      </sharedItems>
    </cacheField>
    <cacheField name="Last Update" numFmtId="172">
      <sharedItems containsSemiMixedTypes="0" containsDate="1" containsString="0">
        <d v="2023-06-27T00:00:00Z"/>
        <d v="2024-09-30T00:00:00Z"/>
        <d v="2023-07-11T00:00:00Z"/>
        <d v="2023-06-20T00:00:00Z"/>
        <d v="2023-07-08T00:00:00Z"/>
        <d v="2023-07-10T00:00:00Z"/>
        <d v="2023-07-13T00:00:00Z"/>
        <d v="2023-06-30T00:00:00Z"/>
        <d v="2023-07-15T00:00:00Z"/>
        <d v="2023-07-16T00:00:00Z"/>
        <d v="2023-07-18T00:00:00Z"/>
        <d v="2023-07-17T00:00:00Z"/>
        <d v="2023-06-26T00:00:00Z"/>
        <d v="2023-07-19T00:00:00Z"/>
        <d v="2023-07-22T00:00:00Z"/>
        <d v="2023-07-20T00:00:00Z"/>
        <d v="2023-06-28T00:00:00Z"/>
        <d v="2023-06-29T00:00:00Z"/>
        <d v="2023-07-07T00:00:00Z"/>
        <d v="2023-07-23T00:00:00Z"/>
        <d v="2023-07-24T00:00:00Z"/>
        <d v="2023-07-01T00:00:00Z"/>
        <d v="2023-07-02T00:00:00Z"/>
        <d v="2023-07-03T00:00:00Z"/>
        <d v="2023-07-27T00:00:00Z"/>
        <d v="2023-07-05T00:00:00Z"/>
        <d v="2023-07-06T00:00:00Z"/>
        <d v="2023-07-25T00:00:00Z"/>
        <d v="2023-08-02T00:00:00Z"/>
        <d v="2023-08-06T00:00:00Z"/>
        <d v="2023-08-10T00:00:00Z"/>
        <d v="2023-08-07T00:00:00Z"/>
        <d v="2023-08-12T00:00:00Z"/>
        <d v="2023-08-11T00:00:00Z"/>
        <d v="2023-07-21T00:00:00Z"/>
        <d v="2023-08-09T00:00:00Z"/>
        <d v="2023-08-23T00:00:00Z"/>
        <d v="2024-09-04T00:00:00Z"/>
        <d v="2023-08-21T00:00:00Z"/>
        <d v="2023-08-13T00:00:00Z"/>
        <d v="2023-08-25T00:00:00Z"/>
        <d v="2023-08-05T00:00:00Z"/>
        <d v="2023-08-28T00:00:00Z"/>
        <d v="2023-08-31T00:00:00Z"/>
        <d v="2023-08-26T00:00:00Z"/>
        <d v="2023-08-30T00:00:00Z"/>
        <d v="2023-09-03T00:00:00Z"/>
        <d v="2023-09-04T00:00:00Z"/>
        <d v="2023-08-27T00:00:00Z"/>
        <d v="2023-09-06T00:00:00Z"/>
        <d v="2023-09-08T00:00:00Z"/>
        <d v="2023-08-18T00:00:00Z"/>
        <d v="2023-09-10T00:00:00Z"/>
        <d v="2023-09-11T00:00:00Z"/>
        <d v="2023-08-17T00:00:00Z"/>
        <d v="2023-08-19T00:00:00Z"/>
        <d v="2023-09-07T00:00:00Z"/>
        <d v="2023-09-13T00:00:00Z"/>
        <d v="2023-09-17T00:00:00Z"/>
        <d v="2023-08-24T00:00:00Z"/>
        <d v="2023-09-14T00:00:00Z"/>
        <d v="2023-09-18T00:00:00Z"/>
        <d v="2023-09-20T00:00:00Z"/>
        <d v="2023-09-21T00:00:00Z"/>
        <d v="2023-09-15T00:00:00Z"/>
        <d v="2023-09-19T00:00:00Z"/>
        <d v="2023-09-27T00:00:00Z"/>
        <d v="2023-10-10T00:00:00Z"/>
        <d v="2023-09-29T00:00:00Z"/>
        <d v="2023-10-03T00:00:00Z"/>
        <d v="2023-09-12T00:00:00Z"/>
        <d v="2023-09-30T00:00:00Z"/>
        <d v="2023-10-07T00:00:00Z"/>
        <d v="2023-10-09T00:00:00Z"/>
        <d v="2023-09-26T00:00:00Z"/>
        <d v="2023-10-11T00:00:00Z"/>
        <d v="2023-09-16T00:00:00Z"/>
        <d v="2023-10-08T00:00:00Z"/>
        <d v="2023-10-14T00:00:00Z"/>
        <d v="2023-10-04T00:00:00Z"/>
        <d v="2023-10-16T00:00:00Z"/>
        <d v="2023-10-06T00:00:00Z"/>
        <d v="2023-10-12T00:00:00Z"/>
        <d v="2023-10-21T00:00:00Z"/>
        <d v="2023-10-15T00:00:00Z"/>
        <d v="2023-10-25T00:00:00Z"/>
        <d v="2023-10-20T00:00:00Z"/>
        <d v="2023-10-19T00:00:00Z"/>
        <d v="2023-10-05T00:00:00Z"/>
        <d v="2023-10-13T00:00:00Z"/>
        <d v="2023-10-02T00:00:00Z"/>
        <d v="2023-10-23T00:00:00Z"/>
        <d v="2023-11-04T00:00:00Z"/>
        <d v="2023-10-29T00:00:00Z"/>
        <d v="2023-10-18T00:00:00Z"/>
        <d v="2023-10-31T00:00:00Z"/>
        <d v="2023-10-22T00:00:00Z"/>
        <d v="2023-10-17T00:00:00Z"/>
        <d v="2023-10-30T00:00:00Z"/>
        <d v="2023-10-26T00:00:00Z"/>
        <d v="2023-11-03T00:00:00Z"/>
        <d v="2023-11-06T00:00:00Z"/>
        <d v="2023-10-27T00:00:00Z"/>
        <d v="2023-11-07T00:00:00Z"/>
        <d v="2023-10-28T00:00:00Z"/>
        <d v="2023-11-08T00:00:00Z"/>
        <d v="2023-11-05T00:00:00Z"/>
        <d v="2023-11-14T00:00:00Z"/>
        <d v="2023-11-01T00:00:00Z"/>
        <d v="2023-11-02T00:00:00Z"/>
        <d v="2023-11-20T00:00:00Z"/>
        <d v="2023-11-12T00:00:00Z"/>
        <d v="2023-11-10T00:00:00Z"/>
        <d v="2023-11-21T00:00:00Z"/>
        <d v="2023-11-11T00:00:00Z"/>
        <d v="2023-11-25T00:00:00Z"/>
        <d v="2023-11-13T00:00:00Z"/>
        <d v="2023-11-26T00:00:00Z"/>
        <d v="2023-12-02T00:00:00Z"/>
        <d v="2023-11-27T00:00:00Z"/>
        <d v="2023-11-15T00:00:00Z"/>
        <d v="2023-11-19T00:00:00Z"/>
        <d v="2023-12-04T00:00:00Z"/>
        <d v="2023-11-30T00:00:00Z"/>
        <d v="2023-12-06T00:00:00Z"/>
        <d v="2023-12-07T00:00:00Z"/>
        <d v="2023-12-08T00:00:00Z"/>
        <d v="2023-11-16T00:00:00Z"/>
        <d v="2023-12-09T00:00:00Z"/>
        <d v="2023-11-28T00:00:00Z"/>
        <d v="2023-12-01T00:00:00Z"/>
        <d v="2023-12-12T00:00:00Z"/>
        <d v="2023-11-22T00:00:00Z"/>
        <d v="2023-11-29T00:00:00Z"/>
        <d v="2023-12-14T00:00:00Z"/>
        <d v="2023-12-15T00:00:00Z"/>
        <d v="2023-12-16T00:00:00Z"/>
        <d v="2023-12-17T00:00:00Z"/>
        <d v="2023-12-19T00:00:00Z"/>
        <d v="2023-12-18T00:00:00Z"/>
        <d v="2023-12-13T00:00:00Z"/>
        <d v="2023-12-05T00:00:00Z"/>
        <d v="2023-12-10T00:00:00Z"/>
        <d v="2023-12-20T00:00:00Z"/>
        <d v="2023-12-03T00:00:00Z"/>
        <d v="2023-12-25T00:00:00Z"/>
        <d v="2023-12-11T00:00:00Z"/>
        <d v="2023-12-26T00:00:00Z"/>
        <d v="2023-12-31T00:00:00Z"/>
        <d v="2023-12-22T00:00:00Z"/>
        <d v="2023-12-28T00:00:00Z"/>
        <d v="2024-01-01T00:00:00Z"/>
        <d v="2023-12-24T00:00:00Z"/>
        <d v="2024-01-02T00:00:00Z"/>
        <d v="2024-01-03T00:00:00Z"/>
        <d v="2023-12-27T00:00:00Z"/>
        <d v="2023-12-21T00:00:00Z"/>
        <d v="2024-01-05T00:00:00Z"/>
        <d v="2024-01-08T00:00:00Z"/>
        <d v="2024-01-06T00:00:00Z"/>
        <d v="2024-01-10T00:00:00Z"/>
        <d v="2024-01-12T00:00:00Z"/>
        <d v="2024-01-07T00:00:00Z"/>
        <d v="2024-01-19T00:00:00Z"/>
        <d v="2024-01-09T00:00:00Z"/>
        <d v="2024-01-18T00:00:00Z"/>
        <d v="2024-01-30T00:00:00Z"/>
        <d v="2024-01-22T00:00:00Z"/>
        <d v="2024-01-15T00:00:00Z"/>
        <d v="2024-01-13T00:00:00Z"/>
        <d v="2024-01-24T00:00:00Z"/>
        <d v="2024-01-25T00:00:00Z"/>
        <d v="2024-01-29T00:00:00Z"/>
        <d v="2024-01-16T00:00:00Z"/>
        <d v="2024-01-20T00:00:00Z"/>
        <d v="2024-02-03T00:00:00Z"/>
        <d v="2024-01-31T00:00:00Z"/>
        <d v="2024-01-28T00:00:00Z"/>
        <d v="2024-02-05T00:00:00Z"/>
        <d v="2024-01-26T00:00:00Z"/>
        <d v="2024-02-08T00:00:00Z"/>
        <d v="2024-02-12T00:00:00Z"/>
        <d v="2024-01-21T00:00:00Z"/>
        <d v="2024-01-17T00:00:00Z"/>
        <d v="2024-02-06T00:00:00Z"/>
        <d v="2024-02-13T00:00:00Z"/>
        <d v="2024-02-09T00:00:00Z"/>
        <d v="2024-02-14T00:00:00Z"/>
        <d v="2024-02-07T00:00:00Z"/>
        <d v="2024-02-19T00:00:00Z"/>
        <d v="2024-02-18T00:00:00Z"/>
        <d v="2024-02-02T00:00:00Z"/>
        <d v="2024-02-21T00:00:00Z"/>
        <d v="2024-02-11T00:00:00Z"/>
        <d v="2024-02-26T00:00:00Z"/>
        <d v="2024-03-01T00:00:00Z"/>
        <d v="2024-02-29T00:00:00Z"/>
        <d v="2024-04-27T00:00:00Z"/>
        <d v="2024-02-27T00:00:00Z"/>
        <d v="2024-02-17T00:00:00Z"/>
        <d v="2024-02-23T00:00:00Z"/>
        <d v="2024-02-24T00:00:00Z"/>
        <d v="2024-02-25T00:00:00Z"/>
        <d v="2024-03-04T00:00:00Z"/>
        <d v="2024-03-07T00:00:00Z"/>
        <d v="2024-02-10T00:00:00Z"/>
        <d v="2024-03-03T00:00:00Z"/>
        <d v="2024-03-06T00:00:00Z"/>
        <d v="2024-03-29T00:00:00Z"/>
        <d v="2024-02-15T00:00:00Z"/>
        <d v="2024-03-08T00:00:00Z"/>
        <d v="2024-03-11T00:00:00Z"/>
        <d v="2024-03-13T00:00:00Z"/>
        <d v="2024-02-20T00:00:00Z"/>
        <d v="2024-02-16T00:00:00Z"/>
        <d v="2024-03-09T00:00:00Z"/>
        <d v="2024-03-16T00:00:00Z"/>
        <d v="2024-03-12T00:00:00Z"/>
        <d v="2024-03-05T00:00:00Z"/>
        <d v="2024-03-14T00:00:00Z"/>
        <d v="2024-03-18T00:00:00Z"/>
        <d v="2024-03-26T00:00:00Z"/>
        <d v="2024-03-19T00:00:00Z"/>
        <d v="2024-03-31T00:00:00Z"/>
        <d v="2024-02-22T00:00:00Z"/>
        <d v="2024-03-21T00:00:00Z"/>
        <d v="2024-03-22T00:00:00Z"/>
        <d v="2024-03-30T00:00:00Z"/>
        <d v="2024-03-23T00:00:00Z"/>
        <d v="2024-03-25T00:00:00Z"/>
        <d v="2024-03-17T00:00:00Z"/>
        <d v="2024-03-20T00:00:00Z"/>
        <d v="2024-03-27T00:00:00Z"/>
        <d v="2024-04-01T00:00:00Z"/>
        <d v="2024-03-24T00:00:00Z"/>
        <d v="2024-04-07T00:00:00Z"/>
        <d v="2024-04-03T00:00:00Z"/>
        <d v="2024-04-13T00:00:00Z"/>
        <d v="2024-04-06T00:00:00Z"/>
        <d v="2024-04-02T00:00:00Z"/>
        <d v="2024-04-10T00:00:00Z"/>
        <d v="2024-03-15T00:00:00Z"/>
        <d v="2024-04-11T00:00:00Z"/>
        <d v="2024-04-14T00:00:00Z"/>
        <d v="2024-04-17T00:00:00Z"/>
        <d v="2024-04-15T00:00:00Z"/>
        <d v="2024-04-08T00:00:00Z"/>
        <d v="2024-04-05T00:00:00Z"/>
        <d v="2024-04-16T00:00:00Z"/>
        <d v="2024-04-18T00:00:00Z"/>
        <d v="2024-04-19T00:00:00Z"/>
        <d v="2024-04-25T00:00:00Z"/>
        <d v="2024-04-04T00:00:00Z"/>
        <d v="2024-03-28T00:00:00Z"/>
        <d v="2024-04-21T00:00:00Z"/>
        <d v="2024-04-22T00:00:00Z"/>
        <d v="2024-04-20T00:00:00Z"/>
        <d v="2024-04-09T00:00:00Z"/>
        <d v="2024-04-23T00:00:00Z"/>
        <d v="2024-04-24T00:00:00Z"/>
        <d v="2024-04-26T00:00:00Z"/>
        <d v="2024-05-06T00:00:00Z"/>
        <d v="2024-05-08T00:00:00Z"/>
        <d v="2024-04-30T00:00:00Z"/>
        <d v="2024-05-04T00:00:00Z"/>
        <d v="2024-05-03T00:00:00Z"/>
        <d v="2024-05-01T00:00:00Z"/>
        <d v="2024-04-12T00:00:00Z"/>
        <d v="2024-04-29T00:00:00Z"/>
        <d v="2024-05-05T00:00:00Z"/>
        <d v="2024-05-11T00:00:00Z"/>
        <d v="2024-05-07T00:00:00Z"/>
        <d v="2024-05-13T00:00:00Z"/>
        <d v="2024-05-16T00:00:00Z"/>
        <d v="2024-05-10T00:00:00Z"/>
        <d v="2024-05-26T00:00:00Z"/>
        <d v="2024-05-15T00:00:00Z"/>
        <d v="2024-05-14T00:00:00Z"/>
        <d v="2024-05-20T00:00:00Z"/>
        <d v="2024-05-02T00:00:00Z"/>
        <d v="2024-05-12T00:00:00Z"/>
        <d v="2024-05-18T00:00:00Z"/>
        <d v="2024-05-17T00:00:00Z"/>
        <d v="2024-05-19T00:00:00Z"/>
        <d v="2024-05-24T00:00:00Z"/>
        <d v="2024-05-22T00:00:00Z"/>
        <d v="2024-05-23T00:00:00Z"/>
        <d v="2024-06-06T00:00:00Z"/>
        <d v="2024-05-25T00:00:00Z"/>
        <d v="2024-06-03T00:00:00Z"/>
        <d v="2024-05-31T00:00:00Z"/>
        <d v="2024-06-01T00:00:00Z"/>
        <d v="2024-05-27T00:00:00Z"/>
        <d v="2024-06-02T00:00:00Z"/>
        <d v="2024-05-28T00:00:00Z"/>
        <d v="2024-06-04T00:00:00Z"/>
        <d v="2024-06-05T00:00:00Z"/>
        <d v="2024-06-18T00:00:00Z"/>
        <d v="2024-06-13T00:00:00Z"/>
        <d v="2024-06-07T00:00:00Z"/>
        <d v="2024-06-15T00:00:00Z"/>
        <d v="2024-06-09T00:00:00Z"/>
        <d v="2024-06-08T00:00:00Z"/>
        <d v="2024-06-10T00:00:00Z"/>
        <d v="2024-06-17T00:00:00Z"/>
        <d v="2024-06-11T00:00:00Z"/>
        <d v="2024-05-21T00:00:00Z"/>
        <d v="2024-06-16T00:00:00Z"/>
        <d v="2024-05-29T00:00:00Z"/>
        <d v="2024-06-14T00:00:00Z"/>
        <d v="2024-06-19T00:00:00Z"/>
        <d v="2024-06-21T00:00:00Z"/>
        <d v="2024-06-20T00:00:00Z"/>
        <d v="2024-05-30T00:00:00Z"/>
        <d v="2024-06-22T00:00:00Z"/>
        <d v="2024-06-12T00:00:00Z"/>
        <d v="2024-06-24T00:00:00Z"/>
        <d v="2024-06-25T00:00:00Z"/>
        <d v="2024-06-28T00:00:00Z"/>
        <d v="2024-06-29T00:00:00Z"/>
        <d v="2024-06-30T00:00:00Z"/>
        <d v="2024-06-27T00:00:00Z"/>
        <d v="2024-07-01T00:00:00Z"/>
        <d v="2024-07-02T00:00:00Z"/>
        <d v="2024-07-05T00:00:00Z"/>
        <d v="2024-07-04T00:00:00Z"/>
        <d v="2024-07-03T00:00:00Z"/>
        <d v="2024-07-06T00:00:00Z"/>
        <d v="2024-07-07T00:00:00Z"/>
        <d v="2024-07-15T00:00:00Z"/>
        <d v="2024-06-26T00:00:00Z"/>
        <d v="2024-07-30T00:00:00Z"/>
        <d v="2024-07-17T00:00:00Z"/>
        <d v="2024-07-09T00:00:00Z"/>
        <d v="2024-07-11T00:00:00Z"/>
        <d v="2024-07-14T00:00:00Z"/>
        <d v="2024-07-13T00:00:00Z"/>
        <d v="2024-07-28T00:00:00Z"/>
        <d v="2024-07-12T00:00:00Z"/>
        <d v="2024-07-26T00:00:00Z"/>
        <d v="2024-07-16T00:00:00Z"/>
        <d v="2024-07-18T00:00:00Z"/>
        <d v="2024-07-08T00:00:00Z"/>
        <d v="2024-07-19T00:00:00Z"/>
        <d v="2024-07-21T00:00:00Z"/>
        <d v="2024-07-22T00:00:00Z"/>
        <d v="2024-07-23T00:00:00Z"/>
        <d v="2024-08-06T00:00:00Z"/>
        <d v="2024-07-25T00:00:00Z"/>
        <d v="2024-07-24T00:00:00Z"/>
        <d v="2024-08-01T00:00:00Z"/>
        <d v="2024-07-29T00:00:00Z"/>
        <d v="2024-08-04T00:00:00Z"/>
        <d v="2024-08-26T00:00:00Z"/>
        <d v="2024-07-31T00:00:00Z"/>
        <d v="2024-08-03T00:00:00Z"/>
        <d v="2024-08-05T00:00:00Z"/>
        <d v="2024-08-09T00:00:00Z"/>
        <d v="2024-08-07T00:00:00Z"/>
        <d v="2024-08-08T00:00:00Z"/>
        <d v="2024-08-10T00:00:00Z"/>
        <d v="2024-08-12T00:00:00Z"/>
        <d v="2024-07-27T00:00:00Z"/>
        <d v="2024-08-23T00:00:00Z"/>
        <d v="2024-08-11T00:00:00Z"/>
        <d v="2024-08-14T00:00:00Z"/>
        <d v="2024-08-15T00:00:00Z"/>
        <d v="2024-08-16T00:00:00Z"/>
        <d v="2024-08-02T00:00:00Z"/>
        <d v="2024-08-17T00:00:00Z"/>
        <d v="2024-08-18T00:00:00Z"/>
        <d v="2024-08-25T00:00:00Z"/>
        <d v="2024-08-28T00:00:00Z"/>
        <d v="2024-08-20T00:00:00Z"/>
        <d v="2024-08-19T00:00:00Z"/>
        <d v="2024-08-24T00:00:00Z"/>
        <d v="2024-08-13T00:00:00Z"/>
        <d v="2024-08-27T00:00:00Z"/>
        <d v="2024-08-29T00:00:00Z"/>
        <d v="2024-09-01T00:00:00Z"/>
        <d v="2024-09-03T00:00:00Z"/>
        <d v="2024-08-31T00:00:00Z"/>
        <d v="2024-09-02T00:00:00Z"/>
        <d v="2024-08-30T00:00:00Z"/>
        <d v="2024-08-21T00:00:00Z"/>
        <d v="2024-08-22T00:00:00Z"/>
        <d v="2024-09-08T00:00:00Z"/>
        <d v="2024-09-16T00:00:00Z"/>
        <d v="2024-09-19T00:00:00Z"/>
        <d v="2024-09-17T00:00:00Z"/>
        <d v="2024-09-20T00:00:00Z"/>
        <d v="2024-09-21T00:00:00Z"/>
        <d v="2024-09-22T00:00:00Z"/>
        <d v="2024-09-25T00:00:00Z"/>
        <d v="2024-09-23T00:00:00Z"/>
        <d v="2024-09-26T00:00:00Z"/>
        <d v="2024-09-29T00:00:00Z"/>
        <d v="2024-09-27T00:00:00Z"/>
        <d v="2024-09-11T00:00:00Z"/>
        <d v="2024-09-14T00:00:00Z"/>
        <d v="2024-09-15T00:00:00Z"/>
        <d v="2024-09-18T00:00:00Z"/>
        <d v="2024-09-28T00:00:00Z"/>
        <d v="2024-09-24T00:00:00Z"/>
      </sharedItems>
    </cacheField>
    <cacheField name="USD Last Update" numFmtId="164">
      <sharedItems containsSemiMixedTypes="0" containsString="0" containsNumber="1">
        <n v="0.0"/>
        <n v="440855.4411485431"/>
        <n v="11884.277657790184"/>
        <n v="35190.945004463196"/>
        <n v="91728.73687791824"/>
        <n v="320389.9754962921"/>
        <n v="1190097.118573392"/>
        <n v="411315.29848337173"/>
        <n v="31886.36612892151"/>
        <n v="654452.6672995662"/>
        <n v="175887.6853504847"/>
        <n v="21382.809224596025"/>
        <n v="240230.7023905106"/>
        <n v="201576.39384412766"/>
        <n v="138628.32171288013"/>
        <n v="264550.00537872314"/>
        <n v="354671.3139538765"/>
        <n v="45448.1049656868"/>
        <n v="17966.891866207123"/>
        <n v="216844.1944232826"/>
        <n v="963017.1459159851"/>
        <n v="425460.34812927246"/>
        <n v="140171.34282302856"/>
        <n v="1868.7286227226257"/>
        <n v="2493.1304454803467"/>
        <n v="209979.77878189087"/>
        <n v="804959.9990386963"/>
        <n v="64399.2428889656"/>
        <n v="529103.0425643921"/>
        <n v="100430.40020751953"/>
        <n v="79593.99656677246"/>
        <n v="376681.58445739746"/>
        <n v="4988.37175886631"/>
        <n v="660.2297973632812"/>
        <n v="22146.16540596008"/>
        <n v="377451.9663787822"/>
        <n v="182613.5992958975"/>
        <n v="189138.3763370514"/>
        <n v="24864.872765654563"/>
        <n v="41457.7880525589"/>
        <n v="534.7219944000244"/>
        <n v="5209.113121032715"/>
        <n v="1256.5122842788696"/>
        <n v="20515.915464401245"/>
        <n v="205.0587272644043"/>
        <n v="1188.584077835083"/>
        <n v="1337.4944925308228"/>
        <n v="552162.5462468147"/>
        <n v="139528.33678993178"/>
        <n v="514918.88523101807"/>
        <n v="482013.4768486023"/>
        <n v="88551.34182929993"/>
        <n v="61319.03359937668"/>
        <n v="519.7083950042725"/>
        <n v="56754.76063568592"/>
        <n v="5392.269264221191"/>
        <n v="75487.63888597488"/>
        <n v="144114.63950157166"/>
        <n v="107.95333862304688"/>
        <n v="62711.168772160054"/>
        <n v="295206.97983994486"/>
        <n v="5164.606246948242"/>
        <n v="151613.16738383067"/>
        <n v="64274.171760628225"/>
        <n v="33663.91652393341"/>
        <n v="282610.15407562256"/>
        <n v="152132.23749160767"/>
        <n v="1.7118068050563812E7"/>
        <n v="168976.15137195587"/>
        <n v="396.84497833251953"/>
        <n v="248.0281114578247"/>
        <n v="28545.543954849243"/>
        <n v="65529.43958248854"/>
        <n v="66620.98069190979"/>
        <n v="78382.6070806675"/>
        <n v="33646.34667538156"/>
        <n v="1121.9181418418884"/>
        <n v="187515.58480478288"/>
        <n v="424889.60845947266"/>
        <n v="257217.41010070036"/>
        <n v="10421.578921318054"/>
        <n v="199041.0256758802"/>
        <n v="44092.83866882324"/>
        <n v="337553.6029815674"/>
        <n v="361.59793853759766"/>
        <n v="167864.8402448416"/>
        <n v="778.7728910417557"/>
        <n v="961.7147463393211"/>
        <n v="2216.8214321136475"/>
        <n v="1596.9981596946716"/>
        <n v="68357.06049442291"/>
        <n v="108027.04679489136"/>
        <n v="17382.753705978394"/>
        <n v="114095.51201915741"/>
        <n v="170720.25636672974"/>
        <n v="84619.78737840356"/>
        <n v="1347.7179050445557"/>
        <n v="163412.5325917449"/>
        <n v="540550.4567193985"/>
        <n v="80320.12238917351"/>
        <n v="8.063699015604944E8"/>
        <n v="806366.1797876358"/>
        <n v="247959.49429035187"/>
        <n v="285650.86326408386"/>
        <n v="219775.71102316998"/>
        <n v="4043.890857696533"/>
        <n v="233197.6668100357"/>
        <n v="49553.997246555424"/>
        <n v="311756.41708374023"/>
        <n v="179972.68836021423"/>
        <n v="405.8725833892822"/>
        <n v="1035.489797592163"/>
        <n v="237339.79270119668"/>
        <n v="967831.6252560616"/>
        <n v="128606.73090932821"/>
        <n v="25153.181664819716"/>
        <n v="3496.8125549030306"/>
        <n v="55448.94446227455"/>
        <n v="82321.27532958984"/>
        <n v="183548.03500652313"/>
        <n v="23163.536529352667"/>
        <n v="903379.6771345139"/>
        <n v="130143.1534576416"/>
        <n v="60947.0469686985"/>
        <n v="745528.9821412325"/>
        <n v="91183.36183691025"/>
        <n v="81.48493766784668"/>
        <n v="141231.90055847168"/>
        <n v="25551.40493221283"/>
        <n v="19094.579084396362"/>
        <n v="60.84670543670654"/>
        <n v="18774.889707565308"/>
        <n v="60.70974111557007"/>
        <n v="288975.4856014252"/>
        <n v="504.91859372735024"/>
        <n v="52909.59660290241"/>
        <n v="324.51576232910156"/>
        <n v="166659.53242063522"/>
        <n v="158221.27057170868"/>
        <n v="1069418.0067055263"/>
        <n v="78255.69694519043"/>
        <n v="50720.82905292511"/>
        <n v="20306.99817252159"/>
        <n v="204157.68256092072"/>
        <n v="3646.7741203308105"/>
        <n v="378466.9846916199"/>
        <n v="8500.88589811325"/>
        <n v="57204.50577785969"/>
        <n v="171533.83743667603"/>
        <n v="48085.680753707886"/>
        <n v="930.2995204925537"/>
        <n v="20590.681063842774"/>
        <n v="2165483.5875606537"/>
        <n v="18371.574969291687"/>
        <n v="3721.2750911712646"/>
        <n v="4188.214194774628"/>
        <n v="3442.17945933342"/>
        <n v="792.9431915283203"/>
        <n v="3043.7909603118896"/>
        <n v="130575.70901672317"/>
        <n v="935330.6803665161"/>
        <n v="138130.9799194336"/>
        <n v="50535.850524902344"/>
        <n v="3106388.0979447365"/>
        <n v="1.1480887444565535E8"/>
        <n v="135908.1592054367"/>
        <n v="203577.8356552124"/>
        <n v="226079.1541337967"/>
        <n v="635.4608774185181"/>
        <n v="117356.78630256653"/>
        <n v="9157.239246368408"/>
        <n v="105414.0174993301"/>
        <n v="284868.0763871622"/>
        <n v="1758.5296641254424"/>
        <n v="10389.19851257801"/>
        <n v="80852.26232767105"/>
        <n v="5703.471712589264"/>
        <n v="27182.742474079132"/>
        <n v="18391.639382839203"/>
        <n v="132358.3769440651"/>
        <n v="89601.52673721313"/>
        <n v="8699.747411727905"/>
        <n v="8349.085807800293"/>
        <n v="1641.8591737747192"/>
        <n v="314906.35774847027"/>
        <n v="731101.0220732689"/>
        <n v="38795.41872024536"/>
        <n v="2767.705464363098"/>
        <n v="32341.10360956192"/>
        <n v="726130.7726783752"/>
        <n v="5291220.188140869"/>
        <n v="161959.54506988524"/>
        <n v="513103.2653764343"/>
        <n v="47427.073669433594"/>
        <n v="89754.67777347565"/>
        <n v="23045.113191604614"/>
        <n v="16227.429418087006"/>
        <n v="56214.271577871325"/>
        <n v="110455.63011169434"/>
        <n v="541250.259411335"/>
        <n v="2621.1016178131104"/>
        <n v="130423.0824637413"/>
        <n v="1306.6195678710938"/>
        <n v="31943.193459033966"/>
        <n v="118272.8529725647"/>
        <n v="35577.21670865535"/>
        <n v="35618.89410018921"/>
        <n v="1625.1878471088407"/>
        <n v="5242.203235626221"/>
        <n v="122929.61944913864"/>
        <n v="43726.35269165039"/>
        <n v="4792.046475591659"/>
        <n v="28131.635189056396"/>
        <n v="11645.587386131287"/>
        <n v="5133632.7714829445"/>
        <n v="639.6103477478027"/>
        <n v="3369.573913660049"/>
        <n v="23144.556258544922"/>
        <n v="28403.631734848022"/>
        <n v="14489.015617222785"/>
        <n v="21733.55780447483"/>
        <n v="9345.329209804535"/>
        <n v="11193.685396194458"/>
        <n v="3346.193638086319"/>
        <n v="173463.07664935113"/>
        <n v="68091.73227890015"/>
        <n v="65012.438703083986"/>
        <n v="30044.30494112492"/>
        <n v="67587.137196064"/>
        <n v="20067.617797851562"/>
        <n v="66382.00737380981"/>
        <n v="49854.62370366096"/>
        <n v="1.2086651802062988E-9"/>
        <n v="39270.812900066376"/>
        <n v="50988.47222137451"/>
        <n v="27597.103930950165"/>
        <n v="4.492052628974915E-5"/>
        <n v="449205.26289749146"/>
        <n v="199893.310546875"/>
        <n v="243525.69580078125"/>
        <n v="227032.60002565384"/>
        <n v="70463.06467151642"/>
        <n v="852314.0514621735"/>
        <n v="1095.0079917907715"/>
        <n v="338968.53231811523"/>
        <n v="94649.38012933731"/>
        <n v="18.73999786376953"/>
        <n v="59076.24592781067"/>
        <n v="3176.135282006264"/>
        <n v="556365.502512455"/>
        <n v="547328.6936626434"/>
        <n v="561624.5739340782"/>
        <n v="5911.51286380291"/>
        <n v="712.3778820037842"/>
        <n v="445.9104919433594"/>
        <n v="5438.993310928345"/>
        <n v="237685.1772427559"/>
        <n v="60881.42395019531"/>
        <n v="300.8437919616699"/>
        <n v="90253.13758850098"/>
        <n v="294728.0863070488"/>
        <n v="187550.28578281403"/>
        <n v="69560.47089242935"/>
        <n v="113382.04055786133"/>
        <n v="6839.678764343262"/>
        <n v="42063.47942352295"/>
        <n v="55615.090220451355"/>
        <n v="8305492.200950623"/>
        <n v="70933.28332901001"/>
        <n v="630603.3177213669"/>
        <n v="38791.37742519379"/>
        <n v="1016502.2154192924"/>
        <n v="232424.17905807495"/>
        <n v="80233.32316684723"/>
        <n v="143491.3900823593"/>
        <n v="156356.79960250854"/>
        <n v="4243.613085746765"/>
        <n v="3353.1500120162964"/>
        <n v="836667.7529335022"/>
        <n v="3094.0776586532593"/>
        <n v="13446.874380111694"/>
        <n v="449897.15695381165"/>
        <n v="165678.6430835724"/>
        <n v="90354.11908721924"/>
        <n v="7085.906982421875"/>
        <n v="345528.823677063"/>
        <n v="78827.49714700603"/>
        <n v="182386.0669255066"/>
        <n v="3471.3475704193115"/>
        <n v="211695.50481233367"/>
        <n v="20731.563568115234"/>
        <n v="199130.61891174316"/>
        <n v="2460014.033317566"/>
        <n v="1480403.8563461304"/>
        <n v="2352.4765434265137"/>
        <n v="14331.968091011047"/>
        <n v="332241.49905347824"/>
        <n v="77860.96796979904"/>
        <n v="331439.63108577725"/>
        <n v="205622.93027251243"/>
        <n v="130660.90535736084"/>
        <n v="1871824.6919622933"/>
        <n v="460581.38894587994"/>
        <n v="586962.711227417"/>
        <n v="348.12278747558594"/>
        <n v="726340.8530712128"/>
        <n v="385360.6036603975"/>
        <n v="181662.5747680664"/>
        <n v="19074.618577957153"/>
        <n v="27564.14668893814"/>
        <n v="671383.8305110931"/>
        <n v="74935.81209182739"/>
        <n v="486085.0705318451"/>
        <n v="146587.23357725143"/>
        <n v="62807.127356529236"/>
        <n v="2.9462561386234283E7"/>
        <n v="4255.996999740601"/>
        <n v="294625.61386234284"/>
        <n v="788.1475925445557"/>
        <n v="4905.345916748047"/>
        <n v="12665.849685668945"/>
        <n v="18309.959193940165"/>
        <n v="1703.0866384506226"/>
        <n v="378.4636974334717"/>
        <n v="264269.3607006073"/>
        <n v="11153.223294258118"/>
        <n v="1016.708984375"/>
        <n v="1307.230224609375"/>
        <n v="87606.16467905045"/>
        <n v="70133.04677009583"/>
        <n v="376714.65587615967"/>
        <n v="451201.43218040466"/>
        <n v="21597.210963349342"/>
        <n v="396487.4529838562"/>
        <n v="352867.6115179062"/>
        <n v="6874.605178833008"/>
        <n v="68705.30662536621"/>
        <n v="1588.6077880859375"/>
        <n v="4581.325155735016"/>
        <n v="1559.150221824646"/>
        <n v="6453.38236284256"/>
        <n v="13054.452890367507"/>
        <n v="56962.94512939453"/>
        <n v="85618.36586236954"/>
        <n v="130472.71211901188"/>
        <n v="126.65849685668945"/>
        <n v="765758.1806182861"/>
        <n v="3595745.56350708"/>
        <n v="516.7873764038086"/>
        <n v="99574.88661336899"/>
        <n v="3668.635892868042"/>
        <n v="287230.9412097931"/>
        <n v="719149.112701416"/>
        <n v="1000.8687257766724"/>
        <n v="262774.31801802997"/>
        <n v="199569.17034387589"/>
        <n v="86155.50398826599"/>
        <n v="323571.4605998993"/>
        <n v="1727363.9624118805"/>
        <n v="6267227.057719231"/>
        <n v="811090.5866394043"/>
        <n v="62805.44242295456"/>
        <n v="532581.1870918274"/>
        <n v="306261.42416000366"/>
        <n v="825502.4909973145"/>
        <n v="6677.962108612061"/>
        <n v="13112.6673579216"/>
        <n v="214775.07469177246"/>
        <n v="413597.0618057251"/>
        <n v="575.3192901611328"/>
        <n v="1546.6411590576172"/>
        <n v="132353.61122131348"/>
        <n v="263702.100276947"/>
        <n v="266963.80615234375"/>
        <n v="6611.456823348999"/>
        <n v="7096.012115478516"/>
        <n v="5539.296886224746"/>
        <n v="67676.24457836151"/>
        <n v="1920117.8267564392"/>
        <n v="1469.2126274108887"/>
        <n v="10278.813362121582"/>
        <n v="587.6850509643555"/>
        <n v="1496.5782165527344"/>
        <n v="1835116.447108202"/>
        <n v="322392.94765075686"/>
        <n v="74243.94844293594"/>
        <n v="6892.440319061279"/>
        <n v="198223.41918945312"/>
        <n v="7465.518841266632"/>
        <n v="556299.6579713821"/>
        <n v="317417.2375488281"/>
        <n v="685296.2817649841"/>
        <n v="466913.5783029556"/>
        <n v="54191.81823730469"/>
        <n v="417130.9471130371"/>
        <n v="331091.30859375"/>
        <n v="508257.060546875"/>
        <n v="7563.416004180908"/>
        <n v="1037005.4662789197"/>
        <n v="574892.2698608398"/>
        <n v="1744.283454724015"/>
        <n v="536331.2721252441"/>
        <n v="2725102.2913074493"/>
        <n v="122202.55012512207"/>
        <n v="7315.996848917008"/>
        <n v="7468.303203582764"/>
        <n v="3347441.577911377"/>
        <n v="54912.51806415558"/>
        <n v="296305.302734375"/>
        <n v="729.3909072875977"/>
        <n v="14053.964138031006"/>
        <n v="7.837951660156251E-7"/>
        <n v="80432.73624420166"/>
        <n v="95806.37893867493"/>
        <n v="1056.9041740216637"/>
        <n v="2.3609445095062258E-4"/>
        <n v="2229814.5294189453"/>
        <n v="5.540664574909211E-6"/>
        <n v="85667.00112946094"/>
        <n v="959623.5275268555"/>
        <n v="3.773815484352112E-5"/>
        <n v="302281.4111709595"/>
        <n v="783.795166015625"/>
        <n v="331657.97014045715"/>
        <n v="38354.97998046875"/>
        <n v="135185.2431256485"/>
        <n v="2.0557626724243163E-7"/>
        <n v="880478.2604961395"/>
        <n v="34170.69396972656"/>
        <n v="263126.90505981445"/>
        <n v="3.322150802612305E-5"/>
        <n v="296017.76819229126"/>
        <n v="1449112.3947343826"/>
        <n v="310852.76851882937"/>
        <n v="541579.5109577179"/>
        <n v="10726.625442504883"/>
        <n v="8389035.22491455"/>
        <n v="8389035.224914549"/>
        <n v="292322.4540710449"/>
        <n v="6.416129473114013E-6"/>
        <n v="69917.49607086182"/>
        <n v="79695.83463668823"/>
        <n v="8727.157974243164"/>
        <n v="216.76727294921875"/>
        <n v="2.6497650403213502E-5"/>
        <n v="272566.48607444763"/>
        <n v="611698.2231445312"/>
        <n v="5687.193984985352"/>
        <n v="100585.54290962219"/>
        <n v="707799.1305651856"/>
        <n v="198.14796447753906"/>
        <n v="6869346.141815186"/>
        <n v="111711.32175922394"/>
        <n v="1667839.7744413202"/>
        <n v="1209674.120432971"/>
        <n v="713.5406494140625"/>
        <n v="84335.54649353027"/>
        <n v="2.491375777578354E-5"/>
        <n v="179.64178085327148"/>
        <n v="187.38618850708008"/>
        <n v="327676.18657547934"/>
        <n v="3343.8289165496826"/>
        <n v="3567514.419555664"/>
        <n v="387553.1917362213"/>
        <n v="37652.19421386719"/>
        <n v="79710.15886688232"/>
        <n v="362582.6869749069"/>
        <n v="40253.754930496216"/>
        <n v="9.642625808715819E-7"/>
        <n v="8.70672607421875E-7"/>
        <n v="8706.72607421875"/>
        <n v="9642.62580871582"/>
        <n v="8863.756141662598"/>
        <n v="315931.8970413208"/>
        <n v="190.3356170654297"/>
        <n v="312933.0634903908"/>
        <n v="1039523.2200622559"/>
        <n v="428930.6640625"/>
        <n v="1943013.6346817017"/>
        <n v="149164.6519241333"/>
        <n v="139792.06814956665"/>
        <n v="18503.687727479934"/>
        <n v="5817.008123588563"/>
        <n v="6359.6087453842165"/>
        <n v="192.8525161743164"/>
        <n v="110461.22982398987"/>
        <n v="49132.236557006836"/>
        <n v="8221.25452041626"/>
        <n v="37815.65284729004"/>
        <n v="964.262580871582"/>
        <n v="167.78070449829102"/>
        <n v="118434.50736999512"/>
        <n v="53626.45076751709"/>
        <n v="69959.59631824493"/>
        <n v="213157.60334157944"/>
        <n v="8660.052299490852"/>
        <n v="671.1228179931641"/>
        <n v="235410.55987262726"/>
        <n v="8401.010855255126"/>
        <n v="6422237.873077393"/>
        <n v="6824516.040802002"/>
        <n v="176465.82658290863"/>
        <n v="730678.4152984619"/>
        <n v="453963.42182521825"/>
        <n v="1.5363803105163574E-5"/>
        <n v="6869.346141815186"/>
        <n v="241844.73929177283"/>
        <n v="42018.60427856445"/>
        <n v="227461.93294525146"/>
        <n v="61340.678367614746"/>
        <n v="57566.5656536293"/>
        <n v="1122.3687744140625"/>
        <n v="304.125732421875"/>
        <n v="3.7823893139362332E-6"/>
        <n v="34455.30618906021"/>
        <n v="646235.1382727623"/>
        <n v="110847.84743452072"/>
        <n v="113880.58637094498"/>
        <n v="549.5476913452148"/>
        <n v="3732.037615776062"/>
        <n v="530843.5537233353"/>
        <n v="145508.92766571045"/>
        <n v="537.0024871826172"/>
        <n v="6154.469304561615"/>
        <n v="66148.3999671936"/>
        <n v="5945.327813625336"/>
        <n v="5961.032665252686"/>
        <n v="201278.24343884469"/>
        <n v="862508.809337616"/>
        <n v="17499.748046398163"/>
        <n v="68468.27041625977"/>
        <n v="1646.9685745239258"/>
        <n v="142.70057678222656"/>
        <n v="559280.6775851505"/>
        <n v="7196755.886077881"/>
        <n v="320723.7566728592"/>
        <n v="322287.8837585449"/>
        <n v="547006.5241241455"/>
        <n v="215918.55821228027"/>
        <n v="3468767.4045562744"/>
        <n v="242071.45509147644"/>
        <n v="1.150823616027832E-5"/>
        <n v="2.262704140253067E-5"/>
        <n v="124594.09097290039"/>
        <n v="208898.57222366333"/>
        <n v="574406.0542068481"/>
        <n v="133424.63614062278"/>
        <n v="68.35916449170344"/>
        <n v="2807333.188522339"/>
        <n v="7285.116195678711"/>
        <n v="4656.12245798111"/>
        <n v="1363694.7931671143"/>
        <n v="1488369.7701263428"/>
        <n v="244.34801983833313"/>
        <n v="131.83465957641602"/>
        <n v="7428137.77923584"/>
        <n v="106442.31845350743"/>
        <n v="320032.9130115509"/>
        <n v="4341.929252624512"/>
        <n v="73720.1905002594"/>
        <n v="3.876193356513977E-7"/>
        <n v="4019.326066970825"/>
        <n v="3.428402066230774E-7"/>
        <n v="3428.402066230774"/>
        <n v="199823.08615207672"/>
        <n v="1088.2651805877686"/>
        <n v="637888.0462646484"/>
        <n v="1049878.2674679707"/>
        <n v="8.830690005874634E-6"/>
        <n v="92552.53884124756"/>
        <n v="59481.187398433685"/>
        <n v="416094.5658416748"/>
        <n v="967618.7876639366"/>
        <n v="71702.70205640793"/>
        <n v="76282.91130065918"/>
        <n v="968942.6153392792"/>
        <n v="24997.04909324646"/>
        <n v="21306.466939155554"/>
        <n v="357100.7013320923"/>
        <n v="540075.9947309494"/>
        <n v="55094.15142440796"/>
        <n v="4627.188558769227"/>
        <n v="264399.8936829567"/>
        <n v="66.22914888819314"/>
        <n v="135964.913977623"/>
        <n v="258430.23341417313"/>
        <n v="242006.27492523193"/>
        <n v="1272957.3502349854"/>
        <n v="247415.71657746792"/>
        <n v="3222.878837585449"/>
        <n v="88162.14821720123"/>
        <n v="324.04267234802245"/>
        <n v="78910.52069616318"/>
        <n v="177981.32514953613"/>
        <n v="1.0300641551208496E-5"/>
        <n v="99859.64012050629"/>
        <n v="325372.3382949829"/>
        <n v="540604.7917079926"/>
        <n v="5794211.864471436"/>
        <n v="313096.19440270425"/>
        <n v="1078483.2119941711"/>
        <n v="138.75069618225098"/>
        <n v="50375.90036130734"/>
        <n v="7329.517050266266"/>
        <n v="7599.261079311371"/>
        <n v="6039.630308471829"/>
        <n v="183705.48716306686"/>
        <n v="7058611.869812012"/>
        <n v="7244290.828704834"/>
        <n v="17326.952934265137"/>
        <n v="17978.788414001465"/>
        <n v="30461.302161216736"/>
        <n v="7.244290828704834"/>
        <n v="2805531.0249328613"/>
        <n v="2805525.4138708115"/>
        <n v="18955.68651008606"/>
        <n v="367052.7576508522"/>
        <n v="24977.36747264862"/>
        <n v="589.3658447265625"/>
        <n v="49799.23912715912"/>
        <n v="54819.03844976425"/>
        <n v="20829.652276039124"/>
        <n v="6227.234549045563"/>
        <n v="9.435797810554504E10"/>
        <n v="84716.17698669434"/>
        <n v="15737.2081439209"/>
        <n v="3.827938270568847E-6"/>
        <n v="34765.27118682861"/>
        <n v="9.470763847351076E-6"/>
        <n v="53796.368242263794"/>
        <n v="564.6889495849609"/>
        <n v="329322.3484969139"/>
        <n v="62814.44072723389"/>
        <n v="26013.53200531006"/>
        <n v="5.960229949951172E7"/>
        <n v="477687.5974386725"/>
        <n v="149840.8842086792"/>
        <n v="2609.3517499923705"/>
        <n v="310163.98537259904"/>
        <n v="349858.89370991907"/>
        <n v="37775.31146021175"/>
        <n v="585975.5795717239"/>
        <n v="26447.66407394409"/>
        <n v="3.7256846334457395E-6"/>
        <n v="74927.69299507141"/>
        <n v="154788.60626220703"/>
        <n v="37971.795959472656"/>
        <n v="148810.68649291992"/>
        <n v="2798.431739807129"/>
        <n v="53844.99599933624"/>
        <n v="13350.86169416399"/>
        <n v="82368.14844989777"/>
        <n v="111237.64600988389"/>
        <n v="2148.9548344135283"/>
        <n v="286798.81490421295"/>
        <n v="48515.22442102432"/>
        <n v="9223.884477615356"/>
        <n v="47085.70476913452"/>
        <n v="485.91320037841797"/>
        <n v="8078419.132184029"/>
        <n v="826607.3460969925"/>
        <n v="116622.96014104845"/>
        <n v="40688.4070023861"/>
        <n v="162463.92726898193"/>
        <n v="636340.5299231338"/>
        <n v="254347.02597522736"/>
        <n v="104798.05621402932"/>
        <n v="3886137.140274048"/>
        <n v="771814.6473407745"/>
        <n v="215768.5947418213"/>
        <n v="1045558.4641002415"/>
        <n v="259.3332452774048"/>
        <n v="885101.1794228554"/>
        <n v="4552.665035028457"/>
        <n v="449393.0377960205"/>
        <n v="169663.35563993454"/>
        <n v="0.09632377681732178"/>
        <n v="6072.34001159668"/>
        <n v="53804.46502957929"/>
        <n v="98188.16337442398"/>
        <n v="194778.2757320404"/>
        <n v="2876999.616622925"/>
        <n v="214973.37083482742"/>
        <n v="824486.0903048515"/>
        <n v="583079.2220377922"/>
        <n v="162582.69772052765"/>
        <n v="84116.32449450248"/>
        <n v="159573.90238073803"/>
        <n v="270660.76830976986"/>
        <n v="35499.24475464701"/>
        <n v="191908.91302106448"/>
        <n v="419863.6382987325"/>
        <n v="5178992.419358541"/>
        <n v="295.3131437301636"/>
        <n v="87984.08918380737"/>
        <n v="1331772.0031738281"/>
        <n v="450383.671931809"/>
        <n v="50371.0912027359"/>
        <n v="489.1263961791992"/>
        <n v="14892.255663871765"/>
        <n v="45931.75816871826"/>
        <n v="936.6012096405029"/>
        <n v="2531.231117248535"/>
        <n v="4696.390066146851"/>
        <n v="34639.51149627208"/>
        <n v="33942.19262064762"/>
        <n v="35274.52405529336"/>
        <n v="1802772.7127075195"/>
        <n v="5492.771524429321"/>
        <n v="124.88016128540039"/>
        <n v="48808.8321685791"/>
        <n v="57.539992332458496"/>
        <n v="69464.72994232178"/>
        <n v="78685.56409265727"/>
        <n v="1838435.8683919907"/>
        <n v="507.537841796875"/>
        <n v="370514.61094805715"/>
        <n v="1758584.3870744705"/>
        <n v="174125.1266899109"/>
        <n v="234272.93213648797"/>
        <n v="336870.00732421875"/>
        <n v="33433.06989126331"/>
        <n v="144390.4428685136"/>
        <n v="137541.0413257891"/>
        <n v="0.8768170713088954"/>
        <n v="126890.08858859062"/>
        <n v="433825.0189189911"/>
        <n v="14007.68464833323"/>
        <n v="2915.541887283325"/>
        <n v="460.31993865966797"/>
        <n v="5.522171974182129E-10"/>
        <n v="17908.060336112976"/>
        <n v="88726.48620605469"/>
        <n v="199.06203420140145"/>
        <n v="764195.8477973271"/>
        <n v="58671.13471031189"/>
        <n v="457.7140808105469"/>
        <n v="144675.54048156738"/>
        <n v="18749.66338634491"/>
        <n v="43547.46657180786"/>
        <n v="435790.2669906616"/>
        <n v="1752346.8017578125"/>
        <n v="119571.08431345326"/>
        <n v="233177.47473716736"/>
        <n v="186.9380765203455"/>
        <n v="183719.5118408203"/>
        <n v="2615.839624404907"/>
        <n v="4587.265968322754"/>
        <n v="47.560720443725586"/>
        <n v="3742.713070693635"/>
        <n v="319386.29150390625"/>
        <n v="95.75342178344727"/>
        <n v="258791.12045288086"/>
        <n v="4.587265968322754"/>
        <n v="150843.15898488797"/>
        <n v="136405.22967481613"/>
        <n v="95.12144088745117"/>
        <n v="100218.7183725132"/>
        <n v="4.282610893249512"/>
        <n v="11.878412961959839"/>
        <n v="5375590.95815596"/>
        <n v="8952.363902330399"/>
        <n v="1.8728297770023346E-6"/>
        <n v="950.2496595280262"/>
        <n v="10908.213017940521"/>
        <n v="1743.6686990423098"/>
        <n v="0.8710836172103882"/>
        <n v="34813.824940037724"/>
        <n v="93305.90141962178"/>
        <n v="197.38476991653442"/>
        <n v="1027.3593139648438"/>
        <n v="45169.441597944526"/>
        <n v="458563.7828511707"/>
        <n v="4693.690776824951"/>
        <n v="110945.52606386213"/>
        <n v="345863.7502133846"/>
        <n v="23801.513524900554"/>
        <n v="351.2861633300781"/>
        <n v="27736.38151596553"/>
        <n v="166853.01147291213"/>
        <n v="37298.974485248764"/>
        <n v="148891.94700717926"/>
        <n v="4898.672103881836"/>
        <n v="85997.67444960044"/>
        <n v="2032.799229849199"/>
        <n v="104322.07343569674"/>
        <n v="4824.508190155029"/>
        <n v="1167.4537658691406"/>
        <n v="19107.085332870483"/>
        <n v="59068.7574634552"/>
        <n v="557615.8851134726"/>
        <n v="105303.27954362663"/>
        <n v="221715.07249028725"/>
        <n v="17783.167791366577"/>
        <n v="48200.712371349335"/>
        <n v="6874422.790050507"/>
        <n v="3781.53369140625"/>
        <n v="367780.76495910494"/>
        <n v="157680.1274181246"/>
        <n v="434838.22977018356"/>
        <n v="393939.6341722918"/>
        <n v="7.176371407318116E-5"/>
        <n v="810312.4799499512"/>
        <n v="42007.49176258122"/>
        <n v="79.18941974639893"/>
        <n v="96325.68359375"/>
        <n v="3391812.1320783948"/>
        <n v="508779.01039808145"/>
        <n v="1015.7275199890137"/>
        <n v="2199878.523196253"/>
        <n v="81.47255897521973"/>
        <n v="1915.3107404708862"/>
        <n v="4076.6329765319824"/>
        <n v="35447.64627170563"/>
        <n v="83.83303642272949"/>
        <n v="364134.5443758011"/>
        <n v="48058.95805358887"/>
        <n v="118057.75962909823"/>
        <n v="160113.26203746395"/>
        <n v="381324.5018398509"/>
        <n v="77703.27077261414"/>
        <n v="415850.79916000366"/>
        <n v="4465.049865083694"/>
        <n v="4169.034957885742"/>
        <n v="581.0800924301147"/>
        <n v="58131.06332382782"/>
        <n v="4255.255222320557"/>
        <n v="26711.25835418701"/>
        <n v="19812.30024590855"/>
        <n v="831801.4144897461"/>
        <n v="867.4715995788574"/>
        <n v="96.32568359375"/>
        <n v="270335.4597091675"/>
        <n v="4218.929178323746"/>
        <n v="69089.42548751831"/>
        <n v="19662.79912080992"/>
        <n v="4635.497093200684"/>
        <n v="27937.63783327559"/>
        <n v="69427.26163201332"/>
        <n v="222287.50360250473"/>
        <n v="19200.0"/>
        <n v="27865.347385406494"/>
        <n v="391.3644027709961"/>
        <n v="101980.93605041504"/>
        <n v="1202714.1422319412"/>
        <n v="59094.8214100887"/>
        <n v="354462.7318387508"/>
        <n v="11722.541048431396"/>
        <n v="197960.04432377816"/>
        <n v="1039.7517681121826"/>
        <n v="20795.035362243652"/>
      </sharedItems>
    </cacheField>
    <cacheField name="Category" numFmtId="0">
      <sharedItems containsBlank="1">
        <s v=""/>
        <m/>
        <s v="Outreach"/>
        <s v="Development"/>
        <s v="Operations"/>
        <s v="Talent &amp; Education"/>
        <s v="Research"/>
        <s v="Economy"/>
      </sharedItems>
    </cacheField>
    <cacheField name="Subcategory" numFmtId="0">
      <sharedItems containsBlank="1">
        <s v=""/>
        <m/>
        <s v="Media"/>
        <s v="Protocol Subsidies"/>
        <s v="Multisig"/>
        <s v="Other"/>
        <s v="Wallets"/>
        <s v="Governance"/>
        <s v="Trainings &amp; Hackathon"/>
        <s v="Data Services &amp; Indexing"/>
        <s v="Explorers"/>
        <s v="Smart Contracts"/>
        <s v="RPCs and Nodes"/>
        <s v="Education"/>
        <s v="Software Development"/>
        <s v="Light Clients"/>
        <s v="Polkadot Protocol &amp; SDK"/>
        <s v="SDKs"/>
        <s v="Advertising"/>
        <s v="Community Building"/>
        <s v="Recruiting"/>
        <s v="Games"/>
        <s v="Business Development"/>
        <s v="Incubation"/>
        <s v="Research"/>
        <s v="Advertising/Digital Ads"/>
        <s v="Events/Conference Attendance &amp; Side Events"/>
        <s v="PR"/>
        <s v="Advertising/Influencers"/>
        <s v="Events/Conference Hosting"/>
        <s v="Staking"/>
        <s v="Events/Meetups"/>
        <s v="Software Services"/>
        <s v="Privacy"/>
        <s v="Loans"/>
        <s v="Advertising/Physical Ads"/>
        <s v="Stablecoins"/>
        <s v="Infrastructure"/>
        <s v="Advertising/Sponsorships"/>
        <s v="Market Operations"/>
        <s v="Ecosystem Services"/>
        <s v="Events"/>
        <s v="Security"/>
        <s v="Advertising/Platform Integrations"/>
        <s v="Bridge"/>
        <s v="Legal"/>
      </sharedItems>
    </cacheField>
    <cacheField name="hide from income statement (represented via child bounties and/or via the balance sheet)" numFmtId="0">
      <sharedItems containsBlank="1">
        <m/>
        <s v="x"/>
      </sharedItems>
    </cacheField>
    <cacheField name="bounty-related" numFmtId="0">
      <sharedItems containsBlank="1">
        <m/>
        <s v="x"/>
      </sharedItems>
    </cacheField>
    <cacheField name="recurring" numFmtId="0">
      <sharedItems containsBlank="1">
        <m/>
        <s v="x"/>
      </sharedItems>
    </cacheField>
    <cacheField name="Notes" numFmtId="0">
      <sharedItems containsBlank="1">
        <m/>
        <s v="did not properly execute"/>
        <s v="failed to execute"/>
      </sharedItems>
    </cacheField>
    <cacheField name="year" numFmtId="3">
      <sharedItems>
        <s v="2023"/>
        <s v="2024"/>
      </sharedItems>
    </cacheField>
    <cacheField name="month" numFmtId="3">
      <sharedItems containsSemiMixedTypes="0" containsString="0" containsNumber="1" containsInteger="1">
        <n v="6.0"/>
        <n v="9.0"/>
        <n v="7.0"/>
        <n v="8.0"/>
        <n v="10.0"/>
        <n v="11.0"/>
        <n v="12.0"/>
        <n v="1.0"/>
        <n v="2.0"/>
        <n v="3.0"/>
        <n v="4.0"/>
        <n v="5.0"/>
      </sharedItems>
    </cacheField>
    <cacheField name="quarter" numFmtId="3">
      <sharedItems>
        <s v="2023-Q2"/>
        <s v="2024-Q3"/>
        <s v="2023-Q3"/>
        <s v="2023-Q4"/>
        <s v="2024-Q1"/>
        <s v="2024-Q2"/>
      </sharedItems>
    </cacheField>
    <cacheField name="year-month" numFmtId="3">
      <sharedItems>
        <s v="2023-06"/>
        <s v="2024-09"/>
        <s v="2023-07"/>
        <s v="2023-08"/>
        <s v="2023-09"/>
        <s v="2023-10"/>
        <s v="2023-11"/>
        <s v="2023-12"/>
        <s v="2024-01"/>
        <s v="2024-02"/>
        <s v="2024-03"/>
        <s v="2024-04"/>
        <s v="2024-05"/>
        <s v="2024-06"/>
        <s v="2024-07"/>
        <s v="2024-08"/>
      </sharedItems>
    </cacheField>
    <cacheField name="half-years" numFmtId="0">
      <sharedItems>
        <s v="2023-H1"/>
        <s v="2024-H2"/>
        <s v="2023-H2"/>
        <s v="2024-H1"/>
      </sharedItems>
    </cacheField>
  </cacheFields>
</pivotCacheDefinition>
</file>

<file path=xl/pivotCache/pivotCacheDefinition6.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X2166" sheet="Child Bounties"/>
  </cacheSource>
  <cacheFields>
    <cacheField name="#" numFmtId="0">
      <sharedItems containsSemiMixedTypes="0" containsString="0" containsNumber="1" containsInteger="1">
        <n v="0.0"/>
        <n v="1.0"/>
        <n v="2.0"/>
        <n v="3.0"/>
        <n v="4.0"/>
        <n v="5.0"/>
        <n v="6.0"/>
        <n v="7.0"/>
        <n v="8.0"/>
        <n v="9.0"/>
        <n v="10.0"/>
        <n v="11.0"/>
        <n v="12.0"/>
        <n v="13.0"/>
        <n v="14.0"/>
        <n v="15.0"/>
        <n v="16.0"/>
        <n v="17.0"/>
        <n v="18.0"/>
        <n v="19.0"/>
        <n v="20.0"/>
        <n v="21.0"/>
        <n v="22.0"/>
        <n v="23.0"/>
        <n v="24.0"/>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n v="68.0"/>
        <n v="69.0"/>
        <n v="70.0"/>
        <n v="71.0"/>
        <n v="72.0"/>
        <n v="73.0"/>
        <n v="74.0"/>
        <n v="75.0"/>
        <n v="76.0"/>
        <n v="77.0"/>
        <n v="78.0"/>
        <n v="79.0"/>
        <n v="80.0"/>
        <n v="81.0"/>
        <n v="82.0"/>
        <n v="83.0"/>
        <n v="84.0"/>
        <n v="85.0"/>
        <n v="86.0"/>
        <n v="87.0"/>
        <n v="88.0"/>
        <n v="89.0"/>
        <n v="90.0"/>
        <n v="91.0"/>
        <n v="92.0"/>
        <n v="93.0"/>
        <n v="94.0"/>
        <n v="95.0"/>
        <n v="96.0"/>
        <n v="97.0"/>
        <n v="98.0"/>
        <n v="99.0"/>
        <n v="100.0"/>
        <n v="101.0"/>
        <n v="102.0"/>
        <n v="103.0"/>
        <n v="104.0"/>
        <n v="105.0"/>
        <n v="106.0"/>
        <n v="107.0"/>
        <n v="108.0"/>
        <n v="109.0"/>
        <n v="110.0"/>
        <n v="111.0"/>
        <n v="112.0"/>
        <n v="113.0"/>
        <n v="114.0"/>
        <n v="115.0"/>
        <n v="116.0"/>
        <n v="117.0"/>
        <n v="118.0"/>
        <n v="119.0"/>
        <n v="120.0"/>
        <n v="121.0"/>
        <n v="122.0"/>
        <n v="123.0"/>
        <n v="124.0"/>
        <n v="125.0"/>
        <n v="126.0"/>
        <n v="127.0"/>
        <n v="128.0"/>
        <n v="129.0"/>
        <n v="130.0"/>
        <n v="131.0"/>
        <n v="132.0"/>
        <n v="133.0"/>
        <n v="134.0"/>
        <n v="135.0"/>
        <n v="136.0"/>
        <n v="137.0"/>
        <n v="138.0"/>
        <n v="139.0"/>
        <n v="140.0"/>
        <n v="141.0"/>
        <n v="142.0"/>
        <n v="143.0"/>
        <n v="144.0"/>
        <n v="145.0"/>
        <n v="146.0"/>
        <n v="147.0"/>
        <n v="148.0"/>
        <n v="149.0"/>
        <n v="150.0"/>
        <n v="151.0"/>
        <n v="152.0"/>
        <n v="153.0"/>
        <n v="154.0"/>
        <n v="155.0"/>
        <n v="156.0"/>
        <n v="157.0"/>
        <n v="158.0"/>
        <n v="159.0"/>
        <n v="160.0"/>
        <n v="161.0"/>
        <n v="162.0"/>
        <n v="163.0"/>
        <n v="164.0"/>
        <n v="165.0"/>
        <n v="166.0"/>
        <n v="167.0"/>
        <n v="168.0"/>
        <n v="169.0"/>
        <n v="170.0"/>
        <n v="171.0"/>
        <n v="172.0"/>
        <n v="173.0"/>
        <n v="174.0"/>
        <n v="175.0"/>
        <n v="176.0"/>
        <n v="177.0"/>
        <n v="178.0"/>
        <n v="179.0"/>
        <n v="180.0"/>
        <n v="181.0"/>
        <n v="182.0"/>
        <n v="183.0"/>
        <n v="184.0"/>
        <n v="185.0"/>
        <n v="186.0"/>
        <n v="187.0"/>
        <n v="188.0"/>
        <n v="189.0"/>
        <n v="190.0"/>
        <n v="191.0"/>
        <n v="192.0"/>
        <n v="193.0"/>
        <n v="194.0"/>
        <n v="195.0"/>
        <n v="196.0"/>
        <n v="197.0"/>
        <n v="198.0"/>
        <n v="199.0"/>
        <n v="200.0"/>
        <n v="201.0"/>
        <n v="202.0"/>
        <n v="203.0"/>
        <n v="204.0"/>
        <n v="205.0"/>
        <n v="206.0"/>
        <n v="207.0"/>
        <n v="208.0"/>
        <n v="209.0"/>
        <n v="210.0"/>
        <n v="211.0"/>
        <n v="212.0"/>
        <n v="213.0"/>
        <n v="214.0"/>
        <n v="215.0"/>
        <n v="216.0"/>
        <n v="217.0"/>
        <n v="218.0"/>
        <n v="219.0"/>
        <n v="220.0"/>
        <n v="221.0"/>
        <n v="222.0"/>
        <n v="223.0"/>
        <n v="224.0"/>
        <n v="225.0"/>
        <n v="226.0"/>
        <n v="227.0"/>
        <n v="228.0"/>
        <n v="229.0"/>
        <n v="230.0"/>
        <n v="231.0"/>
        <n v="232.0"/>
        <n v="233.0"/>
        <n v="234.0"/>
        <n v="235.0"/>
        <n v="236.0"/>
        <n v="237.0"/>
        <n v="238.0"/>
        <n v="239.0"/>
        <n v="240.0"/>
        <n v="241.0"/>
        <n v="242.0"/>
        <n v="243.0"/>
        <n v="244.0"/>
        <n v="245.0"/>
        <n v="246.0"/>
        <n v="247.0"/>
        <n v="248.0"/>
        <n v="249.0"/>
        <n v="250.0"/>
        <n v="251.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n v="410.0"/>
        <n v="411.0"/>
        <n v="412.0"/>
        <n v="413.0"/>
        <n v="414.0"/>
        <n v="415.0"/>
        <n v="416.0"/>
        <n v="417.0"/>
        <n v="418.0"/>
        <n v="419.0"/>
        <n v="420.0"/>
        <n v="421.0"/>
        <n v="422.0"/>
        <n v="423.0"/>
        <n v="424.0"/>
        <n v="425.0"/>
        <n v="426.0"/>
        <n v="427.0"/>
        <n v="428.0"/>
        <n v="429.0"/>
        <n v="430.0"/>
        <n v="431.0"/>
        <n v="432.0"/>
        <n v="433.0"/>
        <n v="434.0"/>
        <n v="435.0"/>
        <n v="436.0"/>
        <n v="437.0"/>
        <n v="438.0"/>
        <n v="439.0"/>
        <n v="440.0"/>
        <n v="441.0"/>
        <n v="442.0"/>
        <n v="443.0"/>
        <n v="444.0"/>
        <n v="445.0"/>
        <n v="446.0"/>
        <n v="447.0"/>
        <n v="448.0"/>
        <n v="449.0"/>
        <n v="450.0"/>
        <n v="451.0"/>
        <n v="452.0"/>
        <n v="453.0"/>
        <n v="454.0"/>
        <n v="455.0"/>
        <n v="456.0"/>
        <n v="457.0"/>
        <n v="458.0"/>
        <n v="459.0"/>
        <n v="460.0"/>
        <n v="461.0"/>
        <n v="462.0"/>
        <n v="463.0"/>
        <n v="464.0"/>
        <n v="465.0"/>
        <n v="466.0"/>
        <n v="467.0"/>
        <n v="468.0"/>
        <n v="469.0"/>
        <n v="470.0"/>
        <n v="471.0"/>
        <n v="472.0"/>
        <n v="473.0"/>
        <n v="474.0"/>
        <n v="475.0"/>
        <n v="476.0"/>
        <n v="477.0"/>
        <n v="478.0"/>
        <n v="479.0"/>
        <n v="480.0"/>
        <n v="481.0"/>
        <n v="482.0"/>
        <n v="483.0"/>
        <n v="484.0"/>
        <n v="485.0"/>
        <n v="486.0"/>
        <n v="487.0"/>
        <n v="488.0"/>
        <n v="489.0"/>
        <n v="490.0"/>
        <n v="491.0"/>
        <n v="492.0"/>
        <n v="493.0"/>
        <n v="494.0"/>
        <n v="495.0"/>
        <n v="496.0"/>
        <n v="497.0"/>
        <n v="498.0"/>
        <n v="499.0"/>
        <n v="500.0"/>
        <n v="501.0"/>
        <n v="502.0"/>
        <n v="503.0"/>
        <n v="504.0"/>
        <n v="505.0"/>
        <n v="506.0"/>
        <n v="507.0"/>
        <n v="508.0"/>
        <n v="509.0"/>
        <n v="510.0"/>
        <n v="511.0"/>
        <n v="512.0"/>
        <n v="513.0"/>
        <n v="514.0"/>
        <n v="515.0"/>
        <n v="516.0"/>
        <n v="517.0"/>
        <n v="518.0"/>
        <n v="519.0"/>
        <n v="520.0"/>
        <n v="521.0"/>
        <n v="522.0"/>
        <n v="523.0"/>
        <n v="524.0"/>
        <n v="525.0"/>
        <n v="526.0"/>
        <n v="527.0"/>
        <n v="528.0"/>
        <n v="529.0"/>
        <n v="530.0"/>
        <n v="531.0"/>
        <n v="532.0"/>
        <n v="533.0"/>
        <n v="534.0"/>
        <n v="535.0"/>
        <n v="536.0"/>
        <n v="537.0"/>
        <n v="538.0"/>
        <n v="539.0"/>
        <n v="540.0"/>
        <n v="541.0"/>
        <n v="542.0"/>
        <n v="543.0"/>
        <n v="544.0"/>
        <n v="545.0"/>
        <n v="546.0"/>
        <n v="547.0"/>
        <n v="548.0"/>
        <n v="549.0"/>
        <n v="550.0"/>
        <n v="551.0"/>
        <n v="552.0"/>
        <n v="553.0"/>
        <n v="554.0"/>
        <n v="555.0"/>
        <n v="556.0"/>
        <n v="557.0"/>
        <n v="558.0"/>
        <n v="559.0"/>
        <n v="560.0"/>
        <n v="561.0"/>
        <n v="562.0"/>
        <n v="563.0"/>
        <n v="564.0"/>
        <n v="565.0"/>
        <n v="566.0"/>
        <n v="567.0"/>
        <n v="568.0"/>
        <n v="569.0"/>
        <n v="570.0"/>
        <n v="571.0"/>
        <n v="572.0"/>
        <n v="573.0"/>
        <n v="574.0"/>
        <n v="575.0"/>
        <n v="576.0"/>
        <n v="577.0"/>
        <n v="578.0"/>
        <n v="579.0"/>
        <n v="580.0"/>
        <n v="581.0"/>
        <n v="582.0"/>
        <n v="583.0"/>
        <n v="584.0"/>
        <n v="585.0"/>
        <n v="586.0"/>
        <n v="587.0"/>
        <n v="588.0"/>
        <n v="589.0"/>
        <n v="590.0"/>
        <n v="591.0"/>
        <n v="592.0"/>
        <n v="593.0"/>
        <n v="594.0"/>
        <n v="595.0"/>
        <n v="596.0"/>
        <n v="597.0"/>
        <n v="598.0"/>
        <n v="599.0"/>
        <n v="600.0"/>
        <n v="601.0"/>
        <n v="602.0"/>
        <n v="603.0"/>
        <n v="604.0"/>
        <n v="605.0"/>
        <n v="606.0"/>
        <n v="607.0"/>
        <n v="608.0"/>
        <n v="609.0"/>
        <n v="610.0"/>
        <n v="611.0"/>
        <n v="612.0"/>
        <n v="613.0"/>
        <n v="614.0"/>
        <n v="615.0"/>
        <n v="616.0"/>
        <n v="617.0"/>
        <n v="618.0"/>
        <n v="619.0"/>
        <n v="620.0"/>
        <n v="621.0"/>
        <n v="622.0"/>
        <n v="623.0"/>
        <n v="624.0"/>
        <n v="625.0"/>
        <n v="626.0"/>
        <n v="627.0"/>
        <n v="628.0"/>
        <n v="629.0"/>
        <n v="630.0"/>
        <n v="631.0"/>
        <n v="632.0"/>
        <n v="633.0"/>
        <n v="634.0"/>
        <n v="635.0"/>
        <n v="636.0"/>
        <n v="637.0"/>
        <n v="638.0"/>
        <n v="639.0"/>
        <n v="640.0"/>
        <n v="641.0"/>
        <n v="642.0"/>
        <n v="643.0"/>
        <n v="644.0"/>
        <n v="645.0"/>
        <n v="646.0"/>
        <n v="647.0"/>
        <n v="648.0"/>
        <n v="649.0"/>
        <n v="650.0"/>
        <n v="651.0"/>
        <n v="652.0"/>
        <n v="653.0"/>
        <n v="654.0"/>
        <n v="655.0"/>
        <n v="656.0"/>
        <n v="657.0"/>
        <n v="658.0"/>
        <n v="659.0"/>
        <n v="660.0"/>
        <n v="661.0"/>
        <n v="662.0"/>
        <n v="663.0"/>
        <n v="664.0"/>
        <n v="665.0"/>
        <n v="666.0"/>
        <n v="667.0"/>
        <n v="668.0"/>
        <n v="669.0"/>
        <n v="670.0"/>
        <n v="671.0"/>
        <n v="672.0"/>
        <n v="673.0"/>
        <n v="674.0"/>
        <n v="675.0"/>
        <n v="676.0"/>
        <n v="677.0"/>
        <n v="678.0"/>
        <n v="679.0"/>
        <n v="680.0"/>
        <n v="681.0"/>
        <n v="682.0"/>
        <n v="683.0"/>
        <n v="684.0"/>
        <n v="685.0"/>
        <n v="686.0"/>
        <n v="687.0"/>
        <n v="688.0"/>
        <n v="689.0"/>
        <n v="690.0"/>
        <n v="691.0"/>
        <n v="692.0"/>
        <n v="693.0"/>
        <n v="694.0"/>
        <n v="695.0"/>
        <n v="696.0"/>
        <n v="697.0"/>
        <n v="698.0"/>
        <n v="699.0"/>
        <n v="700.0"/>
        <n v="701.0"/>
        <n v="702.0"/>
        <n v="703.0"/>
        <n v="704.0"/>
        <n v="705.0"/>
        <n v="706.0"/>
        <n v="707.0"/>
        <n v="708.0"/>
        <n v="709.0"/>
        <n v="710.0"/>
        <n v="711.0"/>
        <n v="712.0"/>
        <n v="713.0"/>
        <n v="714.0"/>
        <n v="715.0"/>
        <n v="716.0"/>
        <n v="717.0"/>
        <n v="718.0"/>
        <n v="719.0"/>
        <n v="720.0"/>
        <n v="721.0"/>
        <n v="722.0"/>
        <n v="723.0"/>
        <n v="724.0"/>
        <n v="725.0"/>
        <n v="726.0"/>
        <n v="727.0"/>
        <n v="728.0"/>
        <n v="729.0"/>
        <n v="730.0"/>
        <n v="731.0"/>
        <n v="732.0"/>
        <n v="733.0"/>
        <n v="734.0"/>
        <n v="735.0"/>
        <n v="736.0"/>
        <n v="737.0"/>
        <n v="738.0"/>
        <n v="739.0"/>
        <n v="740.0"/>
        <n v="741.0"/>
        <n v="742.0"/>
        <n v="743.0"/>
        <n v="744.0"/>
        <n v="745.0"/>
        <n v="746.0"/>
        <n v="747.0"/>
        <n v="748.0"/>
        <n v="749.0"/>
        <n v="750.0"/>
        <n v="751.0"/>
        <n v="752.0"/>
        <n v="753.0"/>
        <n v="754.0"/>
        <n v="755.0"/>
        <n v="756.0"/>
        <n v="757.0"/>
        <n v="758.0"/>
        <n v="759.0"/>
        <n v="760.0"/>
        <n v="761.0"/>
        <n v="762.0"/>
        <n v="763.0"/>
        <n v="764.0"/>
        <n v="765.0"/>
        <n v="766.0"/>
        <n v="767.0"/>
        <n v="768.0"/>
        <n v="769.0"/>
        <n v="770.0"/>
        <n v="771.0"/>
        <n v="772.0"/>
        <n v="773.0"/>
        <n v="774.0"/>
        <n v="775.0"/>
        <n v="776.0"/>
        <n v="777.0"/>
        <n v="778.0"/>
        <n v="779.0"/>
        <n v="780.0"/>
        <n v="781.0"/>
        <n v="782.0"/>
        <n v="783.0"/>
        <n v="784.0"/>
        <n v="785.0"/>
        <n v="786.0"/>
        <n v="787.0"/>
        <n v="788.0"/>
        <n v="789.0"/>
        <n v="790.0"/>
        <n v="791.0"/>
        <n v="792.0"/>
        <n v="793.0"/>
        <n v="794.0"/>
        <n v="795.0"/>
        <n v="796.0"/>
        <n v="797.0"/>
        <n v="798.0"/>
        <n v="799.0"/>
        <n v="800.0"/>
        <n v="801.0"/>
        <n v="802.0"/>
        <n v="803.0"/>
        <n v="804.0"/>
        <n v="805.0"/>
        <n v="806.0"/>
        <n v="807.0"/>
        <n v="808.0"/>
        <n v="809.0"/>
        <n v="810.0"/>
        <n v="811.0"/>
        <n v="812.0"/>
        <n v="813.0"/>
        <n v="814.0"/>
        <n v="815.0"/>
        <n v="816.0"/>
        <n v="817.0"/>
        <n v="818.0"/>
        <n v="819.0"/>
        <n v="820.0"/>
        <n v="821.0"/>
        <n v="822.0"/>
        <n v="823.0"/>
        <n v="824.0"/>
        <n v="825.0"/>
        <n v="826.0"/>
        <n v="827.0"/>
        <n v="828.0"/>
        <n v="829.0"/>
        <n v="830.0"/>
        <n v="831.0"/>
        <n v="832.0"/>
        <n v="833.0"/>
        <n v="834.0"/>
        <n v="835.0"/>
        <n v="836.0"/>
        <n v="837.0"/>
        <n v="838.0"/>
        <n v="839.0"/>
        <n v="840.0"/>
        <n v="841.0"/>
        <n v="842.0"/>
        <n v="843.0"/>
        <n v="844.0"/>
        <n v="845.0"/>
        <n v="846.0"/>
        <n v="847.0"/>
        <n v="848.0"/>
        <n v="849.0"/>
        <n v="850.0"/>
        <n v="851.0"/>
        <n v="852.0"/>
        <n v="853.0"/>
        <n v="854.0"/>
        <n v="855.0"/>
        <n v="856.0"/>
        <n v="857.0"/>
        <n v="858.0"/>
        <n v="859.0"/>
        <n v="860.0"/>
        <n v="861.0"/>
        <n v="862.0"/>
        <n v="863.0"/>
        <n v="864.0"/>
        <n v="865.0"/>
        <n v="866.0"/>
        <n v="867.0"/>
        <n v="868.0"/>
        <n v="869.0"/>
        <n v="870.0"/>
        <n v="871.0"/>
        <n v="872.0"/>
        <n v="873.0"/>
        <n v="874.0"/>
        <n v="875.0"/>
        <n v="876.0"/>
        <n v="877.0"/>
        <n v="878.0"/>
        <n v="879.0"/>
        <n v="880.0"/>
        <n v="881.0"/>
        <n v="882.0"/>
        <n v="883.0"/>
        <n v="884.0"/>
        <n v="885.0"/>
        <n v="886.0"/>
        <n v="887.0"/>
        <n v="888.0"/>
        <n v="889.0"/>
        <n v="890.0"/>
        <n v="891.0"/>
        <n v="892.0"/>
        <n v="893.0"/>
        <n v="894.0"/>
        <n v="895.0"/>
        <n v="896.0"/>
        <n v="897.0"/>
        <n v="898.0"/>
        <n v="899.0"/>
        <n v="900.0"/>
        <n v="901.0"/>
        <n v="902.0"/>
        <n v="903.0"/>
        <n v="904.0"/>
        <n v="905.0"/>
        <n v="906.0"/>
        <n v="907.0"/>
        <n v="908.0"/>
        <n v="909.0"/>
        <n v="910.0"/>
        <n v="911.0"/>
        <n v="912.0"/>
        <n v="913.0"/>
        <n v="914.0"/>
        <n v="915.0"/>
        <n v="916.0"/>
        <n v="917.0"/>
        <n v="918.0"/>
        <n v="919.0"/>
        <n v="920.0"/>
        <n v="921.0"/>
        <n v="922.0"/>
        <n v="923.0"/>
        <n v="924.0"/>
        <n v="925.0"/>
        <n v="926.0"/>
        <n v="927.0"/>
        <n v="928.0"/>
        <n v="929.0"/>
        <n v="930.0"/>
        <n v="931.0"/>
        <n v="932.0"/>
        <n v="933.0"/>
        <n v="934.0"/>
        <n v="935.0"/>
        <n v="936.0"/>
        <n v="937.0"/>
        <n v="938.0"/>
        <n v="939.0"/>
        <n v="940.0"/>
        <n v="941.0"/>
        <n v="942.0"/>
        <n v="943.0"/>
        <n v="944.0"/>
        <n v="945.0"/>
        <n v="946.0"/>
        <n v="947.0"/>
        <n v="948.0"/>
        <n v="949.0"/>
        <n v="950.0"/>
        <n v="951.0"/>
        <n v="952.0"/>
        <n v="953.0"/>
        <n v="954.0"/>
        <n v="955.0"/>
        <n v="956.0"/>
        <n v="957.0"/>
        <n v="958.0"/>
        <n v="959.0"/>
        <n v="960.0"/>
        <n v="961.0"/>
        <n v="962.0"/>
        <n v="963.0"/>
        <n v="964.0"/>
        <n v="965.0"/>
        <n v="966.0"/>
        <n v="967.0"/>
        <n v="968.0"/>
        <n v="969.0"/>
        <n v="970.0"/>
        <n v="971.0"/>
        <n v="972.0"/>
        <n v="973.0"/>
        <n v="974.0"/>
        <n v="975.0"/>
        <n v="976.0"/>
        <n v="977.0"/>
        <n v="978.0"/>
        <n v="979.0"/>
        <n v="980.0"/>
        <n v="981.0"/>
        <n v="982.0"/>
        <n v="983.0"/>
        <n v="984.0"/>
        <n v="985.0"/>
        <n v="986.0"/>
        <n v="987.0"/>
        <n v="988.0"/>
        <n v="989.0"/>
        <n v="990.0"/>
        <n v="991.0"/>
        <n v="992.0"/>
        <n v="993.0"/>
        <n v="994.0"/>
        <n v="995.0"/>
        <n v="996.0"/>
        <n v="997.0"/>
        <n v="998.0"/>
        <n v="999.0"/>
        <n v="1000.0"/>
        <n v="1001.0"/>
        <n v="1002.0"/>
        <n v="1003.0"/>
        <n v="1004.0"/>
        <n v="1005.0"/>
        <n v="1006.0"/>
        <n v="1007.0"/>
        <n v="1008.0"/>
        <n v="1009.0"/>
        <n v="1010.0"/>
        <n v="1011.0"/>
        <n v="1012.0"/>
        <n v="1013.0"/>
        <n v="1014.0"/>
        <n v="1015.0"/>
        <n v="1016.0"/>
        <n v="1017.0"/>
        <n v="1018.0"/>
        <n v="1019.0"/>
        <n v="1020.0"/>
        <n v="1021.0"/>
        <n v="1022.0"/>
        <n v="1023.0"/>
        <n v="1024.0"/>
        <n v="1025.0"/>
        <n v="1026.0"/>
        <n v="1027.0"/>
        <n v="1028.0"/>
        <n v="1029.0"/>
        <n v="1030.0"/>
        <n v="1031.0"/>
        <n v="1032.0"/>
        <n v="1033.0"/>
        <n v="1034.0"/>
        <n v="1035.0"/>
        <n v="1036.0"/>
        <n v="1037.0"/>
        <n v="1038.0"/>
        <n v="1039.0"/>
        <n v="1040.0"/>
        <n v="1041.0"/>
        <n v="1042.0"/>
        <n v="1043.0"/>
        <n v="1044.0"/>
        <n v="1045.0"/>
        <n v="1046.0"/>
        <n v="1047.0"/>
        <n v="1048.0"/>
        <n v="1049.0"/>
        <n v="1050.0"/>
        <n v="1051.0"/>
        <n v="1052.0"/>
        <n v="1053.0"/>
        <n v="1054.0"/>
        <n v="1055.0"/>
        <n v="1056.0"/>
        <n v="1057.0"/>
        <n v="1058.0"/>
        <n v="1059.0"/>
        <n v="1060.0"/>
        <n v="1061.0"/>
        <n v="1062.0"/>
        <n v="1063.0"/>
        <n v="1064.0"/>
        <n v="1065.0"/>
        <n v="1066.0"/>
        <n v="1067.0"/>
        <n v="1068.0"/>
        <n v="1069.0"/>
        <n v="1070.0"/>
        <n v="1071.0"/>
        <n v="1072.0"/>
        <n v="1073.0"/>
        <n v="1074.0"/>
        <n v="1075.0"/>
        <n v="1076.0"/>
        <n v="1077.0"/>
        <n v="1078.0"/>
        <n v="1079.0"/>
        <n v="1080.0"/>
        <n v="1081.0"/>
        <n v="1082.0"/>
        <n v="1083.0"/>
        <n v="1084.0"/>
        <n v="1085.0"/>
        <n v="1086.0"/>
        <n v="1087.0"/>
        <n v="1088.0"/>
        <n v="1089.0"/>
        <n v="1090.0"/>
        <n v="1091.0"/>
        <n v="1092.0"/>
        <n v="1093.0"/>
        <n v="1094.0"/>
        <n v="1095.0"/>
        <n v="1096.0"/>
        <n v="1097.0"/>
        <n v="1098.0"/>
        <n v="1099.0"/>
        <n v="1100.0"/>
        <n v="1101.0"/>
        <n v="1102.0"/>
        <n v="1103.0"/>
        <n v="1104.0"/>
        <n v="1105.0"/>
        <n v="1106.0"/>
        <n v="1107.0"/>
        <n v="1108.0"/>
        <n v="1109.0"/>
        <n v="1110.0"/>
        <n v="1111.0"/>
        <n v="1112.0"/>
        <n v="1113.0"/>
        <n v="1114.0"/>
        <n v="1115.0"/>
        <n v="1116.0"/>
        <n v="1117.0"/>
        <n v="1118.0"/>
        <n v="1119.0"/>
        <n v="1120.0"/>
        <n v="1121.0"/>
        <n v="1122.0"/>
        <n v="1123.0"/>
        <n v="1124.0"/>
        <n v="1125.0"/>
        <n v="1126.0"/>
        <n v="1127.0"/>
        <n v="1128.0"/>
        <n v="1129.0"/>
        <n v="1130.0"/>
        <n v="1131.0"/>
        <n v="1132.0"/>
        <n v="1133.0"/>
        <n v="1134.0"/>
        <n v="1135.0"/>
        <n v="1136.0"/>
        <n v="1137.0"/>
        <n v="1138.0"/>
        <n v="1139.0"/>
        <n v="1140.0"/>
        <n v="1141.0"/>
        <n v="1142.0"/>
        <n v="1143.0"/>
        <n v="1144.0"/>
        <n v="1145.0"/>
        <n v="1146.0"/>
        <n v="1147.0"/>
        <n v="1148.0"/>
        <n v="1149.0"/>
        <n v="1150.0"/>
        <n v="1151.0"/>
        <n v="1152.0"/>
        <n v="1153.0"/>
        <n v="1154.0"/>
        <n v="1155.0"/>
        <n v="1156.0"/>
        <n v="1157.0"/>
        <n v="1158.0"/>
        <n v="1159.0"/>
        <n v="1160.0"/>
        <n v="1161.0"/>
        <n v="1162.0"/>
        <n v="1163.0"/>
        <n v="1164.0"/>
        <n v="1165.0"/>
        <n v="1166.0"/>
        <n v="1167.0"/>
        <n v="1168.0"/>
        <n v="1169.0"/>
        <n v="1170.0"/>
        <n v="1171.0"/>
        <n v="1172.0"/>
        <n v="1173.0"/>
        <n v="1174.0"/>
        <n v="1175.0"/>
        <n v="1176.0"/>
        <n v="1177.0"/>
        <n v="1178.0"/>
        <n v="1179.0"/>
        <n v="1180.0"/>
        <n v="1181.0"/>
        <n v="1182.0"/>
        <n v="1183.0"/>
        <n v="1184.0"/>
        <n v="1185.0"/>
        <n v="1186.0"/>
        <n v="1187.0"/>
        <n v="1188.0"/>
        <n v="1189.0"/>
        <n v="1190.0"/>
        <n v="1191.0"/>
        <n v="1192.0"/>
        <n v="1193.0"/>
        <n v="1194.0"/>
        <n v="1195.0"/>
        <n v="1196.0"/>
        <n v="1197.0"/>
        <n v="1198.0"/>
        <n v="1199.0"/>
        <n v="1200.0"/>
        <n v="1201.0"/>
        <n v="1202.0"/>
        <n v="1203.0"/>
        <n v="1204.0"/>
        <n v="1205.0"/>
        <n v="1206.0"/>
        <n v="1207.0"/>
        <n v="1208.0"/>
        <n v="1209.0"/>
        <n v="1210.0"/>
        <n v="1211.0"/>
        <n v="1212.0"/>
        <n v="1213.0"/>
        <n v="1214.0"/>
        <n v="1215.0"/>
        <n v="1216.0"/>
        <n v="1217.0"/>
        <n v="1218.0"/>
        <n v="1219.0"/>
        <n v="1220.0"/>
        <n v="1221.0"/>
        <n v="1222.0"/>
        <n v="1223.0"/>
        <n v="1224.0"/>
        <n v="1225.0"/>
        <n v="1226.0"/>
        <n v="1227.0"/>
        <n v="1228.0"/>
        <n v="1229.0"/>
        <n v="1230.0"/>
        <n v="1231.0"/>
        <n v="1232.0"/>
        <n v="1233.0"/>
        <n v="1234.0"/>
        <n v="1235.0"/>
        <n v="1236.0"/>
        <n v="1237.0"/>
        <n v="1238.0"/>
        <n v="1239.0"/>
        <n v="1240.0"/>
        <n v="1241.0"/>
        <n v="1242.0"/>
        <n v="1243.0"/>
        <n v="1244.0"/>
        <n v="1245.0"/>
        <n v="1246.0"/>
        <n v="1247.0"/>
        <n v="1248.0"/>
        <n v="1249.0"/>
        <n v="1250.0"/>
        <n v="1251.0"/>
        <n v="1252.0"/>
        <n v="1253.0"/>
        <n v="1254.0"/>
        <n v="1255.0"/>
        <n v="1256.0"/>
        <n v="1257.0"/>
        <n v="1258.0"/>
        <n v="1259.0"/>
        <n v="1260.0"/>
        <n v="1261.0"/>
        <n v="1262.0"/>
        <n v="1263.0"/>
        <n v="1264.0"/>
        <n v="1265.0"/>
        <n v="1266.0"/>
        <n v="1267.0"/>
        <n v="1268.0"/>
        <n v="1269.0"/>
        <n v="1270.0"/>
        <n v="1271.0"/>
        <n v="1272.0"/>
        <n v="1273.0"/>
        <n v="1274.0"/>
        <n v="1275.0"/>
        <n v="1276.0"/>
        <n v="1277.0"/>
        <n v="1278.0"/>
        <n v="1279.0"/>
        <n v="1280.0"/>
        <n v="1281.0"/>
        <n v="1282.0"/>
        <n v="1283.0"/>
        <n v="1284.0"/>
        <n v="1285.0"/>
        <n v="1286.0"/>
        <n v="1287.0"/>
        <n v="1288.0"/>
        <n v="1289.0"/>
        <n v="1290.0"/>
        <n v="1291.0"/>
        <n v="1292.0"/>
        <n v="1293.0"/>
        <n v="1294.0"/>
        <n v="1295.0"/>
        <n v="1296.0"/>
        <n v="1297.0"/>
        <n v="1298.0"/>
        <n v="1299.0"/>
        <n v="1300.0"/>
        <n v="1301.0"/>
        <n v="1302.0"/>
        <n v="1303.0"/>
        <n v="1304.0"/>
        <n v="1305.0"/>
        <n v="1306.0"/>
        <n v="1307.0"/>
        <n v="1308.0"/>
        <n v="1309.0"/>
        <n v="1310.0"/>
        <n v="1311.0"/>
        <n v="1312.0"/>
        <n v="1313.0"/>
        <n v="1314.0"/>
        <n v="1315.0"/>
        <n v="1316.0"/>
        <n v="1317.0"/>
        <n v="1318.0"/>
        <n v="1319.0"/>
        <n v="1320.0"/>
        <n v="1321.0"/>
        <n v="1322.0"/>
        <n v="1323.0"/>
        <n v="1324.0"/>
        <n v="1325.0"/>
        <n v="1326.0"/>
        <n v="1327.0"/>
        <n v="1328.0"/>
        <n v="1329.0"/>
        <n v="1330.0"/>
        <n v="1331.0"/>
        <n v="1332.0"/>
        <n v="1333.0"/>
        <n v="1334.0"/>
        <n v="1335.0"/>
        <n v="1336.0"/>
        <n v="1337.0"/>
        <n v="1338.0"/>
        <n v="1339.0"/>
        <n v="1340.0"/>
        <n v="1341.0"/>
        <n v="1342.0"/>
        <n v="1343.0"/>
        <n v="1344.0"/>
        <n v="1345.0"/>
        <n v="1346.0"/>
        <n v="1347.0"/>
        <n v="1348.0"/>
        <n v="1349.0"/>
        <n v="1350.0"/>
        <n v="1351.0"/>
        <n v="1352.0"/>
        <n v="1353.0"/>
        <n v="1354.0"/>
        <n v="1355.0"/>
        <n v="1356.0"/>
        <n v="1357.0"/>
        <n v="1358.0"/>
        <n v="1359.0"/>
        <n v="1360.0"/>
        <n v="1361.0"/>
        <n v="1362.0"/>
        <n v="1363.0"/>
        <n v="1364.0"/>
        <n v="1365.0"/>
        <n v="1366.0"/>
        <n v="1367.0"/>
        <n v="1368.0"/>
        <n v="1369.0"/>
        <n v="1370.0"/>
        <n v="1371.0"/>
        <n v="1372.0"/>
        <n v="1373.0"/>
        <n v="1374.0"/>
        <n v="1375.0"/>
        <n v="1376.0"/>
        <n v="1377.0"/>
        <n v="1378.0"/>
        <n v="1379.0"/>
        <n v="1380.0"/>
        <n v="1381.0"/>
        <n v="1382.0"/>
        <n v="1383.0"/>
        <n v="1384.0"/>
        <n v="1385.0"/>
        <n v="1386.0"/>
        <n v="1387.0"/>
        <n v="1388.0"/>
        <n v="1389.0"/>
        <n v="1390.0"/>
        <n v="1391.0"/>
        <n v="1392.0"/>
        <n v="1393.0"/>
        <n v="1394.0"/>
        <n v="1395.0"/>
        <n v="1396.0"/>
        <n v="1397.0"/>
        <n v="1398.0"/>
        <n v="1399.0"/>
        <n v="1400.0"/>
        <n v="1401.0"/>
        <n v="1402.0"/>
        <n v="1403.0"/>
        <n v="1404.0"/>
        <n v="1405.0"/>
        <n v="1406.0"/>
        <n v="1407.0"/>
        <n v="1408.0"/>
        <n v="1409.0"/>
        <n v="1410.0"/>
        <n v="1411.0"/>
        <n v="1412.0"/>
        <n v="1413.0"/>
        <n v="1414.0"/>
        <n v="1415.0"/>
        <n v="1416.0"/>
        <n v="1417.0"/>
        <n v="1418.0"/>
        <n v="1419.0"/>
        <n v="1420.0"/>
        <n v="1421.0"/>
        <n v="1422.0"/>
        <n v="1423.0"/>
        <n v="1424.0"/>
        <n v="1425.0"/>
        <n v="1427.0"/>
        <n v="1428.0"/>
        <n v="1429.0"/>
        <n v="1430.0"/>
        <n v="1432.0"/>
        <n v="1433.0"/>
        <n v="1434.0"/>
        <n v="1435.0"/>
        <n v="1436.0"/>
        <n v="1437.0"/>
        <n v="1438.0"/>
        <n v="1439.0"/>
        <n v="1440.0"/>
        <n v="1441.0"/>
        <n v="1442.0"/>
        <n v="1443.0"/>
        <n v="1444.0"/>
        <n v="1445.0"/>
        <n v="1446.0"/>
        <n v="1447.0"/>
        <n v="1448.0"/>
        <n v="1449.0"/>
        <n v="1450.0"/>
        <n v="1451.0"/>
        <n v="1452.0"/>
        <n v="1453.0"/>
        <n v="1454.0"/>
        <n v="1455.0"/>
        <n v="1456.0"/>
        <n v="1457.0"/>
        <n v="1458.0"/>
        <n v="1459.0"/>
        <n v="1460.0"/>
        <n v="1461.0"/>
        <n v="1462.0"/>
        <n v="1463.0"/>
        <n v="1464.0"/>
        <n v="1465.0"/>
        <n v="1466.0"/>
        <n v="1467.0"/>
        <n v="1468.0"/>
        <n v="1469.0"/>
        <n v="1470.0"/>
        <n v="1471.0"/>
        <n v="1472.0"/>
        <n v="1473.0"/>
        <n v="1474.0"/>
        <n v="1475.0"/>
        <n v="1476.0"/>
        <n v="1477.0"/>
        <n v="1478.0"/>
        <n v="1479.0"/>
        <n v="1480.0"/>
        <n v="1481.0"/>
        <n v="1482.0"/>
        <n v="1483.0"/>
        <n v="1484.0"/>
        <n v="1485.0"/>
        <n v="1486.0"/>
        <n v="1487.0"/>
        <n v="1488.0"/>
        <n v="1489.0"/>
        <n v="1490.0"/>
        <n v="1491.0"/>
        <n v="1492.0"/>
        <n v="1493.0"/>
        <n v="1494.0"/>
        <n v="1495.0"/>
        <n v="1496.0"/>
        <n v="1497.0"/>
        <n v="1498.0"/>
        <n v="1499.0"/>
        <n v="1500.0"/>
        <n v="1501.0"/>
        <n v="1502.0"/>
        <n v="1503.0"/>
        <n v="1504.0"/>
        <n v="1505.0"/>
        <n v="1506.0"/>
        <n v="1507.0"/>
        <n v="1508.0"/>
        <n v="1509.0"/>
        <n v="1510.0"/>
        <n v="1511.0"/>
        <n v="1512.0"/>
        <n v="1513.0"/>
        <n v="1514.0"/>
        <n v="1515.0"/>
        <n v="1516.0"/>
        <n v="1517.0"/>
        <n v="1518.0"/>
        <n v="1519.0"/>
        <n v="1520.0"/>
        <n v="1521.0"/>
        <n v="1522.0"/>
        <n v="1523.0"/>
        <n v="1524.0"/>
        <n v="1525.0"/>
        <n v="1526.0"/>
        <n v="1527.0"/>
        <n v="1528.0"/>
        <n v="1529.0"/>
        <n v="1530.0"/>
        <n v="1531.0"/>
        <n v="1532.0"/>
        <n v="1533.0"/>
        <n v="1534.0"/>
        <n v="1535.0"/>
        <n v="1536.0"/>
        <n v="1537.0"/>
        <n v="1538.0"/>
        <n v="1539.0"/>
        <n v="1540.0"/>
        <n v="1541.0"/>
        <n v="1542.0"/>
        <n v="1543.0"/>
        <n v="1544.0"/>
        <n v="1545.0"/>
        <n v="1546.0"/>
        <n v="1547.0"/>
        <n v="1548.0"/>
        <n v="1549.0"/>
        <n v="1550.0"/>
        <n v="1551.0"/>
        <n v="1552.0"/>
        <n v="1553.0"/>
        <n v="1554.0"/>
        <n v="1555.0"/>
        <n v="1556.0"/>
        <n v="1557.0"/>
        <n v="1558.0"/>
        <n v="1559.0"/>
        <n v="1560.0"/>
        <n v="1561.0"/>
        <n v="1562.0"/>
        <n v="1563.0"/>
        <n v="1564.0"/>
        <n v="1565.0"/>
        <n v="1566.0"/>
        <n v="1567.0"/>
        <n v="1568.0"/>
        <n v="1569.0"/>
        <n v="1570.0"/>
        <n v="1571.0"/>
        <n v="1572.0"/>
        <n v="1573.0"/>
        <n v="1574.0"/>
        <n v="1575.0"/>
        <n v="1576.0"/>
        <n v="1577.0"/>
        <n v="1578.0"/>
        <n v="1579.0"/>
        <n v="1580.0"/>
        <n v="1581.0"/>
        <n v="1582.0"/>
        <n v="1583.0"/>
        <n v="1584.0"/>
        <n v="1585.0"/>
        <n v="1586.0"/>
        <n v="1587.0"/>
        <n v="1588.0"/>
        <n v="1589.0"/>
        <n v="1590.0"/>
        <n v="1591.0"/>
        <n v="1592.0"/>
        <n v="1593.0"/>
        <n v="1594.0"/>
        <n v="1595.0"/>
        <n v="1596.0"/>
        <n v="1597.0"/>
        <n v="1598.0"/>
        <n v="1599.0"/>
        <n v="1600.0"/>
        <n v="1601.0"/>
        <n v="1602.0"/>
        <n v="1603.0"/>
        <n v="1604.0"/>
        <n v="1605.0"/>
        <n v="1606.0"/>
        <n v="1607.0"/>
        <n v="1608.0"/>
        <n v="1609.0"/>
        <n v="1610.0"/>
        <n v="1611.0"/>
        <n v="1612.0"/>
        <n v="1613.0"/>
        <n v="1614.0"/>
        <n v="1615.0"/>
        <n v="1616.0"/>
        <n v="1617.0"/>
        <n v="1618.0"/>
        <n v="1619.0"/>
        <n v="1620.0"/>
        <n v="1621.0"/>
        <n v="1622.0"/>
        <n v="1623.0"/>
        <n v="1624.0"/>
        <n v="1625.0"/>
        <n v="1626.0"/>
        <n v="1627.0"/>
        <n v="1628.0"/>
        <n v="1629.0"/>
        <n v="1630.0"/>
        <n v="1631.0"/>
        <n v="1632.0"/>
        <n v="1633.0"/>
        <n v="1634.0"/>
        <n v="1635.0"/>
        <n v="1636.0"/>
        <n v="1637.0"/>
        <n v="1638.0"/>
        <n v="1639.0"/>
        <n v="1640.0"/>
        <n v="1641.0"/>
        <n v="1642.0"/>
        <n v="1643.0"/>
        <n v="1644.0"/>
        <n v="1645.0"/>
        <n v="1646.0"/>
        <n v="1647.0"/>
        <n v="1648.0"/>
        <n v="1649.0"/>
        <n v="1650.0"/>
        <n v="1651.0"/>
        <n v="1652.0"/>
        <n v="1653.0"/>
        <n v="1654.0"/>
        <n v="1655.0"/>
        <n v="1656.0"/>
        <n v="1658.0"/>
        <n v="1659.0"/>
        <n v="1660.0"/>
        <n v="1661.0"/>
        <n v="1663.0"/>
        <n v="1664.0"/>
        <n v="1665.0"/>
        <n v="1666.0"/>
        <n v="1667.0"/>
        <n v="1668.0"/>
        <n v="1669.0"/>
        <n v="1670.0"/>
        <n v="1671.0"/>
        <n v="1672.0"/>
        <n v="1673.0"/>
        <n v="1674.0"/>
        <n v="1675.0"/>
        <n v="1676.0"/>
        <n v="1677.0"/>
        <n v="1678.0"/>
        <n v="1679.0"/>
        <n v="1680.0"/>
        <n v="1681.0"/>
        <n v="1682.0"/>
        <n v="1683.0"/>
        <n v="1684.0"/>
        <n v="1685.0"/>
        <n v="1686.0"/>
        <n v="1687.0"/>
        <n v="1688.0"/>
        <n v="1689.0"/>
        <n v="1690.0"/>
        <n v="1691.0"/>
        <n v="1692.0"/>
        <n v="1693.0"/>
        <n v="1694.0"/>
        <n v="1695.0"/>
        <n v="1696.0"/>
        <n v="1697.0"/>
        <n v="1698.0"/>
        <n v="1699.0"/>
        <n v="1700.0"/>
        <n v="1701.0"/>
        <n v="1702.0"/>
        <n v="1703.0"/>
        <n v="1705.0"/>
        <n v="1706.0"/>
        <n v="1707.0"/>
        <n v="1708.0"/>
        <n v="1709.0"/>
        <n v="1710.0"/>
        <n v="1711.0"/>
        <n v="1712.0"/>
        <n v="1713.0"/>
        <n v="1714.0"/>
        <n v="1715.0"/>
        <n v="1716.0"/>
        <n v="1717.0"/>
        <n v="1718.0"/>
        <n v="1719.0"/>
        <n v="1720.0"/>
        <n v="1721.0"/>
        <n v="1722.0"/>
        <n v="1723.0"/>
        <n v="1724.0"/>
        <n v="1725.0"/>
        <n v="1726.0"/>
        <n v="1727.0"/>
        <n v="1728.0"/>
        <n v="1729.0"/>
        <n v="1730.0"/>
        <n v="1731.0"/>
        <n v="1733.0"/>
        <n v="1734.0"/>
        <n v="1735.0"/>
        <n v="1736.0"/>
        <n v="1737.0"/>
        <n v="1738.0"/>
        <n v="1739.0"/>
        <n v="1740.0"/>
        <n v="1741.0"/>
        <n v="1742.0"/>
        <n v="1743.0"/>
        <n v="1744.0"/>
        <n v="1745.0"/>
        <n v="1746.0"/>
        <n v="1747.0"/>
        <n v="1748.0"/>
        <n v="1749.0"/>
        <n v="1750.0"/>
        <n v="1751.0"/>
        <n v="1752.0"/>
        <n v="1753.0"/>
        <n v="1754.0"/>
        <n v="1755.0"/>
        <n v="1756.0"/>
        <n v="1757.0"/>
        <n v="1758.0"/>
        <n v="1759.0"/>
        <n v="1760.0"/>
        <n v="1761.0"/>
        <n v="1762.0"/>
        <n v="1763.0"/>
        <n v="1764.0"/>
        <n v="1765.0"/>
        <n v="1766.0"/>
        <n v="1767.0"/>
        <n v="1768.0"/>
        <n v="1769.0"/>
        <n v="1770.0"/>
        <n v="1771.0"/>
        <n v="1772.0"/>
        <n v="1773.0"/>
        <n v="1774.0"/>
        <n v="1775.0"/>
        <n v="1777.0"/>
        <n v="1778.0"/>
        <n v="1779.0"/>
        <n v="1780.0"/>
        <n v="1781.0"/>
        <n v="1782.0"/>
        <n v="1783.0"/>
        <n v="1784.0"/>
        <n v="1785.0"/>
        <n v="1786.0"/>
        <n v="1787.0"/>
        <n v="1788.0"/>
        <n v="1789.0"/>
        <n v="1790.0"/>
        <n v="1791.0"/>
        <n v="1792.0"/>
        <n v="1793.0"/>
        <n v="1794.0"/>
        <n v="1795.0"/>
        <n v="1796.0"/>
        <n v="1797.0"/>
        <n v="1798.0"/>
        <n v="1799.0"/>
        <n v="1800.0"/>
        <n v="1801.0"/>
        <n v="1802.0"/>
        <n v="1803.0"/>
        <n v="1804.0"/>
        <n v="1805.0"/>
        <n v="1806.0"/>
        <n v="1807.0"/>
        <n v="1808.0"/>
        <n v="1809.0"/>
        <n v="1810.0"/>
        <n v="1811.0"/>
        <n v="1812.0"/>
        <n v="1813.0"/>
        <n v="1814.0"/>
        <n v="1815.0"/>
        <n v="1816.0"/>
        <n v="1817.0"/>
        <n v="1818.0"/>
        <n v="1819.0"/>
        <n v="1820.0"/>
        <n v="1821.0"/>
        <n v="1822.0"/>
        <n v="1823.0"/>
        <n v="1824.0"/>
        <n v="1825.0"/>
        <n v="1826.0"/>
        <n v="1827.0"/>
        <n v="1828.0"/>
        <n v="1829.0"/>
        <n v="1830.0"/>
        <n v="1831.0"/>
        <n v="1832.0"/>
        <n v="1833.0"/>
        <n v="1834.0"/>
        <n v="1836.0"/>
        <n v="1837.0"/>
        <n v="1838.0"/>
        <n v="1839.0"/>
        <n v="1840.0"/>
        <n v="1841.0"/>
        <n v="1842.0"/>
        <n v="1843.0"/>
        <n v="1844.0"/>
        <n v="1846.0"/>
        <n v="1847.0"/>
        <n v="1848.0"/>
        <n v="1849.0"/>
        <n v="1850.0"/>
        <n v="1852.0"/>
        <n v="1853.0"/>
        <n v="1854.0"/>
        <n v="1856.0"/>
        <n v="1857.0"/>
        <n v="1858.0"/>
        <n v="1859.0"/>
        <n v="1861.0"/>
        <n v="1862.0"/>
        <n v="1863.0"/>
        <n v="1864.0"/>
        <n v="1865.0"/>
        <n v="1866.0"/>
        <n v="1868.0"/>
        <n v="1869.0"/>
        <n v="1870.0"/>
        <n v="1871.0"/>
        <n v="1872.0"/>
        <n v="1873.0"/>
        <n v="1875.0"/>
        <n v="1876.0"/>
        <n v="1877.0"/>
        <n v="1878.0"/>
        <n v="1879.0"/>
        <n v="1883.0"/>
        <n v="1884.0"/>
        <n v="1885.0"/>
        <n v="1886.0"/>
        <n v="1887.0"/>
        <n v="1888.0"/>
        <n v="1889.0"/>
        <n v="1890.0"/>
        <n v="1891.0"/>
        <n v="1892.0"/>
        <n v="1893.0"/>
        <n v="1894.0"/>
        <n v="1895.0"/>
        <n v="1897.0"/>
        <n v="1898.0"/>
        <n v="1899.0"/>
        <n v="1900.0"/>
        <n v="1901.0"/>
        <n v="1902.0"/>
        <n v="1904.0"/>
        <n v="1907.0"/>
        <n v="1908.0"/>
        <n v="1909.0"/>
        <n v="1910.0"/>
        <n v="1912.0"/>
        <n v="1913.0"/>
        <n v="1917.0"/>
        <n v="1918.0"/>
        <n v="1919.0"/>
        <n v="1920.0"/>
        <n v="1921.0"/>
        <n v="1922.0"/>
        <n v="1923.0"/>
        <n v="1924.0"/>
        <n v="1925.0"/>
        <n v="1926.0"/>
        <n v="1927.0"/>
        <n v="1928.0"/>
        <n v="1929.0"/>
        <n v="1930.0"/>
        <n v="1931.0"/>
        <n v="1932.0"/>
        <n v="1933.0"/>
        <n v="1934.0"/>
        <n v="1935.0"/>
        <n v="1936.0"/>
        <n v="1937.0"/>
        <n v="1938.0"/>
        <n v="1939.0"/>
        <n v="1940.0"/>
        <n v="1941.0"/>
        <n v="1942.0"/>
        <n v="1943.0"/>
        <n v="1944.0"/>
        <n v="1945.0"/>
        <n v="1946.0"/>
        <n v="1947.0"/>
        <n v="1948.0"/>
        <n v="1949.0"/>
        <n v="1950.0"/>
        <n v="1951.0"/>
        <n v="1952.0"/>
        <n v="1953.0"/>
        <n v="1954.0"/>
        <n v="1955.0"/>
        <n v="1956.0"/>
        <n v="1957.0"/>
        <n v="1958.0"/>
        <n v="1959.0"/>
        <n v="1960.0"/>
        <n v="1961.0"/>
        <n v="1962.0"/>
        <n v="1963.0"/>
        <n v="1964.0"/>
        <n v="1965.0"/>
        <n v="1967.0"/>
        <n v="1968.0"/>
        <n v="1969.0"/>
        <n v="1970.0"/>
        <n v="1971.0"/>
        <n v="1973.0"/>
        <n v="1974.0"/>
        <n v="1975.0"/>
        <n v="1976.0"/>
        <n v="1977.0"/>
        <n v="1978.0"/>
        <n v="1979.0"/>
        <n v="1980.0"/>
        <n v="1981.0"/>
        <n v="1982.0"/>
        <n v="1983.0"/>
        <n v="1984.0"/>
        <n v="1985.0"/>
        <n v="1986.0"/>
        <n v="1987.0"/>
        <n v="1988.0"/>
        <n v="1989.0"/>
        <n v="1990.0"/>
        <n v="1991.0"/>
        <n v="1992.0"/>
        <n v="1993.0"/>
        <n v="1994.0"/>
        <n v="1996.0"/>
        <n v="1997.0"/>
        <n v="1998.0"/>
        <n v="1999.0"/>
        <n v="2000.0"/>
        <n v="2001.0"/>
        <n v="2002.0"/>
        <n v="2003.0"/>
        <n v="2004.0"/>
        <n v="2005.0"/>
        <n v="2006.0"/>
        <n v="2008.0"/>
        <n v="2009.0"/>
        <n v="2012.0"/>
        <n v="2013.0"/>
        <n v="2014.0"/>
        <n v="2015.0"/>
        <n v="2016.0"/>
        <n v="2017.0"/>
        <n v="2018.0"/>
        <n v="2019.0"/>
        <n v="2020.0"/>
        <n v="2021.0"/>
        <n v="2022.0"/>
        <n v="2023.0"/>
        <n v="2024.0"/>
        <n v="2025.0"/>
        <n v="2026.0"/>
        <n v="2027.0"/>
        <n v="2028.0"/>
        <n v="2029.0"/>
        <n v="2030.0"/>
        <n v="2031.0"/>
        <n v="2032.0"/>
        <n v="2033.0"/>
        <n v="2034.0"/>
        <n v="2035.0"/>
        <n v="2036.0"/>
        <n v="2037.0"/>
        <n v="2038.0"/>
        <n v="2039.0"/>
        <n v="2040.0"/>
        <n v="2041.0"/>
        <n v="2042.0"/>
        <n v="2043.0"/>
        <n v="2044.0"/>
        <n v="2045.0"/>
        <n v="2046.0"/>
        <n v="2047.0"/>
        <n v="2048.0"/>
        <n v="2049.0"/>
        <n v="2050.0"/>
        <n v="2051.0"/>
        <n v="2052.0"/>
        <n v="2053.0"/>
        <n v="2054.0"/>
        <n v="2055.0"/>
        <n v="2056.0"/>
        <n v="2057.0"/>
        <n v="2058.0"/>
        <n v="2059.0"/>
        <n v="2060.0"/>
        <n v="2061.0"/>
        <n v="2062.0"/>
        <n v="2063.0"/>
        <n v="2064.0"/>
        <n v="2065.0"/>
        <n v="2066.0"/>
        <n v="2067.0"/>
        <n v="2068.0"/>
        <n v="2069.0"/>
        <n v="2070.0"/>
        <n v="2071.0"/>
        <n v="2073.0"/>
        <n v="2075.0"/>
        <n v="2076.0"/>
        <n v="2077.0"/>
        <n v="2078.0"/>
        <n v="2079.0"/>
        <n v="2080.0"/>
        <n v="2081.0"/>
        <n v="2084.0"/>
        <n v="2085.0"/>
        <n v="2086.0"/>
        <n v="2087.0"/>
        <n v="2088.0"/>
        <n v="2089.0"/>
        <n v="2090.0"/>
        <n v="2092.0"/>
        <n v="2093.0"/>
        <n v="2094.0"/>
        <n v="2095.0"/>
        <n v="2097.0"/>
        <n v="2099.0"/>
        <n v="2100.0"/>
        <n v="2102.0"/>
        <n v="2103.0"/>
        <n v="2104.0"/>
        <n v="2105.0"/>
        <n v="2106.0"/>
        <n v="2108.0"/>
        <n v="2109.0"/>
        <n v="2110.0"/>
        <n v="2111.0"/>
        <n v="2116.0"/>
        <n v="2117.0"/>
        <n v="2118.0"/>
        <n v="2119.0"/>
        <n v="2120.0"/>
        <n v="2121.0"/>
        <n v="2122.0"/>
        <n v="2123.0"/>
        <n v="2124.0"/>
        <n v="2125.0"/>
        <n v="2126.0"/>
        <n v="2129.0"/>
        <n v="2130.0"/>
        <n v="2131.0"/>
        <n v="2132.0"/>
        <n v="2133.0"/>
        <n v="2134.0"/>
        <n v="2136.0"/>
        <n v="2137.0"/>
        <n v="2138.0"/>
        <n v="2139.0"/>
        <n v="2140.0"/>
        <n v="2141.0"/>
        <n v="2142.0"/>
        <n v="2143.0"/>
        <n v="2145.0"/>
        <n v="2146.0"/>
        <n v="2147.0"/>
        <n v="2148.0"/>
        <n v="2149.0"/>
        <n v="2150.0"/>
        <n v="2151.0"/>
        <n v="2152.0"/>
        <n v="2153.0"/>
        <n v="2154.0"/>
        <n v="2155.0"/>
        <n v="2156.0"/>
        <n v="2157.0"/>
        <n v="2159.0"/>
        <n v="2160.0"/>
        <n v="2161.0"/>
        <n v="2162.0"/>
        <n v="2163.0"/>
        <n v="2164.0"/>
        <n v="2165.0"/>
        <n v="2166.0"/>
        <n v="2167.0"/>
        <n v="2168.0"/>
        <n v="2169.0"/>
        <n v="2170.0"/>
        <n v="2171.0"/>
        <n v="2172.0"/>
        <n v="2173.0"/>
        <n v="2174.0"/>
        <n v="2175.0"/>
        <n v="2176.0"/>
        <n v="2177.0"/>
        <n v="2178.0"/>
        <n v="2179.0"/>
        <n v="2180.0"/>
        <n v="2181.0"/>
        <n v="2182.0"/>
        <n v="2183.0"/>
        <n v="2184.0"/>
        <n v="2185.0"/>
        <n v="2187.0"/>
        <n v="2189.0"/>
        <n v="2191.0"/>
        <n v="2192.0"/>
        <n v="2193.0"/>
        <n v="2194.0"/>
        <n v="2198.0"/>
        <n v="2199.0"/>
        <n v="2200.0"/>
        <n v="2201.0"/>
        <n v="2202.0"/>
        <n v="2203.0"/>
        <n v="2204.0"/>
        <n v="2205.0"/>
        <n v="2206.0"/>
        <n v="2207.0"/>
        <n v="2208.0"/>
        <n v="2209.0"/>
        <n v="2210.0"/>
        <n v="2211.0"/>
        <n v="2212.0"/>
        <n v="2213.0"/>
        <n v="2214.0"/>
        <n v="2215.0"/>
        <n v="2216.0"/>
        <n v="2217.0"/>
        <n v="2218.0"/>
        <n v="2219.0"/>
      </sharedItems>
    </cacheField>
    <cacheField name="parentBountyID" numFmtId="0">
      <sharedItems containsSemiMixedTypes="0" containsString="0" containsNumber="1" containsInteger="1">
        <n v="11.0"/>
        <n v="13.0"/>
        <n v="17.0"/>
        <n v="10.0"/>
        <n v="19.0"/>
        <n v="24.0"/>
        <n v="22.0"/>
        <n v="33.0"/>
        <n v="32.0"/>
        <n v="27.0"/>
        <n v="37.0"/>
        <n v="38.0"/>
        <n v="31.0"/>
        <n v="42.0"/>
        <n v="43.0"/>
        <n v="46.0"/>
        <n v="36.0"/>
        <n v="50.0"/>
        <n v="39.0"/>
        <n v="40.0"/>
      </sharedItems>
    </cacheField>
    <cacheField name="status" numFmtId="0">
      <sharedItems>
        <s v="Claimed"/>
        <s v="Canceled"/>
        <s v="PendingPayout"/>
      </sharedItems>
    </cacheField>
    <cacheField name="description" numFmtId="0">
      <sharedItems>
        <s v="Child Bounty 1 - March 2022 - Dubstard"/>
        <s v="Child Bounty 1 - March 2022 - pastaMan"/>
        <s v="Child Bounty 1 - March 2022 - frankywild"/>
        <s v="Child Bounty 10 - March and April reward for General Curator Mark Crince"/>
        <s v="Child Bounty 10 - March and April reward for General Curator Abdulbee"/>
        <s v="Child Bounty 1 - April 2022 - Dubstard"/>
        <s v="Child Bounty 1 - April 2022 - pastaMan"/>
        <s v="Child Bounty 1 - April 2022 - frankywild"/>
        <s v="Child Bounty 1 - April 2022 - Vegas_life"/>
        <s v="Child Bounty 11 - April 2022 - Vegas life"/>
        <s v="Child Bounty 11 - April 2022 - Dubstard"/>
        <s v="Child Bounty 11 - April 2022 - Frankywild"/>
        <s v="Child Bounty 11 - April 2022 - pastaMan"/>
        <s v="Task 10 - May 2022 - Mark Crince Dot Control"/>
        <s v="Task 10 - May 2022 - Abdulbee"/>
        <s v="Task 1 - May 2022 - franky wild"/>
        <s v="Task1- May 2022 - pastaman"/>
        <s v="Task 11 - May 2022 - frankywild"/>
        <s v="Task 11 - May 2022 - pastaman"/>
        <s v="Task 2b - Database for sites takedown - pastaMan"/>
        <s v="Task 10 - June 2022 - Mark Crince"/>
        <s v="Task 11 - June 2022 - Frankywild"/>
        <s v="Task 11 - June 2022 - PastaMan"/>
        <s v="Task 10 - June 2022 - Abdulbee"/>
        <s v="Task 1 - June 2022 - Frankywild"/>
        <s v="Task 1 - June 2022 - PastaMan"/>
        <s v="Task 1 - June 2022 - Tim Janssen"/>
        <s v="Task 2b - July 2022 - Tim Janssen"/>
        <s v="July 2022 - Task 10 - Abdulbee"/>
        <s v="July 2022 - Task 11 - Frankywild"/>
        <s v="July 2022 - Task 11 - pastaMan"/>
        <s v="July 2022 - Task 11 - Tim Janssen"/>
        <s v="https://github.com/paritytech/frontier/security/advisories/GHSA-hc8w-mx86-9fcj"/>
        <s v="Typeform yearly subscription"/>
        <s v="Task 11 - July 2022 - PastaMan"/>
        <s v="Task 11 - July 2022 - Frankywild"/>
        <s v="Task 11 - July 2022 - Tim Jansen"/>
        <s v="Task 1 - August 2022 - PastaMan"/>
        <s v="Task 1 - August 2022 - Frankywild"/>
        <s v="Task 1 - August 2022 - Tim Janssen"/>
        <s v="Task 11 - August 2022 - frankywild"/>
        <s v="Task 11 - August 2022 - pastaMan"/>
        <s v="Task 11 - August 2022 - Tim Janssen"/>
        <s v="Task 10 - August 2022 - Abdulbee"/>
        <s v="Task 10 - August 2022 - BERRYZ"/>
        <s v="Task 2c - Educational material on how to detect scam sites and submit them for takedown - frankywild"/>
        <s v="Polkadot Metaverse Olympics - Budapest - Six"/>
        <s v="Polkadot World conference - Madrid - Albert Burgos"/>
        <s v="April Event in Paris; &quot;Polkadot Ecosystem Talks; Parachains and Beyond&quot; Zoe Meckbach"/>
        <s v="Polkadot Event in Berlin (May) - Polkadot Ecosystem talks - Building Metaverse and NFT Infrastructure- Zoe Meckbach"/>
        <s v="September Event in Berlin; &quot;UI/UX in Web3 and Beyond&quot; Zoe Meckbach"/>
        <s v="Vietnam Blockchain Summit side event - October'22 - SubWallet + ecosystem partners"/>
        <s v="Task 1 - September 2022 - PastaMan"/>
        <s v="Task 1 - September 2022 - Frankywild"/>
        <s v="Task 1 - September 2022 - Tim Janssen"/>
        <s v="Task 10 - Septebmer 2022 - BERRYZ"/>
        <s v="Task 10 General curator reward- Abdulbee"/>
        <s v="Task 11: Maintenance of phishing repo- frankywild "/>
        <s v="Task 11: Maintenance of phishing repo- pastaMan"/>
        <s v="Task 11: Maintenance of phishing repo- Tim Janssen"/>
        <s v="Task 2b - October 2022 - Tim Janssen"/>
        <s v="Polkadot meetups in Dodoma - Nicholaus Ngailo"/>
        <s v="DOTBrno - Damsky - November 10 2022"/>
        <s v="Sub0 side events: Breakfasts - November 28-29 - Alexandra Heller"/>
        <s v="Sub0 Dinner - Appilon - Phala - Lisbon Nov. 29"/>
        <s v="Task 5 - October 2022 - Frankywild"/>
        <s v="Task 5 - October 2022 - Tim Janssen"/>
        <s v="Task 11 - October 2022 - Frankywild"/>
        <s v="Task 11 - October 2022 - PastaMan"/>
        <s v="Task 11 - October 2022 - Tim Janssen"/>
        <s v="Task 10 - October 2022 - BerryZ"/>
        <s v="Task 1: Detection and takedown of scam/phishing sites- pastaMan"/>
        <s v="Task 1: Detection and takedown of scam/phishing sites- frankywild"/>
        <s v="Task 1: Detection and takedown of scam/phishing sites- Tim Janssen"/>
        <s v="Task 10 - October 2022 - Abdulbee"/>
        <s v="Task 2b: Database for DNS registrars- Tim Janssen"/>
        <s v="Polkadot Meetups in Munich - September and October - Saro Posa"/>
        <s v="Task 7 - Milestone 1 - Themanwithoutaname"/>
        <s v="Task 7 - Milestone 1 - Tim Janssen"/>
        <s v="Task 7 - Milestone 1 - Maarmapa"/>
        <s v="Polkadot Meetup at the Nile University in Abuja on May 12 by Maimunat Ibrahim"/>
        <s v="Polkadot Meetups in Kampala - From March 31 to October 28, 2022 - Kamala Immaculate"/>
        <s v="Introduction to Polkadot for developers - with the Macedonia Blockchain Group - October 12 - Dimche Risteski"/>
        <s v="Vietnam Blockchain Summit side event - Second distribution - October'22 - SubWallet + ecosystem partners "/>
        <s v="Sub0 Side Event - Closing Party - 28 November 2022 - Matheus Braga de Moraes and ecosystem teams"/>
        <s v="Polkadot Meetup in Brno - May 16, 2022 - Petr Mensik"/>
        <s v="Polkadot Community Meetup in Berlin - Nov 7, 2022 - Carina Hahn"/>
        <s v="Polkadot meetups in Kigali - From January 26 to September 30, 2022 - Joab Niwagaba"/>
        <s v="Polkameetup Latam in Santiago - January 14, 2022 - Maarmapa Maldonado"/>
        <s v="Polkadot meetup in Madrid - July 28, 2022 - Guillitolmo"/>
        <s v="Task 4: Discord Tools-Milestone1-Bread"/>
        <s v="The Sub0 Well-Being Retreat - Nov. 27-29, 2022 - Yip Ta"/>
        <s v="Sub0 Opening Event - Lisbon - 27th November 2022"/>
        <s v="ParisDotComm - July 29-21, 2022 - Team rewards"/>
        <s v="ParisDotComm - July 29-21, 2022 - Team rewards (part 2 - issue with plancks on child bounty 93)"/>
        <s v="Polkadot LATAM Day - December 15 - Mario Maldonado"/>
        <s v="Polkadot Meetup in Mexico - December 17 - Polkadot Mexico"/>
        <s v="Polkadot Meetups in Madrid - July 18 and Sept 1 - Guillermo and Rossmarie"/>
        <s v="reimbursement of funds for setting up anti-scam executive team accounts - Frankywild"/>
        <s v="Task 1 - November 2022 - Pastaman"/>
        <s v="Task 1 - November 2022 - Frankywild"/>
        <s v="Task 1 - November 2022 - Tim Janssen"/>
        <s v="Task 10 (General curator reward) - November 2022 - Mims4life"/>
        <s v="Task 11: Maintenance of phishing repo- frankywild"/>
        <s v="Polkadot Unbounded in BKK - Demember 10th - Phala and Polkadot Ambassadors"/>
        <s v="Task 10 (General curator reward) - November 2022 - Kamala Immaculate"/>
        <s v="Task 5 - Fixed child curator reward - November 2022 - Mims4life"/>
        <s v="Task 10 (General curator reward) - November 2022 - Abdulbee"/>
        <s v="Task 2b (Database for DNS registrars) - November 2022 - Tim Janssen"/>
        <s v="3 side events during the Polkadot Blockchain Academy in BA"/>
        <s v="Polkadot Metaverse Olympics - Budapest - Six - second payout"/>
        <s v="Polkadot World - Madrid - Albert - 2nd payout"/>
        <s v="Task 2b- Database of DNS registrars- Tim Janssen- December 2022"/>
        <s v="Task 11 - December 2022 - frankywild"/>
        <s v="Task 11 - December 2022 - PastaMan"/>
        <s v="Task 11 - December 2022 - Tim Janssen"/>
        <s v="Task 1: Detection and takedown of scam/phishing sites -December 2022 - pastaMan"/>
        <s v="Task 1: Detection and takedown of scam/phishing sites -December 2022 -frankywild"/>
        <s v="Task 1: Detection and takedown of scam/phishing sites -December 2022 - Tim Janssen"/>
        <s v="Task 5 - December 2022 - Tim Janssen"/>
        <s v="Task 5 - December 2022 - Frankywild"/>
        <s v="Bond for Anti-Scam bounty top-up"/>
        <s v="Polkadot Meetups in Gulu - Brian Ahimbisibwe - Jan.30 - April 3 - June 12 2022"/>
        <s v="Polkadot Meetups in Goma - Abraham Mugisha - Jan.30 -&gt; Sept 31 2022"/>
        <s v="Academy Open Nights - Jose Belossi (Pepe) - Jan 19th, 25th, and Feb 1st, 2023"/>
        <s v="Polkadot Event Mexico City - Cesar Garcia Escobedo - Aug 20-22, 2022"/>
        <s v="Polkadot in USe - EthDenver side event - by WebZero"/>
        <s v="Polkadot meetup in Soroti - Sept. 17, 2022 - Okot Joshua"/>
        <s v="Bounty Curator Fee: September - December 2022 - Zoe Meckbach"/>
        <s v="Bounty Curator Fee: September - December 2022 - Mark Ryan"/>
        <s v="Polkadot World 2nd Edition - Feb. 24 in Madrid - Rossmarie and Georgi"/>
        <s v="The Future of Polkadot event - Sub0 - November 30, 2022"/>
        <s v="Polkadot Meetup Feb. 11, 2023 - Central Asia - Alex PromoTeam"/>
        <s v="MetTel Innovation Summit 2023: Polkadot Sponsorship - April 25 - Alan Vey"/>
        <s v="Paris Blockchain Week: Women in Web3 Dinner - March 23 - Lea Narzis"/>
        <s v="Task 1 (sites takedown) - January and February 2023 - Pastaman"/>
        <s v="Task 1 (sites takedown) - January and February 2023 - Frankywild"/>
        <s v="Task 1 (sites takedown) - January and February 2023 - Tim Janssen"/>
        <s v="Rewards for 2 Meetups in Colombia - Simon Leon"/>
        <s v="Rewards for Introduction of Polkadot in Kigali City - Joab Niwagaba"/>
        <s v="13th Polkadot Meetup in Hungary - Vktrometer#8040"/>
        <s v="Rewards for 2 Polkadot Meetups in Munich - Saro Posa"/>
        <s v="1st Meetup at the Polkadot Hub in Bali - Gabor"/>
        <s v="Rewards for Central Asia Polkadot Days - Alex Promoteam"/>
        <s v="14th Polkadot Hungary Meetup in Budapest - Vktrometer#8040"/>
        <s v="Rewards for Polkadot World meetup in Madrid - Georgi Ivanov"/>
        <s v="Task 10 (General curator reward) - December 2022, January/February 2023 - Mims4life"/>
        <s v="Task 10 (General curator reward) - Second half of February 2022 - Cappex"/>
        <s v="Task 11- Maintenance of phishing repo (January and February reward)- frankywild"/>
        <s v="Task 11-Maintenance of phishing repo (January and February reward)- pastaMan "/>
        <s v="Task 11-Maintenance of phishing repo (January and February reward) - Tim Janssen "/>
        <s v="Task 10 General Curator reward (December, January and February)- KANDY"/>
        <s v="Task 10- GC- Abdulbee- December, February, January"/>
        <s v="Polkadot Side Event during Web3 festival in Hong Kong - Hao Ding - April 11, 2023"/>
        <s v="Lightning Boat - Dam Sky - December 5, 2022"/>
        <s v="EU Ambassador Gathering - Barcelona - Mimi and Albert"/>
        <s v="Polkasunset - Feb 6th, 2023, Jose Belossi"/>
        <s v="Task 5- Taking down sites- Tim Janssen- January and Febuary"/>
        <s v="Task 5- Taking down sites- frankywild-January February"/>
        <s v="Task 2b- Database of DNS Registrars(January and February rewards)- Tim Janssen "/>
        <s v="ZK Hackathon - Lisbon - Hector "/>
        <s v="Beyond The Chain Vietnam: Stepping Into Web3 With Polkadot - April 8, 2023 - Mabel Nguyen"/>
        <s v="2 Polkadot Meetups in Dubai - Angela K. - January 26 and March 4, 2023"/>
        <s v="Meetup rewards - Polkadot Meetup in Dubai - January 26, 2023 - Angela K."/>
        <s v="Meetup rewards - 3 Polkadot Meetups in Ljubljana - October - February 2023 - Patrik K."/>
        <s v="Meetup rewards - Polkadot Meetup in Zagreb - February 16 2023 - Patrik K."/>
        <s v="Blockchain Week - Rome - May - Marco"/>
        <s v="3 side events during the Polkadot Blockchain Academy in BA - payout difference minus leftover budget"/>
        <s v="Zprize collab winners 1"/>
        <s v="Zprize collab winners 2"/>
        <s v="Zprize collab winners 3"/>
        <s v="Task 5 - March 2023 - Frankywild"/>
        <s v="Task 5 - March 2023 - Tim Janssen"/>
        <s v="Task 10 (GC Reward) - March 2023 - Cappex"/>
        <s v="Task 1-Detection and takedown of scam/phishing sites march 2023 reward-pastaMan "/>
        <s v="Task 1-Detection and takedown of scam/phishing sites march 2023 reward- frankywild"/>
        <s v="Task 1-Detection and takedown of scam/phishing sites march 2023 reward- Tim Janssen"/>
        <s v="Task 10- General curator reward march 2023- Abdulbee"/>
        <s v="Task 2b- Databases for DNS Registrars March 2023 reward- Tim Janssen"/>
        <s v="Task 10 - March 2023 - General Curator rewards - Mims4life"/>
        <s v="Berlin Blockchain Week - WebZero - second payout"/>
        <s v="Academy Open Nights - Jose Belossi (Pepe) - second payout"/>
        <s v="Task 10 - March 2023 - General Curator rewards - Kamala"/>
        <s v="Task 7 - Milestone 2+3 - Paradox"/>
        <s v="Task 7 - Milestone 2+3 - cmalize"/>
        <s v="Task 7 - Milestone 2+3 - themanwithoutaame"/>
        <s v="Task 7 Milestone 2+3 - Tim Janssen"/>
        <s v="Task 7 Milestone 2+3 - Maarmapa "/>
        <s v="Task 11 - March 2023 - Frankywild"/>
        <s v="Task 11 - March 2023 - Pastaman"/>
        <s v="Task 11 - March 2023 - Tim Janssen"/>
        <s v="Task 6- Have different entities add the GH phishing repo to their databases (one-off) milestones 1 +2  rewards -Maarmapa "/>
        <s v="Paris Blockchain Week: Women in Web3 Dinner - Lea Narzis - Outstanding Reward"/>
        <s v="6 to 8 Polkadot Meetups in the Adriatic region - Patrik K - From April to August, 2023"/>
        <s v="PolkadotBled Mini-Conference - Damsky  - April 29, 2023"/>
        <s v="Polkadot Side event - Austin Consensus - WebZero"/>
        <s v="Polkadot in USe - Denver - 2nd payout - WebZero"/>
        <s v="https://github.com/paritytech/frontier/security/advisories/GHSA-fcmm-54jp-7vf6"/>
        <s v="Polkadot at BlockSplit: sponsorship and side event - May 22-24 - Xylo Drone"/>
        <s v="Polkadot Workshop in Spanish (Rust, Ink! and Substrate courses) in Mexico City - June 7-9 - Polkadot Hub"/>
        <s v="6 Polkadot Meetups in San Francisco with Ecosystem Teams - from April 24 - Yuvia Mendoza"/>
        <s v="HackaDOT 2023 - June 9-11 - Soyoun(Raf)Jung"/>
        <s v="Task 1 (sites takedown) - April 2023 - Pastaman"/>
        <s v="Task 1 (sites takedown) - April 2023 - Frankywild"/>
        <s v="Task 1 (sites takedown) - April 2023 - Tim Janssen"/>
        <s v="General curator reward - Cappex - April 2023"/>
        <s v="General Curator Reward -  Abdulbee - April 2023"/>
        <s v="General Adminstration task reward - Abdulbee - April 2023"/>
        <s v="General Adminstration task reward - FrankyWild - April 2023"/>
        <s v="General Adminstration task reward - Paradox - April 2023"/>
        <s v="General Adminstration task reward - Tim Janssen - April 2023"/>
        <s v="Task 11 - April 2023 - Frankywild"/>
        <s v="Task 11 - April 2023 - Pastaman"/>
        <s v="Task 11 - April 2023 - Tim Janssen"/>
        <s v="General Curator reward-April 2023- Kamala Immaculate"/>
        <s v="General Administration reward-Cmalize-April 2023"/>
        <s v="Task 2b (Database for DNS registrars) - April 2023 - Tim Janssen"/>
        <s v="Task 7 (Education) - Milestone 4 - Tim Janssen"/>
        <s v="Task 7 (Education) - Milestone 4 - cmalize"/>
        <s v="Task 7 (Education) - Milestone 4 - Maarmapa"/>
        <s v="Task 7 (Education) - Milestone 4 - Javier"/>
        <s v="General administration task - April 2023 - Pastaman"/>
        <s v="Online event: Polkadot Blockchain Academy Q&amp;A - Dimche R - April 3"/>
        <s v="Polkadot Meetup Ljubljana - Patrik K. - April 12"/>
        <s v="Polkadot Meetup Zagreb - Patrik K. - April 25"/>
        <s v="Polkadot Hub Meetup oin Bali - Kresna S. - February 16"/>
        <s v="Introduction to Polkadot's interoperability protocol: XCMP - Viktor V. - March 31"/>
        <s v="Polkadot Meetup in Medellin - Donatello L. - February 23"/>
        <s v="6 Polkadot Meetups in Arusha - Danson T. February - November 2022"/>
        <s v="Limechain - Polkadot Java Host"/>
        <s v="Decoded Viewing Party - Maracaibo, Venezuela - Arlette S."/>
        <s v="Decoded Viewing Party - Hanoi, Vietnam - DJ Ha Trang"/>
        <s v="Decoded Viewing Party - Bogota, Colombia - Santiago G."/>
        <s v="NFTs in Prague - KodaCon - June"/>
        <s v="Polkadot Prague - June 5 - KodaCon team"/>
        <s v="Polkadot sponsorship UTXO.23 Prague - June 3 - KodaCon"/>
        <s v="Primavera Pro Madrid - PolkaHaus - May 2023"/>
        <s v="Web3 Foundation - Messari Mainnet - 22 September, 2022"/>
        <s v="Web3 Foundation - BarCamp - 30 November and 1 December 2022"/>
        <s v="Task 1 - May 2023 - Pastaman"/>
        <s v="Task 1 - May 2023 - Frankywild"/>
        <s v="Task 1 - May 2023 - Tim Janssen"/>
        <s v="General administration reward - May 2023 - Frankywild"/>
        <s v="General Curator Reward -  Abdulbee - May 2023"/>
        <s v="General Adminstration task reward - Abdulbee - May 2023"/>
        <s v="General Curator Reward- May 2023-Kamala"/>
        <s v="General Admin Reward-May 2023- Pastaman"/>
        <s v="General Admin Reward-May 2023-Cmalize"/>
        <s v="ParisDotComm - July - Polkadot Francophonie"/>
        <s v="Polkadot Blockchain Academy - Buenos Aires - PolkaSunset 2nd payout"/>
        <s v="General Adminstration task reward - Paradox - May 2023"/>
        <s v="General Adminstration task reward - Tim Janssen - May 2023"/>
        <s v="GC reward - May 2023 - Cappex"/>
        <s v="General Curator Reward - Grizzly - May 2023"/>
        <s v="Task 11 - May 2023 - Frankywild"/>
        <s v="Task 11 - May 2023 - Pastaman"/>
        <s v="Task 11 - May 2023 - Tim Janssen"/>
        <s v="Task 5 May 2023 - Tim"/>
        <s v="POLKADOT JAPAN TOUR 2023 - June 28 - July 26 - Shunsuke Yoshioka"/>
        <s v="Polkadot @ NFT Biarritz - August 21 - G'"/>
        <s v="Polkadot Meetup @ BUIDL Vietnam 2023 - Cris Nguyen - June 26, 2023"/>
        <s v="sub0 Side event Closing Party - t3rn - November 28, 2022"/>
        <s v="Polkadot Blockchain Academy: Side Event in San Francisco - March 29, 2023"/>
        <s v="Polkadot Decoded Satellite Event in Hanoi - July 2023 - Trang Nguyen Subwallet Team"/>
        <s v="Polkadot Decoded Satellite Event in Buenos Aires - July 6 - Polkadot Hub LATAM"/>
        <s v="Decoded 2023 - Viewing Party in Helsinki, Finland"/>
        <s v="Decoded 2023 - Viewing Party in Buenos Aires, Argentina"/>
        <s v="Decoded 2023 - Viewing Party in Guadalajara, Mexico"/>
        <s v="Decoded 2023 - Viewing Party in Monterrey, Mexico"/>
        <s v="Decoded 2023 - Viewing Party in Lima, Peru"/>
        <s v="Decoded 2023 - Viewing Party in Curitiba, Brazil"/>
        <s v="Decoded 2023 - Viewing Party in Omaha, Nebraska, USA"/>
        <s v="Decoded 2023 - Viewing Party in Patagonia, Argentina"/>
        <s v="Decoded 2023 - Viewing Party in Arusha, Tanzania"/>
        <s v="Decoded 2023 - Viewing Party in Mexico City, Mexico"/>
        <s v="Decoded 2023 - Viewing Party in Kigali, Rwanda"/>
        <s v="Decoded 2023 - Viewing Party in Kampala, Uganda"/>
        <s v="Decoded 2023 - Viewing Party in New York City, USA"/>
        <s v="Decoded 2023 - Viewing Party in Colombo, Sri Lanka"/>
        <s v="Decoded 2023 - Viewing Party in Indianapolis, USA"/>
        <s v="Decoded 2023 - Viewing Party in Coimbatore, India"/>
        <s v="Decoded 2023 - Viewing Party in Tampa, USA"/>
        <s v="Decoded 2023 - Viewing Party in Taipei, Taiwan"/>
        <s v="Decoded 2023 - Makati City, Metro Manila, Philippines"/>
        <s v="Decoded 2023 - Viewing Party in Rio Grande, Argentina"/>
        <s v="Decoded 2023 - Viewing Party in Bangalore, India"/>
        <s v="Decoded 2023 - Viewing Party in Makati City, Metro Manila, Philippines"/>
        <s v="Decoded 2023 - Viewing Party in Dallas, USA"/>
        <s v="Decoded 2023 Viewing Party in Madrid, Spain"/>
        <s v="Decoded 2023 Viewing Party in Goma, DRC"/>
        <s v="Decoded 2023 Viewing Party in Singapore"/>
        <s v="Decoded 2023 Viewing Party in Bali, Indonesia"/>
        <s v="Polkadot Decoded extraordinary Side Event 2023 - Dubai - Hatem"/>
        <s v="Decoded Viewing Party - Aba Nigeria - Malize fred"/>
        <s v="Decoded Viewing Party - Rio de Janeiro - Raphael Kling"/>
        <s v="Decoded Viewing Party - Tashkent, Uzbekistan - Alex PromoTeam"/>
        <s v="Decoded Viewing Party - Ashley Wright - Toronto Canada"/>
        <s v="Decoded 2023 Viewing Party in Montreal, Quebec, Canada"/>
        <s v="Decoded 2023 Viewing Party in Belgrade, Serbia"/>
        <s v="Decoded 2023 Viewing Party in Budapest, Hungary"/>
        <s v="Decoded 2023 Viewing Party in Stamford Connecticut, USA"/>
        <s v="Decoded 2023 Viewing Party in Sao Paulo, Brazil"/>
        <s v="Polkadot in Blockchain Sao Paulo - Eduardo Cardoso, Maarapa, and Lui5 - June 2023"/>
        <s v="Panel and Networking Event for the Polkadot Ecosystem - Polkadot Decoded Side Event - June 29 - WebZero"/>
        <s v="Social Hour @ Polkadot Decoded 2023 - June 27 - Zoe Meckbach"/>
        <s v="ParisDotComm 2023 - 2nd allocation - July 18-20"/>
        <s v="Task 1 - June 2023 - Pastaman"/>
        <s v="Task 1 - June 2023 - Frankywild"/>
        <s v="Task 1 - June 2023 - Tim Janssen"/>
        <s v="Task 2b - June 2023 - Tim Janssen"/>
        <s v="Task 10 - June 2023 - Cappex"/>
        <s v="General Administration Task Reward- Kamala- June 2023"/>
        <s v="General Administration Task Reward- CMalize- June 2023"/>
        <s v="General Administration Task Reward- Pastaman- June 2023"/>
        <s v="General Adminstration task reward - Paradox - June 2023"/>
        <s v="General Adminstration task reward - Tim Janssen - June 2023"/>
        <s v="General Curator Reward - Grizzly - June 2023"/>
        <s v="Task 10 - June 2023 - Abdulbee"/>
        <s v="General Adminstartion Task - Abdulbee"/>
        <s v="General Adminstartion Task - frankywild"/>
        <s v="Task 5 June 2023 - Tim"/>
        <s v="Task 5 June 2023 - FrankyWild"/>
        <s v="Task 11 - June 2023 - Frankywild"/>
        <s v="Task 11 - June 2023 - Pastaman"/>
        <s v="Task 11 - June 2023 - Tim Janssen"/>
        <s v="PBA Opening Pary - Nodle and PolkaHaus - San Fransisco, CA"/>
        <s v="sub0 side event closing party - 2nd allocation - November 28, 2022"/>
        <s v="Polkadot Meetup in Zug - May 31 - David Bakk"/>
        <s v="Polkadot Meetup in Munich #5 - June 2nd - Saro Posa"/>
        <s v="Polkadot Meetup in Bulgaria - June 17 - Kristiyan G"/>
        <s v="Performance Improvements for Reed Solomon Erasure Coding - M1"/>
        <s v="Polkadot Meetup in Montevideo - February 23 - Mario Maldonado"/>
        <s v="Web3 Weekends Tashkent - March 2023 - Alex Morozov "/>
        <s v="Polkadot Meetup Ljubljana - June 15 - Patrik Kogoj "/>
        <s v="Web3 Hackfest 2023 - Ho Chi Minh, Vietnam - Subwallet Team"/>
        <s v="Protocol Berg, 2023 - Kreuzberg, Berlin -Raul Romanutti "/>
        <s v="Blockchain Futurist Conf. Side Event with PizzaDAO - Toronto, Canada - AJ Recana"/>
        <s v="PBA Closing Party - San Fransisco, USA - Oak Network"/>
        <s v="GC reward - July 2023 - Grizzly"/>
        <s v="Task 2b - July 2023 - Tim Janssen"/>
        <s v="Task 7 - Milestone 5 (Quiz) - Tim janssen"/>
        <s v="Task 7 - Milestone 5 (infographic) - cmalize"/>
        <s v="Task 7 - milestone 5 - Video + task management - maarmaapa"/>
        <s v="Task 7 - milestone 5 (article) - Javier"/>
        <s v="Task 7 - milestone 5 (slides) - Paradox"/>
        <s v="Task 7 - Milestone 5 (Editing/proofreading) - Michelle"/>
        <s v="General Adminstration task reward - Abdulbee - July 2023"/>
        <s v="General Adminstration task reward - Franky - July 2023"/>
        <s v="General Curator Reward - Abdulbee - July 2023"/>
        <s v="General Curator reward -July 2023 - Cappex"/>
        <s v="General Admin Task - July 2023 - Paradox"/>
        <s v="General Admin Task -July 2023 - Tim"/>
        <s v="Task 11 - July 2023 - Frankywild"/>
        <s v="Task 11 - July 2023 - Pastaman"/>
        <s v="Task 11 - July 2023 - Tim Janssen"/>
        <s v="Task 1 Rewards- July 2023- Pastaman"/>
        <s v="Task 1 Rewards- July 2023- FrankyWild"/>
        <s v="Task 1 Rewareds- July 2023- Tim Janssen"/>
        <s v="Task 1 Rewards- July 2023- Cmalize"/>
        <s v="Task 5- Taking down sites - Jully 2023  reward - Tim"/>
        <s v="Task 5 - Taking down sites - July 2023 reward - FrankyWild"/>
        <s v="Task 1 rewards- July 2023- Tim Janssen"/>
        <s v="General Curator Rewards- July 2023- Kamala"/>
        <s v="General Curator Rewards- July 2023- Pastaman"/>
        <s v="General Curator Rewards- July 2023- Cmalize "/>
        <s v="Polkadot @ Bali Blockchain Week SOULBOUND - Kresna Sucandra - August 22-23"/>
        <s v="Web3Foundation - Wanxiang Blockchain Week - September 2022"/>
        <s v="Polkadot Prodigy Hackathon - Georgi Ivanov - September 2023"/>
        <s v="Events Bounty Curator Reward - Zoe Mechbach - Jan-April 2023"/>
        <s v="Events Bounty Curator Reward - Mark Ryan - Jan-April 2023"/>
        <s v="Polkadot @ Blockchain Rio 2023 - Sept 12-14, 2023 - John Rhodel"/>
        <s v="House of Chaos - Berlin Blockchain Week - WebZero"/>
        <s v="General Administration - August 2023 - Pastaman"/>
        <s v="General Administration - August 2023 - Tim Janssen"/>
        <s v="General Curation - August 2023 - Grizzly"/>
        <s v="General administration abdulbee - august 2023"/>
        <s v="General administration frankywild - august 2023"/>
        <s v="General administration cmalize - august 2023"/>
        <s v="General curation abdulbee - august 2023"/>
        <s v="General Curation- Kamala Immaculate#5476- August 2023"/>
        <s v="Maintenance of phishing repo- Tim Janssen (Won't DM)#8682- August 2023"/>
        <s v="Maintenance of phishing repo- frankywild#8573- August 2023"/>
        <s v="Maintenance of phishing repo- pastaMan#9738- August 2023 "/>
        <s v="General Curator Reward- Cappex-August 2023"/>
        <s v="Task 2b (DNS registrars) - August 2023 - Tim Janssen"/>
        <s v="Task 1 Reward- FrankyWild- August 2023"/>
        <s v="Task 1 Rward - PastaMan-August 2023"/>
        <s v="Task 1 Reward- Tim Janssen"/>
        <s v="Task 1 FrankyWild- August 2023"/>
        <s v="Task 1 Reward- PastaMan"/>
        <s v="Task 5 Reward-FrankyWild- August 2023"/>
        <s v="Task 5 Reward- Tim Janssen- August 2023"/>
        <s v="Mainnet New York - Polkadot and Frens Dinner - AJ and Dillon"/>
        <s v="EthRome sponsorship and hackathon - Rome- Pepe Senior Ambassador "/>
        <s v="Sub0 breakfast - Lisbon - Aurora KodaDot"/>
        <s v="Cosmoverse sponsorship - Istanbul - Composable finance "/>
        <s v="Sub0 opening party - Lisbon - WebZero"/>
        <s v=" Sub0 breakfast - Lisbon - Aurora KodaDot"/>
        <s v="EthRome sponsorship and hackathon - Rome- Pepe Senior Ambassador"/>
        <s v=" Cosmoverse sponsorship - Istanbul - Composable finance"/>
        <s v="Sub0 Closing Party - WebZero - Lisbon"/>
        <s v="DOT HK Day - Vincent Chan - Honk Kong"/>
        <s v="Polkadot @Messari Mainnet - W3F - New York City"/>
        <s v="General Adminstration task reward - Abdulbee - September 2023"/>
        <s v="General Adminstration task reward - Tim - September 2023"/>
        <s v="General Curator Reward - Abdulbee - September 2023"/>
        <s v="General Admin bounty - September 2023 - Paradox"/>
        <s v="General Curator reward - September 2023 - Cappex"/>
        <s v="Maintenance of Phishing repo - September 2023 - Frankywild"/>
        <s v="Maintenance of Phishing repo - September 2023 - Pastaman"/>
        <s v="Maintenance of Phishing repo - September 2023 - Tim Janssen"/>
        <s v="General Admin Task - September 2023 - PastaMan"/>
        <s v="General Adim Task - September 2023 - FrankyWild "/>
        <s v="General Curator Rewad - September 2023 - Grizzly"/>
        <s v="General Administration-September 2023- CMalize"/>
        <s v="General Curation- September 2023- Kamala "/>
        <s v="Task 2b (DNS registrars) - September 2023 - Tim Janssen"/>
        <s v="Task 1 rewards- September 2023- Pastaman"/>
        <s v="Task 1 rewards- September 2023- Frankywild"/>
        <s v="Task 1 rewards- September 2023- TimJanssen"/>
        <s v="Test transaction to Facilitator address"/>
        <s v="Task 5 - Social Media Takedown - September 2023- Tim Janssen"/>
        <s v="Task 5 - Social Media Takedown - September 2023- FrankyWild"/>
        <s v="Payment to MuFi for achitecture milestone"/>
        <s v="Payment to OpenZeppelin for OpenBrush security review"/>
        <s v="Hackadot 2023 -  Sang-Hyun Rhee - South Korea"/>
        <s v="Polkadot Championship 2023 - David Pethes - Budapest"/>
        <s v="Cryto Expo Milan - Patrizia De Bella - Milan"/>
        <s v="Fintech Summit Online Sponsorship - Petr Mensik - Czech Republic"/>
        <s v="Moderation team bounty - 1/2August + September - Frankywild"/>
        <s v="Moderation team bounty - 1/2August + September - LV"/>
        <s v="Moderation team bounty - 1/2August + September - MC"/>
        <s v="Moderation team bounty - 1/2August + September - Mudlebee"/>
        <s v="Moderation team bounty - 1/2August + September - PastaMan"/>
        <s v="Moderation team bounty/curation - 1/2August + September - Abdulbee"/>
        <s v="Moderation team bounty/curation - 1/2August + September - GrizzlyAdams"/>
        <s v="Moderation team bounty - 1/2August + September - Cappex"/>
        <s v="Moderation team bounty - 1/2August + September - Gr33n"/>
        <s v="Moderation team bounty - 1/2August + September - Maarmapa"/>
        <s v="Moderation team bounty - 1/2August + September - MisterCole"/>
        <s v="Moderation team bounty - 1/2August + September - Paradox"/>
        <s v="Moderation team bounty - 1/2August + September - Tim Janssen"/>
        <s v="The second tranche of the Fruhzin/Limechain"/>
        <s v="Payment to Bright Inventions for Milestone 1"/>
        <s v="Payment to Protofire for Milestone 1"/>
        <s v="Payment to Starlay Finance for Milestone 1-1 and 1-2"/>
        <s v="Payment to ChainIDE + Polkaholic for Milestone 1"/>
        <s v="Moderation team bounty - october 2023 - Gr33n"/>
        <s v="Moderation team bounty - october 2023 - Maarmapa"/>
        <s v="Moderation team bounty - october 2023 - MC"/>
        <s v="Moderation team bounty - october 2023 - Mudlebee"/>
        <s v="Moderation team bounty - october 2023 - Paradox"/>
        <s v="Moderation Team reward - October 2023 - Bounty Curator abdulbee"/>
        <s v="Moderation Team reward - October 2023 - Bounty Curator GrizzlyAdams"/>
        <s v="Moderation team bounty- Oct 2023- Cappex"/>
        <s v="Moderation team bounty- Oct 2023- FrankyWild"/>
        <s v="Moderation team bounty- Oct 2023- LV"/>
        <s v="Moderation team bounty- Oct 2023- Mister_Cole"/>
        <s v="Moderation team bounty- Oct 2023- PastaMan"/>
        <s v="Moderation team bounty- Oct 2023- Tim Janssen"/>
        <s v="General curation - Cappex - October 2023"/>
        <s v="Educational track management - Maarmapa - September and October 2023"/>
        <s v="Payment to Archisinal for Milestone 1"/>
        <s v="General administration October 2023 abdulbee"/>
        <s v="General administration October 2023 Tim Janssen"/>
        <s v="General curation October 2023 abdulbee"/>
        <s v="Website hosting October 2023 frankywild"/>
        <s v="Payment to Oak Security for Starlay Finance Security Audit"/>
        <s v="General administration Task- Pastaman - October 2023"/>
        <s v="General administration Task- FrankyWild- October 2023"/>
        <s v="General Curator- Grizzly- October 2023"/>
        <s v="one-time-task- Maarmapa- October 2023"/>
        <s v="General Administration- Oct 2023- Cmalize"/>
        <s v="General Curation- Oct 2023- Kamala"/>
        <s v="Task 1 - October 2023 - Pastaman"/>
        <s v="Task 1 - October 2023 - Tim Janssen"/>
        <s v="Task 1 - October 2023 - Frankywild"/>
        <s v="Task 5 - October 2023 Tim Janssen"/>
        <s v="Task 2b (DNS registrars) - October 2023 - Tim Janssen"/>
        <s v="Maintenance of repo- October 2023- Pastaman"/>
        <s v="Maintenance of repo- October 2023- Frankywild"/>
        <s v="Maintenance of repo- October 2023- TimJanssen"/>
        <s v="Payment to Decentralized Oracles - Milestone 1 - VRF"/>
        <s v="Payment to Starlay Finance for Milestone 2"/>
        <s v="abdulbee#4681 - Curator Reward - November 2023"/>
        <s v="GrizzlyAdams[3/75]#4892 - Curator Reward - November 2023"/>
        <s v="Moderation bounty- November 2023- Gr33nHatt3r"/>
        <s v="Moderation bounty- November 2023- Maarmapa"/>
        <s v="Moderation bounty- November 2023- MC"/>
        <s v="Moderation bounty- November 2023- Muddlebee"/>
        <s v="Moderation bounty- November 2023- Paradox"/>
        <s v="Moderation team bounty - November 2023 - Cappex"/>
        <s v="Moderation team bounty - November 2023 - LV"/>
        <s v="Moderation team bounty - November 2023 - Mister_cole"/>
        <s v="Moderation team bounty - November 2023 - Pastaman"/>
        <s v="Moderation team bounty - November 2023 - Frankywild"/>
        <s v="Moderation team bounty - November 2023 - Tim Janssen"/>
        <s v="Java Host (Fruzhin) Phase 2 child bounty 1st tranche"/>
        <s v="General Administration Task - Paradox - November 2023"/>
        <s v="General Curator - Cappex - November 2023"/>
        <s v="General Admin reward - Pastaman - November 2023"/>
        <s v="General Admin reward - Cmalize - November 2023"/>
        <s v="General curation reward - Grizzly - November 2023"/>
        <s v="Maintenance of phishing repo - November 2023 - Tim Janssen"/>
        <s v="Maintenance of phishing repo - November 2023 - Frankywild"/>
        <s v="Maintenance of phishing repo - November 2023 - Pastaman"/>
        <s v="General curation November 2023 Abdulbee"/>
        <s v="Admin-Op track November 2023 Abdulbee"/>
        <s v="Educational track October 2023 Maarmapa"/>
        <s v="Outreach track November 2023 Grizzlyadams"/>
        <s v="General curation- November 2023- KamalaImmaculate"/>
        <s v="Proactive track Management-November 2023- FrankyWild"/>
        <s v="Reactive track management- November 2023- TimJanssen"/>
        <s v="Task 1 - November 2023 - Frankywild"/>
        <s v="Task 1 - November 2023 - Pastaman"/>
        <s v="Task 1 - November 2023 - Tim Janssen"/>
        <s v="curator expenses"/>
        <s v="Task 5- Social media take down rewards- November 2023- TimJanssen"/>
        <s v="Soulbound Bali - Kreshna Sucandra - August 2023"/>
        <s v="Polkadot Now India - Rish Kumar - April 2023"/>
        <s v="Events Bounty Curator Reward - Zoe Mechbach - May-August 2023"/>
        <s v="Events Bounty Curator Reward - Mark Ryan - May-August 2023"/>
        <s v="Polkadot Bled Mini conf - KodaDot - April 2023"/>
        <s v="The Future of Polkadot - KodaDot - November 2022"/>
        <s v="NFTs In Prague - KodaDot - June 2023"/>
        <s v="KODA. Onchain Exhibition - KodaDot - September 2023"/>
        <s v="Sub0 closing Party - WebZero - September 2023"/>
        <s v="Berlin House of Chaos - WebZero - September 2023"/>
        <s v="Monetvideo Meetup Difference - Mario Maarmapa - February 2023"/>
        <s v="Blockchain Sao Paolo difference - Mario Maarmapa - June 2023"/>
        <s v="Payment to Bright Inventions for Milestone 2"/>
        <s v="Mod team bounty - December 2023 - Mister_cole"/>
        <s v="Mod team bounty - December 2023 - Paradox"/>
        <s v="Mod team bounty - December 2023 - Frankywild"/>
        <s v="Mod team bounty - December 2023 - MC"/>
        <s v="Mod team bounty - December 2023 - Tim"/>
        <s v="Mod team bounty - December 2023 - Gr33n"/>
        <s v="Mod team bounty + curator fees - December 2023 - Grizzly"/>
        <s v="Mod team bounty + curator fees - December 2023 - Abdulbee"/>
        <s v="Mod team bounty - December 2023 - Cappex"/>
        <s v="Mod team bounty - December 2023 - Maarmapa"/>
        <s v="Mod team bounty - December 2023 - Pastaman"/>
        <s v="Mod team bounty - December 2023 - Muddlebee"/>
        <s v="Mod team bounty - December 2023 - LV"/>
        <s v="phala-c4-2401"/>
        <s v="acala-c4-2401"/>
        <s v="Reactive track management - December 2023 - Tim Janssen"/>
        <s v="General Administration - December 2023 - Pastaman"/>
        <s v="General Administration - December 2023 - Cmalize"/>
        <s v="General curation - Decembe 2023 - Cappex"/>
        <s v="General Curator - Abdulbee - December 2023"/>
        <s v="Admin-Op track - December 2023 - Abdulbee"/>
        <s v="Admin-Op track - December 2023 - FrankyWild"/>
        <s v="General Adiminstation -December 2023- Paradox"/>
        <s v="One-Time-Task - December 2023 - Grizzly"/>
        <s v="Outreach Track December - Grizzly"/>
        <s v="General Curation December - Grizzly"/>
        <s v="Task 1 December - Franky"/>
        <s v="Task 1 December - PastaMan"/>
        <s v="Task 1 December - Tim"/>
        <s v="Repo Maintenance- December 2023- Franky"/>
        <s v="Repo Maintenance- December 2023- TimJanssen"/>
        <s v="Repo Maintenance- December 2023- Pastaman"/>
        <s v="Track management- Dec 2023- Maarmapa"/>
        <s v="General curation- Dec 2023- Kamala "/>
        <s v="t3rn-srl-2401"/>
        <s v="Payment to Lucky Team for Milestone 2"/>
        <s v="hydradx-c4-2401"/>
        <s v="Exiled Racers Trackmeet - Exiled Racers - NYC, NY"/>
        <s v="PolkadotDevs: MeetUp Series - Vasiliki Tani - Athens/Vienna"/>
        <s v="Polkadot at ETHDenver 2024 - Distractive - Denver, CO"/>
        <s v="4 Meetups in LATAM - Simonn Leon - Various Countries"/>
        <s v="5 Meetups in Bali - Kresna Sucandra - Bali"/>
        <s v="9 Meetups in Hungary - Viktor / Polkadot Hungary - Budapest, Hungary"/>
        <s v="Polkadot Munchen Meetup - Saro Posa - Munchen, Germany"/>
        <s v="Task 5 - December 2023 - frankywild"/>
        <s v="task 5 - December 2023 - Tim janssen"/>
        <s v="Task 5 - December 2023 - Tramymsa"/>
        <s v="bifrost-oak-2401"/>
        <s v="astar-srl-2312"/>
        <s v="Moderation team bounty - Jan 2024 - Cappex"/>
        <s v="Moderation team bounty - Jan 2024 - frankywild"/>
        <s v="Moderation team bounty - Jan 2024 - Grizzly"/>
        <s v="Moderation team bounty - Jan 2024 - LV"/>
        <s v="Moderation team bounty - Jan 2024 - Mister_Cole"/>
        <s v="Moderation team bounty - Jan 2024 - Pastaman"/>
        <s v="Moderation team bounty - Jan 2024 - Tim Janssen"/>
        <s v="Moderation team bounty-January 2024- Abdulbee"/>
        <s v="Moderation team bounty- January 2024- Gr33nHatt3R"/>
        <s v="Moderation team bounty- January 2024- Maarmapa"/>
        <s v="Moderation team bounty- January 2024- MC"/>
        <s v="Moderation team bounty- January 2024- Muddlebee"/>
        <s v="Moderation team bounty-January 2024- Paradox "/>
        <s v="The Blockspace at ETHDenver - WebZero - Denver, CO"/>
        <s v="PMEI ETHDenver Closing Party - PMEI - Denver CO"/>
        <s v="Typefully reimbursement - Grizz"/>
        <s v="Proactive track management - January 2024 - Frankywild"/>
        <s v="Outreach track management - January 2024 - GrizzlyAdams"/>
        <s v="General curation - January 2024 - GrizzlyAdams"/>
        <s v="Task 1 - January 2024 - Frankywild"/>
        <s v="Task 1 - January 2024 - Pastaman"/>
        <s v="Task 1 - January 2024 - Tim Janssen"/>
        <s v="General Curator- Capppex - January 2024"/>
        <s v="Task 2b-Database for DNS registrars - Tim Janssen - January 2024"/>
        <s v="abdulbee admin/op track January 24"/>
        <s v="Maarmapa educational track January 24"/>
        <s v="pastaMan General administration January 24"/>
        <s v="cmalize General administration January 24"/>
        <s v="abdulbee General curation January 24"/>
        <s v="Repo Mainetenance- January 2024- FrankyWild"/>
        <s v="Repo Mainetenance- January 2024- Pastaman"/>
        <s v="Repo Mainetenance- January 2024- TimJanssen"/>
        <s v="frankywild for email set-up"/>
        <s v="alina for email set-up"/>
        <s v="Reactive Track Management-January 2024- TimJanssen"/>
        <s v="General Administration- January 2024- Paradox"/>
        <s v="General Curation-January 2024- Kamala"/>
        <s v="Payment to Archisinal for Milestone 2 + Base Payment for Four Curators"/>
        <s v="astar-zellic-2401"/>
        <s v="Task 5 - January 2024 - Frankywild"/>
        <s v="Task 5 - Janaury 2024 - Michelle"/>
        <s v="Task 5 - January 2024 - ShakurHarun"/>
        <s v="Task 5 - January 2024 - Sirjey"/>
        <s v="Task 1 - Jan 2024 - Frankywild"/>
        <s v="Task 1 - Jan 2024 - Pastaman"/>
        <s v="Task 1 - Jan 2024 - Tim Janssen"/>
        <s v="Task 1 - jan 2024 - Tim"/>
        <s v="Polkadot Prague second award- KodaDot - Prague, Czech Republic"/>
        <s v="Polkadot @ Blockchain Rio 2023 second award - Lui5 and Parachain Boy - Rio de Janeiro"/>
        <s v="Korea Blockchain Week Reimbursement - Web3 Foundation - Seoul Korea"/>
        <s v="Polkadot Connect Thailand Reimbursement- Polkadot Insider - Bangkok, Thailand"/>
        <s v="Polkadot Singapore Meetup Reimbursement - Nick Lee - Singapore "/>
        <s v="Bangkok KOLs Meet Reimbursement - Nickole Lucas - Bangkok, Thailand "/>
        <s v="Meetup: Blockchain for Beginners Rewards - Torsten Schenk - Berlin, Germany"/>
        <s v=" 2 Budapest Meetups Reimbursement - Viktor - Budpest, Hungary "/>
        <s v="PMEI ETHDenver Closing Party - PMEI - Denver CO (pt II)"/>
        <s v="Lunar Strategy Invoice 2024-02-09 (Binance EMA 7 days = 7.052 USDT)"/>
        <s v="ParaNodes.io produced 16469/16490 blocks; SR: 15.2574, CR: 44.0291"/>
        <s v="Staker Space produced 16447/16490 blocks; SR: 15.2370, CR: 43.9703"/>
        <s v="LuckyFriday.io produced 16478/16490 blocks; SR: 15.2658, CR: 44.0532"/>
        <s v="Mile produced 16487/16490 blocks; SR: 15.2741, CR: 44.0772"/>
        <s v="YellowFin Tuna produced 16480/16490 blocks; SR: 15.2676, CR: 44.0585"/>
        <s v="turboflakes.io produced 16373/16490 blocks; SR: 15.1685, CR: 43.7724"/>
        <s v="Chris-Staking produced 16458/16490 blocks; SR: 15.2472, CR: 43.9997"/>
        <s v="Polkadotters produced 16461/16490 blocks; SR: Invul:0, CR: 44.0077"/>
        <s v="Stakeworld.io produced 16483/16490 blocks; SR: Invul:0, CR: 44.0665"/>
        <s v=" Iceberg Nodes  produced 16464/16490 blocks; SR: Invul:0, CR: 44.0157"/>
        <s v="openbitlab produced 16490/16490 blocks; SR: Invul:0, CR: 44.0852"/>
        <s v="Reward for curator (frankywild) as a portion from total 638.5667"/>
        <s v="Reward for curator (pastaMan) as a portion from total 638.5667"/>
        <s v="Reward for curator (Tim Janssen) as a portion from total 638.5667"/>
        <s v="Hosting fee for Curator RPC instance @ $25.0000"/>
        <s v="Sik | crifferent.de produced 16473/16490 blocks; SR: Invul:0, CR: 44.0398"/>
        <s v="turboflakes.io produced 16345/16496 blocks; SR: Invul:0, CR: 43.6817"/>
        <s v=" Iceberg Nodes  produced 16458/16496 blocks; SR: 15.2417, CR: 43.9837"/>
        <s v="Polkadotters produced 16479/16496 blocks; SR: 15.2611, CR: 44.0398"/>
        <s v="YellowFin Tuna produced 16479/16496 blocks; SR: 15.2611, CR: 44.0398"/>
        <s v="Mile produced 16492/16496 blocks; SR: 15.2732, CR: 44.0745"/>
        <s v="Stakeworld.io produced 16455/16496 blocks; SR: 15.2389, CR: 43.9757"/>
        <s v="Sik | crifferent.de produced 16486/16496 blocks; SR: 15.2676, CR: 44.0585"/>
        <s v="STKD.IO produced 16443/16496 blocks; SR: 15.2278, CR: 43.9436"/>
        <s v="ParaNodes.io produced 16473/16496 blocks; SR: Invul:0, CR: 44.0238"/>
        <s v="Staker Space produced 16458/16496 blocks; SR: Invul:0, CR: 43.9837"/>
        <s v="DPSTK produced 16461/16496 blocks; SR: Invul:0, CR: 43.9917"/>
        <s v="LuckyFriday.io produced 16496/16496 blocks; SR: Invul:0, CR: 44.0852"/>
        <s v="Reward for curator (frankywild) as a portion from total 638.3268"/>
        <s v="Reward for curator (pastaMan) as a portion from total 638.3268"/>
        <s v="Reward for curator (Tim Janssen) as a portion from total 638.3268"/>
        <s v="ExtraCoin produced 15745/15804 blocks; SR: Invul:0, CR: 43.9207"/>
        <s v="YellowFin Tuna produced 15776/15804 blocks; SR: Invul:0, CR: 44.0071"/>
        <s v="Stake Plus produced 15794/15804 blocks; SR: Invul:0, CR: 44.0573"/>
        <s v="Mile produced 15788/15804 blocks; SR: Invul:0, CR: 44.0406"/>
        <s v="BESTVALIDATOR | ZURICH produced 15770/15804 blocks; SR: Invul:0, CR: 43.9904"/>
        <s v="LuckyFriday.io produced 15760/15804 blocks; SR: 15.2343, CR: 43.9625"/>
        <s v="ParaNodes.io produced 15804/15804 blocks; SR: 15.2769, CR: 44.0852"/>
        <s v=" Iceberg Nodes  produced 15776/15804 blocks; SR: 15.2498, CR: 44.0071"/>
        <s v="Staker Space produced 15742/15804 blocks; SR: 15.2169, CR: 43.9123"/>
        <s v="Coinstudio produced 15766/15804 blocks; SR: 15.2401, CR: 43.9792"/>
        <s v="MathCrypto produced 15798/15804 blocks; SR: 15.2711, CR: 44.0685"/>
        <s v="Polkadotters produced 15763/15804 blocks; SR: 15.2372, CR: 43.9709"/>
        <s v="Reward for curator (frankywild) as a portion from total 638.4020"/>
        <s v="Reward for curator (pastaMan) as a portion from total 638.4020"/>
        <s v="Reward for curator (Tim Janssen) as a portion from total 638.4020"/>
        <s v="Fund of multisig and pure proxy account"/>
        <s v="Portion of un-budgeted VMs for Curators and Relay-chains: $60.00"/>
        <s v="Reimbursement For Marketing Bounty Prev Expenses (Binance EMA 7 days = 7.052 USDT)"/>
        <s v="Bounty 11 data gathering - Abujulaibib"/>
        <s v="Bounty 11 data gathering - Maccala"/>
        <s v="EVOX Invoice Receipt-12 (Binance EMA 7 days = 7.275 USDT)"/>
        <s v="invarch-srl-2402"/>
        <s v="moonbeam-srl-2401"/>
        <s v="Smart City 2024 - Parachainboy and Gabekoin - Curitiba, Brazil"/>
        <s v="Build on Polkadot: W3transfer - Apillon and ecosystem teams - Europe"/>
        <s v="Meetup Ljubljana: 50 Shades of NFTs - w3n:patrik - Ljubljana, Slovenia"/>
        <s v="Berlin Satellite event Refund &amp; Rewards - Simon Leon - Berlin, Germany"/>
        <s v="Meetup Polkadot Munchen Refund - Saro Posa - Munchen, Germany"/>
        <s v="Meetup Polkadot Nigeria - Chidi Olisa - Nigeria"/>
        <s v="Meetup Blockchain for Beginners Refund - Torsten Schenk - Berlin, Germany"/>
        <s v="2023 Q4 Curator Awards - ChaosDAO"/>
        <s v="2023 Q4 Curator Awards - WebZero"/>
        <s v="2023 Q4 Curator Awards - Hutch"/>
        <s v="2023 Q4 Curator Awards - Zoe"/>
        <s v="2023 Q4 Curator Awards - Mark"/>
        <s v="DOT Hong Kong Day, Volitility Reimbursement - Vincent Chan - Hong Kong"/>
        <s v="NFT Biarritz - G'Expect Chaos - Biarritz, France"/>
        <s v="Base payment for six Curators"/>
        <s v="CultureDot - Polkadot IRL Campaign #3 - Zurich Airport (Binance MA 25 days = 7.2 USDT - excess DOT due to change in price must be returned)"/>
        <s v="peaq-srl-2402"/>
        <s v="OnChain Brazil - Gabriella Mena Ogusuku - Sao Paolo"/>
        <s v="ETHTaipei - James Shih - Taiwan"/>
        <s v="CryptoVendimia - Marmaapa and Matt Santo - Mendoza"/>
        <s v="Meetup Beyond ETFs: Navigating the Digital Asset Management space with Scytale Digital Rewards - Patrik Kogaj - Ljubljana, Slovenia"/>
        <s v="Moderation bounty- February 2024- Abdulbee"/>
        <s v="Moderation Bounty- February 2024- Gr33Hatt3R"/>
        <s v="Moderation Bounty- February 2024-Maarmapa"/>
        <s v="Moderation Bounty- February 2024- MC"/>
        <s v="Moderation Bounty- February 2024- Muddlebee"/>
        <s v="Moderation bounty- February 2024- Paradox"/>
        <s v="Moderation team bounty - February 2024 - Cappex"/>
        <s v="Moderation team bounty - February 2024 - Frankywild"/>
        <s v="Moderation team bounty - February 2024 - Grizzly"/>
        <s v="Moderation team bounty - February 2024 - LV"/>
        <s v="Moderation team bounty - February 2024 - Mister_cole"/>
        <s v="Moderation team bounty - February 2024 - Pastaman"/>
        <s v="Moderation team bounty - February 2024 - Tim Janssen"/>
        <s v="Legal and compliance check for Batch 1"/>
        <s v="Integration for INTR, BNC, ACA, KILT, ASTR, HDX, Total: 47250 USD"/>
        <s v="Management Overhead for Interlay Team"/>
        <s v="Administrative Operation track - Febuary 2024 - FrankyWild"/>
        <s v="Administrative Operation track - Febuary 2024 - Grizzly"/>
        <s v="General Curator Reward - Febuary 2024 - Grizzly "/>
        <s v="Reactive track management - February 2024 - Tim Janssen"/>
        <s v="general administration - February 2024 - Paradox"/>
        <s v="General curation - February 2024 - Kamala"/>
        <s v="Logo brand kit - Ecardo"/>
        <s v="Track management of admin/op track Abdulbee February 2024"/>
        <s v="General administration PastaMan Februray 2024"/>
        <s v="General curation Abdulbee February 2024"/>
        <s v="maintenance of phishing repo frankywild Februray 2024"/>
        <s v="maintenance of phishing repo PastaMan Februray 2024"/>
        <s v="maintenance of phishing repo Tim Janssen Februray 2024"/>
        <s v="Educational Track Management- February 2024- Maarmapa"/>
        <s v="General Admin- February 2024- Cmalize"/>
        <s v="General Curation- February 2024- Cappex"/>
        <s v="Detection/Takedown of phishing sites-February 2024-Frankywild"/>
        <s v="Detection/Takedown of phishing sites-February 2024- Pastaman"/>
        <s v="Detection/Takedown of phishing sites-February 2024- TimJanssen"/>
        <s v="Outreach track(social media)- February 2024- _ecardo5o"/>
        <s v="Outreach track(social media)- February 2024- Maarmapa"/>
        <s v="Outreach track(Biz dev)- February 2024- Kamala"/>
        <s v="Outreach track(content creation)- February 2024- _ecardo5o"/>
        <s v="Outreach track(content creation)- February 2024- Maarmapa"/>
        <s v="Outreach track (Account Manager) grizzlyadams"/>
        <s v="Outreach track (Content creation) grizzlyadams"/>
        <s v="One time task - February 2024 - LV555"/>
        <s v="Task 5 - Febraury 2024 - Michelle"/>
        <s v="Task 5 - Febraury 2024 - Sirjey"/>
        <s v="Task 5 - Febraury 2024 - ShakurHarun"/>
        <s v="EVOX Invoice INV041 (Binance EMA 7 days = 9.28 USDT) - excess DOT due to change in price must be returned"/>
        <s v="Lunar Strategy Invoice 2024/03/07 (Binance EMA 7 days = 10.388 USDT) - excess DOT due to increase in price must be returned"/>
        <s v="Payment to Protofire for Multisig Milestone 2"/>
        <s v="STKD.IO produced 14997/15073 blocks; SR: 14.1370, CR: 30.2853"/>
        <s v="ParaNodes.io produced 15058/15073 blocks; SR: Invul:0, CR: 30.4085"/>
        <s v="Staker Space produced 14826/15073 blocks; SR: Invul:0, CR: 29.9400"/>
        <s v="DPSTK produced 14950/15073 blocks; SR: Invul:0, CR: 30.1904"/>
        <s v="LuckyFriday.io produced 15007/15073 blocks; SR: Invul:0, CR: 30.3055"/>
        <s v="turboflakes.io produced 15073/15073 blocks; SR: Invul:0, CR: 30.4388"/>
        <s v=" Iceberg Nodes  produced 15033/15073 blocks; SR: 14.1709, CR: 30.3580"/>
        <s v="Polkadotters produced 15024/15073 blocks; SR: 14.1625, CR: 30.3398"/>
        <s v="YellowFin Tuna produced 15040/15073 blocks; SR: 14.1775, CR: 30.3721"/>
        <s v="Mile produced 15053/15073 blocks; SR: 14.1898, CR: 30.3984"/>
        <s v="Stakeworld.io produced 15032/15073 blocks; SR: 14.1700, CR: 30.3560"/>
        <s v="Sik | crifferent.de produced 15062/15073 blocks; SR: 14.1983, CR: 30.4165"/>
        <s v="Reward for curator (frankywild) as a portion from total 467.1751"/>
        <s v="Reward for curator (pastaMan) as a portion from total 467.1751"/>
        <s v="Reward for curator (Tim Janssen) as a portion from total 467.1751"/>
        <s v="1/5 hosting fee for supporting relay chain RPC instances and for curator instance @ $40.0000"/>
        <s v="2/5 hosting fee for supporting relay chain RPC instances and for curator instance @ $40.0000"/>
        <s v="Chris-Staking produced 15043/15067 blocks; SR: 14.1860, CR: 30.3903"/>
        <s v="Polkadotters produced 15021/15067 blocks; SR: Invul:0, CR: 30.3458"/>
        <s v="Stakeworld.io produced 15051/15067 blocks; SR: Invul:0, CR: 30.4064"/>
        <s v=" Iceberg Nodes  produced 15052/15067 blocks; SR: Invul:0, CR: 30.4085"/>
        <s v="openbitlab produced 15045/15067 blocks; SR: Invul:0, CR: 30.3943"/>
        <s v="Sik | crifferent.de produced 15057/15067 blocks; SR: Invul:0, CR: 30.4186"/>
        <s v="ParaNodes.io produced 14988/15067 blocks; SR: 14.1341, CR: 30.2792"/>
        <s v="Staker Space produced 14841/15067 blocks; SR: 13.9955, CR: 29.9822"/>
        <s v="LuckyFriday.io produced 14948/15067 blocks; SR: 14.0964, CR: 30.1984"/>
        <s v="Mile produced 15067/15067 blocks; SR: 14.2086, CR: 30.4388"/>
        <s v="YellowFin Tuna produced 15032/15067 blocks; SR: 14.1756, CR: 30.3681"/>
        <s v="turboflakes.io produced 15051/15067 blocks; SR: 14.1936, CR: 30.4064"/>
        <s v="Reward for curator (frankywild) as a portion from total 467.1867"/>
        <s v="Reward for curator (pastaMan) as a portion from total 467.1867"/>
        <s v="Reward for curator (Tim Janssen) as a portion from total 467.1867"/>
        <s v="Polkadotters produced 15007/15064 blocks; SR: 14.1549, CR: 30.3236"/>
        <s v="ExtraCoin produced 15027/15064 blocks; SR: Invul:0, CR: 30.3640"/>
        <s v="YellowFin Tuna produced 15064/15064 blocks; SR: Invul:0, CR: 30.4388"/>
        <s v="Stake Plus produced 15061/15064 blocks; SR: Invul:0, CR: 30.4327"/>
        <s v="Mile produced 15057/15064 blocks; SR: Invul:0, CR: 30.4246"/>
        <s v="BESTVALIDATOR | ZURICH produced 15044/15064 blocks; SR: Invul:0, CR: 30.3983"/>
        <s v="LuckyFriday.io produced 14972/15064 blocks; SR: 14.1219, CR: 30.2529"/>
        <s v="ParaNodes.io produced 15018/15064 blocks; SR: 14.1653, CR: 30.3458"/>
        <s v=" Iceberg Nodes  produced 15029/15064 blocks; SR: 14.1756, CR: 30.3680"/>
        <s v="Staker Space produced 14810/15064 blocks; SR: 13.9691, CR: 29.9255"/>
        <s v="Coinstudio produced 15040/15064 blocks; SR: 14.1860, CR: 30.3903"/>
        <s v="MathCrypto produced 15052/15064 blocks; SR: 14.1973, CR: 30.4145"/>
        <s v="Reward for curator (frankywild) as a portion from total 467.2090"/>
        <s v="Reward for curator (pastaMan) as a portion from total 467.2090"/>
        <s v="Reward for curator (Tim Janssen) as a portion from total 467.2090"/>
        <s v="Chris Malize (infographics) 6th milestone of Task 7"/>
        <s v="Paradox (slideshow) 6th milestone of Task 7"/>
        <s v="Maarmapa (video) 6th milestone of Task 7"/>
        <s v="Tim Janssen (quiz) 6th milestone of Task 7"/>
        <s v="Javier (article) 6th milestone of Task 7"/>
        <s v="ChainWire Invoice 58689 (Binance EMA 7 days = 10.74 USDT) - In case of any surplus on fund reception's day, the exceeding part must be returned to bounty address, in case of deficit another child bounty request must be issued to cover the difference"/>
        <s v="EVOX Invoice INV041 (Binance EMA 7 days = 10.74 USDT) - In case of any surplus on fund reception's day, the exceeding part must be returned to bounty address, in case of deficit another child bounty request must be issued to cover the difference"/>
        <s v="WizardAmigos Code Camp - Nina Breznik - Portugal"/>
        <s v="BlackXP Game Jam - Lui5 - Brazil"/>
        <s v="Polkadot @ Web3Fest - Polkaport East - Hong Kong"/>
        <s v="Polkadot @ Southeast Asia BW - Patricia Arro - Thailand"/>
        <s v="PBA Graduation and DOTGov Workshop - Pauline Cohen Vorms, PBA - Hong Kong"/>
        <s v="4 Hong Kong Meetups - Max Rebol - Hong Kong"/>
        <s v="Women of Polkadot: Brunch in Bangkok - Linda Luuu - Thailand"/>
        <s v="Beyond Beats: Web3's Disruption of the Music Landscape - Patrik Kogoj - Slovenia"/>
        <s v="3 Brazil Meetups - Modular Crypto - Brazil"/>
        <s v="CultureDot - Singapore, Changi Airport - Binance EMA 99 days = 8.15 USDT - excess DOT due to change in price must be returned"/>
        <s v="EVOX - INV044 - Binance EMA 7 days = 9.54 USDT - excess DOT due to change in price must be returned"/>
        <s v="ChainWire via MarketAccross- Invoice 58813 - Binance EMA 7 days = 9.53 USDT - excess DOT due to change in price must be returned"/>
        <s v="Lunar Strategy - Invoice 2024/03/27 - Binance EMA 7 days = 9.535 USDT - excess DOT due to change in price must be returned"/>
        <s v="Moderation team bounty- March 2024- Abdulbee"/>
        <s v="Moderation team bounty- March 2024- Gr33nhatt3r"/>
        <s v="Moderation team bounty- March 2024- MC"/>
        <s v="Moderation team bounty- March 2024- Mister_Cole"/>
        <s v="Moderation team bounty- March 2024- Pastaman"/>
        <s v="Curator fee - March 2024 - A.J"/>
        <s v="Moderation bounty - March 2024 - Frankywild"/>
        <s v="Mod + curator bounty - March 2024 - Grizzly"/>
        <s v="Moderation team bounty - March 2024 - Tramysa"/>
        <s v="Moderation team  bounty - March 2023 - Maarmapa"/>
        <s v="ModerationTeamBounty-March2024-Cappex"/>
        <s v="ModerationTeamBounty-March2024-muddlebee"/>
        <s v="ModerationTeamBounty-March2024-paradox"/>
        <s v="ModerationTeamBounty-March2024-timjanssen"/>
        <s v="TeamZ AI Summit - DFG - Tokyo, Japan"/>
        <s v="Metaverse Championship Second award - CryptoCTF - Budapest, Hungary"/>
        <s v="Polkadot LATAM Day Reimbursement and rewards - LATAM Ambassadors - Online"/>
        <s v="Decoded 2023 Satellite event - Subwallet - Ho Chi Minh, Vietnam"/>
        <s v="Polkadot day Belgrade Reimbursement - Aleksandar Dimitrijevic - Belgrade, Serbia"/>
        <s v="2023 Decoded Viewing Party Rewards - Erick Alonso Ramos Jimenez - Guadalajara, Jalisco, Mexico"/>
        <s v="2023 Decoded Viewing Party Rewards - Robin - Monterrey, Mexico"/>
        <s v="2023 Decoded Viewing Party Rewards - John Rhodel Bartolome - Curitiba, Brazil"/>
        <s v="2023 Decoded Viewing Party Rewards - Guido - Villa La Angostura (Patagonia), Argentina"/>
        <s v="2023 Decoded Viewing Party Rewards - Max Cripto - Rio Grande, Argentina"/>
        <s v="2023 Decoded Viewing Party Rewards - Danson Twesigomwe - Arusha,Tanzania"/>
        <s v="2023 Decoded Viewing Party Rewards - Oscar (Donatello) - Ciudad de Mexico (CDMX), Mexico"/>
        <s v="2023 Decoded Viewing Party Rewards - Joab Niwagaba - Kigali, Rwanda"/>
        <s v="2023 Decoded Viewing Party Rewards - Kamala Immaculate - Kampala City, Uganda"/>
        <s v="2023 Decoded Viewing Party Rewards - Dillon Hanson - NYC, New York"/>
        <s v="2023 Decoded Viewing Party Rewards - Santiago Guzman-Roberto Heredia - Bogota-colombia"/>
        <s v="2023 Decoded Viewing Party Rewards - The Phynky One - Tampa, Florida, USA"/>
        <s v="2023 Decoded Viewing Party Rewards - Rish - Bangalore, India"/>
        <s v="2023 Decoded Viewing Party Rewards - Nikhole Lucas - Makati City, Metro Manila, Philippines"/>
        <s v="2023 Decoded Viewing Party Rewards - Bamidele Owoseni - Dallas, Texas USA"/>
        <s v="2023 Decoded Viewing Party Rewards - Rossmarie - Madrid, Espana"/>
        <s v="2023 Decoded Viewing Party Rewards - Mugisha Abraham Shidi - Goma-Democratic Republic of Congo"/>
        <s v="2023 Decoded Viewing Party Rewards - DJ Trang - Hanoi, Vietnam"/>
        <s v="2023 Decoded Viewing Party Rewards - Arlette Salas - Maracaibo, Venezuela"/>
        <s v="2023 Decoded Viewing Party Rewards - Fred Malize - Aba, Nigeria"/>
        <s v="Moderation team curation - March 2024 - AJ"/>
        <s v="ChainWire via MarketAccross - Invoice 14637 - Binance EMA 99 days = 8.329 USDT - excess DOT due to change in price must be returned"/>
        <s v="Phishing repo maintenance- March 2024- Frankywild"/>
        <s v="Phishing repo maintenance- March 2024- Pastaman"/>
        <s v="Phishing repo maintenance- March 2024- TimJanssen"/>
        <s v="Track Management/OP Track  - March 2024 -  Abdulbee"/>
        <s v="General Curator - March 2024 - Abdulbee"/>
        <s v="Adminstrative/Operational Track - March 2024 - Paradox"/>
        <s v="General administration pastaMan March"/>
        <s v="General curation Kamala Immaculate March"/>
        <s v="Social media management Kamala Immaculate March"/>
        <s v="1/5 hosting fee for supporting relay chain RPC instances @ $80.0000"/>
        <s v="LuckyFriday.io produced 14428/16574 blocks; SR: Invul:0, CR: 27.5772"/>
        <s v="turboflakes.io produced 14808/16574 blocks; SR: Invul:0, CR: 28.3035"/>
        <s v=" Iceberg Nodes  produced 16387/16574 blocks; SR: 15.0816, CR: 31.3216"/>
        <s v="Polkadotters produced 14691/16574 blocks; SR: 13.5207, CR: 28.0799"/>
        <s v="YellowFin Tuna produced 16574/16574 blocks; SR: 15.2537, CR: 31.6790"/>
        <s v="Mile produced 15717/16574 blocks; SR: 14.4649, CR: 30.0409"/>
        <s v="Stakeworld.io produced 14843/16574 blocks; SR: 13.6606, CR: 28.3704"/>
        <s v="Sik | crifferent.de produced 14699/16574 blocks; SR: 13.5280, CR: 28.0952"/>
        <s v="STKD.IO produced 14382/16574 blocks; SR: 13.2363, CR: 27.4893"/>
        <s v="ParaNodes.io produced 15556/16574 blocks; SR: Invul:0, CR: 29.7332"/>
        <s v="Staker Space produced 14465/16574 blocks; SR: Invul:0, CR: 27.6479"/>
        <s v="DPSTK produced 14461/16574 blocks; SR: Invul:0, CR: 27.6403"/>
        <s v="Reward for curator (frankywild) as a portion from total 449.8982"/>
        <s v="Reward for curator (pastaMan) as a portion from total 449.8982"/>
        <s v="Reward for curator (Tim Janssen) as a portion from total 449.8982"/>
        <s v="2/5 hosting fee for supporting relay chain RPC instances @ $80.0000 and for curator instance @ $40.0000"/>
        <s v="openbitlab produced 15195/16498 blocks; SR: Invul:0, CR: 29.1770"/>
        <s v="Sik | crifferent.de produced 14555/16498 blocks; SR: Invul:0, CR: 27.9481"/>
        <s v="ParaNodes.io produced 15464/16498 blocks; SR: 14.2976, CR: 29.6935"/>
        <s v="LuckyFriday.io produced 14362/16498 blocks; SR: 13.2788, CR: 27.5775"/>
        <s v="Mile produced 15961/16498 blocks; SR: 14.7572, CR: 30.6479"/>
        <s v="YellowFin Tuna produced 16498/16498 blocks; SR: 15.2537, CR: 31.6790"/>
        <s v="turboflakes.io produced 14775/16498 blocks; SR: 13.6606, CR: 28.3705"/>
        <s v="Chris-Staking produced 14819/16498 blocks; SR: 13.7013, CR: 28.4550"/>
        <s v="Polkadotters produced 14270/16498 blocks; SR: Invul:0, CR: 27.4008"/>
        <s v="Stakeworld.io produced 14742/16498 blocks; SR: Invul:0, CR: 28.3072"/>
        <s v=" Iceberg Nodes  produced 16160/16498 blocks; SR: Invul:0, CR: 31.0300"/>
        <s v="Staker Space produced 14478/16498 blocks; SR: 13.3860, CR: 27.8002"/>
        <s v="Reward for curator (frankywild) as a portion from total 451.5961"/>
        <s v="Reward for curator (pastaMan) as a portion from total 451.5961"/>
        <s v="Reward for curator (Tim Janssen) as a portion from total 451.5961"/>
        <s v="Stake Plus produced 13997/16405 blocks; SR: Invul:0, CR: 27.0290"/>
        <s v="Mile produced 15830/16405 blocks; SR: Invul:0, CR: 30.5686"/>
        <s v="BESTVALIDATOR | ZURICH produced 15053/16405 blocks; SR: Invul:0, CR: 29.0682"/>
        <s v="LuckyFriday.io produced 14247/16405 blocks; SR: 13.2471, CR: 27.5118"/>
        <s v=" Iceberg Nodes  produced 16222/16405 blocks; SR: 15.0835, CR: 31.3256"/>
        <s v="Staker Space produced 14226/16405 blocks; SR: 13.2276, CR: 27.4712"/>
        <s v="Coinstudio produced 14839/16405 blocks; SR: 13.7976, CR: 28.6550"/>
        <s v="MathCrypto produced 16405/16405 blocks; SR: 15.2537, CR: 31.6790"/>
        <s v="Polkadotters produced 14227/16405 blocks; SR: 13.2285, CR: 27.4731"/>
        <s v="ExtraCoin produced 14451/16405 blocks; SR: Invul:0, CR: 27.9057"/>
        <s v="YellowFin Tuna produced 16396/16405 blocks; SR: Invul:0, CR: 31.6616"/>
        <s v="ParaNodes.io produced 15342/16405 blocks; SR: 14.2653, CR: 29.6263"/>
        <s v="Reward for curator (frankywild) as a portion from total 453.2525"/>
        <s v="Reward for curator (pastaMan) as a portion from total 453.2525"/>
        <s v="Reward for curator (Tim Janssen) as a portion from total 453.2525"/>
        <s v="Reward for curator (Tim Janssen) for signing fees over 3 months"/>
        <s v="Outreach -sub manager &amp; content creator payout - March - Ecardo"/>
        <s v="Outreach - sub manager &amp; content creator payout - March - Maarmapa"/>
        <s v="Outreach - Account manager - March - Grizzly"/>
        <s v="Outreach - Content creation - March - Grizzly"/>
        <s v="Content Creation- March 2024- Cappex"/>
        <s v="Reactive track management- March 2024- TimJanssen"/>
        <s v="Proactive track management- March 2024- FrankyWild"/>
        <s v="General Administration- March 2024- Cmalize"/>
        <s v="Outreach track account manager- March 2024-Cmalize"/>
        <s v="Outreach track management - March 2024 - Grizzly"/>
        <s v="Educational track management - March 2024 - Maarmapa"/>
        <s v="For Twitter Org verification"/>
        <s v="General curation - March 2024 -Grizzly"/>
        <s v="Polkadot @ ArtsDAO Fest - Irina Karagyaur - Dubai, UAE"/>
        <s v="Polkadot @ RomeBW - Marco Romano - Rome, Italy"/>
        <s v="General curator reward - March 2024 - Cappex"/>
        <s v="Social media takedown - March 2024 - Michelle"/>
        <s v="Social media takedown - March 2024 - ShakurHarun"/>
        <s v="Social media takedown - March 2024 - Sirjey"/>
        <s v="Database of DNS registrars - March 2024 - Tim Janssen"/>
        <s v="Website Management lv555 + curator abdulbee"/>
        <s v="Task1 pastaMan March 2024"/>
        <s v="Task1 Tim March 2024"/>
        <s v="Task1 frankywild March 2024"/>
        <s v="astar-srl-2403"/>
        <s v="Chainwire via MarketAccross - DOT top up for child bounty #895 - DOT Price = 8.25 USDT"/>
        <s v="Reimbursement for Luca Poggi as Technical Curator - EMA Binance DOT 60 days = 8.87 USDT - https://docs.google.com/document/d/1FjSsefrDaIVF6xaojRd7AYeUM4P4KSWOncbLl7xiKcM"/>
        <s v="Lunar Strategy - Invoice 2024/04/06 - Subscan EMA 7 days = 8.7 USDT - excess DOT due to change in price must be returned"/>
        <s v="EVOX - INV048 - Binance EMA 7 days = 8.706 USDT - excess DOT due to change in price must be returned"/>
        <s v="NGUYEN QUANG TRUONG / CRIS NGUYEN - Invoice #9 - Binance EMA 7 days = 8.716 USDT - excess DOT due to change in price must be returned"/>
        <s v="Payment to Oak Security for Archisinal Review"/>
        <s v="Payment to Bright Inventions for Milestone 3"/>
        <s v="Crane - Invoice #1 - DOT = 6.70 USDT - excess DOT due to change in price must be returned"/>
        <s v="q1 rogue payout"/>
        <s v="Q1&amp;Q2 Portico payout"/>
        <s v="Q2 Rogue Payout"/>
        <s v="Q1&amp;Q2 Zondax Payout"/>
        <s v="Q1 Metaspan Payout https://github.com/paseo-network/payouts/issues/1"/>
        <s v="EVOX - INV050 - DOT Price at the time of the invoice = 6.60 USDT - excess DOT due to change in price must be returned"/>
        <s v="[APPLICATION] exam play game M1"/>
        <s v="Blockops Apr 24"/>
        <s v="Dwellir Apr 24"/>
        <s v="OnFinality Apr 24"/>
        <s v="Lucky Friday Apr 24"/>
        <s v="RockX Apr 24"/>
        <s v="Stakeworld Apr 24"/>
        <s v="RadiumBlock Apr 24"/>
        <s v="Crane - Invoice #2 - [DOT = 6.885 USDT - 10% = 6.1965 USDT] - excess DOT due to change in price must be returned"/>
        <s v="{Bash} EthDenver second award"/>
        <s v="CEE Wealth Summit - Scythe Ventures - Vienna, Italy "/>
        <s v="WizardAmigos slippage reimbursement"/>
        <s v="Smart City Expo Brazil second award"/>
        <s v="ArtsDAO slippage reimbursement"/>
        <s v="RomeBW second tranche (VAT)"/>
        <s v="Distractive @ ETHDenver second award"/>
        <s v="Memecoin MeetUp at W3.hub - Web3Rdy - Berlin, Germany"/>
        <s v="Polkadot Monthly Meetup - Max Rebol - Hong Kong"/>
        <s v="Polkadot Networking Eve - Nicholas Joshua - Northern Nigeria"/>
        <s v="Budapest Meetups slippage and scaling award - Viktor - Budapest, Hungary"/>
        <s v="BlackXP Game Jam reimbusrement"/>
        <s v="3 Brazil Meetups slippage"/>
        <s v="CoinStudio Q1 https://github.com/paseo-network/payouts/issues/2"/>
        <s v="Coinstudio Q2 https://github.com/paseo-network/payouts/issues/3"/>
        <s v="Valid Orange Q1 https://github.com/paseo-network/payouts/issues/4"/>
        <s v="Valid orange Q2 https://github.com/paseo-network/payouts/issues/5"/>
        <s v="Curator bounty - April 2024 - AJ"/>
        <s v="Moderation bounty - Aprill 2024 - Gr33n"/>
        <s v="Moderation bounty - April 2024 - MC"/>
        <s v="Moderation bounty - April 2024 - Mister_Cole"/>
        <s v="Moderation bounty - April 2024 - muddlebee"/>
        <s v="Moderation Team Bounty- April 2024- Abdulbee"/>
        <s v="Moderation Team Bounty- April 2024- LV"/>
        <s v="Moderation Team Bounty- April 2024- Maarmapa"/>
        <s v="Moderation Team Bounty- April 2024- Paradox"/>
        <s v="Moderation Team Bounty-April 2024-TimJanssen"/>
        <s v="Moderation Team Bounty April 2024 Cappex"/>
        <s v="Moderation Team Bounty April 2024 Franky"/>
        <s v="Moderation Team Bounty April 2024 Grizzly"/>
        <s v="Moderation Team Bounty April 2024 pastaman"/>
        <s v="MetaSpan Q2 - https://github.com/paseo-network/payouts/issues/6 "/>
        <s v="Gatotech q1 - https://github.com/paseo-network/payouts/issues/10"/>
        <s v="Gatotech Q2 - https://github.com/paseo-network/payouts/issues/11"/>
        <s v="Simply Staking - Q1 https://github.com/paseo-network/payouts/issues/12"/>
        <s v="Anti-Scam Victim Support- Retroactive payments for Feb-Mar + April 2024- Alina "/>
        <s v="Anti-Scam Forensics Support- Retroactive payments for Feb-Mar + April 2024- Alina "/>
        <s v="Night-Hawk extension"/>
        <s v="General Admin - Paradox - April 2024"/>
        <s v="General Admin - Pastaman - April 2024"/>
        <s v="General Admin - Cmalize - April 2024"/>
        <s v="General Curation - Cappex - April 2024"/>
        <s v="Track Management of Admin/Operation - April 2024 - Adbulbee"/>
        <s v="General curator - April 2024 - Abdulbee"/>
        <s v="Track Management of Education track - April 2024 - Maarmapa "/>
        <s v="Track management of reactive track - Tim"/>
        <s v="Track management of proactive track - frankywild"/>
        <s v="track management of outreach track - grizzlyadams"/>
        <s v="General curation - grizzlyadams"/>
        <s v="Sub manager and Content creator - ecardo5o"/>
        <s v="Sub manager and Content creator - Maarmapa"/>
        <s v="Account Manager - grizzlyadams"/>
        <s v="Content creation - grizzlyadams"/>
        <s v="General curation-April 2024- KammalaImmaculate"/>
        <s v="Maintenance of Phishing Repo/Proactive Track-April 2024- Frankywild"/>
        <s v="Maintenance of Phishing Repo/Proactive Track-April 2024- Pastaman"/>
        <s v="Maintenance of Phishing Repo/Proactive Track-April 2024- TimJanssen "/>
        <s v="Account management/Outreach Track-April 2024- KammalaImmaculate"/>
        <s v="Social Media Takedown Task - Michelle - April 2024"/>
        <s v="Social Media Takedown Task - ShakurHarun - April 2024"/>
        <s v="Social Media Takedown Task - Sirjey - April 2024"/>
        <s v="Website Management - Adim/Op - IV555 - April 2024"/>
        <s v="set up multisig spanish bounty"/>
        <s v="Task 1 - April 2024 - Frankywild"/>
        <s v="Task 1 - April 2024 - Pastaman"/>
        <s v="Task 1 - April 2024 - Tim Janssen"/>
        <s v="Brew sponsorship - Berlin Blockchain Week - May 2024"/>
        <s v="Retroactive Funds - Sub0 Side Events - WebZero "/>
        <s v="ParisDotComm 2023 - Team Rewards "/>
        <s v="Polkadot at TeamZ Web3 AI Summit 2024 - Top up "/>
        <s v="Ops Admin System Fees - Jan to May 2024 - Zoe"/>
        <s v="Q1 2024 Curator awards - WebZero"/>
        <s v="Q1 2024 Curator awards - Hutch"/>
        <s v="Q1 2024 Curator awards - ChaosDAO"/>
        <s v="Q1 2024 Curator Awards - Mark"/>
        <s v="Q1 2024 Curator Awards - Zoe"/>
        <s v="Q1 2024 SubCurator Awards - Saimon"/>
        <s v="Q1 2024 SubCurator Awards - Chris"/>
        <s v="Q1 2024 SubCurator Awards - Mario"/>
        <s v="CEE Wealth Summit - Harbor Industrial Captial - Vienna, Austria"/>
        <s v="Polkadot Day Budapest - Vikk - Budapest, Hungary"/>
        <s v="Viasoft Connect 2024 - Parachainboy and Lui5 - Curitiba, Brazil"/>
        <s v="Consensus Hackathon Sponsorship - WebZero - Austin, TX"/>
        <s v="Outreach track content editor- Retroactive Feb-March+April 2024- Michelle"/>
        <s v="Outreach track account management- April 2024- Maarmapa"/>
        <s v="Payment to MuFi for Milestone 2"/>
        <s v="Hosting fee for Curator RPC instance @ $25.0000 + 1/6 hosting fee for supporting relay chain RPC instances @ $80.0000 + 1/6 hosting fee for curator instance @ $40.0000"/>
        <s v="Staker Space\Statemint produced 13660/15665 blocks; SR: 0 (Invulnerable), CR: 37.1172"/>
        <s v="DPSTK produced 14057/15665 blocks; SR: 0 (Invulnerable), CR: 38.1960"/>
        <s v="LuckyFriday.io produced 14015/15665 blocks; SR: 0 (Invulnerable), CR: 38.0819"/>
        <s v="turboflakes.io\MINT produced 14395/15665 blocks; SR: 0 (Invulnerable), CR: 39.1144"/>
        <s v="0x506f6c6b61646f74746572735ce29b93434f52452070726f64756365642031343332392f313536363520626c6f636b733b2053523a2031332e353235352c2043523a2033382e39333531"/>
        <s v="0xf09f909f59656c6c6f7746696e2054756e61f09f909f5cf09fa59753616c6164f09fa5972070726f64756365642031353636352f313536363520626c6f636b733b2053523a2031342e373836362c2043523a2034322e35363533"/>
        <s v="0x4d696c65f09f8c8d5c5379732070726f64756365642031343935312f313536363520626c6f636b733b2053523a2031342e313132362c2043523a2034302e36323532"/>
        <s v="Sik | crifferent.de produced 14057/15665 blocks; SR: 13.2688, CR: 38.1960"/>
        <s v="STKD.IO\AssetHub produced 9472/15665 blocks; SR: 8.9409, CR: 25.7375"/>
        <s v="ParaNodes.io produced 14471/15665 blocks; SR: 0 (Invulnerable), CR: 39.3209"/>
        <s v="0xf09fa78a2049636562657267204e6f64657320f09fa78a2070726f64756365642031343131332f313536363520626c6f636b733b2053523a2031332e333231362c2043523a2033382e33343831"/>
        <s v="Stakeworld.io produced 14167/15665 blocks; SR: 13.3726, CR: 38.4949"/>
        <s v="Chris-Staking\bridgehub produced 4428/15665 blocks; SR: 4.1797, CR: 12.0319"/>
        <s v="Reward for curator (frankywild) as a portion from total 568.6573"/>
        <s v="Reward for curator (pastaMan) as a portion from total 568.6573"/>
        <s v="Reward for curator (Tim Janssen) as a portion from total 568.6573"/>
        <s v="Stakeworld.io produced 14277/15672 blocks; SR: 0 (Invulnerable), CR: 38.7764"/>
        <s v="Iceberg Nodes  produced 14063/15672 blocks; SR: 0 (Invulnerable), CR: 38.1952"/>
        <s v="openbitlab\bridgehub produced 14113/15672 blocks; SR: 0 (Invulnerable), CR: 38.3310"/>
        <s v="Sik | crifferent.de produced 14156/15672 blocks; SR: 0 (Invulnerable), CR: 38.4478"/>
        <s v="ParaNodes.io produced 14464/15672 blocks; SR: 13.6468, CR: 39.2843"/>
        <s v="Staker Space\bridgehub produced 8526/15672 blocks; SR: 8.0443, CR: 23.1567"/>
        <s v="LuckyFriday.io produced 14147/15672 blocks; SR: 13.3478, CR: 38.4234"/>
        <s v="Mile\Sys produced 14996/15672 blocks; SR: 14.1488, CR: 40.7292"/>
        <s v="YellowFin Tuna\Salad produced 15672/15672 blocks; SR: 14.7866, CR: 42.5653"/>
        <s v="turboflakes.io\MINT produced 14393/15672 blocks; SR: 13.5799, CR: 39.0915"/>
        <s v="Chris-Staking\bridgehub produced 4149/15672 blocks; SR: 3.9146, CR: 11.2687"/>
        <s v="Polkadotters\CORE produced 14361/15672 blocks; SR: 0 (Invulnerable), CR: 39.0046"/>
        <s v="COINSTUDIO produced 9668/15672 blocks; SR: 9.1218, CR: 26.2584"/>
        <s v="STKD.IO produced 4810/15672 blocks; SR: 4.5383, CR: 13.0640"/>
        <s v="Reward for curator (frankywild) as a portion from total 568.1101"/>
        <s v="Reward for curator (pastaMan) as a portion from total 568.1101"/>
        <s v="Reward for curator (Tim Janssen) as a portion from total 568.1101"/>
        <s v="YellowFin Tuna\Salad produced 15774/16245 blocks; SR: 0 (Invulnerable), CR: 41.3311"/>
        <s v="Stake Plus\COLLECTIVES01 produced 14060/16245 blocks; SR: 0 (Invulnerable), CR: 36.8401"/>
        <s v="Mile\Sys produced 15163/16245 blocks; SR: 0 (Invulnerable), CR: 39.7302"/>
        <s v="BESTVALIDATOR | ZURICH\collectives produced 13935/16245 blocks; SR: 0 (Invulnerable), CR: 36.5126"/>
        <s v="ParaNodes.io produced 14596/16245 blocks; SR: 13.2856, CR: 38.2445"/>
        <s v="Staker Space\collectives produced 3871/16245 blocks; SR: 3.5235, CR: 10.1428"/>
        <s v="MathCrypto\collectives produced 16245/16245 blocks; SR: 14.7866, CR: 42.5653"/>
        <s v="Polkadotters\CORE produced 11130/16245 blocks; SR: 10.1308, CR: 29.1629"/>
        <s v="ExtraCoin produced 14290/16245 blocks; SR: 0 (Invulnerable), CR: 37.4428"/>
        <s v="Iceberg Nodes  produced 14296/16245 blocks; SR: 13.0126, CR: 37.4585"/>
        <s v="Coinstudio\COLLECTIVES produced 14017/16245 blocks; SR: 12.7586, CR: 36.7274"/>
        <s v="LuckyFriday.io produced 14224/16245 blocks; SR: 12.9470, CR: 37.2698"/>
        <s v="Stakeworld.io produced 9943/16245 blocks; SR: 9.0504, CR: 26.0527"/>
        <s v="Reward for curator (frankywild) as a portion from total 545.3607"/>
        <s v="Reward for curator (pastaMan) as a portion from total 545.3607"/>
        <s v="Reward for curator (Tim Janssen) as a portion from total 545.3607"/>
        <s v="MediaFuse.org - Invoice 14782 - DOT price -10% = 6.19 USDT - excess DOT due to higher DOT market price when claim is made available must be returned"/>
        <s v="ChainWire - Invoice 59105 - DOT price -10% = 6.19 USDT - excess DOT due to higher DOT market price when claim is made available must be returned"/>
        <s v="Lunar Strategy - Invoice 59105 - DOT price -10% = 6.093 USDT - excess DOT due to higher DOT market price when claim is made available must be returned"/>
        <s v="MarketAccross - Invoice 14790 - DOT price -10% = 6.057 USDT - excess DOT due to higher DOT market price when claim is made available must be returned"/>
        <s v="EVOX - INV0505 - DOT price = 6.786 USDT - excess DOT due to higher DOT market price when claim is made available must be returned"/>
        <s v="Spanish bounty - content creation "/>
        <s v="Meetup Venezuela"/>
        <s v="VDS Event"/>
        <s v="Blockops May 24"/>
        <s v="Dwellir May 24"/>
        <s v="OnFinality May 24"/>
        <s v="Lucky Friday May 24"/>
        <s v="RockX May 24"/>
        <s v="Stakeworld May 24"/>
        <s v="RadiumBlock May 24"/>
        <s v="Content creation CE_1"/>
        <s v="Content Creation CE_2"/>
        <s v="Content Creation CE_03"/>
        <s v="Google Drive ($54) + Adam Steeber's work in technical configurations ($200)"/>
        <s v="Translations TT 4 &amp; 5"/>
        <s v="Polkaport East second award"/>
        <s v="La Cusathon - Polkadot Peru - Lima, Peru"/>
        <s v="Treasury refund"/>
        <s v="Payment to Starlay Finance for Milestone 3"/>
        <s v="ETHRome second payout"/>
        <s v="HIC PBA Investor Dinner - Harbor Industrial Capital - Hong Kong"/>
        <s v="Spanish bounty - content creation"/>
        <s v="Spanish Bounty Translations"/>
        <s v="Spanish Bounty C4_C10"/>
        <s v="Spanish Bounty C5_C13"/>
        <s v="Spanish Bounty C6"/>
        <s v="Spanish Bounty C9"/>
        <s v="Spanish Bounty C11"/>
        <s v="Spanish Bounty C12"/>
        <s v="Curator fee Ezio"/>
        <s v="Curator fee Lengo"/>
        <s v="Curator fee Ernih"/>
        <s v="Admin fee Amaury"/>
        <s v="Curator Fee - Albert"/>
        <s v="Curator Fee - Blockya"/>
        <s v="Curator Fee - Gerardo"/>
        <s v="Curator Fee - Nachito"/>
        <s v="The Innovation Village Kampala Uganda"/>
        <s v="EVOX - INV0507 - DOT price = 7.142 USDT - excess DOT due to higher DOT market price when claim is made available must be returned"/>
        <s v="Crane - Invoice #3 - DOT price = 7.19 USDT - excess DOT due to higher DOT market price when claim is made available must be returned"/>
        <s v="MarketAcross - Invoice 14827 - DOT price - 10% = 6.534 USDT - excess DOT due to higher DOT market price when claim is made available must be returned"/>
        <s v="Moderation curator bounty - May 2024 - AJ"/>
        <s v="Moderation team bounty - May 2024 - Gr33nHatt3R"/>
        <s v="Moderation team bounty - May 2024 - MC"/>
        <s v="Moderation team bounty - May 2024 - Mister_Cole"/>
        <s v="Moderation team bounty - May 2024 - Muddlebee"/>
        <s v="Moderation Bounty - May 2024 - Cappex"/>
        <s v="Moderation Bounty - May 2024 - frankywild"/>
        <s v="Moderation Bounty - May 2024 - Grizzly"/>
        <s v="Moderation Bounty - May 2024 - pastaMan"/>
        <s v="Bridgehub related staking rewards due to bug"/>
        <s v="Assethub related staking rewards due to bug"/>
        <s v="Reward for curator (frankywild) as a portion from total 126.2464"/>
        <s v="Reward for curator (pastaMan) as a portion from total 126.2464"/>
        <s v="Reward for curator (Tim Janssen) as a portion from total 126.2464"/>
        <s v="Proof of Talk 2024 - Scytale Digital - Paris, France"/>
        <s v="Moderation team bounty- May 2024- Abdulbee"/>
        <s v="Moderation team bounty- May 2024- LV"/>
        <s v="Moderation team bounty-May 2024- Maarmapa"/>
        <s v="Moderation team bounty-May 2024- Paradox"/>
        <s v="Moderation team bounty- May 2024-Tim Janssen "/>
        <s v="Free Web3 Workshop: Blockchain, Rust, and Career Paths to Polkadot | May 31st, 2024 | Cebu, Philippines"/>
        <s v="Payment to Band Protocol for Milestone 1"/>
        <s v="Jim Farley's refund of program deposits. 20.041 DOT for creation of pure proxy + 18.5 DOT contribution toward parent bounty curator deposit + 1.233 DOT for enlivening the pure proxy."/>
        <s v="Spanish Bounty - Content curator"/>
        <s v="written content CE 8"/>
        <s v="written content CE 14"/>
        <s v="written content CE 15.17.20"/>
        <s v="written content CE 19"/>
        <s v="written content CE 22"/>
        <s v="written content CE 23"/>
        <s v="written content CE 24"/>
        <s v="Translation TT 8"/>
        <s v="Translation TT 9.12"/>
        <s v="Translation TT 13"/>
        <s v="Polkadot Meet-up Bounty Northern Nigeria by Polkadot Ambassdor "/>
        <s v="Track management of reactive track May - Tim Janssen"/>
        <s v="Track management of admin/op track May - abdulbee"/>
        <s v="General administration May - Paradox"/>
        <s v="General curation May - abdulbee"/>
        <s v="Maintenance of phishing repo May - frankywild"/>
        <s v="Maintenance of phishing repo May - pastaMan"/>
        <s v="Maintenance of phishing repo May - Tim Janssen"/>
        <s v="Content creation May - H3ct0r4lph4"/>
        <s v="Editor payout May - tramymisa"/>
        <s v="Educational track management - May 2024 - Maarmapa"/>
        <s v="General admin - May 2024 - cmalize"/>
        <s v="General curation - May 2024 - kamala"/>
        <s v="Anti-scam collective document - Machala"/>
        <s v="Anti-scam collective document - sirjay"/>
        <s v="Anti-scam collective document - Shakurharun"/>
        <s v="Anti-scam collective document - Tramysa"/>
        <s v="Track Management/ Admin-Operation - Grizilly - May 2024"/>
        <s v="General Curator - Grizzly - May 2024"/>
        <s v="DART/Education Task - Abujulaibib - May 2024"/>
        <s v="DART/Education Task - Macchalafortune - May 2024"/>
        <s v="DART/Education Task - Ecardo5o - May 2024"/>
        <s v="Proactive track management-May 2024- Frankywild"/>
        <s v="General Administration- May 2024- Pastaman"/>
        <s v="General curation- May 2024- Cappex"/>
        <s v="Database upkeep- May 2024-TimJanssen"/>
        <s v="Social Media content creation - May 2024 - Cappex"/>
        <s v="Takedown of Phishing websites/Proactive track-May 2024- Frankywild"/>
        <s v="Takedown of Phishing websites/Proactive track-May 2024-Pastaman"/>
        <s v="Takedown of Phishing websites/Proactive track-May 2024- TimJanssen"/>
        <s v="Subscribtion service to Merkel Science/Forensics Track-May"/>
        <s v="Social Media account management - May 2024 - Kamala"/>
        <s v="Outreach-Sub manager payout &amp; Content creation - ecardo5o - May 2024"/>
        <s v="Outreach-Sub Manager payout - Maarmapa - May 2024"/>
        <s v="Outreach-Account Management -  Grizzly - May 2024"/>
        <s v="Outreach-Content Creation - Grizzly - May 2024"/>
        <s v="Max Rebol's parent bounty curator sign-on bonus."/>
        <s v="Luke Schoen's parent bounty curator sign-on bonus."/>
        <s v="Stiwar Lopez's parent bounty curator sign-on bonus."/>
        <s v="Ezio Rojas' parent bounty curator sign-on bonus."/>
        <s v="Janko Ranghi's parent bounty curator sign-on bonus."/>
        <s v="Rafael Yahlomi's parent bounty curator sign-on bonus."/>
        <s v="Clinton Swan's parent bounty curator sign on bonus."/>
        <s v="Eduardo Cardoso's parent bounty curator sign-on bonus."/>
        <s v="Jimmy Tudeski's parent bounty curator sign-on bonus."/>
        <s v="Adam Steeber's parent bounty curator sign-on bonus."/>
        <s v="ANEMOIA Proposal: Coffee Talk Sponsored by Polkadot: How #Web3 is Impacting GenZ?"/>
        <s v="KuCoin AssetHub Integration"/>
        <s v="Ramp Network AssetHub Integration and Parachain on-ramps"/>
        <s v="Zapper Integration for Astar, Moonbeam, Acala and HydraDX"/>
        <s v="Zapper Integration for Astar, Moonbeam, Acala and HydraDX Milestone 1"/>
        <s v="April/May Curator Awards WebZero"/>
        <s v="April/May Curator Awards ChaosDAO"/>
        <s v="April/May Curator Awards Hutch"/>
        <s v="April/May Curator Awards Zoe"/>
        <s v="April/May Curator Awards Mark"/>
        <s v="Polkadotters - Q1 &amp; Q2: https://github.com/paseo-network/payouts/issues/14 &amp; https://github.com/paseo-network/payouts/issues/15 "/>
        <s v="Dwellier Q1 &amp;Q2 https://github.com/paseo-network/payouts/issues/17 &amp; https://github.com/paseo-network/payouts/issues/16"/>
        <s v="Radium Block Q1 &amp; Q2 https://github.com/paseo-network/payouts/issues/19 &amp; https://github.com/paseo-network/payouts/issues/18"/>
        <s v="Bright Disputes Milestone 4 Payout"/>
        <s v="Social Media takedowns - May 2024 - Tramysa"/>
        <s v="Social Media takedowns - May 2024 - ShakurHarun"/>
        <s v="Social Media takedowns - May 2024 - SirJey"/>
        <s v="Victim Support Track- May 2024- Alina"/>
        <s v="Forensics Support Track- May 2024- Alina"/>
        <s v="hydradx-srl-2405"/>
        <s v="hyperbridge-srl-2405"/>
        <s v="Stake Plus Bounty 50 payouts https://github.com/ibp-network/ChildBounties"/>
        <s v="Metaspan Bounty 50 payouts https://github.com/ibp-network/ChildBounties"/>
        <s v="Helikon Bounty 50 payouts https://github.com/ibp-network/ChildBounties"/>
        <s v="Gatotech Bounty 50 payouts https://github.com/ibp-network/ChildBounties"/>
        <s v="Amforc Bounty 50 payouts https://github.com/ibp-network/ChildBounties"/>
        <s v="CoinStudio Bounty 50 payouts https://github.com/ibp-network/ChildBounties"/>
        <s v="Turboflakes Bounty 50 payouts https://github.com/ibp-network/ChildBounties"/>
        <s v="Dwellir Bounty 50 payouts https://github.com/ibp-network/ChildBounties"/>
        <s v="RadiumBlock Bounty 50 payouts https://github.com/ibp-network/ChildBounties"/>
        <s v="Rotko Bounty 50 payouts https://github.com/ibp-network/ChildBounties"/>
        <s v="Polkadotters Bounty 50 payouts https://github.com/ibp-network/ChildBounties"/>
        <s v="Lucky Friday Bounty 50 payouts https://github.com/ibp-network/ChildBounties"/>
        <s v="Task 2b Curator reward-May 2024- Frankywild"/>
        <s v="Hosting fee for Curator RPC instance @ $25.0000 + 1/7 hosting fee for supporting relay chain RPC instances @ $80.0000 + 1/7 hosting fee for curator instance @ $40.0000"/>
        <s v="0x4d696c65f09f8c8d5c5379732070726f64756365642031363134372f313631373620626c6f636b733b2053523a2031342e393832342c2043523a2034322e30383838"/>
        <s v="0xf09f909f59656c6c6f7746696e2054756e61f09f909f5cf09fa59753616c6164f09fa5972070726f64756365642031363133392f313631373620626c6f636b733b2053523a2031342e393735302c2043523a2034322e30363830"/>
        <s v="Sik | crifferent.de produced 14212/16176 blocks; SR: 13.1870, CR: 37.0451"/>
        <s v="Chris-Staking\bridgehub produced 16176/16176 blocks; SR: 15.0093, CR: 42.1644"/>
        <s v="ParaNodes.io produced 16130/16176 blocks; SR: 0 (Invulnerable), CR: 42.0445"/>
        <s v="Staker Space\Statemint produced 14796/16176 blocks; SR: 0 (Invulnerable), CR: 38.5673"/>
        <s v="DPSTK produced 15818/16176 blocks; SR: 0 (Invulnerable), CR: 41.2313"/>
        <s v="LuckyFriday.io produced 16112/16176 blocks; SR: 0 (Invulnerable), CR: 41.9976"/>
        <s v="turboflakes.io\MINT produced 16065/16176 blocks; SR: 0 (Invulnerable), CR: 41.8751"/>
        <s v="0x506f6c6b61646f74746572735ce29b93434f52452070726f64756365642031353830382f313631373620626c6f636b733b2053523a2031342e363637382c2043523a2034312e32303532"/>
        <s v="Stakeworld.io produced 16097/16176 blocks; SR: 14.9360, CR: 41.9585"/>
        <s v="0xf09fa78a2049636562657267204e6f64657320f09fa78a2070726f64756365642031343138322f313631373620626c6f636b733b2053523a2031332e313539312c2043523a2033362e39363639"/>
        <s v="Reward for curator (frankywild) as a portion from total 596.0525"/>
        <s v="Reward for curator (pastaMan) as a portion from total 596.0525"/>
        <s v="Reward for curator (Tim Janssen) as a portion from total 596.0525"/>
        <s v="MILE produced 14113/15665 blocks; SR: 13.3216, CR: 38.3481"/>
        <s v="ParaNodes.io produced 16245/16297 blocks; SR: 14.9614, CR: 42.0299"/>
        <s v="LuckyFriday.io produced 16226/16297 blocks; SR: 14.9439, CR: 41.9807"/>
        <s v="turboflakes.io\MINT produced 16181/16297 blocks; SR: 14.9025, CR: 41.8643"/>
        <s v="COINSTUDIO produced 16297/16297 blocks; SR: 15.0093, CR: 42.1644"/>
        <s v="Polkadotters\CORE produced 16030/16297 blocks; SR: 0 (Invulnerable), CR: 41.4736"/>
        <s v="Stakeworld.io produced 16262/16297 blocks; SR: 0 (Invulnerable), CR: 42.0739"/>
        <s v="Iceberg Nodes produced 14190/16297 blocks; SR: 0 (Invulnerable), CR: 36.7131"/>
        <s v="openbitlab\bridgehub produced 14419/16297 blocks; SR: 0 (Invulnerable), CR: 37.3056"/>
        <s v="Sik | crifferent.de produced 14178/16297 blocks; SR: 0 (Invulnerable), CR: 36.6821"/>
        <s v="Staker Space\bridgehub produced 14913/16297 blocks; SR: 13.7347, CR: 38.5837"/>
        <s v="YellowFin Tuna\Salad produced 16268/16297 blocks; SR: 14.9826, CR: 42.0894"/>
        <s v="Reward for curator (frankywild) as a portion from total 594.5078"/>
        <s v="Reward for curator (pastaMan) as a portion from total 594.5078"/>
        <s v="Reward for curator (Tim Janssen) as a portion from total 594.5078"/>
        <s v="TT-17 to TT-20 TT-24 to TT- 27"/>
        <s v="TT-21 to TT-23 TT-28"/>
        <s v="TT-15 CE-32"/>
        <s v="TT-7 CE-7 and CE-34"/>
        <s v="CE-27"/>
        <s v="Spanish Bounty - Content creation V_19"/>
        <s v="Spanish Bounty - Content creation V_27"/>
        <s v="Spanish Bounty - Content creation V_28"/>
        <s v="Spanish Bounty - Content creation V_31"/>
        <s v="Spanish bounty - content creation V_29"/>
        <s v="Spanish bounty - content creation V_30"/>
        <s v="Reward MeetUp Venezuela"/>
        <s v="Workshop Valencia (Venezuela)"/>
        <s v="Spanish Bounty - CE_26 / TT_14 / TT_16"/>
        <s v="Spanish Bounty - CE_28"/>
        <s v="Spanish Bounty - CE_35"/>
        <s v="Spanish Bounty - CE_29"/>
        <s v="Spanish Bounty - CE_30"/>
        <s v="Spanish Bounty - CE_31"/>
        <s v="Spanish Bounty - CE_33"/>
        <s v="ExtraCoin produced 14312/16337 blocks; SR: 0 (Invulnerable), CR: 36.9381"/>
        <s v="YellowFin Tuna\Salad produced 16313/16337 blocks; SR: 0 (Invulnerable), CR: 42.1025"/>
        <s v="Mile\Sys produced 16298/16337 blocks; SR: 0 (Invulnerable), CR: 42.0638"/>
        <s v="BESTVALIDATOR | ZURICH\collectives produced 16304/16337 blocks; SR: 0 (Invulnerable), CR: 42.0793"/>
        <s v="Stakeworld.io produced 16337/16337 blocks; SR: 15.0093, CR: 42.1644"/>
        <s v="ParaNodes.io produced 16074/16337 blocks; SR: 14.7677, CR: 41.4857"/>
        <s v="LuckyFriday.io produced 16285/16337 blocks; SR: 14.9615, CR: 42.0302"/>
        <s v="Iceberg Nodes produced 14341/16337 blocks; SR: 13.1755, CR: 37.0129"/>
        <s v="Coinstudio\COLLECTIVES produced 16333/16337 blocks; SR: 15.0056, CR: 42.1541"/>
        <s v="MathCrypto\collectives produced 16127/16337 blocks; SR: 14.8164, CR: 41.6224"/>
        <s v="Stake Plus\COLLECTIVES01 produced 16177/16337 blocks; SR: 0 (Invulnerable), CR: 41.7515"/>
        <s v="Polkadotters\CORE produced 12595/16337 blocks; SR: 11.5714, CR: 32.5066"/>
        <s v="Reward for curator (frankywild) as a portion from total 589.1421"/>
        <s v="Reward for curator (pastaMan) as a portion from total 589.1421"/>
        <s v="Reward for curator (Tim Janssen) as a portion from total 589.1421"/>
        <s v="Spanish Bounty - Creation Video V_24"/>
        <s v="MarketAcross - Invoice 14871 - DOT price - 10% = 6.48 USDT - excess DOT due to higher DOT market price when claim is made available must be returned"/>
        <s v="Christian Dirk's refund of program deposits. 20.041 for creation of pure proxy + 18.5 contribution toward parent bounty curator deposit + 2 for enlivening the pure proxy."/>
        <s v="Merkel science subscription top-up to account for market drop"/>
        <s v="Bounty for 1 year of Twitter Gold subscribtion for the Anti-Scam Team"/>
        <s v="centrifuge-cantina-2405"/>
        <s v="Meetup Refund - Polkadot Day Arca HUB - Rio de janeiro, Brazil"/>
        <s v="Meetup - Polkapizza Lisbon, Portugal"/>
        <s v="Polkadot Meet-up, Lagos, Nigeria"/>
        <s v="Java Host (Fruzhin) Phase 2 child bounty second tranche"/>
        <s v="Amended KuCoin AssetHub Integration"/>
        <s v="Amended Ramp Network AssetHub Integration and Parachain on-ramps"/>
        <s v="Amended Zapper Integration for Astar, Moonbeam, Acala and HydraDX Milestone 1"/>
        <s v="Spanish bounty - Content Creation - V_32"/>
        <s v="Spanish bounty - Content Creation - V_35"/>
        <s v="Spanish bounty - Content Creation - V_36"/>
        <s v="Spanish bounty - Content Creation - V_39"/>
        <s v="Spanish bounty - Content Creation - V_40"/>
        <s v="Spanish Bounty - CE_36/ TT29 &amp; TT30"/>
        <s v="Spanish Bounty CE_37"/>
        <s v="Spanish Bounty  TT_31 &amp; TT32"/>
        <s v="Spanish bounty - Content Creation - V_33"/>
        <s v="Spanish bounty - Content Creation - V_38"/>
        <s v="PolkadotxBlockchaincon2024"/>
        <s v="Polkadot Decoded Viewing Party - Lima, Peru"/>
        <s v="Dart and Task Management Rewards - Hector -  May 2024"/>
        <s v="Facilitator Payment to Astar"/>
        <s v="EVOX - INV071 - DOT price = 5.83 USDT - excess DOT due to higher DOT market price when claim is made available must be returned"/>
        <s v="Lunar Strategy - Invoice 2024/06/19 - DOT price -10% = 5.364 USDT - excess DOT due to higher DOT market price when claim is made available must be returned"/>
        <s v="Blockops June 24"/>
        <s v="Dwellir June 24"/>
        <s v="OnFinality June 24"/>
        <s v="Lucky Friday June 24"/>
        <s v="Stakeworld June 24"/>
        <s v="RadiumBlock June 24"/>
        <s v="Insular.web3 - Polkadot in Lemuy"/>
        <s v="Crane - Invoice #4 - DOT price = 5.20 USDT - excess DOT due to higher DOT market price when claim is made available must be returned"/>
        <s v="Curator bounty - June 2024 - Abdulbee"/>
        <s v="Curator bounty - June 2024 - Grizzly"/>
        <s v="Head Mod bounty - June 2024 - Mister_cole"/>
        <s v="Moderation team bounty - June 2024 - Gr33n"/>
        <s v="Moderation team bounty - June 2024 - MC"/>
        <s v="Moderation team bounty - June 2024 - Muddlebee"/>
        <s v="Moderation team bounty - June 2024 - Michelle"/>
        <s v="Moderation team bounty - June 2024 - Mario"/>
        <s v="Moderation team bounty - June 2024 - Paradox"/>
        <s v="Moderation team bounty - June 2024 - Tim"/>
        <s v="Moderation team bounty - June 2024 - Cappex"/>
        <s v="Moderation team bounty - June 2024 - Frankywild"/>
        <s v="Moderation team bounty - June 2024 - Pastaman"/>
        <s v="Cooperation with Founder Institute"/>
        <s v="Website management- May 2024- LV555"/>
        <s v="Spanish Bounty - payment Lore"/>
        <s v="Spanish Bounty - payment Geral"/>
        <s v="Spanish Bounty - payment Ezio"/>
        <s v="Spanish Bounty - payment Ernhi"/>
        <s v="Spanish Bounty - payment Albert"/>
        <s v="Spanish Bounty - payment Nachito"/>
        <s v="Spanish Bounty - payment Amaury"/>
        <s v="Spanish Bounty - payment Lengo"/>
        <s v="Spanish bounty - Content Creation V_43"/>
        <s v="Spanish bounty - Content Creation V_44"/>
        <s v="Spanish bounty - Content Creation V_47"/>
        <s v="Spanish bounty - Content Creation V_48"/>
        <s v="Spanish Bounty - CE_40 &amp; TT_38"/>
        <s v="Spanish Bounty - TT_33 &amp; TT34"/>
        <s v="Spanish Bounty - TT_37 &amp; CE41"/>
        <s v="Spanish Bounty - TT_36/TT_39/TT_40 "/>
        <s v="Spanish Bounty - TT35 &amp; TT_41"/>
        <s v="Spanish bounty - Content Creation V_37"/>
        <s v="Spanish bounty - Content Creation V_41/V_42"/>
        <s v="Spanish bounty - Content Creation V_45"/>
        <s v="Spanish bounty - Content Creation V_46"/>
        <s v="MarketAcross - Price differences - Invoice 14871 - DOT price - 10% = 6.75 USDT - excess DOT due to higher DOT market price when claim is made available must be returned"/>
        <s v="EVOX - INV072 - DOT price = 5.789 USDT - excess DOT due to higher DOT market price when claim is made available must be returned"/>
        <s v="AlchemyPay AH Integration Fee"/>
        <s v="View Party Chiloe - Chile"/>
        <s v="DOTGraphic: Half of milestone 1 + operational costs"/>
        <s v="AwesomeDOT Podcast: 2 episodes + 10 reels"/>
        <s v="Twitter strategy bootstrap- Retroactive payment from January 2024-Eduardo"/>
        <s v="Monday software 12 months"/>
        <s v="Reimbursement of DOT used for setting up new EB - Leemo"/>
        <s v="Reimbursement of DOT used for setting up new EB - lolmcshizz"/>
        <s v="Thailand Pudgy Penguin Meetup"/>
        <s v="Michelle - Takedowns of other form of scams June 2024"/>
        <s v="Shakurharun - Takedowns of other form of scams June 2024"/>
        <s v="Sirjey - Takedowns of other form of scams June 2024"/>
        <s v="frankywild - Maintenance of phishing repo June 2024"/>
        <s v="pastaMan - Maintenance of phishing repo June 2024"/>
        <s v="Tim Janssen - Maintenance of phishing repo June 2024"/>
        <s v="Top up for twitter gold yearly subscription-July 2024- awarded to Grizzlyadams"/>
        <s v="Polkadot Meetup Kumasi, Ghana"/>
        <s v="Spanish Bounty - Content creation V_52 &quot;NIXON&quot;"/>
        <s v="Spanish Bounty - Content creation V_53 + V_54 &quot;LV&quot;"/>
        <s v="Spanish Bounty - CE_39 &amp; CE_42 "/>
        <s v="Spanish Bounty - CE_43"/>
        <s v="Spanish Bounty - TT_42 / TT_43 / TT_44 / TT_45"/>
        <s v="Spanish Bounty - Content creation V_50"/>
        <s v="Spanish Bounty - Content creation V_53 - V_54"/>
        <s v="Polkadot Networking Eve Q2, Northern Nigeria"/>
        <s v="Tim Janssen - Reactive Track Manager June 2024"/>
        <s v="Paradox - General Administration June 2024"/>
        <s v="_ecardo5o - Social Media Submanager June 2024"/>
        <s v="maarmapa - Social Media Submanager June 2024"/>
        <s v="_ecardo5o - Social Media Content Creation June 2024"/>
        <s v="Cappex - Social Media Content Creation June 2024"/>
        <s v="frankywild - Proactive Track Manager June 2024"/>
        <s v="maarmapa - Educational Track Manager June 2024"/>
        <s v="Alina - Victim Support June 2024"/>
        <s v="Alina - Forensics June 2024"/>
        <s v="Michelle -  Social Media Content Reviewer June 2024"/>
        <s v="Grizzly - Social Media Content Reviewer June 2024"/>
        <s v="Grizzly - Social Media Account Manager June 2024"/>
        <s v="Kamala - Social Media Account Manager June 2024"/>
        <s v="Polkadot Decoded View Party - Tierra de Fuego, Argentina"/>
        <s v="Polkadot Decoded View Party - Bogota, Colombia"/>
        <s v="Polkadot Decoded View Party - Valencia, Venezuela"/>
        <s v="Polkadot Decoded View Party - La Plata, Argentina"/>
        <s v="Grizzly - Outreach Track Manager June 2024"/>
        <s v="cmalize - General Administration June 2024"/>
        <s v="LV - Website Maintenance June 2024"/>
        <s v="Abdulbee - General Curator June 2024"/>
        <s v="Kamala - General Curator June 2024"/>
        <s v="Cappex - General Curator June 2024"/>
        <s v="Grizzly - General Curator June 2024"/>
        <s v="frankywild - General Curator June 2024"/>
        <s v="Paradox - General Curator June 2024"/>
        <s v="frankywild - Malicious sites taken down June 2024"/>
        <s v="pastaMan - Malicious sites taken down June 2024"/>
        <s v="Tim Janssen - Malicious sites taken down June 2024"/>
        <s v="Spanish Bounty V2 TT 47 &amp; TT 50"/>
        <s v="Spanish Bounty V2 TT 49, TT 51 &amp; TT 52"/>
        <s v="Polkadot Decoded View Party - Mendoza, Argentina"/>
        <s v="pastaMan - General Administration June 2024"/>
        <s v="abdulbee - Admin/Op. Track Manager June 2024"/>
        <s v="Pineta Digital - INV073 - DOT price = 5.20 USDT - excess DOT due to higher DOT market price when claim is made available must be returned"/>
        <s v="Reimbursement for Luca Poggi as Technical Curator - DOT price -10% = 4.725 USDT - https://docs.google.com/document/d/1x8Ahljip-BZ90Qqd30yNSXsoeeU-W6PREsx3oTM6QLg"/>
        <s v="Lunar Strategy - Invoice 2024/07/05 - DOT price -10% = 4.788 USDT - excess DOT due to higher DOT market price when claim is made available must be returned"/>
        <s v="Pineta Digital - INV072_difference - DOT price = 5.85 USDT - excess DOT due to higher DOT market price when claim is made available must be returned"/>
        <s v="CMedia/Royal Agency Influencers: Milestone 1 / 3 "/>
        <s v="Payment for the first month's salary of BD Spain Team + 2 Leads + 200 DOTs contributed to the creation of the account."/>
        <s v="Mile\Sys produced 16147/16176 blocks; SR: 14.9824, CR: 42.0888"/>
        <s v="YellowFin Tuna\Salad produced 16139/16176 blocks; SR: 14.9750, CR: 42.0680"/>
        <s v="Polkadotters\CORE produced 15808/16176 blocks; SR: 14.6678, CR: 41.2052"/>
        <s v="Iceberg Nodes produced 14182/16176 blocks; SR: 13.1591, CR: 36.9669"/>
        <s v="Mile\Sys produced 16273/16297 blocks; SR: 14.9872, CR: 42.1023"/>
        <s v="Stakeworld.io produced 15937/15976 blocks; SR: 14.3804, CR: 49.5476"/>
        <s v="Mile\Sys produced 15969/15976 blocks; SR: 14.4092, CR: 49.6471"/>
        <s v="YellowFin Tuna\Salad produced 15561/15976 blocks; SR: 14.0411, CR: 48.3787"/>
        <s v="Sik | crifferent.de produced 13586/15976 blocks; SR: 12.2590, CR: 42.2384"/>
        <s v="Chris-Staking\bridgehub produced 15287/15976 blocks; SR: 13.7939, CR: 47.5268"/>
        <s v="Iceberg Nodes produced 13017/15976 blocks; SR: 11.7456, CR: 40.4694"/>
        <s v="ParaNodes.io produced 15958/15976 blocks; SR: 0 (Invulnerable), CR: 49.6129"/>
        <s v="Staker Space\Statemint produced 15954/15976 blocks; SR: 0 (Invulnerable), CR: 49.6005"/>
        <s v="DPSTK produced 15968/15976 blocks; SR: 0 (Invulnerable), CR: 49.6440"/>
        <s v="LuckyFriday.io produced 15951/15976 blocks; SR: 0 (Invulnerable), CR: 49.5911"/>
        <s v="turboflakes.io\MINT produced 15976/15976 blocks; SR: 0 (Invulnerable), CR: 49.6689"/>
        <s v="Polkadotters/CORE produced 15954/15976 blocks; SR: 14.3957, CR: 49.6005"/>
        <s v="STKD.IO\AssetHub produced 2951/15976 blocks; SR: 2.6628, CR: 9.1746"/>
        <s v="Reward for curator (frankywild) as a portion from total 689.3654"/>
        <s v="Reward for curator (pastaMan) as a portion from total 689.3654"/>
        <s v="Reward for curator (Tim Janssen) as a portion from total 689.3654"/>
        <s v="YellowFin Tuna\Salad produced 15545/15948 blocks; SR: 14.0513, CR: 48.4138"/>
        <s v="COINSTUDIO produced 15942/15948 blocks; SR: 14.4101, CR: 49.6502"/>
        <s v="Mile\Sys produced 15928/15948 blocks; SR: 14.3975, CR: 49.6066"/>
        <s v="ParaNodes.io produced 15948/15948 blocks; SR: 14.4156, CR: 49.6689"/>
        <s v="LuckyFriday.io produced 15919/15948 blocks; SR: 14.3893, CR: 49.5786"/>
        <s v="turboflakes.io\MINT produced 15916/15948 blocks; SR: 14.3866, CR: 49.5692"/>
        <s v="Polkadotters\CORE produced 15934/15948 blocks; SR: 0 (Invulnerable), CR: 49.6253"/>
        <s v="Stakeworld.io produced 15928/15948 blocks; SR: 0 (Invulnerable), CR: 49.6066"/>
        <s v="Iceberg Nodes produced 13995/15948 blocks; SR: 0 (Invulnerable), CR: 43.5864"/>
        <s v="openbitlab\bridgehub produced 15943/15948 blocks; SR: 0 (Invulnerable), CR: 49.6533"/>
        <s v="Sik | crifferent.de produced 15209/15948 blocks; SR: 0 (Invulnerable), CR: 47.3673"/>
        <s v="Staker Space\bridgehub produced 15948/15948 blocks; SR: 14.4156, CR: 49.6689"/>
        <s v="Reward for curator (frankywild) as a portion from total 693.4382"/>
        <s v="Reward for curator (pastaMan) as a portion from total 693.4382"/>
        <s v="Reward for curator (Tim Janssen) as a portion from total 693.4382"/>
        <s v="Polkadotters\CORE produced 15643/15644 blocks; SR: 14.4146, CR: 49.6657"/>
        <s v="ParaNodes.io produced 15644/15644 blocks; SR: 14.4156, CR: 49.6689"/>
        <s v="LuckyFriday.io produced 15611/15644 blocks; SR: 14.3852, CR: 49.5641"/>
        <s v="Iceberg Nodes produced 13702/15644 blocks; SR: 12.6261, CR: 43.5031"/>
        <s v="Coinstudio\COLLECTIVES produced 15642/15644 blocks; SR: 14.4137, CR: 49.6625"/>
        <s v="MathCrypto\collectives produced 15521/15644 blocks; SR: 14.3022, CR: 49.2784"/>
        <s v="YellowFin Tuna\Salad produced 15328/15644 blocks; SR: 0 (Invulnerable), CR: 48.6656"/>
        <s v="Stake Plus\COLLECTIVES01 produced 15609/15644 blocks; SR: 0 (Invulnerable), CR: 49.5578"/>
        <s v="Mile\Sys produced 15630/15644 blocks; SR: 0 (Invulnerable), CR: 49.6244"/>
        <s v="BESTVALIDATOR | ZURICH\collectives produced 9946/15644 blocks; SR: 0 (Invulnerable), CR: 31.5780"/>
        <s v="Stakeworld.io produced 15640/15644 blocks; SR: 14.4119, CR: 49.6562"/>
        <s v="ExtraCoin produced 14887/15644 blocks; SR: 0 (Invulnerable), CR: 47.2654"/>
        <s v="Reward for curator (frankywild) as a portion from total 673.6366"/>
        <s v="Reward for curator (pastaMan) as a portion from total 673.6366"/>
        <s v="Reward for curator (Tim Janssen) as a portion from total 673.6366"/>
        <s v="DART Task Manager TMWNN"/>
        <s v="DART Implementer Malize"/>
        <s v="DART Implementer Cypha"/>
        <s v="DART Implementer Macchala"/>
        <s v="Polkadot meetup Nairobi (Joab)"/>
        <s v="Salary payments for June - July for 7 curators + 15% volatility"/>
        <s v="Polkadot Networking Eve Nigerian Business School"/>
        <s v="Blockops July 24"/>
        <s v="Dwellir July 24"/>
        <s v="OnFinality July 24"/>
        <s v="Lucky Friday July 24"/>
        <s v="Stakeworld July 24"/>
        <s v="RadiumBlock July 24"/>
        <s v="Leemo Curator Fee Apr - July"/>
        <s v="lolmcshizz Curator Fee Apr - July"/>
        <s v="Pink Brains - Invoice #1 - DOT price = 6.25 USDT - excess DOT due to higher DOT market price when claim is made available must be returned"/>
        <s v="Spanish Bounty - CE_44"/>
        <s v="Spanish Bounty - CE_46"/>
        <s v="Spanish Bounty 57/58/59/62/63/64/65"/>
        <s v="Spanish Bounty TT 53 to 56 and TT 66 to 69 "/>
        <s v="Spanish Bounty TT 48, 60 and 61 "/>
        <s v="Content creation V_51 &quot;MAX CRIPTO&quot;"/>
        <s v="Content creation V_60 &quot;Javi Eli Reyes&quot;"/>
        <s v="Content creation V_59/ V_76  &quot;Bra_16&quot;"/>
        <s v="Content creation V_63 / V_64 / V_78 / V_79 &quot;NIXON JAVIER&quot;"/>
        <s v="Content creation V_68 / V_71 / V_72 &quot;Lily Mendz&quot;"/>
        <s v="Content creation V_67 / &quot;LV&quot;"/>
        <s v="Content creation V_75"/>
        <s v="Content creation V_57 / V_61 theoldfather"/>
        <s v="Content creation V_58 / V_77 BRA"/>
        <s v="Content creation V_65 / V_78 NIXON"/>
        <s v="Content creation V_66 LV"/>
        <s v="Content creation V_70 Javier Eli Reyes"/>
        <s v="Content creation V_73 / V_74 Axel Becker"/>
        <s v="Content creation V_81 Francisco Daniel villa Gar"/>
        <s v="View Party Polkadot Decoded - Santiago, Chile  2024"/>
        <s v="Connect Week / Viasoft Connect 2024 - report reward"/>
        <s v=" Proof of Talk 2024 - top up"/>
        <s v="Sponsorship Polkadot @TOKEN2049"/>
        <s v="Patrick Irwin 30-day sign-on bonus"/>
        <s v="Portico Q3 https://github.com/paseo-network/payouts/issues/28"/>
        <s v="Vietnam Meetup Web3 X - Ha Noi, Viet Nam"/>
        <s v="laos-coinfabrik-2407"/>
        <s v="Pineta Digital - INV074 - DOT price = 6.29 USDT - excess DOT due to higher DOT market price when claim is made available must be returned"/>
        <s v="Polkadot Meetup at  University of Nigeria Nsukka(UNN)"/>
        <s v="Spanish Bounty Payment - Albert"/>
        <s v="Spanish Bounty Payment - Nachito"/>
        <s v="Spanish Bounty Payment - Amaury"/>
        <s v="Spanish Bounty Payment - Ezio"/>
        <s v="Spanish Bounty Payment - Lengo"/>
        <s v="Payment fee Gerardo"/>
        <s v="Spanish Bounty - Ernih pay"/>
        <s v="Content creation V_49 ''Maxcripto''"/>
        <s v="Content creation V_69 ''Cesar_cripto''"/>
        <s v="Content creation V_85 / V_86 ''Bra''"/>
        <s v="Content creation V_88 V_89 ''Nixon''"/>
        <s v="Spanish Bounty TT_ 72, 74, 78"/>
        <s v="Spanish Bounty TT_ 80 and 82"/>
        <s v="Spanish Bounty TT_ 70 and CE 51"/>
        <s v="Spanish Bounty CE 47"/>
        <s v="Ethereum Mexico Side Event"/>
        <s v="Reward organizer Barquisimeto/ Venezuela"/>
        <s v="S3krit Bounty 50 payouts https://github.com/ibp-network/ChildBounties"/>
        <s v="Rogue Q3 Payment - https://github.com/paseo-network/payouts/issues/29"/>
        <s v="zondax q3 payment - https://github.com/paseo-network/payouts/issues/38"/>
        <s v="Subscan Q1,2,3 https://github.com/paseo-network/payouts/issues/22 &amp; 23"/>
        <s v="Spanish Bounty - TT_71"/>
        <s v="Spanish Bounty - TT_73 / TT_75"/>
        <s v="Spanish Bounty - TT_77 "/>
        <s v="Curator bounty - July 2024 - Abdulbee"/>
        <s v="Curator bounty - July 2024 - Grizzly"/>
        <s v="Head Mod bounty - July 2024 - Mister_cole"/>
        <s v="Moderation team bounty - July 2024 - Gr33n"/>
        <s v="Moderation team bounty - July 2024 - MC"/>
        <s v="Moderation team bounty - July 2024 - Muddlebee"/>
        <s v="Moderation team bounty - July 2024 - Michelle"/>
        <s v="Moderation team bounty - July 2024 - Mario"/>
        <s v="Moderation team bounty - July 2024 - Paradox"/>
        <s v="Moderation team bounty - July 2024 - Tim"/>
        <s v="Moderation team bounty - July 2024 - Cappex"/>
        <s v="Moderation team bounty - July 2024 - Frankywild"/>
        <s v="Moderation team bounty - July 2024 - Pastaman"/>
        <s v="Beyond The Chain (London)"/>
        <s v="Tokyo Party WebX Side Event"/>
        <s v="Polkadot x KBW2024"/>
        <s v="NERDCONF - Hackathon conference sponsorship"/>
        <s v="FUTURECOM 2024"/>
        <s v="Content creation: V_90  &quot;Lily Mendz&quot;"/>
        <s v="Content creation: V_92 &quot;Javier Eli Reyes&quot;"/>
        <s v="Content creation: V_94 V_95 &quot; BRA_16&quot;"/>
        <s v="Content creation: V_99 &quot;Valen Lombardo&quot;"/>
        <s v="Content creation: V_83/84/93/96/97  &quot;Axel Becker&quot;"/>
        <s v="Content creation: V_87/98/100/101 &quot;NIXON&quot;"/>
        <s v="Spanish Bounty CE-52"/>
        <s v="Spanish Bounty CE_ 53 and CE_54"/>
        <s v="Spanish Bounty TT_79 and TT_81"/>
        <s v="Reward View Party Decoded Lima - Peru"/>
        <s v="Reward View Party Decoded Valencia - Venezuela"/>
        <s v="Reward View Party Decoded La Plata - Argentina"/>
        <s v="Polkasama TT_83/TT_87"/>
        <s v="Gonzalo TT_86"/>
        <s v="Dotamina TT_84 TT_85 TT_89 TT_90"/>
        <s v="Content creation: V_62 &quot;Cesar''"/>
        <s v="Polkadot Sponsorship European Blockchain Convention Barcelona 2024"/>
        <s v="Volatility/ slippage buffer for stablecoins on EB multisig"/>
        <s v="Crane - Invoice #5 - DOT price -15% = 3.06 EUR - excess DOT due to higher DOT market price when claim is made available must be returned"/>
        <s v="Crane - Invoice #6 - DOT price -15% = 3.06 EUR - excess DOT due to higher DOT market price when claim is made available must be returned"/>
        <s v="Pineta Digital - INV075 - DOT price = 3.90 USD - excess DOT due to higher DOT market price when claim is made available must be returned"/>
        <s v="Pink Brains - Invoice #2 - DOT price = 3.85 USD - excess DOT due to higher DOT market price when claim is made available must be returned"/>
        <s v="USDC AH KuCoin Integration (Marketing Fee)"/>
        <s v="USDC AH KuCoin Integration (Integration Fee)"/>
        <s v="Spanish Bounty translations TT_91, TT_92, TT_93 and TT_103 "/>
        <s v="Spanish Bounty content creation CE-56 y translations TT 95, TT 96 and TT 98"/>
        <s v="Spanish Bounty translations TT 94 and 97"/>
        <s v="Content creation: V_102 / V_106 &quot;Axel becker''"/>
        <s v="Content creation: V_103 &quot;Cesar''"/>
        <s v="Content creation: V_104 &quot;Valen Lombardo''"/>
        <s v="Content creation: V_107 V_108 &quot;Bra''"/>
        <s v="Content creation: V_109 V_110 V_111 &quot;Nixon''"/>
        <s v="Polkasama TT_88"/>
        <s v="BRA_16-D CE_58"/>
        <s v="Simon CE_57"/>
        <s v="Yovanny  TT_99 /TT_100/TT_101/TT_102"/>
        <s v="Tour universitario de Polkadot en Bogota"/>
        <s v="Viewing Party in Rio Grande, Argentina"/>
        <s v="Polkadot Decoded Viewing Party 2024 Bogota, Colombia"/>
        <s v="Side event Polkadot en Crecimiento Buenos Aires, Argentina"/>
        <s v="_ecardo5o - Social Media Submanager July 2024"/>
        <s v="maarmapa - Social Media Submanager July 2024"/>
        <s v="_ecardo5o - Social Media Content Creation July 2024"/>
        <s v="Cappex - Social Media Content Creation July 2024"/>
        <s v="Abdulbee - General Curator July 2024"/>
        <s v="Kamala - General Curator July 2024"/>
        <s v="Cappex - General Curator July 2024"/>
        <s v="Grizzly - General Curator July 2024"/>
        <s v="frankywild - General Curator July 2024"/>
        <s v="Paradox - General Curator July 2024"/>
        <s v="FrankyWild - Proactive track manager - July 2024"/>
        <s v="Maarmapa - Educational track manager - July 2024"/>
        <s v="Michelle -  Social Media Content Reviewer July 2024"/>
        <s v="Grizzly - Social Media Content Reviewer July 2024"/>
        <s v="Grizzly - Social Media Account Manager July 2024"/>
        <s v="Kamala - Social Media Account Manager July 2024"/>
        <s v="cmalize - Social Media Account Manager July 2024"/>
        <s v="Side Event Ethereum Uruguay"/>
        <s v="Grizzly - Outreach Track Manager July 2024"/>
        <s v="cmalize - General Administration July 2024"/>
        <s v="frankywild - Malicious sites taken down July 2024"/>
        <s v="pastaMan - Malicious sites taken down July 2024"/>
        <s v="Tim Janssen - Malicious sites taken down July 2024"/>
        <s v="Tim Janssen - Reactive Track Manager July 2024"/>
        <s v="Paradox - General Administration July 2024"/>
        <s v="TheManWithoutaName - Socail Media Content Creation - July 2024"/>
        <s v="Grizzly - Social Media Content Creation - July 2024"/>
        <s v="LV - Website Maintenance July 2024 + Curator Abdulbee"/>
        <s v="Michelle - Takedowns of other form of scams July 2024"/>
        <s v="Shakurharun - Takedowns of other form of scams July 2024"/>
        <s v="Sirjey - Takedowns of other form of scams July 2024"/>
        <s v="pastaMan - General Administration July 2024"/>
        <s v="abdulbee - Admin/Op. Track Manager July 2024"/>
        <s v="TheManWithoutaName - DART Manager July 2024"/>
        <s v="macchala - DART ( Projects) July 2024"/>
        <s v="Alina - Victim Support July 2024"/>
        <s v="Alina - Forensics July 2024"/>
        <s v="Summer Edition (Dubai)"/>
        <s v="October Hong Kong Fintech Week"/>
        <s v="Spanish Bounty Writing Content CE_60, 62, 63"/>
        <s v="Spanish Bounty Writing Content CE_61"/>
        <s v="Spanish Bounty Writing Content CE_56 and translation 106"/>
        <s v="Spanish Bounty Writing Content difference CE_54"/>
        <s v="Spanish Bounty Translations TT_107, 108, 109"/>
        <s v="Spanish Bounty Translations TT_110, 111, 112 and 113"/>
        <s v="Content creation V_122 &quot;Cesar cripto&quot;"/>
        <s v="Content creation V_113/114/118 &quot;Axel Becker&quot;"/>
        <s v="Content creation V_115 &quot;Valen Lombardo&quot;"/>
        <s v="Content creation V_119/120/121  &quot;Nixon cripto&quot;"/>
        <s v="Content creation V_122/23  &quot;Lily Mendz&quot;"/>
        <s v="Reward organizers BLOCKCHAINCON LATAM 2024 in Bogota, Colombia"/>
        <s v="Salary payments for July - August for 7 curators + 15% volatility"/>
        <s v="Dwellir August 24"/>
        <s v="OnFinality August 24"/>
        <s v="Lucky Friday August 24"/>
        <s v="Stakeworld August 24"/>
        <s v="RadiumBlock August 24"/>
        <s v="Leemo Curator Fee August Payout"/>
        <s v="lolmcshizz Curator Fee August Payout"/>
        <s v="Hosting fee for Curator RPC instance @ $25.0000 + 1/9 hosting fee for supporting relay chain RPC instances @ $80.0000 + 1/9 hosting fee for curator instance @ $40.0000"/>
        <s v="Staker Space\Statemint produced 15911/15930 blocks; SR: 0 (Invulnerable), CR: 64.3147"/>
        <s v="DPSTK produced 15921/15930 blocks; SR: 0 (Invulnerable), CR: 64.3551"/>
        <s v="LuckyFriday.io produced 15900/15930 blocks; SR: 0 (Invulnerable), CR: 64.2702"/>
        <s v="turboflakes.io\MINT produced 15906/15930 blocks; SR: 0 (Invulnerable), CR: 64.2945"/>
        <s v="STKD.IO\AssetHub produced 15824/15930 blocks; SR: 14.6600, CR: 63.9630"/>
        <s v="Stakeworld.io produced 15930/15930 blocks; SR: 14.7582, CR: 64.3915"/>
        <s v="Polkadotters\CORE produced 3687/15930 blocks; SR: 3.4158, CR: 14.9034"/>
        <s v="Mile\Sys produced 15889/15930 blocks; SR: 14.7202, CR: 64.2258"/>
        <s v="Chris-Staking\bridgehub produced 15401/15930 blocks; SR: 14.2681, CR: 62.2532"/>
        <s v="ParaNodes.io produced 15915/15930 blocks; SR: 0 (Invulnerable), CR: 64.3309"/>
        <s v="YellowFin Tuna\Salad produced 14572/15930 blocks; SR: 13.5001, CR: 58.9023"/>
        <s v="Reward for curator (frankywild) as a portion from total 869.4173"/>
        <s v="Reward for curator (pastaMan) as a portion from total 869.4173"/>
        <s v="Reward for curator (Tim Janssen) as a portion from total 869.4173"/>
        <s v="Stakeworld.io produced 15900/15923 blocks; SR: 0 (Invulnerable), CR: 64.2985"/>
        <s v="Staker Space\bridgehub produced 15914/15923 blocks; SR: 14.7499, CR: 64.3551"/>
        <s v="YellowFin Tuna\Salad produced 15453/15923 blocks; SR: 14.3226, CR: 62.4909"/>
        <s v="COINSTUDIO produced 15755/15923 blocks; SR: 14.6025, CR: 63.7121"/>
        <s v="Mile\Sys produced 15923/15923 blocks; SR: 14.7582, CR: 64.3915"/>
        <s v="ParaNodes.io produced 15876/15923 blocks; SR: 14.7146, CR: 64.2014"/>
        <s v="LuckyFriday.io produced 15897/15923 blocks; SR: 14.7341, CR: 64.2864"/>
        <s v="turboflakes.io\MINT produced 15870/15923 blocks; SR: 14.7091, CR: 64.1772"/>
        <s v="Polkadotters\CORE produced 15835/15923 blocks; SR: 0 (Invulnerable), CR: 64.0356"/>
        <s v="Reward for curator (frankywild) as a portion from total 872.1493"/>
        <s v="Reward for curator (pastaMan) as a portion from total 872.1493"/>
        <s v="Reward for curator (Tim Janssen) as a portion from total 872.1493"/>
        <s v="YellowFin Tuna\Salad produced 15495/15913 blocks; SR: 0 (Invulnerable), CR: 62.7001"/>
        <s v="Mile\Sys produced 15888/15913 blocks; SR: 0 (Invulnerable), CR: 64.2903"/>
        <s v="BESTVALIDATOR | ZURICH\collectives produced 15912/15913 blocks; SR: 0 (Invulnerable), CR: 64.3875"/>
        <s v="Stakeworld.io produced 15913/15913 blocks; SR: 14.7582, CR: 64.3915"/>
        <s v="Polkadotters\CORE produced 15906/15913 blocks; SR: 14.7517, CR: 64.3632"/>
        <s v="ParaNodes.io produced 15891/15913 blocks; SR: 14.7378, CR: 64.3025"/>
        <s v="LuckyFriday.io produced 15880/15913 blocks; SR: 14.7276, CR: 64.2580"/>
        <s v="Coinstudio\COLLECTIVES produced 15881/15913 blocks; SR: 14.7285, CR: 64.2620"/>
        <s v="Reward for curator (frankywild) as a portion from total 871.4356"/>
        <s v="Reward for curator (pastaMan) as a portion from total 871.4356"/>
        <s v="Reward for curator (Tim Janssen) as a portion from total 871.4356"/>
        <s v="Coinstudio\COLLECTIVES produced 14267/14304 blocks; SR: 0 (Invulnerable), CR: 64.2249"/>
        <s v="STKD.IO produced 14272/14304 blocks; SR: 0 (Invulnerable), CR: 64.2474"/>
        <s v="Reward for curator (frankywild) as a portion from total 394.1041"/>
        <s v="Reward for curator (pastaMan) as a portion from total 394.1041"/>
        <s v="Reward for curator (Tim Janssen) as a portion from total 394.1041"/>
        <s v="Spanish Bounty Content Creation CE_66"/>
        <s v="Spanish Bounty Content Creation CE_65 &amp; 68"/>
        <s v="Spanish Bounty Content Creation CE_70 &amp; 71"/>
        <s v="Spanish Bounty Content Creation CE_72"/>
        <s v="Spanish bounty CE 67"/>
        <s v="Spanish bounty TT 115-116-117-118"/>
        <s v="Spanish bounty TT 114"/>
        <s v="Spanish bounty TT 119-120-121"/>
        <s v="Content Creation/V_124_128/Cesar_Cripto"/>
        <s v="Content Creation/V_125_137/AxelBecker"/>
        <s v="Content Creation/V_126/TododeCripto"/>
        <s v="Content Creation/V_127/ValenLombardo"/>
        <s v="Content Creation/V_129_130_131/NIXON"/>
        <s v="Content Creation/V_135_136/BRA_16"/>
        <s v="Content Creation/V_132_133/LilyMendz"/>
        <s v="Albert Payment Curator - August"/>
        <s v="Nachito Payment Curator - August"/>
        <s v="Lorena Payment Curator - August"/>
        <s v="Amaury Monthly Payment - August"/>
        <s v="Ezio Monthly Payment - August"/>
        <s v="Gerardo Monthly Payment - August"/>
        <s v="Lengo Monthly Payment - August"/>
        <s v="Ernih Monthly Payment - August"/>
        <s v="Women Of Polkadot: Brunch in Brussels Meetup"/>
        <s v="Mod lead child bounty - August 2024 - Mistercole"/>
        <s v="Curator + mod bounty - August 2024 - abdulbee"/>
        <s v="Curator + mod bounty - August 2024 - Grizz"/>
        <s v="Mod team bounty - August 2024 - Paradox"/>
        <s v="Mod team bounty - August 2024 - Franky"/>
        <s v="Mod team bounty - August 2024 - MC"/>
        <s v="Mod team bounty - August 2024 - Tim"/>
        <s v="Mod team bounty - August 2024 - Gr33n"/>
        <s v="Mod team bounty - August 2024 - Cappex"/>
        <s v="Mod team bounty - August 2024 - Pastaman"/>
        <s v="Mod team bounty - August 2024 - Muddlebee"/>
        <s v="Mod team bounty - August 2024 - LV"/>
        <s v="Mod team bounty - August 2024 - a.j"/>
        <s v="Ha Noi - Workshop Hanoi with PBA Graduates, Vietnam"/>
        <s v="[REWARD] Polkadot Networking Eve Q2 Northern Nigeria"/>
        <s v="[REWARD] Beyond the chain London"/>
        <s v="Spanish Bounty Write content CE 73 y 74"/>
        <s v="Spanish Bounty Write content CE 76, TT 104"/>
        <s v="Spanish Bounty Translations TT 122, 125, 126, 127, 128"/>
        <s v="Spanish Bounty TT_123"/>
        <s v="Spanish Bounty TT_131/132/133/134 "/>
        <s v="Spanish Bounty CE_69"/>
        <s v="Spanish Bounty CE_75"/>
        <s v="Content Creation V_138 V_140 Axel becker"/>
        <s v="Content Creation V_141 V_147 Valen Lombardo"/>
        <s v="Content Creation V_142 V_143  LV"/>
        <s v="Content Creation V_144 V_145 V_146  Nixon"/>
        <s v="Content Creation V_150  Hector&lt;B&gt;"/>
        <s v="Sponsorship Polkadot on Blockchain Galicia, Spain"/>
        <s v="Cripto Latin Dev 2024 - Tegucigalpa (Honduras)"/>
        <s v="Payment for the second month's salary of BD Spain Team + 1 Lead"/>
        <s v="Polkadot Times @ ETHSafari"/>
        <s v="Q4/2024 - https://github.com/paseo-network/payouts/issues/46"/>
        <s v="Valid Orange 3Q24 - https://github.com/paseo-network/payouts/issues/44"/>
        <s v="DPSTK - Q3 / 2024 - https://github.com/paseo-network/payouts/issues/43"/>
        <s v="DPSTK - Q2 / 2024 - https://github.com/paseo-network/payouts/issues/42"/>
        <s v="Staker Space Q3 2024 - https://github.com/paseo-network/payouts/issues/37"/>
        <s v="Staker Space 2024 Q1 &amp; Q2 - https://github.com/paseo-network/payouts/issues/36"/>
        <s v="Openbitlab Q3/2024 - https://github.com/paseo-network/payouts/issues/35"/>
        <s v="Polkadotters - Q3 2024 - https://github.com/paseo-network/payouts/issues/34"/>
        <s v="Mile - Q1 &amp; Q2 &amp; Q3 2024 - https://github.com/paseo-network/payouts/issues/33"/>
        <s v="STKD Q1,2,3 - https://github.com/paseo-network/payouts/issues/32"/>
        <s v="Gatotech's Q3 2024 - https://github.com/paseo-network/payouts/issues/31"/>
        <s v="Stakeworld - Q2 2024 - https://github.com/paseo-network/payouts/issues/30"/>
        <s v="CoinStudio Q3/2024 - https://github.com/paseo-network/payouts/issues/27"/>
        <s v="METASPAN 2024.Q3 - https://github.com/paseo-network/payouts/issues/26"/>
        <s v="Stakeworld - Q3 2024 - https://github.com/paseo-network/payouts/issues/25"/>
        <s v="DPSTK - Q1 2024 - https://github.com/paseo-network/payouts/issues/21"/>
        <s v="frankywild - Proactive Track Manager August 2024"/>
        <s v="Web3 Bulacan x Polkadot Meetup"/>
        <s v="Polkadot Meet-up institute of Management and Tech Enugu, Nigeria"/>
        <s v="Spanish Bounty TT. 129-141-142"/>
        <s v="Spanish Bounty TT. 130-135-141"/>
        <s v="Spanish Bounty TT. 145-146-147"/>
        <s v="Spanish Bounty TT. 139"/>
        <s v="Spanish Bounty CE_78/CE_84 "/>
        <s v="Spanish Bounty CE_79"/>
        <s v="Spanish Bounty CE_80/CE_81"/>
        <s v="Spanish Bounty CE_82 y TT_144 "/>
        <s v="Spanish Bounty CE_77 / CE_83"/>
        <s v="Content creation V_149 ''Bra''"/>
        <s v="Content creation V_151 ''Hector B''"/>
        <s v="Content creation V_152 V_153 V_158 ''Valen Lombardo''"/>
        <s v="Content creation V_155 ''Cesar_cripto''"/>
        <s v="Content creation V_156 V_159 ''Axel becker''"/>
        <s v="Content creation V_157 ''Max Crypto'"/>
        <s v="Content creation V_161 ''Lily Mendz'"/>
        <s v="Content creation V_162 ''Nixon''"/>
        <s v="Content creation V_165 ''LV''"/>
        <s v="Reward Decoded View Party Mendoza"/>
        <s v="Michelle - Takedowns of other form of scams Aug 2024"/>
        <s v="Shakurharun - Takedowns of other form of scams Aug 2024"/>
        <s v="Sirjey - Takedowns of other form of scams Aug 2024"/>
        <s v="frankywild - Maintenance of phishing repo August 2024"/>
        <s v="pastaMan - Maintenance of phishing repo August 2024"/>
        <s v="Tim Janssen - Maintenance of phishing repo August 2024"/>
        <s v="Malize Fred - DART (9 Projects) August 2024"/>
        <s v="TheManWithoutaName - DART Manager August 2024"/>
        <s v="Tim Janssen - Reactive Track Manager August 2024"/>
        <s v="Paradox - General Administration August 2024"/>
        <s v="Grizzly - Social Media Content Creation August 2024"/>
        <s v="cyphadoc - Social Media Content Creation August 2024"/>
        <s v="Michelle -  Social Media Content Reviewer 1/2 August 2024"/>
        <s v="Grizzly - Social Media Content Reviewer 1/2 August 2024"/>
        <s v="LV - Website Maintenance August 2024"/>
        <s v="Abdulbee - General Curator Aug 2024"/>
        <s v="Kamala - General Curator Aug 2024"/>
        <s v="Cappex - General Curator Aug 2024"/>
        <s v="Grizzly - General Curator Aug 2024"/>
        <s v="frankywild - General Curator Aug 2024"/>
        <s v="Paradox - General Curator Aug 2024"/>
        <s v="frankywild - Malicious sites taken down August 2024"/>
        <s v="pastaMan - Malicious sites taken down August 2024"/>
        <s v="Tim Janssen - Malicious sites taken down August 2024"/>
        <s v="Alina - Victim Support August 2024"/>
        <s v="Alina - Forensics August 2024"/>
        <s v="Hosting fee for Curator RPC instance @ $40.0000 + 1/9 hosting fee for supporting relay chain RPC instances @ $120.0000 + 1/9 hosting fee for curator instance @ $60.0000"/>
        <s v="ParaNodes.io produced 15849/15890 blocks; SR: 0 (Invulnerable), CR: 69.8310"/>
        <s v="Staker Space\Statemint produced 15854/15890 blocks; SR: 0 (Invulnerable), CR: 69.8531"/>
        <s v="DPSTK produced 15860/15890 blocks; SR: 0 (Invulnerable), CR: 69.8795"/>
        <s v="LuckyFriday.io produced 15851/15890 blocks; SR: 0 (Invulnerable), CR: 69.8398"/>
        <s v="turboflakes.io\MINT produced 15818/15890 blocks; SR: 0 (Invulnerable), CR: 69.6944"/>
        <s v="YellowFin Tuna\Salad produced 15859/15890 blocks; SR: 14.7096, CR: 69.8751"/>
        <s v="Mile\Sys produced 15858/15890 blocks; SR: 14.7087, CR: 69.8707"/>
        <s v="Stakeworld.io produced 15868/15890 blocks; SR: 14.7179, CR: 69.9147"/>
        <s v="STKD.IO\AssetHub produced 15852/15890 blocks; SR: 14.7031, CR: 69.8442"/>
        <s v="Chris-Staking\bridgehub produced 15890/15890 blocks; SR: 14.7384, CR: 70.0117"/>
        <s v="Reward for curator (frankywild) as a portion from total 944.6592"/>
        <s v="Reward for curator (pastaMan) as a portion from total 944.6592"/>
        <s v="Reward for curator (Tim Janssen) as a portion from total 944.6592"/>
        <s v="Polkadotters\CORE produced 15856/15878 blocks; SR: 0 (Invulnerable), CR: 69.9147"/>
        <s v="Stakeworld.io produced 15844/15878 blocks; SR: 0 (Invulnerable), CR: 69.8618"/>
        <s v="Staker Space\bridgehub produced 15872/15878 blocks; SR: 14.7328, CR: 69.9852"/>
        <s v="COINSTUDIO produced 15878/15878 blocks; SR: 14.7384, CR: 70.0117"/>
        <s v="Mile\Sys produced 15878/15878 blocks; SR: 14.7384, CR: 70.0117"/>
        <s v="YellowFin Tuna\Salad produced 15855/15878 blocks; SR: 14.7170, CR: 69.9103"/>
        <s v="ParaNodes.io produced 15836/15878 blocks; SR: 14.6994, CR: 69.8265"/>
        <s v="LuckyFriday.io produced 15840/15878 blocks; SR: 14.7031, CR: 69.8441"/>
        <s v="turboflakes.io\MINT produced 15827/15878 blocks; SR: 14.6910, CR: 69.7868"/>
        <s v="Reward for curator (frankywild) as a portion from total 947.3647"/>
        <s v="Reward for curator (pastaMan) as a portion from total 947.3647"/>
        <s v="Reward for curator (Tim Janssen) as a portion from total 947.3647"/>
        <s v="YellowFin Tuna\Salad produced 15848/15881 blocks; SR: 0 (Invulnerable), CR: 69.8662"/>
        <s v="Mile\Sys produced 15846/15881 blocks; SR: 0 (Invulnerable), CR: 69.8574"/>
        <s v="BESTVALIDATOR | ZURICH\collectives produced 15868/15881 blocks; SR: 0 (Invulnerable), CR: 69.9544"/>
        <s v="Stakeworld.io produced 15881/15881 blocks; SR: 14.7384, CR: 70.0117"/>
        <s v="Polkadotters\CORE produced 15861/15881 blocks; SR: 14.7198, CR: 69.9235"/>
        <s v="ParaNodes.io produced 15866/15881 blocks; SR: 14.7244, CR: 69.9455"/>
        <s v="Coinstudio\COLLECTIVES produced 15855/15881 blocks; SR: 14.7142, CR: 69.8970"/>
        <s v="LuckyFriday.io produced 15856/15881 blocks; SR: 14.7152, CR: 69.9015"/>
        <s v="Reward for curator (frankywild) as a portion from total 945.3200"/>
        <s v="Reward for curator (pastaMan) as a portion from total 945.3200"/>
        <s v="Reward for curator (Tim Janssen) as a portion from total 945.3200"/>
        <s v="Coinstudio\COLLECTIVES produced 25281/25295 blocks; SR: 0 (Invulnerable), CR: 69.9729"/>
        <s v="STKD.IO produced 25293/25295 blocks; SR: 0 (Invulnerable), CR: 70.0061"/>
        <s v="Mile\Sys produced 9104/25295 blocks; SR: 5.3045, CR: 25.1981"/>
        <s v="ParaNodes.io produced 8888/25295 blocks; SR: 5.1787, CR: 24.6003"/>
        <s v="Stakeworld.io produced 8871/25295 blocks; SR: 5.1688, CR: 24.5532"/>
        <s v="YellowFin Tuna\Salad produced 8886/25295 blocks; SR: 5.1775, CR: 24.5947"/>
        <s v="LuckyFriday.io produced 8720/25295 blocks; SR: 5.0808, CR: 24.1353"/>
        <s v="turboflakes.io\MINT produced 8704/25295 blocks; SR: 5.0715, CR: 24.0910"/>
        <s v="Reward for curator (frankywild) as a portion from total 611.6011"/>
        <s v="Reward for curator (pastaMan) as a portion from total 611.6011"/>
        <s v="Reward for curator (Tim Janssen) as a portion from total 611.6011"/>
        <s v="Harbour Milestone 1 Payment"/>
        <s v="Payment of Bounty BD Spain curators+Cost of 24 DOTs for Proxy configuration."/>
        <s v="Polar Path Retroactive Child Bounty"/>
        <s v="pastaMan - General Administration August 2024"/>
        <s v="abdulbee - Admin/Op. Track Manager August 2024"/>
        <s v="_ecardo5o - Social Media Submanager 1/2 August 2024"/>
        <s v="_ecardo5o - Social Media Content Creation 1/2 August 2024"/>
        <s v="Cappex - Social Media Content Creation 1/2 August 2024"/>
        <s v="Budapest Meetup - April 2024"/>
        <s v="Budapest Meetup - May 2024"/>
        <s v="Budapest Meetup - August 2024"/>
        <s v="Polkabusiness Lisbon: A Polkadot Community event"/>
        <s v="Spanish bounty Content Creation CE-85"/>
        <s v="Spanish bounty Content Creation CE-86"/>
        <s v="Spanish bounty Content Creation CE-89 &amp; 91"/>
        <s v="Spanish bounty Content Creation CE-90 and Translation 151"/>
        <s v="Spanish Bounty - CE_92 Alejandro (Armentsk)"/>
        <s v="Spanish Bounty - CE_93 Thehodlfather"/>
        <s v="Spanish Bounty - CE_94/TT_136 / TT_154 TT_155 Gonzalo"/>
        <s v="Spanish Bounty - TT_149 DOTAMINA"/>
        <s v="Spanish Bounty - TT_148/161/162/163 Yovanny Renaud"/>
        <s v="Content creation V_154 V_169 V_172 ''Valen Lombardo''"/>
        <s v="Content creation V_160 ''Lily Mendz''"/>
        <s v="Content creation V_164 ''LV'"/>
        <s v="Content creation V_166. ''Hector&lt;B&gt;''"/>
        <s v="Content creation V_167 V_171. ''Bra''"/>
        <s v="Content creation V_168 V_170. ''Axel becker''"/>
        <s v="Content creation V_174 ''Nixon''"/>
        <s v="Reward for Ethereum Uruguay Side Event"/>
        <s v="Java Host (Fruzhin) Phase 3 child bounty first tranche"/>
        <s v="Salary payments for August-September for 7 curators"/>
        <s v="Spanish Bounty C Creation CE 94 Translations 101/176/178 Gonzalo "/>
        <s v="Spanish Bounty Translation 169 Meadow "/>
        <s v="Spanish Bounty C Creation CE 95 Alejandro Armentsk "/>
        <s v="Spanish Bounty C Creation CE 96, 99 &amp; 102 Willy "/>
        <s v="Spanish Bounty - CE_97 MacZam"/>
        <s v="Spanish Bounty - CE_98 Domut"/>
        <s v="Spanish Bounty - CE_103/TT_150/151/170/171/172 Lily Mendz"/>
        <s v="Spanish Bounty - CE_104 the hodlfater"/>
        <s v="Spanish Bounty TT_173/TT_174/TT_177/TT_178 Dotamina"/>
        <s v="Content creation &quot;BRA&quot; V_175"/>
        <s v="Contet creation &quot;NIXON&quot; V_189"/>
        <s v="Content creation &quot;Valen Lombardo&quot; V_181/186/187"/>
        <s v="Content creation &quot;MAX CRIPTO&quot; V_184/85"/>
        <s v="Content Creation &quot;Axel Becker&quot; V_177/83"/>
        <s v="Content Creation &quot;Cesar&quot; V_178/82"/>
        <s v="Content creation &quot;LV&quot; V_179/80"/>
        <s v="Polkadot en CumbreTech en Pereira, Colombia"/>
        <s v="Reward organizers Tour Universitario en Bogota, Colombia"/>
        <s v="Reward Polkadot Decoded View Party - Chiloe"/>
        <s v="Sponsorship Polkadot AndesTech"/>
        <s v="NFT &amp; RWA Paris"/>
        <s v="India IIT Roorkee Workshop"/>
        <s v="Domain Hosting for Anti-Scam website- Franky"/>
        <s v="Dwellir September 24"/>
        <s v="Lucky Friday September 24"/>
        <s v="Stakeworld September 24"/>
        <s v="RadiumBlock September 24"/>
        <s v="Leemo Curator Fee September Payout"/>
        <s v="lolmcshizz Curator Fee September Payout"/>
        <s v="First Payment for Meld Integration"/>
        <s v="Spanish Bounty Written Content CE 111 &amp; 112 Bra"/>
        <s v="Spanish Bounty Written Content CE 113 &amp; TT 185 Gonzalo"/>
        <s v="Spanish Bounty Written Content CE 114 The hodlfather"/>
        <s v="Spanish Bounty Tranlations TT 183 &amp; 184 Dotamina"/>
        <s v="Spanish Bounty Translation 187 Yovanny"/>
        <s v="Spanish Bounty - CE_106/CE_108/115/182 Willy"/>
        <s v="Spanish Bounty - CE_107 Tododecripto"/>
        <s v="Spanish Bounty - CE-109/TT_179/TT_180/TT_181 Lily"/>
        <s v="Spanish Bounty - CE_110 Alejandro (Armentsk)"/>
        <s v="Content creation V_188 V_193 &quot;Hector B&quot;"/>
        <s v=" Content creation V_190 &quot;Nixon&quot;"/>
        <s v=" Content creation V_191 V_192 V_197 &quot;Axel becker&quot;"/>
        <s v="Content creation V_194 V_198  &quot;Bra&quot;"/>
        <s v="Content creation V_195   &quot;Max crypto&quot;"/>
        <s v="Content creation V_196    &quot;Cesar cripto&quot;"/>
        <s v="Content creation V_200 V_201    &quot;Valen Lombardo&quot;"/>
        <s v="Content creation V_202   &quot;LV&quot;"/>
        <s v="Curator Payment September / Ernih"/>
        <s v="Curator Payment September / Nachito"/>
        <s v="Curator Payment September / Gerardo"/>
        <s v="Auxiliar Payment September / Amaury"/>
      </sharedItems>
    </cacheField>
    <cacheField name="DOT" numFmtId="165">
      <sharedItems containsSemiMixedTypes="0" containsString="0" containsNumber="1">
        <n v="140.0"/>
        <n v="238.0"/>
        <n v="373.0"/>
        <n v="27.0"/>
        <n v="464.0325"/>
        <n v="494.47625"/>
        <n v="554.47625"/>
        <n v="168.145"/>
        <n v="15.0"/>
        <n v="25.0"/>
        <n v="443.75"/>
        <n v="220.01"/>
        <n v="100.17"/>
        <n v="71.367399372"/>
        <n v="57.0450656"/>
        <n v="1211.21"/>
        <n v="852.58"/>
        <n v="163.92"/>
        <n v="27.23"/>
        <n v="62.0116581917"/>
        <n v="49.6093266"/>
        <n v="8800.0"/>
        <n v="3468.0"/>
        <n v="645.285007"/>
        <n v="1084.97247"/>
        <n v="651.759024"/>
        <n v="585.966667"/>
        <n v="936.616667"/>
        <n v="684.266667"/>
        <n v="55.7335934234"/>
        <n v="69.0798563139"/>
        <n v="17.2699640785"/>
        <n v="134.138162307"/>
        <n v="6110.59"/>
        <n v="21874.0"/>
        <n v="61.0"/>
        <n v="1246.0"/>
        <n v="517.55"/>
        <n v="903.3"/>
        <n v="448.47"/>
        <n v="78.839482813"/>
        <n v="63.0715862504"/>
        <n v="84.69"/>
        <n v="113.95"/>
        <n v="3158.0"/>
        <n v="1943.0"/>
        <n v="1676.0"/>
        <n v="118.845500508"/>
        <n v="192.93100753"/>
        <n v="61.842919"/>
        <n v="77.3036487322"/>
        <n v="215.2316331787"/>
        <n v="959.2192684183"/>
        <n v="553.9642452344"/>
        <n v="52.7240773287"/>
        <n v="44.38"/>
        <n v="93.7022241949"/>
        <n v="99.620190033"/>
        <n v="274.20229817"/>
        <n v="47.0"/>
        <n v="134.4"/>
        <n v="25.2"/>
        <n v="1547.92"/>
        <n v="1083.18"/>
        <n v="35.8"/>
        <n v="26.9"/>
        <n v="206.0"/>
        <n v="53.8"/>
        <n v="269.0"/>
        <n v="473.1182795699"/>
        <n v="1636.0"/>
        <n v="5075.4"/>
        <n v="36.0"/>
        <n v="3564.0"/>
        <n v="5325.9"/>
        <n v="808.2"/>
        <n v="65.42"/>
        <n v="69.0"/>
        <n v="382.943333"/>
        <n v="1055.843333"/>
        <n v="683.493333"/>
        <n v="90.8595312"/>
        <n v="72.5821085103"/>
        <n v="3672.0"/>
        <n v="145.1642170205"/>
        <n v="76.8386388"/>
        <n v="14602.0"/>
        <n v="17624.6"/>
        <n v="4750.9"/>
        <n v="114.7614761476"/>
        <n v="91.4494742"/>
        <n v="201.2480974125"/>
        <n v="866.8645357686"/>
        <n v="376.6818873668"/>
        <n v="248.649864986"/>
        <n v="140.639063906"/>
        <n v="113.636364"/>
        <n v="203.645365"/>
        <n v="500.0"/>
        <n v="106.6"/>
        <n v="229.6"/>
        <n v="10821.0"/>
        <n v="49.2"/>
        <n v="6303.0"/>
        <n v="579.3"/>
        <n v="844.8"/>
        <n v="3074.6"/>
        <n v="129.4"/>
        <n v="7307.3"/>
        <n v="3793.0"/>
        <n v="628.75"/>
        <n v="1964.0"/>
        <n v="1078.7"/>
        <n v="97.1"/>
        <n v="32.4"/>
        <n v="24.3"/>
        <n v="48.6"/>
        <n v="245.861334"/>
        <n v="40.976889"/>
        <n v="131.1260449107"/>
        <n v="245.8613342075"/>
        <n v="2539.4"/>
        <n v="742.8"/>
        <n v="3380.7"/>
        <n v="33807.0"/>
        <n v="4474.1"/>
        <n v="170.4638583839"/>
        <n v="144.2386494018"/>
        <n v="137.6823471562"/>
        <n v="6551.0"/>
        <n v="785.2"/>
        <n v="123.3"/>
        <n v="31.8"/>
        <n v="143.4"/>
        <n v="47.8"/>
        <n v="2732.0"/>
        <n v="652.6"/>
        <n v="1537.25"/>
        <n v="591.25"/>
        <n v="236.5"/>
        <n v="15372.5"/>
        <n v="5912.5"/>
        <n v="2365.0"/>
        <n v="72.26810673"/>
        <n v="79.41550191"/>
        <n v="1371.2409995765"/>
        <n v="1216.9525624735"/>
        <n v="78.8767944471"/>
        <n v="28.3956460009"/>
        <n v="1861.0"/>
        <n v="218.0"/>
        <n v="352.0456707896"/>
        <n v="228.3539486202"/>
        <n v="209.3244529019"/>
        <n v="85.6327307325"/>
        <n v="272.7561052964"/>
        <n v="63.43165239"/>
        <n v="102.4751694781"/>
        <n v="890.0"/>
        <n v="1736.1"/>
        <n v="783.2"/>
        <n v="12583.0"/>
        <n v="3678.0"/>
        <n v="325.0"/>
        <n v="9427.0"/>
        <n v="12000.0"/>
        <n v="3140.0"/>
        <n v="20146.0"/>
        <n v="298.4099748"/>
        <n v="1054.587051"/>
        <n v="185.9528712"/>
        <n v="85.7927478"/>
        <n v="144.1317776253"/>
        <n v="123.5415236788"/>
        <n v="102.9512697323"/>
        <n v="68.6341798215"/>
        <n v="83.47"/>
        <n v="100.16"/>
        <n v="41.393583"/>
        <n v="42.94917681"/>
        <n v="85.89835361"/>
        <n v="143.1639227"/>
        <n v="89.47745168"/>
        <n v="128.8475304"/>
        <n v="27.9"/>
        <n v="55.9"/>
        <n v="288.8"/>
        <n v="37384.0"/>
        <n v="125.8"/>
        <n v="919.4"/>
        <n v="369.6"/>
        <n v="7005.0"/>
        <n v="29433.0"/>
        <n v="8996.0"/>
        <n v="29109.0"/>
        <n v="8897.0"/>
        <n v="7929.7"/>
        <n v="5044.9"/>
        <n v="7375.5"/>
        <n v="253.4425009"/>
        <n v="653.1075549"/>
        <n v="295.6457015"/>
        <n v="133.9784146"/>
        <n v="93.0405656866"/>
        <n v="156.3081503536"/>
        <n v="93.28"/>
        <n v="134.32"/>
        <n v="111.94"/>
        <n v="38779.0"/>
        <n v="1508.0"/>
        <n v="134.8314606741"/>
        <n v="112.3595505617"/>
        <n v="93.04056959"/>
        <n v="93.6329588014"/>
        <n v="74.9063670411"/>
        <n v="144.7640533935"/>
        <n v="15364.4"/>
        <n v="2024.5"/>
        <n v="1065.2"/>
        <n v="466.7"/>
        <n v="11466.0"/>
        <n v="8118.789"/>
        <n v="654.646"/>
        <n v="345.197"/>
        <n v="432.836"/>
        <n v="469.429"/>
        <n v="508.333"/>
        <n v="519.197"/>
        <n v="616.277"/>
        <n v="616.804"/>
        <n v="655.232"/>
        <n v="753.548"/>
        <n v="803.839"/>
        <n v="824.45"/>
        <n v="831.664"/>
        <n v="959.322"/>
        <n v="971.821"/>
        <n v="999.646"/>
        <n v="1005.623"/>
        <n v="1030.563"/>
        <n v="466.746"/>
        <n v="653.171"/>
        <n v="906.895"/>
        <n v="1052.0"/>
        <n v="728.0"/>
        <n v="1027.0"/>
        <n v="843.0"/>
        <n v="5639.0"/>
        <n v="958.0"/>
        <n v="767.0"/>
        <n v="911.0"/>
        <n v="974.0"/>
        <n v="783.0"/>
        <n v="910.0"/>
        <n v="880.4"/>
        <n v="1058.2"/>
        <n v="717.8"/>
        <n v="8597.0"/>
        <n v="3316.7"/>
        <n v="4938.7"/>
        <n v="21418.579"/>
        <n v="150.0681066"/>
        <n v="844.9114614"/>
        <n v="303.9891029"/>
        <n v="81.72796264"/>
        <n v="97.29519362"/>
        <n v="116.7542323409"/>
        <n v="140.1050788091"/>
        <n v="163.4559252773"/>
        <n v="104.34616121"/>
        <n v="89.0292935095"/>
        <n v="76.5843385027"/>
        <n v="10133.0"/>
        <n v="8137.02"/>
        <n v="169.6"/>
        <n v="107.7"/>
        <n v="29.5"/>
        <n v="2200.0"/>
        <n v="571.8"/>
        <n v="265.2"/>
        <n v="56.8"/>
        <n v="10317.0"/>
        <n v="2076.0"/>
        <n v="1072.0"/>
        <n v="4846.0"/>
        <n v="96.61835749"/>
        <n v="173.9130435"/>
        <n v="48.30917874"/>
        <n v="144.9275362"/>
        <n v="386.47343"/>
        <n v="270.531401"/>
        <n v="77.29468599"/>
        <n v="162.31884058"/>
        <n v="139.13043478"/>
        <n v="139.1304347826"/>
        <n v="115.9420289855"/>
        <n v="1033.87191"/>
        <n v="1557.40705"/>
        <n v="1052.75453"/>
        <n v="68.5990338164"/>
        <n v="1419.54871"/>
        <n v="1954.22068"/>
        <n v="99.40357"/>
        <n v="143.14115"/>
        <n v="119.28429"/>
        <n v="4659.9"/>
        <n v="10415.0"/>
        <n v="17698.0"/>
        <n v="1520.0"/>
        <n v="9295.0"/>
        <n v="19024.0"/>
        <n v="158.4507042254"/>
        <n v="184.8591549296"/>
        <n v="110.0352112676"/>
        <n v="132.0422535211"/>
        <n v="88.0281690141"/>
        <n v="66.47462885"/>
        <n v="2876.2242410813"/>
        <n v="2140.5716818081"/>
        <n v="78.6616441392"/>
        <n v="114.1147795258"/>
        <n v="66.3"/>
        <n v="651.5"/>
        <n v="16.9"/>
        <n v="1205.3"/>
        <n v="867.2"/>
        <n v="672.0"/>
        <n v="169.0"/>
        <n v="8672.0"/>
        <n v="6515.0"/>
        <n v="12053.0"/>
        <n v="7819.0"/>
        <n v="15825.0"/>
        <n v="7556.0"/>
        <n v="177.3835920177"/>
        <n v="206.9475240207"/>
        <n v="123.1830500123"/>
        <n v="98.5464400099"/>
        <n v="147.8196600148"/>
        <n v="110.8647450111"/>
        <n v="1707.3330070957"/>
        <n v="1707.4798140445"/>
        <n v="1466.129190115"/>
        <n v="1.0"/>
        <n v="160.1941747573"/>
        <n v="82.5242718447"/>
        <n v="9630.0"/>
        <n v="74145.0"/>
        <n v="9180.0"/>
        <n v="34498.0"/>
        <n v="5109.0"/>
        <n v="446.0"/>
        <n v="610.3038309115"/>
        <n v="681.6380449141"/>
        <n v="742.4042272127"/>
        <n v="29427.0"/>
        <n v="2437.0"/>
        <n v="8068.0"/>
        <n v="12690.0"/>
        <n v="30150.0"/>
        <n v="347.6533399553"/>
        <n v="381.1770548796"/>
        <n v="409.7342935187"/>
        <n v="117.2882946282"/>
        <n v="562.9838214154"/>
        <n v="5870.0"/>
        <n v="337.7902885292"/>
        <n v="394.0886699507"/>
        <n v="10.0117288295"/>
        <n v="20581.0"/>
        <n v="168.8951442646"/>
        <n v="8.4400656814"/>
        <n v="140.7459535538"/>
        <n v="465.8831808586"/>
        <n v="996.8707482993"/>
        <n v="1636.5611072015"/>
        <n v="174.8410535876"/>
        <n v="108.991825613"/>
        <n v="89.0868597"/>
        <n v="1706.0"/>
        <n v="4174.0"/>
        <n v="291.6587497625"/>
        <n v="266.0079802394"/>
        <n v="266.1596958175"/>
        <n v="313.5094052822"/>
        <n v="33106.0"/>
        <n v="137.1689845685"/>
        <n v="95.2562392837"/>
        <n v="114.3074871404"/>
        <n v="76.2049914269"/>
        <n v="274.337969137"/>
        <n v="228.6149742808"/>
        <n v="320.0609639931"/>
        <n v="1294.9697194414"/>
        <n v="761.6734643431"/>
        <n v="622.7783957484"/>
        <n v="3000.0"/>
        <n v="143.106457"/>
        <n v="433.5"/>
        <n v="7056.2"/>
        <n v="1987.0"/>
        <n v="277.0"/>
        <n v="744.5"/>
        <n v="288.0"/>
        <n v="1172.3"/>
        <n v="935.5"/>
        <n v="11074.0"/>
        <n v="146.1"/>
        <n v="317.0"/>
        <n v="2385.0"/>
        <n v="203.6031589339"/>
        <n v="172.754195459"/>
        <n v="189.4126357354"/>
        <n v="9379.0"/>
        <n v="5876.0"/>
        <n v="198.487713"/>
        <n v="85.0661626"/>
        <n v="70.888468"/>
        <n v="59.073724"/>
        <n v="170.132325"/>
        <n v="19.494328"/>
        <n v="141.776938"/>
        <n v="827.53"/>
        <n v="317.82"/>
        <n v="324.79"/>
        <n v="47.3933649"/>
        <n v="141.78"/>
        <n v="59.07"/>
        <n v="18360.0"/>
        <n v="1071.0"/>
        <n v="15642.0"/>
        <n v="13993.0"/>
        <n v="1769.3"/>
        <n v="23286.0"/>
        <n v="294.2"/>
        <n v="267.2"/>
        <n v="174.6"/>
        <n v="19.4"/>
        <n v="31.43"/>
        <n v="56.69"/>
        <n v="67.91"/>
        <n v="4833.0"/>
        <n v="6828.0"/>
        <n v="212.7"/>
        <n v="233.21"/>
        <n v="250.68"/>
        <n v="20722.0"/>
        <n v="8324.0"/>
        <n v="29.546"/>
        <n v="212.734"/>
        <n v="177.278"/>
        <n v="73.866"/>
        <n v="1034.835278"/>
        <n v="473.6593293"/>
        <n v="800.1181858"/>
        <n v="35.46"/>
        <n v="212.73"/>
        <n v="177.28"/>
        <n v="106.37"/>
        <n v="88.64"/>
        <n v="73.87"/>
        <n v="58.9188392988"/>
        <n v="14.3467"/>
        <n v="7.0525"/>
        <n v="246.442717"/>
        <n v="105.618307"/>
        <n v="73.3460466"/>
        <n v="5167.0"/>
        <n v="1008.0"/>
        <n v="81.4107274063"/>
        <n v="367.6708302719"/>
        <n v="267.8912564291"/>
        <n v="367.5238795004"/>
        <n v="887.1"/>
        <n v="325.93"/>
        <n v="652.39"/>
        <n v="1034.84"/>
        <n v="473.66"/>
        <n v="800.12"/>
        <n v="3957.0"/>
        <n v="729.0"/>
        <n v="21280.0"/>
        <n v="1117.0"/>
        <n v="197.3"/>
        <n v="225.5"/>
        <n v="22.0"/>
        <n v="21.5"/>
        <n v="2958.0"/>
        <n v="40697.67"/>
        <n v="59.2865094581"/>
        <n v="59.2073119835"/>
        <n v="59.3189084249"/>
        <n v="59.3513073918"/>
        <n v="59.3261081953"/>
        <n v="58.9409204783"/>
        <n v="59.2469107208"/>
        <n v="44.0077013255"/>
        <n v="44.0665172801"/>
        <n v="44.0157216829"/>
        <n v="44.0852314475"/>
        <n v="10.6427783405"/>
        <n v="3.6737692873"/>
        <n v="44.0397827553"/>
        <n v="43.6816869549"/>
        <n v="59.2253611655"/>
        <n v="59.3009312581"/>
        <n v="59.347712744"/>
        <n v="59.214565438"/>
        <n v="59.326121289"/>
        <n v="59.1713825279"/>
        <n v="44.0237644056"/>
        <n v="43.9836772043"/>
        <n v="43.9916946446"/>
        <n v="10.6387804937"/>
        <n v="43.9206510466"/>
        <n v="44.0071254945"/>
        <n v="44.0573364643"/>
        <n v="44.0405994743"/>
        <n v="43.9903885046"/>
        <n v="59.1968366912"/>
        <n v="59.3621070474"/>
        <n v="59.2569350025"/>
        <n v="59.1292260909"/>
        <n v="59.2193735579"/>
        <n v="59.3395701806"/>
        <n v="59.2081051245"/>
        <n v="10.6400337328"/>
        <n v="65.0"/>
        <n v="8.8170462895"/>
        <n v="244.89"/>
        <n v="32.034"/>
        <n v="32.9"/>
        <n v="21685.91"/>
        <n v="16041.0"/>
        <n v="9085.0"/>
        <n v="6008.0"/>
        <n v="42.1"/>
        <n v="132.8"/>
        <n v="91.5"/>
        <n v="193.5"/>
        <n v="233.8"/>
        <n v="768.5"/>
        <n v="796.6"/>
        <n v="950.0"/>
        <n v="371.0"/>
        <n v="6678.0"/>
        <n v="23297.22"/>
        <n v="1188.9"/>
        <n v="7384.4"/>
        <n v="1145.9"/>
        <n v="39.6"/>
        <n v="196.85"/>
        <n v="179.53"/>
        <n v="211.59"/>
        <n v="5548.2"/>
        <n v="5944.5"/>
        <n v="3373.2"/>
        <n v="172.599"/>
        <n v="143.833"/>
        <n v="59.93"/>
        <n v="201.366"/>
        <n v="86.299"/>
        <n v="95.888"/>
        <n v="172.6"/>
        <n v="86.3"/>
        <n v="47.94"/>
        <n v="143.83"/>
        <n v="71.92"/>
        <n v="788.244"/>
        <n v="290.722"/>
        <n v="429.164"/>
        <n v="86.825"/>
        <n v="57.883"/>
        <n v="28.941"/>
        <n v="57.88"/>
        <n v="28.94"/>
        <n v="312.6046667411"/>
        <n v="883.6099360018"/>
        <n v="883.0675778284"/>
        <n v="289.2576924468"/>
        <n v="288.7153342734"/>
        <n v="37059.8"/>
        <n v="10534.174"/>
        <n v="19520.0"/>
        <n v="2.5365632916"/>
        <n v="44.4222864294"/>
        <n v="30.4084681572"/>
        <n v="29.9399620732"/>
        <n v="30.1903704974"/>
        <n v="30.3054775956"/>
        <n v="30.4387594988"/>
        <n v="44.5289212437"/>
        <n v="44.5022625401"/>
        <n v="44.549655791"/>
        <n v="44.5881628073"/>
        <n v="44.5259591656"/>
        <n v="44.6148215109"/>
        <n v="7.7862511851"/>
        <n v="1.6234005066"/>
        <n v="44.5762861851"/>
        <n v="30.345829059"/>
        <n v="30.4064358675"/>
        <n v="30.4084560945"/>
        <n v="30.3943145058"/>
        <n v="30.4185572293"/>
        <n v="44.4133070094"/>
        <n v="43.9777081216"/>
        <n v="44.2947766998"/>
        <n v="44.6474043708"/>
        <n v="44.5436903499"/>
        <n v="44.599992247"/>
        <n v="7.786445359"/>
        <n v="44.478465042"/>
        <n v="30.3639962154"/>
        <n v="30.432697611"/>
        <n v="30.4246150938"/>
        <n v="30.3983469132"/>
        <n v="44.3747303665"/>
        <n v="44.5110673687"/>
        <n v="44.5436696953"/>
        <n v="43.8945870109"/>
        <n v="44.5762720219"/>
        <n v="44.6118381964"/>
        <n v="7.7868168139"/>
        <n v="112.07"/>
        <n v="75.98"/>
        <n v="151.96"/>
        <n v="28.49"/>
        <n v="56.98"/>
        <n v="9310.98"/>
        <n v="33100.0"/>
        <n v="508.8"/>
        <n v="275.6"/>
        <n v="8722.9"/>
        <n v="6865.6"/>
        <n v="4854.9"/>
        <n v="289.7"/>
        <n v="135.3"/>
        <n v="18.7"/>
        <n v="699.6"/>
        <n v="22826.0"/>
        <n v="67438.67"/>
        <n v="10493.0"/>
        <n v="38028.0"/>
        <n v="161.2564"/>
        <n v="147.0742"/>
        <n v="173.3375"/>
        <n v="161.26"/>
        <n v="147.07"/>
        <n v="11867.5"/>
        <n v="406.9"/>
        <n v="55.0"/>
        <n v="942.1"/>
        <n v="2064.7"/>
        <n v="15.8"/>
        <n v="21.0"/>
        <n v="14.18"/>
        <n v="25073.0"/>
        <n v="43.1499"/>
        <n v="158.2417582418"/>
        <n v="54.9450549451"/>
        <n v="79.1208791209"/>
        <n v="79.121"/>
        <n v="54.945"/>
        <n v="2.6399155227"/>
        <n v="1.6895459345"/>
        <n v="27.5771940352"/>
        <n v="28.303513257"/>
        <n v="46.4031161503"/>
        <n v="41.6005479566"/>
        <n v="46.9326446009"/>
        <n v="44.5058751775"/>
        <n v="42.0309668041"/>
        <n v="41.6232015801"/>
        <n v="40.7255517467"/>
        <n v="29.7332153043"/>
        <n v="27.647914591"/>
        <n v="27.6402691255"/>
        <n v="7.4983040792"/>
        <n v="2.5343189018"/>
        <n v="29.1770030555"/>
        <n v="27.9480934171"/>
        <n v="43.9911756642"/>
        <n v="40.8562638961"/>
        <n v="45.4050151822"/>
        <n v="42.0311446223"/>
        <n v="42.1563135132"/>
        <n v="27.4008445938"/>
        <n v="28.3071654521"/>
        <n v="31.0299683697"/>
        <n v="41.1862546086"/>
        <n v="7.5266020233"/>
        <n v="27.0290015761"/>
        <n v="30.5686286311"/>
        <n v="29.0681975226"/>
        <n v="40.7588776367"/>
        <n v="46.409104585"/>
        <n v="40.6987992742"/>
        <n v="42.4525152839"/>
        <n v="40.7016601486"/>
        <n v="27.9057013486"/>
        <n v="31.6616067615"/>
        <n v="43.8915351093"/>
        <n v="7.5542084484"/>
        <n v="4.634"/>
        <n v="109.8901098901"/>
        <n v="27.4725274725"/>
        <n v="27.4725"/>
        <n v="184.6153"/>
        <n v="158.2417"/>
        <n v="65.934"/>
        <n v="136.2"/>
        <n v="22.7"/>
        <n v="56.75"/>
        <n v="8389.3"/>
        <n v="55.86"/>
        <n v="297.9"/>
        <n v="30.16"/>
        <n v="83.79"/>
        <n v="289.129"/>
        <n v="283.937"/>
        <n v="748.336"/>
        <n v="1057.0"/>
        <n v="1620.0"/>
        <n v="135.0"/>
        <n v="6278.0"/>
        <n v="70702.8"/>
        <n v="6361.8"/>
        <n v="3480.0"/>
        <n v="2221.0"/>
        <n v="396.26"/>
        <n v="5147.75"/>
        <n v="10295.5"/>
        <n v="45.6"/>
        <n v="21810.74"/>
        <n v="98.557"/>
        <n v="311.287"/>
        <n v="537.482"/>
        <n v="707.214"/>
        <n v="254.597"/>
        <n v="495.05"/>
        <n v="558.699"/>
        <n v="726.21"/>
        <n v="2155.77"/>
        <n v="5159.13"/>
        <n v="193.29"/>
        <n v="844.67"/>
        <n v="2743.39"/>
        <n v="1282.7"/>
        <n v="8219.47"/>
        <n v="327.0"/>
        <n v="42.7"/>
        <n v="239.78"/>
        <n v="176.44"/>
        <n v="124.2"/>
        <n v="230.37"/>
        <n v="58.08"/>
        <n v="198.55"/>
        <n v="31.62"/>
        <n v="132.38"/>
        <n v="19.41"/>
        <n v="201.27"/>
        <n v="237.21"/>
        <n v="220.67"/>
        <n v="202.02"/>
        <n v="221.5"/>
        <n v="91.09"/>
        <n v="132.36"/>
        <n v="16.47"/>
        <n v="1287.59"/>
        <n v="948.9"/>
        <n v="1000.0"/>
        <n v="107.75"/>
        <n v="89.8"/>
        <n v="74.8"/>
        <n v="215.5"/>
        <n v="179.6"/>
        <n v="251.42"/>
        <n v="149.6"/>
        <n v="37.4"/>
        <n v="59.9"/>
        <n v="340.182310914"/>
        <n v="230.056664203"/>
        <n v="100.5"/>
        <n v="985.12"/>
        <n v="248.6"/>
        <n v="377.91"/>
        <n v="4389.0"/>
        <n v="6217.0"/>
        <n v="2142.0"/>
        <n v="4255.0"/>
        <n v="146.0"/>
        <n v="1754.0"/>
        <n v="1719.0"/>
        <n v="1797.0"/>
        <n v="50.0"/>
        <n v="5298.0"/>
        <n v="1229.5"/>
        <n v="7915.8"/>
        <n v="13666.7"/>
        <n v="106.41"/>
        <n v="70.94"/>
        <n v="1374.0"/>
        <n v="6.3847900114"/>
        <n v="37.1172386658"/>
        <n v="38.1959753972"/>
        <n v="38.0818521158"/>
        <n v="39.1143960904"/>
        <n v="52.4605687742"/>
        <n v="57.3518605518"/>
        <n v="54.7378019222"/>
        <n v="51.4647369152"/>
        <n v="34.6783800285"/>
        <n v="39.3209048853"/>
        <n v="51.6697611215"/>
        <n v="51.8674630347"/>
        <n v="16.2115568799"/>
        <n v="9.4776214399"/>
        <n v="38.7764365289"/>
        <n v="38.1952109621"/>
        <n v="38.3310113281"/>
        <n v="38.447799643"/>
        <n v="52.9311709432"/>
        <n v="31.2009930491"/>
        <n v="51.7711058721"/>
        <n v="54.8780309364"/>
        <n v="52.6713456434"/>
        <n v="15.1833122403"/>
        <n v="39.0045811439"/>
        <n v="35.3801549142"/>
        <n v="17.6022491867"/>
        <n v="9.4685008826"/>
        <n v="41.3311491286"/>
        <n v="36.8401139056"/>
        <n v="39.7302025001"/>
        <n v="36.5125879997"/>
        <n v="51.5301789237"/>
        <n v="13.6663005353"/>
        <n v="39.2937031666"/>
        <n v="37.4427615727"/>
        <n v="50.4710494582"/>
        <n v="49.4860590554"/>
        <n v="50.2168583865"/>
        <n v="35.1030809152"/>
        <n v="9.0893449352"/>
        <n v="22214.0"/>
        <n v="24233.0"/>
        <n v="78251.0"/>
        <n v="17832.0"/>
        <n v="127711.0"/>
        <n v="31.48"/>
        <n v="3.44"/>
        <n v="3.37"/>
        <n v="31.33"/>
        <n v="202.94"/>
        <n v="3413.26"/>
        <n v="103.54"/>
        <n v="327.01"/>
        <n v="564.64"/>
        <n v="742.94"/>
        <n v="267.46"/>
        <n v="520.06"/>
        <n v="586.92"/>
        <n v="16.07"/>
        <n v="25.04"/>
        <n v="8.03"/>
        <n v="36.4"/>
        <n v="23.78"/>
        <n v="2281.5"/>
        <n v="369.8"/>
        <n v="97605.0"/>
        <n v="1409.0"/>
        <n v="11464.0"/>
        <n v="715.4"/>
        <n v="20.48"/>
        <n v="17.56"/>
        <n v="29.73"/>
        <n v="2.024"/>
        <n v="13.21"/>
        <n v="15.42"/>
        <n v="2.96"/>
        <n v="3.8"/>
        <n v="3.2"/>
        <n v="4.13"/>
        <n v="195.56"/>
        <n v="69.84"/>
        <n v="158.0"/>
        <n v="15752.87"/>
        <n v="625.86"/>
        <n v="35354.0"/>
        <n v="18.42"/>
        <n v="191.02"/>
        <n v="225.13"/>
        <n v="209.44"/>
        <n v="15.7808"/>
        <n v="2.1041066667"/>
        <n v="1081.2"/>
        <n v="12257.1"/>
        <n v="73.1"/>
        <n v="6218.0"/>
        <n v="39.774"/>
        <n v="68.09"/>
        <n v="3.65"/>
        <n v="17.95"/>
        <n v="11.08"/>
        <n v="3.19"/>
        <n v="15.51"/>
        <n v="23.25"/>
        <n v="5.23"/>
        <n v="2.9"/>
        <n v="7.75"/>
        <n v="20.36"/>
        <n v="2.03"/>
        <n v="20.13"/>
        <n v="2.71"/>
        <n v="128.81"/>
        <n v="234.18"/>
        <n v="200.7"/>
        <n v="100.36"/>
        <n v="69.7"/>
        <n v="55.76"/>
        <n v="34.85"/>
        <n v="167.27"/>
        <n v="83.63"/>
        <n v="41.82"/>
        <n v="22.3"/>
        <n v="133.82"/>
        <n v="39.0"/>
        <n v="935.537"/>
        <n v="384.694"/>
        <n v="294.82"/>
        <n v="4201.09"/>
        <n v="140.0364094665"/>
        <n v="105.027307"/>
        <n v="70.0182047332"/>
        <n v="35.0091023666"/>
        <n v="188.0"/>
        <n v="509.0"/>
        <n v="176.0"/>
        <n v="198.0"/>
        <n v="400.0"/>
        <n v="180.0"/>
        <n v="178.0"/>
        <n v="285.0"/>
        <n v="160.0"/>
        <n v="657.0"/>
        <n v="38.896"/>
        <n v="8864.499789"/>
        <n v="8442.380751"/>
        <n v="16603.34881"/>
        <n v="703.53"/>
        <n v="545.0"/>
        <n v="614.0"/>
        <n v="178.39"/>
        <n v="187.5"/>
        <n v="154.97"/>
        <n v="373.3"/>
        <n v="371.66"/>
        <n v="230.54"/>
        <n v="7.38"/>
        <n v="69.83"/>
        <n v="21.28"/>
        <n v="17.42"/>
        <n v="4.12"/>
        <n v="30.13"/>
        <n v="30.45"/>
        <n v="1670.0"/>
        <n v="1674.85"/>
        <n v="1583.17"/>
        <n v="1726.05"/>
        <n v="1954.91"/>
        <n v="305.64"/>
        <n v="1954.67"/>
        <n v="1668.9"/>
        <n v="1851.79"/>
        <n v="1583.16"/>
        <n v="19.0"/>
        <n v="5.9231000904"/>
        <n v="57.0712420112"/>
        <n v="57.0429661745"/>
        <n v="50.232023996"/>
        <n v="57.1737419195"/>
        <n v="42.0445374944"/>
        <n v="38.56732652"/>
        <n v="41.2312767568"/>
        <n v="41.9976186057"/>
        <n v="41.8751081741"/>
        <n v="55.8730534287"/>
        <n v="56.8945180315"/>
        <n v="50.1259896082"/>
        <n v="9.9342083802"/>
        <n v="57.0895442263"/>
        <n v="56.9913135842"/>
        <n v="56.9246570771"/>
        <n v="56.7667864023"/>
        <n v="41.4736451113"/>
        <n v="42.0738875109"/>
        <n v="36.7131019419"/>
        <n v="37.3055825863"/>
        <n v="36.6820549212"/>
        <n v="52.3183416116"/>
        <n v="57.0720030402"/>
        <n v="9.9084626671"/>
        <n v="31.72"/>
        <n v="20.8"/>
        <n v="8.79"/>
        <n v="12.42"/>
        <n v="7.65"/>
        <n v="17.02"/>
        <n v="36.86"/>
        <n v="30.47"/>
        <n v="33.98"/>
        <n v="32.58"/>
        <n v="10.93"/>
        <n v="31.5"/>
        <n v="160.7"/>
        <n v="22.43"/>
        <n v="6.05"/>
        <n v="4.8"/>
        <n v="6.7"/>
        <n v="8.1"/>
        <n v="8.69"/>
        <n v="5.5"/>
        <n v="36.9380843599"/>
        <n v="42.1024993127"/>
        <n v="42.0637855575"/>
        <n v="42.0792710596"/>
        <n v="56.2533346155"/>
        <n v="56.9917602472"/>
        <n v="50.1884454225"/>
        <n v="57.1597433293"/>
        <n v="56.4388159353"/>
        <n v="41.7514945983"/>
        <n v="44.0780608114"/>
        <n v="9.819035621"/>
        <n v="22.06"/>
        <n v="21220.0"/>
        <n v="40.541"/>
        <n v="512.59"/>
        <n v="301.66"/>
        <n v="119.9"/>
        <n v="110.0"/>
        <n v="168.77"/>
        <n v="21470.0"/>
        <n v="10131.88"/>
        <n v="9649.4"/>
        <n v="804.12"/>
        <n v="38.56"/>
        <n v="4.78"/>
        <n v="48.76"/>
        <n v="4.76"/>
        <n v="60.11"/>
        <n v="14.28"/>
        <n v="7.19"/>
        <n v="11.18"/>
        <n v="40.72"/>
        <n v="14.68"/>
        <n v="1319.52"/>
        <n v="127.22"/>
        <n v="287.68"/>
        <n v="5609.0"/>
        <n v="44082.0"/>
        <n v="94850.0"/>
        <n v="114.98"/>
        <n v="363.17"/>
        <n v="627.06"/>
        <n v="825.08"/>
        <n v="577.56"/>
        <n v="651.82"/>
        <n v="167.154753"/>
        <n v="886.92"/>
        <n v="265.16"/>
        <n v="285.02"/>
        <n v="241.84"/>
        <n v="5000.0"/>
        <n v="129.556"/>
        <n v="2232.79"/>
        <n v="2110.56"/>
        <n v="2301.04"/>
        <n v="2606.15"/>
        <n v="2132.7"/>
        <n v="923.41"/>
        <n v="2605.82"/>
        <n v="2224.85"/>
        <n v="2468.67"/>
        <n v="240.92"/>
        <n v="86.03"/>
        <n v="48.78"/>
        <n v="4.9"/>
        <n v="38.73"/>
        <n v="40.8"/>
        <n v="17.0"/>
        <n v="8.26"/>
        <n v="11.38"/>
        <n v="19.57"/>
        <n v="10.12"/>
        <n v="37.79"/>
        <n v="66.89"/>
        <n v="2.72"/>
        <n v="41.15"/>
        <n v="114672.0"/>
        <n v="3441.75"/>
        <n v="5566.0"/>
        <n v="236.05"/>
        <n v="337.0"/>
        <n v="209.0"/>
        <n v="167.56"/>
        <n v="262.295"/>
        <n v="182.6"/>
        <n v="441.5011037527"/>
        <n v="66.225"/>
        <n v="67.23"/>
        <n v="154.68"/>
        <n v="28.28"/>
        <n v="90.45"/>
        <n v="16.32"/>
        <n v="7.06"/>
        <n v="18.66"/>
        <n v="60.15"/>
        <n v="35.65"/>
        <n v="181.01"/>
        <n v="274.8691099476"/>
        <n v="117.8010471204"/>
        <n v="121.1827435773"/>
        <n v="80.7884957182"/>
        <n v="235.6"/>
        <n v="196.335078534"/>
        <n v="429.795"/>
        <n v="266.602"/>
        <n v="40.3942478591"/>
        <n v="457.0"/>
        <n v="258.95"/>
        <n v="143.51"/>
        <n v="281.03"/>
        <n v="98.167539267"/>
        <n v="121.1827436"/>
        <n v="80.7884957"/>
        <n v="1112.996"/>
        <n v="554.133"/>
        <n v="337.588"/>
        <n v="7.89"/>
        <n v="18.84"/>
        <n v="393.2"/>
        <n v="235.6020942408"/>
        <n v="185842.0"/>
        <n v="507.0"/>
        <n v="8057.0"/>
        <n v="45713.0"/>
        <n v="1283.42"/>
        <n v="2300.0"/>
        <n v="6.9772942289"/>
        <n v="63.927993553"/>
        <n v="64.0563549632"/>
        <n v="62.4197469837"/>
        <n v="54.4974412004"/>
        <n v="61.3206524092"/>
        <n v="52.2150148761"/>
        <n v="49.6129127466"/>
        <n v="49.6004768743"/>
        <n v="49.6440024275"/>
        <n v="49.59114997"/>
        <n v="49.6688741722"/>
        <n v="63.9961855522"/>
        <n v="11.8373287931"/>
        <n v="11.4894238125"/>
        <n v="62.4650443232"/>
        <n v="64.0603240013"/>
        <n v="64.0040672873"/>
        <n v="64.0844340217"/>
        <n v="63.9679022568"/>
        <n v="63.9558472466"/>
        <n v="49.6252722009"/>
        <n v="49.6065856417"/>
        <n v="43.5863991748"/>
        <n v="49.6533020396"/>
        <n v="47.3673129725"/>
        <n v="11.5573036569"/>
        <n v="64.0803375991"/>
        <n v="63.9492520783"/>
        <n v="56.1291814731"/>
        <n v="64.0762411766"/>
        <n v="63.5805740508"/>
        <n v="48.6655908534"/>
        <n v="49.5577510198"/>
        <n v="49.6244249112"/>
        <n v="31.5780249627"/>
        <n v="64.0680483316"/>
        <n v="47.2654391333"/>
        <n v="11.227276564"/>
        <n v="379.115"/>
        <n v="26.605"/>
        <n v="239.441"/>
        <n v="115.22"/>
        <n v="5165.22"/>
        <n v="153.65"/>
        <n v="116.13"/>
        <n v="366.8"/>
        <n v="633.33"/>
        <n v="833.33"/>
        <n v="583.33"/>
        <n v="658.33"/>
        <n v="233.33"/>
        <n v="52000.0"/>
        <n v="10.28"/>
        <n v="6.42"/>
        <n v="41.81"/>
        <n v="43.14"/>
        <n v="11.47"/>
        <n v="21.29"/>
        <n v="27.42"/>
        <n v="83.35"/>
        <n v="123.62"/>
        <n v="28.72"/>
        <n v="44.8"/>
        <n v="3.17"/>
        <n v="11.75"/>
        <n v="114.14"/>
        <n v="46.07"/>
        <n v="70.65"/>
        <n v="48.52"/>
        <n v="41.16"/>
        <n v="4.46"/>
        <n v="477.78"/>
        <n v="846.82"/>
        <n v="2219.88"/>
        <n v="66499.46"/>
        <n v="160.5"/>
        <n v="159.04"/>
        <n v="8594.0"/>
        <n v="113868.0"/>
        <n v="179.82"/>
        <n v="227.9"/>
        <n v="81.4"/>
        <n v="29.36"/>
        <n v="54.26"/>
        <n v="100.75"/>
        <n v="43.23"/>
        <n v="17.87"/>
        <n v="8.94"/>
        <n v="6.14"/>
        <n v="2711.84"/>
        <n v="56.97"/>
        <n v="6404.04"/>
        <n v="1773.67"/>
        <n v="1927.09"/>
        <n v="2849.21"/>
        <n v="3292.97"/>
        <n v="570.08"/>
        <n v="2172.56"/>
        <n v="1865.72"/>
        <n v="2062.27"/>
        <n v="28.5"/>
        <n v="2382.52"/>
        <n v="4.88"/>
        <n v="12.97"/>
        <n v="250.3261"/>
        <n v="269.0802"/>
        <n v="228.3105"/>
        <n v="425.39"/>
        <n v="7891.1"/>
        <n v="21025.52"/>
        <n v="3639.78"/>
        <n v="12677.22"/>
        <n v="16.87"/>
        <n v="30.58"/>
        <n v="87.61"/>
        <n v="17.79"/>
        <n v="83.11"/>
        <n v="73.46"/>
        <n v="5.13"/>
        <n v="11.45"/>
        <n v="7.18"/>
        <n v="52.34"/>
        <n v="78.47"/>
        <n v="10.81"/>
        <n v="8.71"/>
        <n v="5.12"/>
        <n v="19.7"/>
        <n v="35.48"/>
        <n v="8237.3"/>
        <n v="13024.8"/>
        <n v="50000.0"/>
        <n v="1688.0"/>
        <n v="1470.0"/>
        <n v="35315.0"/>
        <n v="5896.0"/>
        <n v="5940.6"/>
        <n v="9900.9"/>
        <n v="32.88"/>
        <n v="20.08"/>
        <n v="4.43"/>
        <n v="49.34"/>
        <n v="44.25"/>
        <n v="20.49"/>
        <n v="113.58"/>
        <n v="91.35"/>
        <n v="4.31"/>
        <n v="9.43"/>
        <n v="7.86"/>
        <n v="27.12"/>
        <n v="403.32"/>
        <n v="51.83"/>
        <n v="94.31"/>
        <n v="1042.53"/>
        <n v="154.9586776859"/>
        <n v="103.3057851239"/>
        <n v="104.843"/>
        <n v="297.520661157"/>
        <n v="247.9338842975"/>
        <n v="83.875"/>
        <n v="51.6528925619"/>
        <n v="890.65"/>
        <n v="123.9669421488"/>
        <n v="1127.0"/>
        <n v="831.79"/>
        <n v="352.39"/>
        <n v="347.11"/>
        <n v="148.76"/>
        <n v="51.652892562"/>
        <n v="157.2657"/>
        <n v="444.1394"/>
        <n v="469.8398"/>
        <n v="149.2162"/>
        <n v="148.7603305785"/>
        <n v="478.2882315921"/>
        <n v="302.0767778477"/>
        <n v="731.7592001701"/>
        <n v="361.6251861306"/>
        <n v="655.91"/>
        <n v="14236.56"/>
        <n v="24.31"/>
        <n v="4.22"/>
        <n v="10.58"/>
        <n v="3.82"/>
        <n v="25.44"/>
        <n v="27.46"/>
        <n v="54.1"/>
        <n v="86.06"/>
        <n v="24.63"/>
        <n v="97.34"/>
        <n v="58.33"/>
        <n v="7066.05"/>
        <n v="7762.0"/>
        <n v="482.84"/>
        <n v="833.7"/>
        <n v="1096.97"/>
        <n v="767.88"/>
        <n v="866.61"/>
        <n v="76.79"/>
        <n v="8.2278028189"/>
        <n v="64.3146994113"/>
        <n v="64.3551209432"/>
        <n v="64.2702357262"/>
        <n v="64.2944886454"/>
        <n v="78.6230348277"/>
        <n v="79.1497058143"/>
        <n v="18.3192068636"/>
        <n v="78.9459934516"/>
        <n v="76.5213194756"/>
        <n v="64.3308680241"/>
        <n v="72.402354873"/>
        <n v="14.4902887878"/>
        <n v="64.2984899277"/>
        <n v="79.104968808"/>
        <n v="76.8134399264"/>
        <n v="78.3146150289"/>
        <n v="78.9160792255"/>
        <n v="79.0204655737"/>
        <n v="78.8862545546"/>
        <n v="64.0356344658"/>
        <n v="14.5358217274"/>
        <n v="62.7000752522"/>
        <n v="64.2903385355"/>
        <n v="64.3874538505"/>
        <n v="79.1148884989"/>
        <n v="79.0402799658"/>
        <n v="78.9855670415"/>
        <n v="78.9905409437"/>
        <n v="14.5239268298"/>
        <n v="64.2249395339"/>
        <n v="64.2474477485"/>
        <n v="6.5684022041"/>
        <n v="7.4"/>
        <n v="12.74"/>
        <n v="17.06"/>
        <n v="9.94"/>
        <n v="29.87"/>
        <n v="7.66"/>
        <n v="26.25"/>
        <n v="91.21"/>
        <n v="28.36"/>
        <n v="9.77"/>
        <n v="23.49"/>
        <n v="107.12"/>
        <n v="114.8"/>
        <n v="37.16"/>
        <n v="312.02"/>
        <n v="111.44"/>
        <n v="4931.22"/>
        <n v="3280.27"/>
        <n v="3272.07"/>
        <n v="4954.91"/>
        <n v="4695.5"/>
        <n v="964.99"/>
        <n v="3839.22"/>
        <n v="3302.98"/>
        <n v="3646.23"/>
        <n v="3142.11"/>
        <n v="29.15"/>
        <n v="185.71"/>
        <n v="352.26"/>
        <n v="327.71"/>
        <n v="298.89"/>
        <n v="52.0"/>
        <n v="75.76"/>
        <n v="16.55"/>
        <n v="13.71"/>
        <n v="42.4"/>
        <n v="7.42"/>
        <n v="6.0"/>
        <n v="11.82"/>
        <n v="40.22"/>
        <n v="22.39"/>
        <n v="94.86"/>
        <n v="85.57"/>
        <n v="154.7"/>
        <n v="4992.08"/>
        <n v="4306.5"/>
        <n v="1350.0"/>
        <n v="4832.49"/>
        <n v="330.93"/>
        <n v="324.65"/>
        <n v="262.74"/>
        <n v="158.82"/>
        <n v="264.72"/>
        <n v="156.56"/>
        <n v="244.29"/>
        <n v="289.72"/>
        <n v="419.18"/>
        <n v="419.17"/>
        <n v="264.0"/>
        <n v="154.43"/>
        <n v="367.64"/>
        <n v="264.7"/>
        <n v="219.1780821918"/>
        <n v="54.7945205479"/>
        <n v="270.0"/>
        <n v="161.0"/>
        <n v="27.87"/>
        <n v="20.22"/>
        <n v="24.27"/>
        <n v="6.27"/>
        <n v="20.9"/>
        <n v="5.01"/>
        <n v="16.57"/>
        <n v="15.78"/>
        <n v="4985.0"/>
        <n v="171.0"/>
        <n v="4762.0"/>
        <n v="49.85"/>
        <n v="47.62"/>
        <n v="89.68"/>
        <n v="38.5"/>
        <n v="31.34"/>
        <n v="3.43"/>
        <n v="6.99"/>
        <n v="55.31"/>
        <n v="50.48"/>
        <n v="569.59359"/>
        <n v="92.8936"/>
        <n v="328.7671232876"/>
        <n v="463.4703196347"/>
        <n v="219.178"/>
        <n v="73.06"/>
        <n v="57.0776255707"/>
        <n v="28.5388127853"/>
        <n v="119.1895"/>
        <n v="718.73"/>
        <n v="676.6"/>
        <n v="495.25"/>
        <n v="550.6555423122"/>
        <n v="369.4874851013"/>
        <n v="14.0023337223"/>
        <n v="69.8310217635"/>
        <n v="69.8530518669"/>
        <n v="69.879487991"/>
        <n v="69.8398338049"/>
        <n v="69.6944351224"/>
        <n v="84.5846802287"/>
        <n v="84.5793466843"/>
        <n v="84.6326821281"/>
        <n v="84.5473454181"/>
        <n v="84.7500201043"/>
        <n v="23.6164793933"/>
        <n v="69.9146628985"/>
        <n v="69.8617506915"/>
        <n v="84.7179946527"/>
        <n v="84.6272558731"/>
        <n v="84.525841943"/>
        <n v="84.5471922441"/>
        <n v="84.4778037656"/>
        <n v="23.6841181139"/>
        <n v="69.8661875294"/>
        <n v="69.8573704941"/>
        <n v="69.9543578821"/>
        <n v="84.6432887648"/>
        <n v="84.6699715997"/>
        <n v="84.611269363"/>
        <n v="84.61660593"/>
        <n v="23.6330002328"/>
        <n v="69.9729193187"/>
        <n v="70.0061329982"/>
        <n v="30.5026362139"/>
        <n v="29.7789357061"/>
        <n v="29.7219777958"/>
        <n v="29.7722347755"/>
        <n v="29.2160575335"/>
        <n v="29.1624500885"/>
        <n v="15.2900278302"/>
        <n v="6601.1"/>
        <n v="1524.0"/>
        <n v="4500.35"/>
        <n v="78.0487804878"/>
        <n v="234.1463414634"/>
        <n v="60.975609756"/>
        <n v="57.46"/>
        <n v="59.85"/>
        <n v="40.7"/>
        <n v="177.63"/>
        <n v="3.98"/>
        <n v="5.38"/>
        <n v="17.63"/>
        <n v="15.88"/>
        <n v="10.8"/>
        <n v="10.69"/>
        <n v="16.23"/>
        <n v="9.4"/>
        <n v="30.77"/>
        <n v="46.64"/>
        <n v="24.56"/>
        <n v="50.7"/>
        <n v="164.29"/>
        <n v="115.85"/>
        <n v="75.05"/>
        <n v="33.02"/>
        <n v="39.26"/>
        <n v="69408.0"/>
        <n v="6471.0"/>
        <n v="4.84"/>
        <n v="10.59"/>
        <n v="26.3"/>
        <n v="17.31"/>
        <n v="6.71"/>
        <n v="46.28"/>
        <n v="12.11"/>
        <n v="35.21"/>
        <n v="34.25"/>
        <n v="47.09"/>
        <n v="72.99"/>
        <n v="71.57"/>
        <n v="86.25"/>
        <n v="117.44"/>
        <n v="1845.08"/>
        <n v="67.87"/>
        <n v="70.58"/>
        <n v="732.23"/>
        <n v="21157.82"/>
        <n v="1204.32"/>
        <n v="23.1696"/>
        <n v="508.97"/>
        <n v="1156.34"/>
        <n v="809.44"/>
        <n v="913.51"/>
        <n v="80.94"/>
        <n v="5777.68"/>
        <n v="15.1"/>
        <n v="16.62"/>
        <n v="10.08"/>
        <n v="11.48"/>
        <n v="35.24"/>
        <n v="9.47"/>
        <n v="9.65"/>
        <n v="324.11"/>
        <n v="43.3"/>
        <n v="62.08"/>
        <n v="139.7"/>
        <n v="37.69"/>
        <n v="84.02"/>
        <n v="316.17"/>
        <n v="113.11"/>
      </sharedItems>
    </cacheField>
    <cacheField name="USD Proposal Time" numFmtId="164">
      <sharedItems containsSemiMixedTypes="0" containsString="0" containsNumber="1">
        <n v="2003.8342475891113"/>
        <n v="3278.605613708496"/>
        <n v="5138.318881988525"/>
        <n v="283.31911182403564"/>
        <n v="306.4683952331543"/>
        <n v="5120.244095456601"/>
        <n v="5456.167616289854"/>
        <n v="6118.221773546935"/>
        <n v="1855.3516045331955"/>
        <n v="147.99872875213623"/>
        <n v="234.42325592041016"/>
        <n v="4184.825438261032"/>
        <n v="2074.8246640491484"/>
        <n v="140.1749610900879"/>
        <n v="742.1105630779266"/>
        <n v="488.8251615260304"/>
        <n v="390.7255084472549"/>
        <n v="8795.220908465386"/>
        <n v="6191.023391599655"/>
        <n v="1190.3077181625365"/>
        <n v="216.17872683048247"/>
        <n v="492.31000060700575"/>
        <n v="393.84800085587915"/>
        <n v="81560.93978881836"/>
        <n v="28991.929790496826"/>
        <n v="4534.350019097456"/>
        <n v="7623.987674743409"/>
        <n v="4579.842257083992"/>
        <n v="4268.867388117808"/>
        <n v="6823.412610471743"/>
        <n v="4984.99970055868"/>
        <n v="406.02876031473886"/>
        <n v="508.71979633594594"/>
        <n v="127.1799490841706"/>
        <n v="925.1298399106504"/>
        <n v="39399.83112504006"/>
        <n v="141039.06595420837"/>
        <n v="390.03071641921997"/>
        <n v="8015.2887716293335"/>
        <n v="3330.558354282379"/>
        <n v="5812.9521039962765"/>
        <n v="2886.0119894599916"/>
        <n v="507.3509769686778"/>
        <n v="405.88078157494226"/>
        <n v="511.88280861854554"/>
        <n v="666.418890285492"/>
        <n v="18469.072887420654"/>
        <n v="11363.333951950073"/>
        <n v="9801.825889587402"/>
        <n v="763.6174988013313"/>
        <n v="1239.6387981164023"/>
        <n v="436.88887946481896"/>
        <n v="546.1110992052758"/>
        <n v="1510.8079331724477"/>
        <n v="6733.192788510867"/>
        <n v="3888.5249534818117"/>
        <n v="542.6291853243346"/>
        <n v="370.0940847819602"/>
        <n v="279.35682439804077"/>
        <n v="558.4190599298795"/>
        <n v="593.687218699891"/>
        <n v="1634.1105122138379"/>
        <n v="271.1313934326172"/>
        <n v="762.1298492431641"/>
        <n v="142.89934673309327"/>
        <n v="8777.649079170227"/>
        <n v="6142.290253744126"/>
        <n v="194.5156401634216"/>
        <n v="146.1584000110626"/>
        <n v="1119.2799406051636"/>
        <n v="292.3168000221252"/>
        <n v="1461.5840001106262"/>
        <n v="2570.6398051272563"/>
        <n v="8889.038751602173"/>
        <n v="27576.66704149246"/>
        <n v="195.60231971740723"/>
        <n v="19216.617959976196"/>
        <n v="28237.927122974394"/>
        <n v="4285.077207756042"/>
        <n v="359.8779108333588"/>
        <n v="379.57162714004517"/>
        <n v="2029.2692290253487"/>
        <n v="5595.058594030842"/>
        <n v="3621.9248890824165"/>
        <n v="481.4771140768982"/>
        <n v="394.14994363217176"/>
        <n v="19940.431915283203"/>
        <n v="493.403675312677"/>
        <n v="788.2998872638004"/>
        <n v="397.0724243094223"/>
        <n v="65419.104813575745"/>
        <n v="78818.67565860748"/>
        <n v="21246.4195605278"/>
        <n v="501.60132261350486"/>
        <n v="413.7507083954343"/>
        <n v="910.5196459145441"/>
        <n v="3922.010693825701"/>
        <n v="1704.2459686197158"/>
        <n v="1300.3089694023665"/>
        <n v="735.4688740957932"/>
        <n v="676.8415754476147"/>
        <n v="1212.953713295548"/>
        <n v="2824.0504264831543"/>
        <n v="682.886629295349"/>
        <n v="1470.832740020752"/>
        <n v="69320.03954601288"/>
        <n v="308.20695533752445"/>
        <n v="43384.21857833862"/>
        <n v="299.53277022361755"/>
        <n v="3669.213891363144"/>
        <n v="5350.857751464843"/>
        <n v="22085.525002098082"/>
        <n v="929.5085329055787"/>
        <n v="47793.99616408348"/>
        <n v="24808.428208827972"/>
        <n v="3383.1313848495483"/>
        <n v="10567.745590209961"/>
        <n v="5804.188985824585"/>
        <n v="522.4684810638428"/>
        <n v="174.33551788330078"/>
        <n v="130.7516384124756"/>
        <n v="261.5032768249512"/>
        <n v="1322.9124379743575"/>
        <n v="220.4854063290596"/>
        <n v="728.3574498066768"/>
        <n v="1365.6702183871716"/>
        <n v="13986.29930820465"/>
        <n v="4091.1329944610593"/>
        <n v="18619.942534160615"/>
        <n v="186199.42534160614"/>
        <n v="24642.081489658358"/>
        <n v="938.8668758717163"/>
        <n v="794.4258180455101"/>
        <n v="814.5944682560133"/>
        <n v="38558.93712377548"/>
        <n v="4621.657369804382"/>
        <n v="747.7463059902191"/>
        <n v="192.8494122505188"/>
        <n v="869.6416892051698"/>
        <n v="289.88056306838985"/>
        <n v="17510.79992866516"/>
        <n v="4182.850671100617"/>
        <n v="9887.942628860474"/>
        <n v="3803.0548572540283"/>
        <n v="1521.2219429016113"/>
        <n v="98446.01478219032"/>
        <n v="37863.85183930397"/>
        <n v="15145.540735721588"/>
        <n v="453.89979203988247"/>
        <n v="498.790980319513"/>
        <n v="8612.45759308041"/>
        <n v="7643.406476564323"/>
        <n v="495.4074794026536"/>
        <n v="175.62082690504903"/>
        <n v="487.8356302927649"/>
        <n v="11509.875804901123"/>
        <n v="1348.2820663452148"/>
        <n v="2160.137014996233"/>
        <n v="1401.1699556727344"/>
        <n v="1284.4057927003134"/>
        <n v="525.4387333768152"/>
        <n v="1673.6196692760732"/>
        <n v="394.30479754022207"/>
        <n v="697.5385268061257"/>
        <n v="5959.033102989197"/>
        <n v="11624.131876516341"/>
        <n v="5243.9491306304935"/>
        <n v="87099.86713838577"/>
        <n v="25459.21571445465"/>
        <n v="1940.6319379806519"/>
        <n v="53444.622207164764"/>
        <n v="68031.76689147949"/>
        <n v="17801.645669937134"/>
        <n v="114213.99798297882"/>
        <n v="1746.8177428720514"/>
        <n v="6173.290196899655"/>
        <n v="1088.521839686712"/>
        <n v="502.20939888899176"/>
        <n v="843.7115637180203"/>
        <n v="723.1813403295645"/>
        <n v="602.6511169411086"/>
        <n v="401.7674112938772"/>
        <n v="471.92125403404236"/>
        <n v="566.2828897094727"/>
        <n v="233.51266095330476"/>
        <n v="227.00470179582072"/>
        <n v="454.0094035387872"/>
        <n v="756.6823393194024"/>
        <n v="472.92646203498583"/>
        <n v="681.0141052288994"/>
        <n v="149.02670044898986"/>
        <n v="298.5875467777252"/>
        <n v="1542.6133007049561"/>
        <n v="196641.11420822144"/>
        <n v="671.5192976951599"/>
        <n v="4907.749143886566"/>
        <n v="1972.9215614318848"/>
        <n v="37392.62861967087"/>
        <n v="157113.09609746933"/>
        <n v="48020.569173812866"/>
        <n v="155383.58693647385"/>
        <n v="47492.10804128647"/>
        <n v="42328.66911711693"/>
        <n v="26929.631994771957"/>
        <n v="39370.35437321663"/>
        <n v="1338.1472120322937"/>
        <n v="3448.332661819402"/>
        <n v="1560.975250033751"/>
        <n v="707.3905968132623"/>
        <n v="491.2434699677922"/>
        <n v="825.2890295464822"/>
        <n v="492.5076555633545"/>
        <n v="709.1941283798218"/>
        <n v="591.0303062152863"/>
        <n v="206705.32528066635"/>
        <n v="8038.155458450317"/>
        <n v="718.6977729365691"/>
        <n v="598.9148107802077"/>
        <n v="495.9380386652421"/>
        <n v="499.0956756500843"/>
        <n v="399.2765405199608"/>
        <n v="770.0639560855357"/>
        <n v="76547.05065555572"/>
        <n v="10086.27112364769"/>
        <n v="5306.93800983429"/>
        <n v="5396.51625374794"/>
        <n v="2325.148300027847"/>
        <n v="57124.81338787079"/>
        <n v="40448.65747082663"/>
        <n v="3025.8217147541045"/>
        <n v="1595.5257932806014"/>
        <n v="2000.5996641349793"/>
        <n v="2169.735187773704"/>
        <n v="2349.5523225164416"/>
        <n v="2399.766525473595"/>
        <n v="2848.4773891592026"/>
        <n v="2850.913221721649"/>
        <n v="3028.530249633789"/>
        <n v="3482.9539957618713"/>
        <n v="3715.4026777315144"/>
        <n v="3810.6682279109955"/>
        <n v="3844.01186378479"/>
        <n v="4434.056480970383"/>
        <n v="4491.827773566246"/>
        <n v="4620.436959619522"/>
        <n v="4648.063090977669"/>
        <n v="4763.337595925332"/>
        <n v="2157.3341654491423"/>
        <n v="2984.8934734201434"/>
        <n v="4144.374086689949"/>
        <n v="4709.518292527199"/>
        <n v="4604.797477722168"/>
        <n v="3186.589889526367"/>
        <n v="4495.367879867554"/>
        <n v="3689.966039657593"/>
        <n v="24682.940092086792"/>
        <n v="4193.342189788818"/>
        <n v="3357.3000621795654"/>
        <n v="3987.6145458221436"/>
        <n v="4263.3771324157715"/>
        <n v="3427.3350048065186"/>
        <n v="3983.237361907959"/>
        <n v="3853.6727180480957"/>
        <n v="4631.936017990112"/>
        <n v="3141.9426136016846"/>
        <n v="37971.63562774658"/>
        <n v="16608.198688459397"/>
        <n v="24730.277342748643"/>
        <n v="104587.17438031292"/>
        <n v="802.4471725698746"/>
        <n v="4517.927417312472"/>
        <n v="1625.4965937856223"/>
        <n v="437.01739181111486"/>
        <n v="520.2587997802293"/>
        <n v="624.3105597196989"/>
        <n v="749.1726716637455"/>
        <n v="874.0347836077922"/>
        <n v="543.550957488406"/>
        <n v="463.7636609766091"/>
        <n v="398.9364825600255"/>
        <n v="51830.07041835785"/>
        <n v="42288.77604317665"/>
        <n v="881.4254379272461"/>
        <n v="559.7259414196014"/>
        <n v="153.31397652626038"/>
        <n v="11476.902770996094"/>
        <n v="2972.2370956420896"/>
        <n v="1378.5191986083985"/>
        <n v="295.2484558105469"/>
        <n v="53628.13941192627"/>
        <n v="10791.123138427734"/>
        <n v="5572.2947998046875"/>
        <n v="25189.683395385742"/>
        <n v="481.9518932501434"/>
        <n v="867.5134079400458"/>
        <n v="240.9759466001307"/>
        <n v="722.927839700628"/>
        <n v="1927.8075732001018"/>
        <n v="1349.4653012400713"/>
        <n v="385.56151459013836"/>
        <n v="809.6791806442787"/>
        <n v="694.0107262522727"/>
        <n v="694.0107262652419"/>
        <n v="578.3422718877016"/>
        <n v="5157.162027456465"/>
        <n v="7768.661109627199"/>
        <n v="5251.3523521001525"/>
        <n v="340.88308039482274"/>
        <n v="7183.73814017016"/>
        <n v="9889.487788851757"/>
        <n v="503.03960128150464"/>
        <n v="724.3770724026919"/>
        <n v="603.6475519012785"/>
        <n v="21775.06543636322"/>
        <n v="48667.848348617554"/>
        <n v="82700.29573440552"/>
        <n v="7102.748870849609"/>
        <n v="39684.539494514465"/>
        <n v="81222.0203704834"/>
        <n v="668.0015862829588"/>
        <n v="779.3351839966448"/>
        <n v="463.88999047411306"/>
        <n v="556.6679885688513"/>
        <n v="371.1119923793747"/>
        <n v="283.30628369515915"/>
        <n v="12258.096282920014"/>
        <n v="9122.840076694154"/>
        <n v="335.24576903941374"/>
        <n v="486.3424536765478"/>
        <n v="274.61189432144164"/>
        <n v="2698.486412525177"/>
        <n v="69.99911031723022"/>
        <n v="4992.3034121513365"/>
        <n v="3591.9070098876955"/>
        <n v="2812.7291564941406"/>
        <n v="688.6070342063904"/>
        <n v="35334.91242980957"/>
        <n v="26971.46849155426"/>
        <n v="49898.25168514252"/>
        <n v="31880.110989570618"/>
        <n v="64522.6699590683"/>
        <n v="30807.791103363037"/>
        <n v="731.4877393767473"/>
        <n v="853.4023626064114"/>
        <n v="507.9775967894422"/>
        <n v="406.3820774318012"/>
        <n v="609.5731161474956"/>
        <n v="457.1798371106217"/>
        <n v="6956.096183072517"/>
        <n v="6956.694310826126"/>
        <n v="5973.372283476566"/>
        <n v="4.047316074371338"/>
        <n v="648.3564585158715"/>
        <n v="334.00181196284433"/>
        <n v="36713.72064828873"/>
        <n v="277158.31709861755"/>
        <n v="33723.62135410309"/>
        <n v="126731.75266599655"/>
        <n v="19011.601000785828"/>
        <n v="1659.6543445587158"/>
        <n v="2242.9013258557607"/>
        <n v="2505.0586236828995"/>
        <n v="2728.3778033137523"/>
        <n v="108145.9004073143"/>
        <n v="8911.009856700897"/>
        <n v="29501.037145614624"/>
        <n v="53759.99022960663"/>
        <n v="124801.7025232315"/>
        <n v="1439.0623122490622"/>
        <n v="1577.8290352160973"/>
        <n v="1696.037725150488"/>
        <n v="543.6692471630788"/>
        <n v="2609.6124197572967"/>
        <n v="27092.948455810547"/>
        <n v="1559.0689737640525"/>
        <n v="1818.9138027245742"/>
        <n v="541.3433936680995"/>
        <n v="46.20907208367904"/>
        <n v="94991.47737121582"/>
        <n v="779.5344868820263"/>
        <n v="38.95507060814748"/>
        <n v="649.6120724015348"/>
        <n v="2150.280920857089"/>
        <n v="4601.050732670907"/>
        <n v="7553.537601736708"/>
        <n v="806.9777943455632"/>
        <n v="511.2835107118813"/>
        <n v="425.23118600341303"/>
        <n v="9495.693592071533"/>
        <n v="20408.309844970703"/>
        <n v="1537.2393685286352"/>
        <n v="1402.0424208078036"/>
        <n v="1402.8420647741318"/>
        <n v="1652.4071388094608"/>
        <n v="181256.6728811264"/>
        <n v="764.5636173538863"/>
        <n v="530.9469564958628"/>
        <n v="637.1363477948123"/>
        <n v="424.75756519635576"/>
        <n v="1529.1272347077727"/>
        <n v="1274.2726955896246"/>
        <n v="1783.9817738253632"/>
        <n v="7655.306707780159"/>
        <n v="4502.687509356656"/>
        <n v="3681.5993137583437"/>
        <n v="18739.99786376953"/>
        <n v="978.8021949833021"/>
        <n v="3009.658343553543"/>
        <n v="48989.04545278549"/>
        <n v="13795.135244846344"/>
        <n v="1923.1265540122986"/>
        <n v="5168.836532354355"/>
        <n v="1999.4962005615234"/>
        <n v="8138.921513605117"/>
        <n v="6494.891304254532"/>
        <n v="76883.40598964691"/>
        <n v="1014.3277600765227"/>
        <n v="2200.8343596458435"/>
        <n v="19942.19518661499"/>
        <n v="1795.6285403726852"/>
        <n v="1523.5636100125992"/>
        <n v="1670.4786724066398"/>
        <n v="81626.09059333801"/>
        <n v="51139.237480163574"/>
        <n v="1516.807933688942"/>
        <n v="650.0605421361954"/>
        <n v="541.7171120786438"/>
        <n v="451.4309318267517"/>
        <n v="1300.1210827440264"/>
        <n v="148.97220047235106"/>
        <n v="1083.4342394409332"/>
        <n v="6522.157772583962"/>
        <n v="2504.890678625107"/>
        <n v="2559.8245658254623"/>
        <n v="373.52966448520647"/>
        <n v="1012.1434788322449"/>
        <n v="421.6907553577423"/>
        <n v="150004.66827392578"/>
        <n v="8750.272315979004"/>
        <n v="114702.16233444214"/>
        <n v="98057.86487579346"/>
        <n v="12398.612186431885"/>
        <n v="163179.83573913574"/>
        <n v="2061.646812438965"/>
        <n v="1872.4406127929688"/>
        <n v="1223.5334243774414"/>
        <n v="135.94815826416016"/>
        <n v="199.04382781028747"/>
        <n v="359.01350934028625"/>
        <n v="430.068926076889"/>
        <n v="30607.025765419006"/>
        <n v="43241.21082687378"/>
        <n v="1418.7615534782408"/>
        <n v="1555.5683210468292"/>
        <n v="1672.0975374984741"/>
        <n v="141720.3910150528"/>
        <n v="55402.346210479736"/>
        <n v="201.84320471668244"/>
        <n v="1453.2902021322252"/>
        <n v="1211.0728912801742"/>
        <n v="504.6148432817459"/>
        <n v="7069.46689451699"/>
        <n v="3235.798990383348"/>
        <n v="5465.9994169759"/>
        <n v="242.24463681221008"/>
        <n v="1453.2628761720657"/>
        <n v="1211.086554260254"/>
        <n v="726.665595536232"/>
        <n v="605.543277130127"/>
        <n v="504.64216924190526"/>
        <n v="392.82534817415603"/>
        <n v="95.65272313103677"/>
        <n v="47.020627034902574"/>
        <n v="1657.7989456843552"/>
        <n v="710.4852605141768"/>
        <n v="493.39254250956657"/>
        <n v="35165.08795452118"/>
        <n v="6995.449401855469"/>
        <n v="564.9847463680753"/>
        <n v="2551.6098112155423"/>
        <n v="1859.1465570925175"/>
        <n v="2550.589983153447"/>
        <n v="6156.4118694305425"/>
        <n v="2261.931372566223"/>
        <n v="4527.54090801239"/>
        <n v="7259.057046718597"/>
        <n v="3322.5667356777194"/>
        <n v="5612.57462430954"/>
        <n v="28456.73038959503"/>
        <n v="5242.597031593323"/>
        <n v="153034.93118286133"/>
        <n v="8032.895588874817"/>
        <n v="1418.8811993598938"/>
        <n v="1621.6812491416931"/>
        <n v="158.21280479431152"/>
        <n v="154.61705923080444"/>
        <n v="20990.00383758545"/>
        <n v="298967.6533510065"/>
        <n v="435.522441654778"/>
        <n v="434.94065200607116"/>
        <n v="435.7604465104662"/>
        <n v="435.9984513668889"/>
        <n v="435.8133364783969"/>
        <n v="432.983723189697"/>
        <n v="435.2315468304246"/>
        <n v="323.2833524537575"/>
        <n v="323.71541816971524"/>
        <n v="323.3422705055997"/>
        <n v="323.85289362499304"/>
        <n v="78.1825216429885"/>
        <n v="26.987741135477304"/>
        <n v="323.5190246625953"/>
        <n v="320.88843030374284"/>
        <n v="435.0732424366153"/>
        <n v="435.628385108128"/>
        <n v="435.9720448571946"/>
        <n v="434.9939363407899"/>
        <n v="435.81343266554376"/>
        <n v="434.67671195675354"/>
        <n v="323.40135285434764"/>
        <n v="323.10686974261006"/>
        <n v="323.16576636525144"/>
        <n v="78.15315320798345"/>
        <n v="322.6438756088599"/>
        <n v="323.2791223628753"/>
        <n v="323.64797531719876"/>
        <n v="323.52502433193456"/>
        <n v="323.15617137834556"/>
        <n v="434.86369984745625"/>
        <n v="436.07778631878494"/>
        <n v="435.3051858366964"/>
        <n v="434.3670281089183"/>
        <n v="435.0292570931458"/>
        <n v="435.91222907236073"/>
        <n v="434.94647846993377"/>
        <n v="78.16235958153786"/>
        <n v="477.4941039085388"/>
        <n v="67.52329482308828"/>
        <n v="1875.433010816574"/>
        <n v="249.16218943977356"/>
        <n v="255.89798440933225"/>
        <n v="168674.1841666317"/>
        <n v="128795.67178630829"/>
        <n v="147415.28171539307"/>
        <n v="70256.17465019226"/>
        <n v="46461.10041809082"/>
        <n v="325.56796398162845"/>
        <n v="1026.9697296142579"/>
        <n v="707.5883302688599"/>
        <n v="1496.3753213882446"/>
        <n v="1808.0235149383545"/>
        <n v="5942.968653678894"/>
        <n v="6160.27173652649"/>
        <n v="7346.545505523682"/>
        <n v="2869.01935005188"/>
        <n v="51642.34830093384"/>
        <n v="174330.55979118348"/>
        <n v="143380.55047988892"/>
        <n v="9918.539660453796"/>
        <n v="61605.235317230225"/>
        <n v="9559.807045936584"/>
        <n v="330.3677101135254"/>
        <n v="1642.244538784027"/>
        <n v="1497.750378704071"/>
        <n v="1765.2147419929504"/>
        <n v="48126.3607881546"/>
        <n v="51563.9579873085"/>
        <n v="31829.855757522582"/>
        <n v="1691.0282732391356"/>
        <n v="1409.1951264190673"/>
        <n v="587.160553741455"/>
        <n v="1972.8712174987795"/>
        <n v="845.5092378997804"/>
        <n v="939.4568859863282"/>
        <n v="1691.038070678711"/>
        <n v="845.5190353393555"/>
        <n v="469.68925323486326"/>
        <n v="1409.165734100342"/>
        <n v="704.6318542480469"/>
        <n v="7812.421041778564"/>
        <n v="2881.3954436798094"/>
        <n v="4253.517773651123"/>
        <n v="810.1109441041947"/>
        <n v="540.0708526067734"/>
        <n v="270.0307611093521"/>
        <n v="540.0428614425659"/>
        <n v="270.02143072128297"/>
        <n v="3286.796400320013"/>
        <n v="9209.040836989096"/>
        <n v="9203.38834445408"/>
        <n v="3014.6626849954155"/>
        <n v="3009.0101924604005"/>
        <n v="395247.64291744237"/>
        <n v="112348.35167977716"/>
        <n v="200642.43682861328"/>
        <n v="27.994468651557128"/>
        <n v="490.26109815454765"/>
        <n v="335.5993171499575"/>
        <n v="330.42870740210105"/>
        <n v="333.1923091638103"/>
        <n v="334.46267448952585"/>
        <n v="335.933623814271"/>
        <n v="491.4379601614889"/>
        <n v="491.14374465947765"/>
        <n v="491.6667944414441"/>
        <n v="492.091772388671"/>
        <n v="491.4052695510127"/>
        <n v="492.38598789068226"/>
        <n v="85.93200313047986"/>
        <n v="17.916459936731687"/>
        <n v="491.960697509142"/>
        <n v="334.9080084502185"/>
        <n v="335.57688803475037"/>
        <n v="335.59918402145325"/>
        <n v="335.443112117844"/>
        <n v="335.71066395276034"/>
        <n v="490.1619978906072"/>
        <n v="485.3545643644844"/>
        <n v="488.853852713491"/>
        <n v="492.7455846147495"/>
        <n v="491.6009575847728"/>
        <n v="492.2223265443445"/>
        <n v="85.93414610683472"/>
        <n v="490.88110649990483"/>
        <n v="335.1085080364153"/>
        <n v="335.8667225354626"/>
        <n v="335.77752082891334"/>
        <n v="335.487615285939"/>
        <n v="489.7362515179767"/>
        <n v="491.2409180669149"/>
        <n v="491.60072963282136"/>
        <n v="484.4372084540367"/>
        <n v="491.9605411987279"/>
        <n v="492.35306290729056"/>
        <n v="85.9382456231322"/>
        <n v="1086.725104637146"/>
        <n v="736.7660698699951"/>
        <n v="1473.5321397399903"/>
        <n v="276.26303409576417"/>
        <n v="552.5260681915283"/>
        <n v="92247.58671455384"/>
        <n v="327934.88121032715"/>
        <n v="4459.306100463868"/>
        <n v="2415.457471084595"/>
        <n v="76450.6312573433"/>
        <n v="60172.58640594483"/>
        <n v="42550.08881120681"/>
        <n v="2539.034939670563"/>
        <n v="1185.8178368568422"/>
        <n v="163.89352216720582"/>
        <n v="6131.545888137817"/>
        <n v="217230.0397567749"/>
        <n v="641799.043426094"/>
        <n v="99859.58149337769"/>
        <n v="361904.142288208"/>
        <n v="1547.4543540428162"/>
        <n v="1411.3586261219023"/>
        <n v="1663.387432026863"/>
        <n v="1547.488900489807"/>
        <n v="1411.3183219337463"/>
        <n v="1387.459293039322"/>
        <n v="108718.8948225975"/>
        <n v="3727.635837650299"/>
        <n v="503.8583707809448"/>
        <n v="8630.635838413238"/>
        <n v="18914.843239116668"/>
        <n v="144.74476833343508"/>
        <n v="192.38228702545166"/>
        <n v="121.64473632812499"/>
        <n v="211454.51572322845"/>
        <n v="361.9860310515404"/>
        <n v="1327.4956839428726"/>
        <n v="460.9360013693093"/>
        <n v="663.7478419714363"/>
        <n v="663.7488560304641"/>
        <n v="460.93554043293"/>
        <n v="22.14634431072901"/>
        <n v="14.173660358631672"/>
        <n v="231.34605216559626"/>
        <n v="237.43916970180896"/>
        <n v="389.277375930668"/>
        <n v="348.98846218366447"/>
        <n v="393.7196087553458"/>
        <n v="373.36135457969766"/>
        <n v="352.59926105680904"/>
        <n v="349.1785042291779"/>
        <n v="341.6480881571466"/>
        <n v="249.43299053774112"/>
        <n v="231.93932939932796"/>
        <n v="231.8751913199376"/>
        <n v="62.90353704752927"/>
        <n v="21.26049053836696"/>
        <n v="244.76690639002896"/>
        <n v="234.45754014525437"/>
        <n v="369.04352223237754"/>
        <n v="342.74463698278754"/>
        <n v="380.9042717512558"/>
        <n v="352.6007527799525"/>
        <n v="353.65079901477606"/>
        <n v="229.86665048979762"/>
        <n v="237.46980809515114"/>
        <n v="260.31149768139767"/>
        <n v="345.51294069384466"/>
        <n v="63.140929497376824"/>
        <n v="226.74724631617383"/>
        <n v="256.44130236362935"/>
        <n v="243.85413294186526"/>
        <n v="341.9276602222582"/>
        <n v="389.3276131203084"/>
        <n v="341.4236607229905"/>
        <n v="356.13564610286045"/>
        <n v="341.4476606991062"/>
        <n v="234.1019115893509"/>
        <n v="265.6103343996162"/>
        <n v="368.20763410749146"/>
        <n v="63.37252076997469"/>
        <n v="38.87478923225403"/>
        <n v="921.8720027377798"/>
        <n v="230.46800068423522"/>
        <n v="230.467770216465"/>
        <n v="1548.7442547581672"/>
        <n v="1327.495195350361"/>
        <n v="553.122648519516"/>
        <n v="1142.5865976333616"/>
        <n v="190.4310996055603"/>
        <n v="476.07774901390076"/>
        <n v="71260.27797698975"/>
        <n v="31241.617584228516"/>
        <n v="474.4852523803711"/>
        <n v="2530.418128967285"/>
        <n v="256.1846618652344"/>
        <n v="711.7278785705566"/>
        <n v="2615.070356615067"/>
        <n v="2568.110538362503"/>
        <n v="6768.436546966553"/>
        <n v="9560.194124221802"/>
        <n v="14029.284725189209"/>
        <n v="1169.107060432434"/>
        <n v="54367.808336257935"/>
        <n v="612289.9457210541"/>
        <n v="53559.36720314026"/>
        <n v="25198.9892578125"/>
        <n v="16082.458374023438"/>
        <n v="2659.9075696372984"/>
        <n v="34490.16702735424"/>
        <n v="67740.55015993118"/>
        <n v="33870.27507996559"/>
        <n v="300.03099288940433"/>
        <n v="155620.25890235903"/>
        <n v="7.477910995483398"/>
        <n v="714.0047554969788"/>
        <n v="2255.145736217499"/>
        <n v="3893.8350801467896"/>
        <n v="5123.473311424255"/>
        <n v="1844.4501023292542"/>
        <n v="3586.4327669143677"/>
        <n v="4047.5434813499446"/>
        <n v="4907.884664382935"/>
        <n v="14569.161155776977"/>
        <n v="34866.51933815003"/>
        <n v="1306.295736465454"/>
        <n v="5708.463033370971"/>
        <n v="18540.42454582214"/>
        <n v="8668.764763641359"/>
        <n v="55548.96071708679"/>
        <n v="2209.936912536621"/>
        <n v="288.5758598327637"/>
        <n v="1620.4852381896974"/>
        <n v="1192.419782409668"/>
        <n v="839.3705337524415"/>
        <n v="1556.8904175567627"/>
        <n v="394.86472114562986"/>
        <n v="1349.8689804315568"/>
        <n v="214.97283888816835"/>
        <n v="900.0033020877838"/>
        <n v="127.94553711891174"/>
        <n v="1326.7180966472627"/>
        <n v="1563.6249799060822"/>
        <n v="1454.597716436386"/>
        <n v="1297.420495119095"/>
        <n v="1422.5256888866425"/>
        <n v="911.1772074985504"/>
        <n v="626.9763697767258"/>
        <n v="911.0395466423035"/>
        <n v="113.36371511936187"/>
        <n v="8862.537094750403"/>
        <n v="6531.319324636459"/>
        <n v="7255.101203918457"/>
        <n v="781.7371547222137"/>
        <n v="651.5080881118774"/>
        <n v="542.6815700531006"/>
        <n v="1563.4743094444275"/>
        <n v="1303.0161762237549"/>
        <n v="1824.0775446891785"/>
        <n v="1085.3631401062012"/>
        <n v="271.3407850265503"/>
        <n v="434.5805621147156"/>
        <n v="2424.4997192291294"/>
        <n v="1639.6276345714268"/>
        <n v="790.1396825414975"/>
        <n v="734.3318073749542"/>
        <n v="7198.059204788208"/>
        <n v="1816.4665404319762"/>
        <n v="2761.3067992544175"/>
        <n v="30708.68707895279"/>
        <n v="43498.72580766678"/>
        <n v="14987.014746665955"/>
        <n v="29771.124064922333"/>
        <n v="1021.5238809585571"/>
        <n v="12272.280049324036"/>
        <n v="12027.394187450409"/>
        <n v="12573.139822483063"/>
        <n v="349.83694553375244"/>
        <n v="37068.72274875641"/>
        <n v="8299.07809829712"/>
        <n v="53431.34803619385"/>
        <n v="92249.7036567688"/>
        <n v="708.6084353113174"/>
        <n v="472.40562354087825"/>
        <n v="9567.821514129639"/>
        <n v="44.46035752130491"/>
        <n v="258.46514894594304"/>
        <n v="265.97691059570343"/>
        <n v="265.1822154086277"/>
        <n v="272.37231472046386"/>
        <n v="365.30812122363045"/>
        <n v="399.3685336702147"/>
        <n v="381.1655886953361"/>
        <n v="358.3736659943758"/>
        <n v="241.48220561269716"/>
        <n v="273.81033458269184"/>
        <n v="359.8013479535858"/>
        <n v="361.17804127127107"/>
        <n v="112.88885203278282"/>
        <n v="65.99722730382209"/>
        <n v="270.0189400745938"/>
        <n v="265.97158746717656"/>
        <n v="266.91723059923004"/>
        <n v="267.73048369377096"/>
        <n v="368.585150013408"/>
        <n v="217.26749094424184"/>
        <n v="360.5070600970609"/>
        <n v="382.14207063053846"/>
        <n v="366.7758617358668"/>
        <n v="105.72869105421412"/>
        <n v="271.6076205372792"/>
        <n v="246.3690009907731"/>
        <n v="122.57291009139679"/>
        <n v="65.93371648551366"/>
        <n v="287.80863015743785"/>
        <n v="256.5353962219695"/>
        <n v="276.6604703356506"/>
        <n v="254.25467612815237"/>
        <n v="358.82937011144577"/>
        <n v="95.1650103931621"/>
        <n v="273.6209159586749"/>
        <n v="260.73192119629226"/>
        <n v="351.45414326555095"/>
        <n v="344.59518229966955"/>
        <n v="349.68408882267545"/>
        <n v="244.43960174140037"/>
        <n v="63.29347163053262"/>
        <n v="154686.74462509155"/>
        <n v="168746.01073646545"/>
        <n v="544899.2731456757"/>
        <n v="124172.77528381348"/>
        <n v="889312.9937343597"/>
        <n v="221.27686172485352"/>
        <n v="24.18019073486328"/>
        <n v="23.68815196990967"/>
        <n v="220.22249294281005"/>
        <n v="1426.4906708526612"/>
        <n v="23992.231926651002"/>
        <n v="727.7956246185303"/>
        <n v="2298.5942361068724"/>
        <n v="3968.925260620117"/>
        <n v="5222.218286209107"/>
        <n v="1880.00982963562"/>
        <n v="3655.5668585968015"/>
        <n v="4125.534170379638"/>
        <n v="115.65186708927155"/>
        <n v="180.20676738739013"/>
        <n v="57.78994976520538"/>
        <n v="261.96191425323485"/>
        <n v="170.31124168395996"/>
        <n v="16339.995706558228"/>
        <n v="2648.490209197998"/>
        <n v="699042.4198722839"/>
        <n v="10727.649428367615"/>
        <n v="85458.05681991577"/>
        <n v="5332.9286330223085"/>
        <n v="147.47185546875"/>
        <n v="126.44559482574462"/>
        <n v="214.07901675224304"/>
        <n v="14.574366966247558"/>
        <n v="95.12222708702087"/>
        <n v="111.0359380531311"/>
        <n v="21.314291610717774"/>
        <n v="27.362941932678222"/>
        <n v="23.042477416992188"/>
        <n v="29.73919741630554"/>
        <n v="1408.183401145935"/>
        <n v="502.9020696258545"/>
        <n v="1137.7223224639893"/>
        <n v="114118.37166677952"/>
        <n v="4533.911858053208"/>
        <n v="256114.6579580307"/>
        <n v="135.70148574829102"/>
        <n v="1407.2582957458496"/>
        <n v="1658.5491577911378"/>
        <n v="1370.0760374927522"/>
        <n v="1502.192049484253"/>
        <n v="113.18655602798461"/>
        <n v="15.091540803970362"/>
        <n v="7754.822593116761"/>
        <n v="87913.09286541938"/>
        <n v="1465.6317889404297"/>
        <n v="1336.7312085723877"/>
        <n v="511.5435626983642"/>
        <n v="43446.07914066315"/>
        <n v="277.9067789869309"/>
        <n v="480.6208822154999"/>
        <n v="25.76393332481384"/>
        <n v="126.7020830631256"/>
        <n v="78.20941951751709"/>
        <n v="22.516971864700317"/>
        <n v="109.4790701007843"/>
        <n v="164.11272597312927"/>
        <n v="36.91654007911682"/>
        <n v="20.469974422454833"/>
        <n v="54.70424199104309"/>
        <n v="143.71333766937255"/>
        <n v="14.328982095718382"/>
        <n v="142.08985693931578"/>
        <n v="19.12883816719055"/>
        <n v="900.2582292509079"/>
        <n v="1641.660143108368"/>
        <n v="1406.9570019721984"/>
        <n v="703.548603477478"/>
        <n v="488.61436491012574"/>
        <n v="390.89149192810055"/>
        <n v="244.30718245506287"/>
        <n v="1172.6043732929231"/>
        <n v="586.2671354007721"/>
        <n v="293.16861894607547"/>
        <n v="156.32855577468874"/>
        <n v="938.1115396308899"/>
        <n v="273.3997163772583"/>
        <n v="250.4810680627823"/>
        <n v="6724.08341383791"/>
        <n v="2764.9516211576465"/>
        <n v="2118.9907743549347"/>
        <n v="30194.935731072426"/>
        <n v="500.9621361255646"/>
        <n v="1006.4984049023253"/>
        <n v="754.8738029589018"/>
        <n v="503.24920245080324"/>
        <n v="251.62460122540162"/>
        <n v="1362.7608261108398"/>
        <n v="3689.6024494171143"/>
        <n v="1275.7760925292969"/>
        <n v="1435.248104095459"/>
        <n v="2899.4911193847656"/>
        <n v="1304.7710037231445"/>
        <n v="1290.2735481262207"/>
        <n v="2065.8874225616455"/>
        <n v="1159.7964477539062"/>
        <n v="4762.4141635894775"/>
        <n v="281.9465164489746"/>
        <n v="64256.34603998407"/>
        <n v="61196.52003497347"/>
        <n v="120353.15606660653"/>
        <n v="5024.621128163338"/>
        <n v="3892.397644519806"/>
        <n v="4385.196612358093"/>
        <n v="1187.6790228414534"/>
        <n v="1248.3312785625458"/>
        <n v="1031.754123940468"/>
        <n v="10119.805564880371"/>
        <n v="2485.344353532791"/>
        <n v="2374.321633987427"/>
        <n v="1472.7872504425047"/>
        <n v="47.14656852722168"/>
        <n v="446.10364231109617"/>
        <n v="135.94566101074219"/>
        <n v="111.28634468078614"/>
        <n v="26.320306549072267"/>
        <n v="192.48321269989012"/>
        <n v="194.527508354187"/>
        <n v="10668.667945861816"/>
        <n v="117291.4631652832"/>
        <n v="10685.370687437056"/>
        <n v="10100.461719694138"/>
        <n v="11012.021419858933"/>
        <n v="12472.124674196244"/>
        <n v="1949.951755027771"/>
        <n v="12470.593498888016"/>
        <n v="10647.41029958725"/>
        <n v="11814.229683427811"/>
        <n v="10100.397920722962"/>
        <n v="121.21804523468018"/>
        <n v="39.93186375313368"/>
        <n v="384.75815458648685"/>
        <n v="384.56752690142713"/>
        <n v="338.6500831724007"/>
        <n v="385.44917994659824"/>
        <n v="283.4523673694193"/>
        <n v="260.0099955115321"/>
        <n v="277.9695937417626"/>
        <n v="283.13605350633713"/>
        <n v="282.3101228638822"/>
        <n v="376.68030641632043"/>
        <n v="383.56673155267225"/>
        <n v="337.9352293522467"/>
        <n v="66.97362014468268"/>
        <n v="384.88154293863346"/>
        <n v="384.21929976244985"/>
        <n v="383.7699204645901"/>
        <n v="382.705601074319"/>
        <n v="279.60357256404376"/>
        <n v="283.65023687054924"/>
        <n v="247.5093384079307"/>
        <n v="251.50367515852776"/>
        <n v="247.30002818497118"/>
        <n v="352.71544582040474"/>
        <n v="384.76328522852845"/>
        <n v="66.80004983655928"/>
        <n v="201.7414881515503"/>
        <n v="132.2895004272461"/>
        <n v="55.90503407478332"/>
        <n v="78.99209592819214"/>
        <n v="48.65455183982849"/>
        <n v="108.24842775344848"/>
        <n v="234.4322589302063"/>
        <n v="193.79139798164368"/>
        <n v="216.11525117874143"/>
        <n v="207.21115018844603"/>
        <n v="69.51558844566345"/>
        <n v="200.34227228164673"/>
        <n v="1022.0635922431945"/>
        <n v="142.6564180088043"/>
        <n v="38.47843642234802"/>
        <n v="30.528346252441406"/>
        <n v="42.61248331069947"/>
        <n v="51.51658430099487"/>
        <n v="55.269026861190795"/>
        <n v="34.98039674758911"/>
        <n v="37.67134384324962"/>
        <n v="234.92888109185787"/>
        <n v="267.774932731517"/>
        <n v="267.5287104557925"/>
        <n v="267.62719936620954"/>
        <n v="363.62912288879585"/>
        <n v="357.7752660409233"/>
        <n v="362.4717063255515"/>
        <n v="319.2021332770496"/>
        <n v="363.54009084532254"/>
        <n v="358.95494061471794"/>
        <n v="265.5425174278832"/>
        <n v="280.3396463722058"/>
        <n v="62.44977485478"/>
        <n v="140.30319131851195"/>
        <n v="134960.73072433472"/>
        <n v="249.84450227117537"/>
        <n v="3158.9697693490984"/>
        <n v="1859.0585470294955"/>
        <n v="113148.29584121704"/>
        <n v="738.9150692462922"/>
        <n v="668.1306505203247"/>
        <n v="1025.09463534832"/>
        <n v="124401.72873020172"/>
        <n v="58706.25930540085"/>
        <n v="55910.66796503067"/>
        <n v="4659.241644458771"/>
        <n v="217.50805282592773"/>
        <n v="26.962875843048096"/>
        <n v="275.04389667510986"/>
        <n v="26.85006046295166"/>
        <n v="339.06662487983704"/>
        <n v="80.55018138885498"/>
        <n v="40.55712914466858"/>
        <n v="63.06379747390747"/>
        <n v="229.69211387634277"/>
        <n v="82.80648899078369"/>
        <n v="7443.107517242432"/>
        <n v="717.6186327934265"/>
        <n v="1622.736427307129"/>
        <n v="31639.07334804535"/>
        <n v="247346.8372821808"/>
        <n v="532209.2354297638"/>
        <n v="660.890088968277"/>
        <n v="2087.453936429024"/>
        <n v="3604.2593423938747"/>
        <n v="4742.452553539277"/>
        <n v="3319.7397789573665"/>
        <n v="3746.5766028118137"/>
        <n v="943.5705640317635"/>
        <n v="5181.825634002686"/>
        <n v="1549.1959648132326"/>
        <n v="1665.2279148101807"/>
        <n v="1412.9489822387695"/>
        <n v="28966.383934020996"/>
        <n v="750.5537673912049"/>
        <n v="12935.170476808547"/>
        <n v="12227.05825515747"/>
        <n v="13330.561617507934"/>
        <n v="15098.148297929763"/>
        <n v="12355.321403217315"/>
        <n v="5349.569717702865"/>
        <n v="15096.23651659012"/>
        <n v="12889.171859121323"/>
        <n v="14301.688605279924"/>
        <n v="1513.3255060005188"/>
        <n v="540.3926335763931"/>
        <n v="306.4088418674469"/>
        <n v="30.779075956344606"/>
        <n v="243.28032893657684"/>
        <n v="256.28291816711425"/>
        <n v="106.78454923629761"/>
        <n v="51.88472804069519"/>
        <n v="71.48283354759216"/>
        <n v="122.92786050319671"/>
        <n v="63.56821401596069"/>
        <n v="237.37577150821684"/>
        <n v="420.16579402446746"/>
        <n v="17.085527877807618"/>
        <n v="258.4814235925674"/>
        <n v="17160.905206680298"/>
        <n v="720305.7547073364"/>
        <n v="21619.160137295723"/>
        <n v="34367.82960033417"/>
        <n v="1433.3758597373962"/>
        <n v="2046.378583908081"/>
        <n v="1269.119062423706"/>
        <n v="1060.6918602752685"/>
        <n v="1708.8049879789353"/>
        <n v="162.87052631378174"/>
        <n v="143.32606315612793"/>
        <n v="1189.6063241958618"/>
        <n v="2876.300685452712"/>
        <n v="431.44402420520777"/>
        <n v="408.04126273155214"/>
        <n v="938.8044402694702"/>
        <n v="157.2103274154663"/>
        <n v="502.81733078956603"/>
        <n v="90.72392303466798"/>
        <n v="39.24699121475219"/>
        <n v="103.73213258743286"/>
        <n v="334.377694272995"/>
        <n v="198.1806284427643"/>
        <n v="1006.2461586093902"/>
        <n v="1528.0149494787838"/>
        <n v="654.8635497766215"/>
        <n v="673.6626165096121"/>
        <n v="449.10841100640806"/>
        <n v="1309.71545753479"/>
        <n v="1091.4392496277026"/>
        <n v="2389.2578738164902"/>
        <n v="1482.0575569171904"/>
        <n v="224.55420550320403"/>
        <n v="2540.4922075271606"/>
        <n v="1439.519599866867"/>
        <n v="797.7812619304657"/>
        <n v="1562.2637310314176"/>
        <n v="545.7196248138513"/>
        <n v="673.6626166358028"/>
        <n v="449.1084109052331"/>
        <n v="6305.947033081055"/>
        <n v="3139.574039154053"/>
        <n v="1912.6861614990235"/>
        <n v="44.70269622802734"/>
        <n v="106.74255981445313"/>
        <n v="2227.7693481445312"/>
        <n v="735.2524153223909"/>
        <n v="1470.5048306447818"/>
        <n v="1159928.393749237"/>
        <n v="3164.4283618927"/>
        <n v="50287.572607040405"/>
        <n v="271752.5888514519"/>
        <n v="7846.932492303848"/>
        <n v="14062.383890151978"/>
        <n v="36.12428122722688"/>
        <n v="348.0707002978378"/>
        <n v="347.8982493411941"/>
        <n v="306.35912507799094"/>
        <n v="348.69583501727226"/>
        <n v="256.4246211165783"/>
        <n v="235.21752597914963"/>
        <n v="251.4646408448047"/>
        <n v="256.1384684086383"/>
        <n v="255.39129189349543"/>
        <n v="340.7630909958043"/>
        <n v="346.99288181683244"/>
        <n v="305.71243398950975"/>
        <n v="60.58755243354056"/>
        <n v="348.18232332551975"/>
        <n v="347.5832263516052"/>
        <n v="347.1766962624028"/>
        <n v="346.21386184006195"/>
        <n v="252.9428165407935"/>
        <n v="256.60362336774546"/>
        <n v="223.90883136055217"/>
        <n v="227.52230016799027"/>
        <n v="223.71947928310678"/>
        <n v="319.08332745934257"/>
        <n v="348.07534172296965"/>
        <n v="60.4305323990611"/>
        <n v="225.28097230279056"/>
        <n v="256.77812333547615"/>
        <n v="256.5420127584367"/>
        <n v="256.6364569893745"/>
        <n v="343.08238061234346"/>
        <n v="347.5859504959856"/>
        <n v="306.0933445541827"/>
        <n v="348.6104592847248"/>
        <n v="344.21360906646197"/>
        <n v="254.63738743340707"/>
        <n v="268.82683736554776"/>
        <n v="59.88512750747865"/>
        <n v="42.553685584075495"/>
        <n v="389.8892104058575"/>
        <n v="390.6720713418568"/>
        <n v="380.6905944112198"/>
        <n v="332.37339603264434"/>
        <n v="373.98734764878395"/>
        <n v="318.4531500193998"/>
        <n v="302.5832393858829"/>
        <n v="302.50739448348133"/>
        <n v="302.7728516428016"/>
        <n v="302.4505108062227"/>
        <n v="302.92454144821465"/>
        <n v="390.3051052782977"/>
        <n v="72.19445691862634"/>
        <n v="70.07262592341543"/>
        <n v="380.96685748392986"/>
        <n v="390.69627803199165"/>
        <n v="390.3531750409162"/>
        <n v="390.84332217172107"/>
        <n v="390.13260883193203"/>
        <n v="390.05908676206735"/>
        <n v="302.65861822401394"/>
        <n v="302.5446511274923"/>
        <n v="265.828251665812"/>
        <n v="302.8295688681865"/>
        <n v="288.88759411139836"/>
        <n v="70.48661700094935"/>
        <n v="390.818338578709"/>
        <n v="390.01886361696194"/>
        <n v="342.3251853998954"/>
        <n v="390.79335498630695"/>
        <n v="387.77034028552356"/>
        <n v="296.80563611050843"/>
        <n v="302.2468145911825"/>
        <n v="302.6534507051578"/>
        <n v="192.59060913082243"/>
        <n v="390.7433878015026"/>
        <n v="288.26627771275724"/>
        <n v="68.47382111120125"/>
        <n v="2238.6334799146653"/>
        <n v="157.0996761751175"/>
        <n v="1413.8734660043717"/>
        <n v="730.9813766479492"/>
        <n v="32333.55919532776"/>
        <n v="961.8276414871216"/>
        <n v="726.9576570510864"/>
        <n v="2296.117012023926"/>
        <n v="3964.5577623367312"/>
        <n v="5216.529960823059"/>
        <n v="3651.564712715149"/>
        <n v="4121.054287147522"/>
        <n v="1460.6133653640748"/>
        <n v="325512.7716064453"/>
        <n v="62.64193140029907"/>
        <n v="39.12073925971985"/>
        <n v="254.7722910356522"/>
        <n v="262.8767432498932"/>
        <n v="69.8932833814621"/>
        <n v="129.73217115879058"/>
        <n v="167.0857742214203"/>
        <n v="507.89931733608245"/>
        <n v="753.2875058078766"/>
        <n v="175.00741924285887"/>
        <n v="272.9920745849609"/>
        <n v="19.31662670612335"/>
        <n v="71.5994838476181"/>
        <n v="724.347864818573"/>
        <n v="292.36644587516787"/>
        <n v="448.35444760322576"/>
        <n v="307.91447696685793"/>
        <n v="261.206922340393"/>
        <n v="28.30376272201538"/>
        <n v="3032.056446933746"/>
        <n v="5374.034158802033"/>
        <n v="14087.658473396303"/>
        <n v="422014.5598614693"/>
        <n v="1018.5546898841858"/>
        <n v="30468.862899541855"/>
        <n v="941.3370803833008"/>
        <n v="50866.76854133606"/>
        <n v="673969.8859977722"/>
        <n v="1033.6745821666718"/>
        <n v="1311.3364252567292"/>
        <n v="468.3755375862122"/>
        <n v="168.93741748809813"/>
        <n v="312.2119983959198"/>
        <n v="579.7154227495193"/>
        <n v="248.74538685321806"/>
        <n v="102.82396629810334"/>
        <n v="51.44075314521789"/>
        <n v="92.46676767826081"/>
        <n v="35.32955529212951"/>
        <n v="15603.925280685426"/>
        <n v="327.80533631801603"/>
        <n v="36848.84124967575"/>
        <n v="10205.695820031167"/>
        <n v="11088.474382395743"/>
        <n v="16394.352155356406"/>
        <n v="18947.746855101585"/>
        <n v="3280.239882888794"/>
        <n v="12500.908574180603"/>
        <n v="10735.351449451447"/>
        <n v="11866.299998745919"/>
        <n v="163.9889781475067"/>
        <n v="30217.404824256897"/>
        <n v="13985.444386749268"/>
        <n v="28.645706481933594"/>
        <n v="76.13418300628662"/>
        <n v="1459.6724600605487"/>
        <n v="1569.0291882771492"/>
        <n v="1331.297652113199"/>
        <n v="2349.076736097336"/>
        <n v="43576.0112654686"/>
        <n v="116106.53728660583"/>
        <n v="20099.49110818863"/>
        <n v="70005.78899454116"/>
        <n v="90.13554817199707"/>
        <n v="163.3873777770996"/>
        <n v="468.0957543182373"/>
        <n v="95.05106117248535"/>
        <n v="444.0524842071533"/>
        <n v="392.49302719116207"/>
        <n v="27.40932792663574"/>
        <n v="61.1767650604248"/>
        <n v="38.36237319946289"/>
        <n v="279.6499461364746"/>
        <n v="419.26120124816896"/>
        <n v="57.757277755737306"/>
        <n v="46.53708503723145"/>
        <n v="27.355898437500002"/>
        <n v="105.2560935974121"/>
        <n v="189.56782745361326"/>
        <n v="42193.098160552974"/>
        <n v="54811.93815307617"/>
        <n v="225346.58908843994"/>
        <n v="7607.700847625732"/>
        <n v="6625.189719200134"/>
        <n v="159162.29587316513"/>
        <n v="26572.869785308838"/>
        <n v="27152.480471134186"/>
        <n v="45253.677052259445"/>
        <n v="160.4834401702881"/>
        <n v="98.00813499450683"/>
        <n v="21.62231265068054"/>
        <n v="240.8227779197693"/>
        <n v="215.97908234596252"/>
        <n v="100.00929711341857"/>
        <n v="554.3707157707214"/>
        <n v="445.8686818599701"/>
        <n v="21.03660666465759"/>
        <n v="46.02672873497009"/>
        <n v="38.36374208450317"/>
        <n v="132.36955284118653"/>
        <n v="1968.5578190231322"/>
        <n v="252.97617712974548"/>
        <n v="460.3160961818695"/>
        <n v="5088.467180070877"/>
        <n v="741.8911811731621"/>
        <n v="494.5941207819484"/>
        <n v="501.9538000020981"/>
        <n v="1424.4310678528159"/>
        <n v="1187.0258898773463"/>
        <n v="401.56591260433197"/>
        <n v="247.29706039073486"/>
        <n v="4264.1392555713655"/>
        <n v="593.5129449389126"/>
        <n v="5360.0931940078735"/>
        <n v="3956.0531657886504"/>
        <n v="1675.9922277164458"/>
        <n v="1650.880167322159"/>
        <n v="707.5132773208618"/>
        <n v="245.66487832510745"/>
        <n v="747.9669993086816"/>
        <n v="2020.6045710591318"/>
        <n v="2137.528099388409"/>
        <n v="678.8565387265205"/>
        <n v="676.7825686241406"/>
        <n v="1353.5651372482812"/>
        <n v="2175.964093793043"/>
        <n v="1374.2931118695535"/>
        <n v="3209.7360302196103"/>
        <n v="1586.206759120276"/>
        <n v="2877.036543021202"/>
        <n v="62446.22488895416"/>
        <n v="104.11027081489563"/>
        <n v="18.072617969512937"/>
        <n v="45.31002325057983"/>
        <n v="16.359573612213133"/>
        <n v="108.94962112426758"/>
        <n v="117.6004951286316"/>
        <n v="231.6892493247986"/>
        <n v="368.56149347305296"/>
        <n v="105.48070630073546"/>
        <n v="416.8693443489075"/>
        <n v="249.80469340324402"/>
        <n v="599.5655250549316"/>
        <n v="30349.979121494292"/>
        <n v="33339.21185684204"/>
        <n v="2107.473082962036"/>
        <n v="3638.88722820282"/>
        <n v="4787.993430156708"/>
        <n v="3351.5997658538818"/>
        <n v="3782.530959377289"/>
        <n v="335.16870607376103"/>
        <n v="35.912254520650556"/>
        <n v="280.7172103556231"/>
        <n v="280.89364000198907"/>
        <n v="280.5231377445769"/>
        <n v="280.62899553265834"/>
        <n v="343.1694341814358"/>
        <n v="345.46821830834443"/>
        <n v="79.95865165738213"/>
        <n v="344.5790659575515"/>
        <n v="333.9959843168868"/>
        <n v="280.7877822143441"/>
        <n v="316.0177575136954"/>
        <n v="63.24640374582697"/>
        <n v="280.64646010631543"/>
        <n v="345.2729527201795"/>
        <n v="335.271015356245"/>
        <n v="341.8232606576524"/>
        <n v="344.44849801309084"/>
        <n v="344.90411771953643"/>
        <n v="344.3183209541687"/>
        <n v="279.4991632571236"/>
        <n v="63.44514337923583"/>
        <n v="273.6697889439682"/>
        <n v="280.6108813645994"/>
        <n v="281.0347648711562"/>
        <n v="345.31624963336617"/>
        <n v="344.99060247226197"/>
        <n v="344.7517945540026"/>
        <n v="344.77350436471374"/>
        <n v="63.393225194088394"/>
        <n v="280.3254314525694"/>
        <n v="280.42367405139095"/>
        <n v="28.6693953342914"/>
        <n v="34.73331174850464"/>
        <n v="59.79762049674988"/>
        <n v="80.07436465263366"/>
        <n v="33.70069977760315"/>
        <n v="46.65528632164001"/>
        <n v="140.2005435037613"/>
        <n v="35.95367135047913"/>
        <n v="123.20938289165497"/>
        <n v="428.11153575420377"/>
        <n v="133.1130704307556"/>
        <n v="45.85735888957977"/>
        <n v="110.2547963476181"/>
        <n v="502.7881560134888"/>
        <n v="538.8357011795043"/>
        <n v="174.41754926681517"/>
        <n v="1464.5253961849212"/>
        <n v="523.0649001693725"/>
        <n v="24156.42985210419"/>
        <n v="16068.96714220047"/>
        <n v="16028.79803094864"/>
        <n v="24272.479394245147"/>
        <n v="23001.71486377716"/>
        <n v="4727.169593524933"/>
        <n v="18807.07991466522"/>
        <n v="16180.215985679626"/>
        <n v="17861.685185337068"/>
        <n v="15392.166604328157"/>
        <n v="142.79629182815552"/>
        <n v="813.5708113861084"/>
        <n v="1543.2042109680176"/>
        <n v="1435.6539260101317"/>
        <n v="1309.3973389434814"/>
        <n v="227.80508422851562"/>
        <n v="322.6462928771973"/>
        <n v="70.34962947368622"/>
        <n v="58.27754804134369"/>
        <n v="180.2310749053955"/>
        <n v="31.540438108444214"/>
        <n v="116.72512539863587"/>
        <n v="25.50439739227295"/>
        <n v="50.24366286277771"/>
        <n v="170.964477186203"/>
        <n v="95.17390960216522"/>
        <n v="403.2245227718353"/>
        <n v="363.73521414279935"/>
        <n v="657.5883794307708"/>
        <n v="21219.99868900299"/>
        <n v="18305.78122830391"/>
        <n v="5775.95579624176"/>
        <n v="19633.972332286834"/>
        <n v="1360.1064064121247"/>
        <n v="1334.2959080219268"/>
        <n v="1079.848781375885"/>
        <n v="652.7425723457336"/>
        <n v="1087.9864862823488"/>
        <n v="643.4540808868409"/>
        <n v="1004.0201674747467"/>
        <n v="1190.7352856063844"/>
        <n v="1722.8096680259705"/>
        <n v="1722.7685685062409"/>
        <n v="1085.0273208618164"/>
        <n v="634.699883184433"/>
        <n v="1510.9827433395385"/>
        <n v="1087.9042872428893"/>
        <n v="70.11578065872192"/>
        <n v="900.81139133409"/>
        <n v="225.20284783331698"/>
        <n v="1109.687032699585"/>
        <n v="646.5853328704834"/>
        <n v="111.92753557205201"/>
        <n v="81.20469211578369"/>
        <n v="97.46972688674927"/>
        <n v="25.180683460235596"/>
        <n v="83.93561153411865"/>
        <n v="20.120450420379637"/>
        <n v="66.54608053207397"/>
        <n v="63.37339473724365"/>
        <n v="75.10028400421142"/>
        <n v="20020.048971176147"/>
        <n v="686.7459125518799"/>
        <n v="19124.468044281006"/>
        <n v="200.2004897117615"/>
        <n v="191.24468044281005"/>
        <n v="360.1600785827637"/>
        <n v="154.61823177337646"/>
        <n v="125.86325672149658"/>
        <n v="13.775078830718995"/>
        <n v="28.072245197296144"/>
        <n v="222.12816621780397"/>
        <n v="202.73060623168945"/>
        <n v="2287.520875720768"/>
        <n v="373.0660824691773"/>
        <n v="1301.743886241892"/>
        <n v="1835.0972840774966"/>
        <n v="867.8289320588112"/>
        <n v="289.2789503335953"/>
        <n v="225.99720247229774"/>
        <n v="112.9986012359509"/>
        <n v="485.8918461563587"/>
        <n v="2929.9984192228317"/>
        <n v="2758.2498719215396"/>
        <n v="2018.9524816274643"/>
        <n v="2244.820542500017"/>
        <n v="1506.2648661798291"/>
        <n v="58.307200357319694"/>
        <n v="290.7837691824377"/>
        <n v="290.875504865811"/>
        <n v="290.9855876859423"/>
        <n v="290.82046345595353"/>
        <n v="290.2150079454399"/>
        <n v="352.2195653286089"/>
        <n v="352.1973558849467"/>
        <n v="352.41945032073636"/>
        <n v="352.06409922380595"/>
        <n v="352.90805807880747"/>
        <n v="98.34152099422107"/>
        <n v="291.1320597255199"/>
        <n v="290.91172769258293"/>
        <n v="352.7747007071001"/>
        <n v="352.39685482031837"/>
        <n v="351.9745564764397"/>
        <n v="352.0634613910501"/>
        <n v="351.77452041887875"/>
        <n v="98.62317578921113"/>
        <n v="290.9302031554249"/>
        <n v="290.8934880867806"/>
        <n v="291.2973538406187"/>
        <n v="352.4636174791151"/>
        <n v="352.5747276291423"/>
        <n v="352.3302852994156"/>
        <n v="352.3525073295043"/>
        <n v="98.4103155193268"/>
        <n v="291.3746456281321"/>
        <n v="291.5129509066391"/>
        <n v="127.01620718536664"/>
        <n v="124.00264163666199"/>
        <n v="123.76546286677542"/>
        <n v="123.97473825206743"/>
        <n v="121.65875732155803"/>
        <n v="121.43553024396874"/>
        <n v="63.66929497935335"/>
        <n v="28291.932248687746"/>
        <n v="6531.775726318359"/>
        <n v="19154.59709084034"/>
        <n v="327.15331286916785"/>
        <n v="981.4599386075034"/>
        <n v="255.58852567864437"/>
        <n v="240.85231364250183"/>
        <n v="250.87036149501802"/>
        <n v="170.60022912025454"/>
        <n v="762.515994758606"/>
        <n v="17.085028762817384"/>
        <n v="23.09483787536621"/>
        <n v="75.68066761016846"/>
        <n v="68.16840621948242"/>
        <n v="46.361384582519534"/>
        <n v="45.88918529510498"/>
        <n v="69.67085849761963"/>
        <n v="40.351575469970705"/>
        <n v="132.08701885223388"/>
        <n v="200.21249786376953"/>
        <n v="105.42922271728516"/>
        <n v="217.64094429016114"/>
        <n v="705.251099357605"/>
        <n v="497.3117040634155"/>
        <n v="322.16869564056395"/>
        <n v="141.7456406402588"/>
        <n v="168.53221839904785"/>
        <n v="291407.5461730957"/>
        <n v="26896.22617006302"/>
        <n v="129.65762662410737"/>
        <n v="20.595435276031495"/>
        <n v="45.063152804374695"/>
        <n v="111.91321234703064"/>
        <n v="73.65846789836883"/>
        <n v="28.552762541770935"/>
        <n v="196.93321168899536"/>
        <n v="51.531140742301936"/>
        <n v="149.8275363779068"/>
        <n v="220.54987817287446"/>
        <n v="145.74249136447906"/>
        <n v="200.37996841907503"/>
        <n v="310.5910786771774"/>
        <n v="304.5486162614822"/>
        <n v="367.015762925148"/>
        <n v="499.7371733093262"/>
        <n v="7851.286305599212"/>
        <n v="288.8041719388962"/>
        <n v="300.3359135913849"/>
        <n v="3115.825531439781"/>
        <n v="91769.0397950077"/>
        <n v="5365.811732940673"/>
        <n v="107.52545756607056"/>
        <n v="2362.02749022007"/>
        <n v="5366.341568346023"/>
        <n v="3756.4483794403077"/>
        <n v="4239.416336112023"/>
        <n v="375.6262747478485"/>
        <n v="26782.418845443728"/>
        <n v="72.72589111328125"/>
        <n v="80.04664306640626"/>
        <n v="48.54814453125"/>
        <n v="55.2909423828125"/>
        <n v="37.326202392578125"/>
        <n v="169.72585449218752"/>
        <n v="45.61021118164063"/>
        <n v="118.62507934570311"/>
        <n v="46.477142333984375"/>
        <n v="1561.0058654785157"/>
        <n v="208.54510498046875"/>
        <n v="298.994921875"/>
        <n v="672.8348999023438"/>
        <n v="181.52575073242187"/>
        <n v="150.89418334960936"/>
        <n v="116.89121704101562"/>
        <n v="404.6641967773437"/>
        <n v="1522.764569091797"/>
        <n v="544.7699035644531"/>
      </sharedItems>
    </cacheField>
    <cacheField name="beneficiary" numFmtId="0">
      <sharedItems containsBlank="1">
        <s v="15iZD84rHAjuvaiKXBj2YAEPRJ8Tt4VS1M79HsYhieTvtJR4"/>
        <s v="14tcZ9ibPGdMwb7XXE4QChgVuJU1xXTvDFpV3E1HpMajbBsH"/>
        <s v="13YWynHAu8F8uKZFbQwvPgJ67xizvo21HCEQU3Ke8z1XHoyT"/>
        <s v="15Y5pEv8Uk1mFPeFS6aSmExsbwCVv4R3T6vnZKm7sZZTmExp"/>
        <s v="15cZn8K1DaE7qiBWK6mGFJMKYKjFrALTVwe5urpD9PzKSsPY"/>
        <s v="14fhQS5myHCh3AQZZoELKpQuy2AfNe5am3PzTDvKi7i172n5"/>
        <s v="1pHpxvp2CYscDreozYQdBkJkUkLFQftxQTAwMs5M1a6GRBf"/>
        <s v="13Sj951PJzxMYMcrdmkkh6TGpnMA4VTwmDqvrBCiY1jEVQ6X"/>
        <s v="146ZZqm2cMHLf3ju7oc8M9JnPaAktuADAKThagKnXqzjPJbZ"/>
        <s v="15DPQskycLALmFjGnsB212D1oxDJC2NscHeC65kaWnK62Pcm"/>
        <s v="15yPxY4HBSp6oS765bKGSDUF8wnsoG5soLhw3EC1gKe5GJWa"/>
        <s v="16NsH1tTBATkX82ZKRjQ6LB7nnePDoAupR3ZxPvDpcp6VWWa"/>
        <s v="1C42oGF3s8ztCsc22MA4LKd8BogMJNdVmCgtTXGfxqwjrSb"/>
        <s v="13L1z3C2TWR1Q6LB4JNrH9zsW59FcjqK2uKXaqVqdy4XmD6f"/>
        <s v="13CeHxBVttt4oeLNxbuhULNWfwnF4ykgPu69ejDKgdVUHg6w"/>
        <s v="13RRFsP5dqAZpm8PmnLXQn8QvsYPyTdEW9FiE3UbkaTEGaem"/>
        <s v="16YTH2eUZNH3ASDvHqyADyGhjcyxGfGXeo5q8z8DgVSn9xvZ"/>
        <s v="15VRHQD9B2bhzjRxadArYu92uWPrE3GmvFb4NjqUNMqfhgUs"/>
        <s v="14zUPG9wpRdfNGLJqU2xcABBxXStd5d4TP8GHz2CFFZSbD4A"/>
        <s v="1EvYZwJ25wgUzMqJ61AadwTtaHr6BVosPcyK4goohUDqmjY"/>
        <s v="157gLBq5hiLsG1LYZzDw5xTWpgKrEK4bBPnfwwJgK7BCtyZa"/>
        <s v="1NffySg1JFijUrJhbYwox4XjD5qdLmUjaD5pQm2BwsLQcP3"/>
        <m/>
        <s v="16AnoF5NQY3xZ6ovcsTWBhQDxWKB7AcExbj9u3a1juGtmTJ3"/>
        <s v="13kyP9tRzQkShbY2cNUuwrpAfDTCksyHsGzkZ646WiX54xwJ"/>
        <s v="13C9eaMNJPpEqEKRsEJ9P4DKxkb7XWQzeugEfdJkGdVFQPYh"/>
        <s v="1C5wY8SubUnURiDQUbQ5U4V9sL3hzjwiLiveGp1X4idptRq"/>
        <s v="14hBwSVmH7MKfbcGDW6D79zPaFKfRUAn6sAuz9UY8ZDCm4rt"/>
        <s v="14wSnALBUv51KjbnFhb4wBMLcqzh5kAsAM9XXFvLZQAE6NPG"/>
        <s v="13iWJcXHfxLuX1dum8N9LPJY5Uhr5aVEE491hofUVtkgHDaB"/>
        <s v="12EaHwLhfcYrU4vHtiKpp4VgVHtBEMQa1yzUpe1BJi4VD3Kp"/>
        <s v="13p7Fnvg9aYFpumyBF7GRhA1HH1oMZArAc3XX7dQCpX5qMTW"/>
        <s v="11Ft2vZgZGuLyn9pZGSVDzYFkYQq2E23ywzRcJ6t2EdzkMA"/>
        <s v="1ndvErzA6F2gHFXwEqjcPd7qtGnsZDiStpSj4A8LytDJRhf"/>
        <s v="151fSxLtpjaBRLGoo1DQB8n8ERLNR6ZduBnmjyzpypegJQp9"/>
        <s v="1c733KazWsgMkCNSft7DPKYFv3zhs9PTbXksXxND46R9TS6"/>
        <s v="1A3CAKernZo3hGaQYNmfuhK1wLG51VPhV95VH7NrHPVAk8M"/>
        <s v="14PAhG3VayzwH7B38mWP7GqjaMVjzPqGUKA23Xk5hLMuRWeK"/>
        <s v="14EFjQ2iut5WMgYDXNo9pSbMVEczwMuta1SddJ6KhTvGHU7F"/>
        <s v="14j7N612MVBzLDw5rctvExdkF6P73uCoSdkFzdLDFJUYeb9n"/>
        <s v="14H1xWm7LFz8u9FJ2roq9DDymUMyARz5gY736i5TMaSwvKC3"/>
        <s v="15kFaHsh7qgnzBzAgyjDrxB9fhySEXGCRNDG4UK4gAZTD2TN"/>
        <s v="12F6yq8qJAULFKvrkVFTXnXfMhtHK7vf73ZKzugNqec7pTx9"/>
        <s v="15G4hfDNtNhRc82As8Ep2YfvpM5xVdX7De3P9qSdHerGA6wC"/>
        <s v="16HqymHVxdLtK8jtbur7DusQrfLAVEJZfsQijfxVwhQHiTgU"/>
        <s v="13gkjA3996REhFthyyPu596nzDdSbb1RXEEFwWaY2yLYL2Uk"/>
        <s v="15wbv2fXuFoeRcrWK4Q1Y5oM9LfsJyGmMXaUWDoAWXpZzWSp"/>
        <s v="15EAQHGMubtYTvXtQJtM8sVznqTjNHPoms1RYq8g6C5oHBoe"/>
        <s v="12auQ2MnukZEZcjQcKQcygRXerebcUuG5kvy2R95rYaUCcuR"/>
        <s v="1HPKZzzd9nyr2DdvtPxytNMZm3Ld5nh3BBY4Ecgg9JxgL7G"/>
        <s v="12dR4JYh1iPkaJXLSTbqz9iUpm6diRces6wJ6SAjkhmnwixN"/>
        <s v="12nVpyJNX4UyVAx9wYPVA7FaB2MDJnEPSXuNknJyoWvQXD3B"/>
        <s v="13EoVLNYDR7YCEkzX1rGEGEutE1mpCuu7UDmca4BfjRmGCit"/>
        <s v="14gkEwCgG9AbaNPMLBgAh4V9YEdy8LbtS76ER2GVATF3qSr6"/>
        <s v="15KRgf9qoRWodsws7REF1WXpsaJDys1igLf7rEaHWndTDasF"/>
        <s v="13m5rH4tYcuEj6SM2AmDVmgZo4PFQNmm8qohaSAr73jrqWuU"/>
        <s v="14rQsJw6kiCEELTTeJ3yTaHWSFRhivuikAb82qKXJ7igeB6v"/>
        <s v="163DJtcT4jwNgaMuUkBev8u9FLTP9YGZ4Ari6iBYGXs2RviA"/>
        <s v="15ttNeS1nfEUKKw71UADWxKFBPuzuusDyL633iTySG1SHBub"/>
        <s v="12GXLTbzNvXP51scYwZWi1KDdAygsS8TS8Mm8zGdvgV1RpEN"/>
        <s v="16FTioT9KiA7hEzDWz8eePdWhLLDEeJZyqXykiHSusNfY8kx"/>
        <s v="15uvBEdyLUCH4ZEjaQCcWv2afVxLRsdpRaSgMGvdHaDTiPWn"/>
        <s v="15D2JM548bqRuE45aDmeF2WqiKC56WtNnRmCxVSree9YKwVb"/>
        <s v="1BqHUUwZ6kuRhFZTdbhPwSmwxVnGdCVJTsUf1FU2DXWtEwc"/>
        <s v="16akMyoCUJdMiLfSLAendRrm4XFcdG3h4bjvDCWgeSMwD6gT"/>
        <s v="1ZP6xigiPXU7hHoj3ywHF1jQ4cAv4Jpw4Q4wy7aBHem6erj"/>
        <s v="1g7gWHPydxLk71dwAzWF82dPCjrpJRbiTBYcJiNxTY8hZFi"/>
        <s v="1EKRJey3fBmXVZS5CpLkRrEN9HxxYrXKrm7rYTxuTDKKZTz"/>
        <s v="1HrXYRi3stRzgPYNGaGMSxngbNAcPr4MLSVQY9PLCBVwvnw"/>
        <s v="165n5jnbbkjZNyWaGMDaPzFARr3R89wb7eNtaG9erz2HUyey"/>
        <s v="14V4wQA94N6fddsvCxRFLmvgd9ioueJpxgVogyV8FCfCnPsu"/>
        <s v="15Sn8yJMmGEBMwZYLyr9bV49CPg3apGLNpCT1EdbtYgrnKhr"/>
        <s v="15reUHgnkE9QeH9zUoduCVYAbksTmQXvpMd6L95rBhTNFuGw"/>
        <s v="1LXianUEPnzmJiL9Kb4hg56zKyJztqbwh5x8QdUknYuLbQN"/>
        <s v="13B5YyS8u93FKbZYRFGh1BFwYjn5a8zhAJqEXtAWNmY7HzEu"/>
        <s v="1VhpWfsZ9zamjxnJQWJ6SVZRrhzAbyp11udmB9VM1ZVtPzt"/>
        <s v="12okq3NN2F9SfwrY6MGApoUDQnJY9dijkyXPtLzzbdNcV5du"/>
        <s v="14mZzbymFLQputQuxw2ern4BRKQ2igwMjbtrUz6m5BbVRBrc"/>
        <s v="12QHu3wumQWxYWXvZJyYuvLSR7H9tJs3jmgdQvL4jkRdG2pn"/>
        <s v="12wnTQnY3qUTCofi792fTdf9HpQQ6jmyxrVdwyT6X2Jed4Yg"/>
        <s v="13wmvijsjiRRinbf6g3yp6ZcktsqsjAfQfztGPqy8ipNtAEj"/>
        <s v="149BsxLw1jXeDnbh9WHd7Pezxyfnpwo3oYnJWWUEPQhsJkDm"/>
        <s v="13Ec62Cvw9jmPxA23EidSwASPs9X2Vohqv9RCogCfDvXC4c8"/>
        <s v="1Gta7cam3qzcmZkrzwea7ZDgzty1EgP8cCAwWpayw64GtYN"/>
        <s v="15ibGdxo2BMnfHTafuu9MMS9cGt8WneGeWcpwkrG32Zcn8gV"/>
        <s v="13ug3JKbtky4qcZ2SR7kbCrk9tyZMymHxLhPBGLacPmonmEW"/>
        <s v="12ELL9BzwsGGM948o3cBduLgxuBwpC6eUmgExTGnXqSfikqq"/>
        <s v="14BA8G99RW6xxgu4q3Ks5GVQaA5g4wApn4JPeXbLiEU2Pent"/>
        <s v="12WQMLv8itdKJ83R4y3qNGYCRrsU6bFjyd4ZvcE4tmJoSiPv"/>
        <s v="13wTKVf96CDX36uBedQ6yiksz4GUQuqo2gfKoTX5EqY5yoDZ"/>
        <s v="13mhGhH1XusScBGqv6GDy7okBTA28hErQgzdibiM1cUgzNgM"/>
        <s v="1659xQWWCox1Kvems1aSi7sVbECLmyHT4Q5i39pZHMJb8tVc"/>
        <s v="13R6AmmjuipkFoR75m9w57ngGed2p5vqCZjT1K3kjf5D28mU"/>
        <s v="14m6YPTpa64jusibkvvCov4XsxW2ig7Hy3n23GpN9YVTqhUd"/>
        <s v="14zeBBNT5poHFQwQXFYHoUhgLbsHrpscu2QGRiCNSqH1gf73"/>
        <s v="1t67YMM4myXZ745px9a8PNWhU8FMyYJf5uXGowuwSAnp4x8"/>
        <s v="13us6Meuo1u7hi7jers7Mh5LTfNEiFDA5g6qEUNeCc2FPEpy"/>
        <s v="1rv96b4irpdH1dZE767TWzjwWxjH3ctSJRiF6juPVbW5udE"/>
        <s v="16G7wZerqxib8YMDn3FKVfSMp1hky159JdhcGqHzy65F6RXE"/>
        <s v="126uimsLf3xV4BdPWFVntD49ANsN4vJvV8o5SCdRXiUwYS9f"/>
        <s v="1gvSXTysfJ5F9tjMtuACQyp1dxbLDoYNr7HEQNE2N4dfUXH"/>
        <s v="1KYJX482SpWZXLwtmspF3HiK3TQjms1jH67i4PqENfzYsoC"/>
        <s v="12mvRSJUwpf6VfWLmgEJjcQgzzh2bCTSvFDwrykmijdzqS5m"/>
        <s v="157CJLc4aa5zV7gij54DJCHGactsWcxbpnbRhY4p82dCW2KQ"/>
        <s v="14Uypo3euFeeVJYnUpExxSLbPrc57NTTKzbYHUA6Y5CmUKmr"/>
        <s v="1eMGwHEaertoHK4GFvY7X4y3qZzEQ13nTdz8G7SAzXnDH2G"/>
        <s v="13pbJnmDtgzcmjWSkpsazznFzsFNbMvKwsktxqgHtyJqXRhu"/>
        <s v="12CHAK3YxJG5pGW6JAGp6Daj8ruRfPwCNbPM7jU8mC2zh2qD"/>
        <s v="123LuJKS65HaBbLSdDS46ByeC7bvQwA1iUhTpmjigQAfUKpK"/>
        <s v="13H9Z6R1GaWnx7nvX1hgFXPCpzFb76kKEJ3jvy741yJkrz8g"/>
        <s v="12Sv81DXeah1B8edXhy7EFgqc68mj9V6zYYoayjGYxSQuebA"/>
        <s v="13hAqNjMMmvEhk3bEeAB2pHePpc4FfiQQviZefm4G9rvKyfT"/>
        <s v="13rR4nr2HvzqQjDMVSmkYverHBxoMKsSr2WriGxwKxG69FcA"/>
        <s v="14swtaH1B1rNc4aNHGnW1NC9r7rox11cvqXD7LGjuiujVM6"/>
        <s v="1st63Adu7W4cB268CvKHfMwq5rJQkzTitBnWsvGrAx83iiT"/>
        <s v="136t5kE5YfC1n64Y9Ta6eLYSHaSzTthgHSevmyAPjmJ65V1L"/>
        <s v="16iEYsszKAiWj8vu5Qor5XC5DY48gkJeytviFGYuy17Uj8xg"/>
        <s v="15jVYrjFWz1aqkJhuzdBGeF1nKcfnVhUUWxyYxiC4tSezMm9"/>
        <s v="13dLY5aynbYDCy1DxQYQGjd4yy5uSeVtA4pLdR7SrcxZyvT1"/>
        <s v="14RuJvWbTGjC17QnyeXULBVdaRQpYgPcqz6EL5PgNX9jM4KU"/>
        <s v="13msbKcRkxBR4uypvpnNhF5uarJ8Vqkr1ffrn9eko25QRgo1"/>
        <s v="14Z3KThT7jK4LtEwq8yshGWkx18BZy5eaW3mmAZKPePH95Xk"/>
        <s v="16Jbt5zru6XdUx1jYRV8AZtGk76ujtUNdd1UVWVVkVvGZ31L"/>
        <s v="1R9CkkELVZMhVjEMnMoxYAwyEo2riFgBWdt5BLk6BB6rN68"/>
        <s v="1569WNv839m4iubJNkcp8wocAhXvdPsmLwms6fKXehTiQrkt"/>
        <s v="13jNQeBeocjcKobMqBL9FpvSkQr2oQswFJrn2sy4tNNe8E5f"/>
        <s v="16JWPEVHTt1Xeyhw6WaYeXSKkWZCxhBDXX4LM3EwaBH4uSR1"/>
        <s v="14oR2K2srg1jTZFxgJ39RttTpWanAmV27qqvxEL5YUeNZv3x"/>
        <s v="14PiQ7uar36zPMgEckA7qWUahYheavRL6NHCbUCkXXRNrFSc"/>
        <s v="166LkcArPr1fxYkWYFYfCnsB3HA8QY5vPTAzkxJCBDDKTMGv"/>
        <s v="13NevqvUKVA8VbQEksjkrT2W7p8wKDyAdZd4CjpsaiPDu1vT"/>
        <s v="14btqGNtzVpfwW9y5xYrcK7uSfgjGZKxcYAG3fJo6ujHUVS"/>
        <s v="14wDEEnVKZDXVXq2arAmkf1QmnTcwN4fzNJRFoM77YvFxa8T"/>
        <s v="1wzZiegQfdppPw7Ag3vhhXbYuw47uJLJ5G6eXcKc6feTS5x"/>
        <s v="15LpomjmegxcrVwT7zDPvScWtx6FVYoTLxEkSzqwr3po9TCc"/>
        <s v="14YXgiAqian6PWkABXGVhKB43tmbqMwscHLdhHi1qQVBeVQM"/>
        <s v="12soSZUb7UbsC8iLrTy6dUVkKCfNvQxMMSRtvZJkfQL1BPRX"/>
        <s v="121Rs6fKm8nguHnvPfG1Cq3ctFuNAVZGRmghwkJwHpKxKjbx"/>
        <s v="14xeAxD7LSJQmNXn2RQcm6WTJiByv6HKn6T8fTjqX1HeCMwR"/>
        <s v="12QzxRyL6ctkHHX8v92f2YUkgy9MGg6SUPCAwk5xUFsXhT1m"/>
        <s v="14ogWEsaFHYk1rDcRMLVApekUd3np4e1ker81tBF6odd39Q9"/>
        <s v="167dwA1UDmWSBRrFd9dXqXjdk1NRhqVjenT2FbHGDyy44GjS"/>
        <s v="12uRdiaA7utebXJBBgDNCPswvTxzTdHLd8hZDUJWL1rwcvzz"/>
        <s v="14z9caBTF58zah1R7HZbUjMc8Lc5H4tz3sJ5JTaxBYkjWxnU"/>
        <s v="12zgSMDwF5xpzcksvEdDzcSFouFNroXGRffgnhogSk1kR7iS"/>
        <s v="1249Qsh72ZcXFjLEDKAp879SfmFpzQMqb1qQKcfkdZgqbt3a"/>
        <s v="16S4PEmaYJkP6M8LHqWc7gSg5YVXNPbiGZbsicrgDkmdyf2w"/>
        <s v="15JNnCt8g2ZmHHs1UMNxx6YUUMf6zvK6DwtN8ds4Lu1NWWER"/>
        <s v="13tGJdtNavQZEovGV2ovNtq5ckfyCLS4RiPVwaVfvXq2Jub3"/>
        <s v="16jLz2P4i3zorb3tTxk2HR6LKMCkRbo11DfVgjckzjHkPeui"/>
        <s v="12QRC12udxzxSyFj9Sqs8tE6fzYtuWEjzuRN93CZk85GaSxr"/>
        <s v="13nvTTfbnrxtHsKNqyXK4aWbwmSa4iGYq3UbrEwirZaG4Tmp"/>
        <s v="133VgJJgp1s9wxLqgCFxYx6T873hZQNchJM9tmbU6NkYaaqW"/>
        <s v="1FgdNoPRwo8oUsGVxWyivf3eyAvCF1NsBecZhbYU1Kb5HGx"/>
        <s v="125hDLmQApLutC9S1VQSnvFxk52iMCgyBfQtvk3hA57kzCPc"/>
        <s v="15nKYvAm8Yu9QVK65JWrhfyabhHkWywg21X9gX4GFJo3v4cT"/>
        <s v="12upgS3u7rhcWSFCXuv2GFzvXvW6Qf2YKajZUnMBxz3LPjEi"/>
        <s v="15PvcMShyUasPpKKTpgJckBbcdDNz1k52NWGfahVXP5ZSSh1"/>
        <s v="12itHPhSz9YKzydpCBPSxewfAJYZuReRPTP5qSuD5LPSeA41"/>
        <s v="16maYYXg9chsfsBVoiSbSWzmFveamERwShPZv3SB5hVnYTmT"/>
        <s v="1392eetyWwshYo5xQddbZEV1dNuEeaNXEHAdHDUfEokceUMa"/>
        <s v="1ABthvYadBjA3vVKZ5caTPvc8qb8WMSng79mf7kxQnzfAij"/>
        <s v="1sV9qRYJ9oGgJ9L6NfmpF2XBnV2doAVZ2vKdWTfNMZyghWn"/>
        <s v="1316cTZeHz8HtEjaJRHu8sHbp9brtUmy2LiP74KZXgXhifry"/>
        <s v="16WWmr2Xqgy5fna35GsNHXMU7vDBM12gzHCFGibQjSmKpAN"/>
        <s v="16X3CtQVwBvHGJCquvLw1ayG5SWk4qKUHudBDpQVGXBdvqdg"/>
        <s v="15MV2nX6BEoiBz8Ua2xNta19sVBKT7kiw2MEHdu2Jd9a4VaC"/>
        <s v="13xAUHVDyG1v9LLHYtMm7XZFyKNVxoj47oWV431XQ9kjXN38"/>
        <s v="13TUNfEBCi6xw5ZQgxYAwbCsALSuDfqDWMfbHigZNgncuV6v"/>
        <s v="167xwLzY4z3uNBMQSdDJmPnLgPKBY1SRsvQXbyaeHcnwd4um"/>
        <s v="14fbxKv81FF9wxyidiD4jrYokbF428KJBrB5DsgipQp6Yrmm"/>
        <s v="12owmS8Sobqxfx6KK9vk9e67FqnGpZdmxCFCRFptzZdsoujC"/>
        <s v="13Jpq4n3PXXaSAbJTMmFD78mXAzs8PzgUUQd5ve8saw7HQS5"/>
        <s v="14icei1ZMoG9QtKBFDk4y1eMR756q2TREuRAi2BanJ9MJVPL"/>
        <s v="15PUkSRWuefDSLbEYp39MJ1zxShrratU4SXaLZanL8Zkren3"/>
        <s v="16RgupyxyQJU7UDHX1FF5cjaSjceJ4iVK1nzePMzbsx1nxM4"/>
        <s v="15wepZh1jWNqxBjsgErm8HmYiE21n79c5krQJeTsYAjHddeM"/>
        <s v="1gkGXWr2wr1CqYCKqGHRRsBhL9iCmTy7ubwVgeys4m4tJwQ"/>
        <s v="14wQoaBqk718MgNxp3qdpqHnEgmTTmTkcVnYuxMWWvYr3DXb"/>
        <s v="14xSXydBVvuMMaNduDXwWcckt3BziSB8Sa7o34Jt9z2aMGxX"/>
        <s v="1xtra1x2rXfWUxvFqscvUfjuDSx8AdEGhzADsYayZyicWsS"/>
        <s v="13ianMHbMJ3J1A7Ft769X2zXgppQzheRMRUFG7AQ77soJVk1"/>
        <s v="14T3MFxNa4d7pyjRAdKU6tLC8sfde1HBLGNMHKCMFqjWRrrM"/>
        <s v="12Qn3skJCjfbfeU6PCeAA9oV2NFe1xWMoHcEe9LVvFBHA2ei"/>
        <s v="14EQvBy9h8xGbh2R3ustnkfkF514E7wpmHtg27gDaTLM2str"/>
        <s v="112FKz5UNxjXqe3Wowe73a8FHnR5B4R9qi2pbMaXJczGNJsx"/>
        <s v="12bprALAt9PYJ5gqcLpLfevnGH1Lfwnkk5CyZYaWqatGJ37i"/>
        <s v="1emX4nsNHZwbbCej7UMC8gKNpXoy1K3ABwRmnVJLg5Z2PU6"/>
        <s v="19C7X2ayEGaHbRb7obTd7u2crJhYm6W47XpyLC2jQBGdpif"/>
        <s v="15g8f9DZoEjJnneMUREZ1JgGgtmqEmhxAGCJ4JtZNjT8SiZ2"/>
        <s v="15ofDV8nx95Mrfq9rgLfe48GAf8Xcu12WG7cG5HTHFm7AR14"/>
        <s v="15DCme2GJxLz5yBeD3tkz5JFVtRyrBT7pham9aMGGT62yh3c"/>
        <s v="16chRF6zGohwhrCvotxt3sB1sLz3pgewC5th123mLoThhQAo"/>
        <s v="15rox1e8G2SWg6EpyfiGVoH8q63shGXpXSmp7Sz8LYsUTfuN"/>
        <s v="13DxmMjYqto1AWsMUSkN8JYNHX6d2vBhuSmapB5iYnEiYaxX"/>
        <s v="15WPvoetNGCk6EyQbCodKAZFqrs2Q4Dk9d3k3Lk2F9nsiYUK"/>
        <s v="14oK8ctVWT9D1xdaN3hcHz5RBMDFfzQ6vXBpNaZj8v83TnWA"/>
        <s v="14zU4FXuYU2wmi2PfXLADZW92NRYEw8nfUEvi7sqiJLafJ3A"/>
        <s v="158sHoKeq7ZesHMLcp2MkxFQpd7caEW6Rcy1md3AK1fuX8ak"/>
        <s v="123xYo8RqXR6mmCE7pxUh2YG5RnkJi4uj6C3vn4MpDvoyJQT"/>
        <s v="13u3eUBZyVL1yvFjXXhDizT9wtsyFMPuvgqXXExLJvDnZSP4"/>
        <s v="12kSJsUGe6eMLqnibadLBJProwwNJBhfC3grB4yoGgkzff2U"/>
        <s v="19bsWyxxQs5o2bpAABJD3cRtkRUBqUHZJiyq2zv31jQFRzG"/>
        <s v="13g68Lsiu9PvD3Ro8HrM2rmhUPE38rCf4QhyA1FqiYhiEtgB"/>
        <s v="13B5zGLfXBhRpiQ1xcnsNeqbHHcRRRpBCL41xCJxdYmYoHdW"/>
        <s v="13jTmeDrv75yy8DVrmTQ5fFs4Dqdo3STF8uRG2DVqAJMgYxe"/>
        <s v="12pUXtKj7jD3yaxnK6TWKBsxS1JpLUceBKZKMPMH6RiZvjr4"/>
        <s v="1t3rUtnBQYeEWjwyivvVgTAdnt3Ndm7rPoMtsXxqbN9zery"/>
        <s v="15tUgqVfVJTMTXGUSGXtV7GwbSDXm73Mga5SnEanbTqELqCi"/>
        <s v="15UQ1nhCRRJoWf1C4LBraqCVXS91qPiWLiWQfnS3k8Dk4R79"/>
        <s v="14x5RbyJxD6KvNyncbJQuJJJ3zHinXg57YKwhJ7q9T9aJq4n"/>
        <s v="1NFfEH3yspdEgLnhZ5QWgb7B2z5LNCAE3HUo5nDxF5MqTcj"/>
        <s v="15AVkixLRA3U7DJbLkmWSzAT4HTbpVeTBqPmsYZThmp2ykBL"/>
        <s v="14jHouxT1VbhBDw93VW8Z89p139Qgu7ECHz3zxM2CpQEDJDB"/>
        <s v="13cLXqkmiEn983QXBoF4Z8KAxyB2ryinm2p43r3qzWrVYwrv"/>
        <s v="16DNbAdyy6QsTPdDDHL5gt7FaeAQ1UioJA6Pj7aUGJERveFd"/>
        <s v="12aTyHELXwh9jD18FdvsPoNXJsf5cg49Ne7sD2BX6QvuP3GE"/>
        <s v="15ho9b7DHy1gBxrHCEdi3h38rsJ3A6cSyFzWY1q7JoptW1Jn"/>
        <s v="15akZwzufEzFzfh18y4Q81Ci8TXyvH6hyUkRrxJED2MjEYhe"/>
        <s v="13RBN6UF43sxkxUrd2H4QSJccvLNGr6HY4v3mN2WtW59WaNk"/>
        <s v="1eAL59EPokQFG4putYKwBjygGu3ewoHtyK3BSrgCMhM9ijf"/>
        <s v="16LjHWJ51bki8X654uCW65ZV7kiAMBDXkay3fWuhxnKLZX99"/>
        <s v="17Mhc2sYRBswwpYiTQp2u1C1DoLQtCs9eDdrAqM1DAHvwee"/>
        <s v="1fN87Fgj5BUhezFgbLiGbXTMrBVggnmYBX9anzMBky8KaJ5"/>
        <s v="16ce9zrmiuAtdi9qv1tuiQ1RC1xR6y6NgnBcRtMoQeAobqpZ"/>
        <s v="14MVAs6jPc7bPW33fC7eTwz4Zf1pD3KWW4tQtrHWUd9w1Phx"/>
        <s v="15qz4ZLeyXp1i4Jbx7AXiUQVCCLWVXu3dLjcTPHY3v9KGAvL"/>
        <s v="1MrurrNb4VTrRJUXT6fGxHFdmwwscqHZUFkMistMsP8k5Nk"/>
        <s v="12mRyiCp9zdh1wEVW5gLLiFBxDPKks72rRXmSupyEK3VAMLf"/>
        <s v="16He6v8w7FYToooNkPudf7YtaEiceLfaXJ3hJwJRGcSPGTgo"/>
        <s v="13jMGskc98pqSG4xf7KLNRzyjtr26jUxbJnQerrqD4dKyvsh"/>
        <s v="14WBgUYr1scUwR5rvx7DwgMUhHtdtRyHMkurkU4AZ7wRgFxC"/>
        <s v="1Z6t6PFDNHdjGgfud2YDyE1eyxxbP7EvwYfy3QpHTcEmLp5"/>
        <s v="1srcFWVcPn2oXEKuddMMTGCLQMDdRqxKKo9qpFTi8PA7NW1"/>
        <s v="1gatoakSkH4be8KD9Ekj5xCXMdAiGxieg2NfTg41s2UME5J"/>
        <s v="13uwV8CBHjv25W3GACLPzzvTu2v9USc2yCQdhrqPhyM3vx6w"/>
        <s v="1eeBEsvYXfjHzwTPYojFnf7XxmJkcTrdTzGfd6zm9fThpC5"/>
        <s v="15V3YDhibKoqFgQwZtyGNMDPyNtf8XUH2GU7BgRUqCQ1V9ku"/>
        <s v="157HbMDJzgicoMvkTGfUQaw1XhknX8iyMU6iqwkZG7eutNJQ"/>
        <s v="13WVhKkqxEzCGqzn7yAT595oDeyRCHEDdW2rUUva5UYaKe3C"/>
        <s v="14wyzJLVcCvjXcBnB4DTYvtbobmri5fjAQQKwaRA3JeCxLos"/>
        <s v="138jUztFkrSSYHpBs1EoNNjVLG7hYr7UZYAy4NRQGPhbb6VY"/>
        <s v="14gL78nk3rVZamwGg33VuEa1koYC3rcoymFcPGXKbJ7JKyHZ"/>
        <s v="1n4GEdMsCriWRc4PqcQ2DFTRuufRk7J6kRrPZ9Ym4eRCWqM"/>
        <s v="12e7u2ZtFo9Fxp3ZQhTqJHV619AyntdXwghKzkyWk4XFU4Sj"/>
        <s v="1TtCbdG7LjYwry8bYK6zV3xq2XAnXod4jf2htxH2NE1Wf2Q"/>
        <s v="16Lcg6kZiDywR3YEHDdi6nHQhGnCYTiE2gxQ92DDQq2SZ1PQ"/>
        <s v="14Gn7SEmCgMX7Ukuppnw5TRjA7pao2HFpuJo39frB42tYLEh"/>
        <s v="12sMWVvgGNnRrhor2aUskxNq42EiTs4b2AMoCs5RrkVtNs2e"/>
        <s v="15XF37GkxgRJakURR4jycdrJnqWQctT5yUPzqLn81TZmwBDF"/>
        <s v="16dApD2ox2qV2mA3u2xiR72kyAGE7MLbDxepZUFkcSJz3Gmw"/>
        <s v="15FsX8EdUftorgXBjtgbdD1NesqVPwfJPL79V5JDvk2CCc9x"/>
        <s v="145pagyyifxGeH1VjbrHf1cPsKasjNNLeAKrFynEfijJAu73"/>
        <s v="13UVJyLnbVp9RBZYFwFGyDvVd1y27Tt8tkntv6Q7JVPhFsTB"/>
        <s v="15V2eerTdn7GwAudPkLiWWq7PJdZinx7Lx7qSq9nTNTBHi2j"/>
        <s v="16fZxnwnnzArZ7SRhSWUcEhGCFk2XDUxD54VqtaKRmr6FhNR"/>
        <s v="12jNpcKMqYbiDhucsr6TDrto3MdRtrBLbuDvTh3FprZeVbpb"/>
        <s v="15AZxmt271W7YBo41JrxCYJHqdXhyrXsHhm5paFkd5GpreGP"/>
        <s v="13JsTxizvEUEeewFagowtFQaWpHbADWCoSkTGAY7QTSkvtWF"/>
        <s v="1yCg8NSCgjS4K5KDK5DZGhxUCxmgVyhyG6vBPn5wqUmLuYo"/>
        <s v="12xRcHjvStkUYgzTh9vyqinN3tUpddgcPnSUcLXZ3ty44Mq1"/>
        <s v="13343zPsd3yZhwpAphFysoVQA3De2vDMELVMxbgExpHB5UCg"/>
        <s v="14aGNTNA9RMbuy73V8LJRCNszmBtiiKEmYZjdXp4GFNo1fpt"/>
        <s v="16DFsCgUtntqaz6wiYEMwcco3RBCwo4Dz7doLTTeeudxZWhE"/>
        <s v="1qr2Xp6Yp94NRvTm4HbVDVZSRBFUnDkVxUjCvRfCyA2JYhh"/>
        <s v="1WgB9o954mkQi97f36azSwDt7SfRUQuJ1kCyb7Sv1WAUcSe"/>
        <s v="12aj1nedSqMsVhAH5LyYJtjKPNrFWYoEh4FeGmWW2aS4DQQh"/>
        <s v="14DjaZJk7hXERyrvdoguLiuXeoagHPJFqiRiHNfeTNRohHVx"/>
        <s v="1vfmouKGWQEJSpUWRqYrYLZ865ps6M7TDSu5kgfSV6tPxLf"/>
        <s v="1qAsfc59XsRLiy3DZfc4buS4umW6Q4xaJcWALj1eguZTi75"/>
        <s v="13gzrNGhMUZpVsuH3rBTt9g3CJrs7iRVHagKicb3GD6RbppB"/>
        <s v="14dfHJDm27ep5eAtgXqr1wjUYnK3p5LhgzLcYVX3tHRFsVo9"/>
        <s v="16Hw2qwttttQ8tMCPLwnX3wegtsaTYD9gGakKbAHDb9PW3g5"/>
        <s v="12EhX2KXrzWqTtU5pENPyFrFrZfUgj7DouvTMU4FQ9Tfe6m3"/>
        <s v="12P1AJysFNNjDtTuXndBydMkcHZRjJxbw6zz1AgLhvA3JySd"/>
        <s v="12WSnw6ocUpUFLGVvJwXoXRK9Gk7AC8AZ7cXkRakUgAjzLyx"/>
        <s v="12cnYWf4NvJVmuPFM8kQzc9CAM8Qtey1PvvxGDFd5aJ799XN"/>
        <s v="12mDFyhRGnP9LsL56GjP65QxFNgCUxFuNZQQG4DSxtR3Tgm7"/>
        <s v="12oRVrKXBq1S4T1onxBEzqdpR5V1Uf8yE31dbuDZfQ8sGLWo"/>
        <s v="12rgvnVZa3ci6hD9xMSn2qQZV6xkdc4Fb2ja2MPVQEodH3Cz"/>
        <s v="14R3uMgjsv4sZ6B5mp1HTL2it1EmJbBST7P7DjSiqwrYbnmr"/>
        <s v="14ay13nhw4QcqrHqWM75gXhVaZTZ5Qe7GUXiv8iueBzeHAwP"/>
        <s v="14zKb5ZByuhLHEiwQFSDHmXovf3mUi8aeC5dHLZFqUo5rpef"/>
        <s v="13eEKEbD3hvRJy1THBopwV3MrLjyGyND1gSb8H5UuXxDYTRV"/>
        <s v="13GtCixw3EZARj52CVbKLrsAzyc7dmmYhDV6quS5yeVCfnh1"/>
        <s v="1U9NbBVpku7VYWtGE5CFTyyaTVTNBrfyXDNETK89uGDD6wm"/>
        <s v="15Fyr14f5Eq9xxioo2JoNw53eZnCJNZBrob8ZYuXz4DTTouP"/>
        <s v="1333zsMafds2sKAr8nG3zwXTCHPYv2Nm6CRgakpu6YVGt7nM"/>
        <s v="1EHRUR7YL8aeqeCT4LGFq9qrTpEiH1dCikh3n2j1CSbL2c8"/>
        <s v="123kFHVth2udmM79sn3RPQ81HukrQWCxA1vmTWkGHSvkR4k1"/>
        <s v="15iA5hpjUecWBbf38Nfegwmtyux25o3LrGaNodfZDxq5nXXE"/>
        <s v="1y6CPLgccsysCEii3M7jQF834GZsz9A3HMcZz3w7RjGPpBL"/>
        <s v="14d2kv44xf9nFnYdms32dYPKQsr5C9urbDzTz7iwU8iHb9az"/>
        <s v="15XG22uwqzdqWuBV91zBEfdgZ9UK9eCff4sTBHH6hTvLQKAi"/>
        <s v="1ArdZJtNUrZsfidfn1t69xHaSWwzf6PQNdLEUpcnVmbkZc5"/>
        <s v="14AakQ4jAmr2ytcrhfmaiHMpj5F9cR6wK1jRrdfC3N1oTbUz"/>
        <s v="15vvAhHcmop8PjP5QNr3mXzX1oesv6vjun25iSgMe9YpDezv"/>
        <s v="13pgVrB53DyS7wLeGWkDYUSBYBTageJDjEqXLqxsqJBismsV"/>
        <s v="15pAHxckdkyCXJEXZkRtWxw1gbwjATkFejxKDC4q9FUKUTFH"/>
        <s v="12wWLUd5qMzLFGqBsMnHLVFeTuYJwuo5ygMAxuSywrBX1XSF"/>
        <s v="15qbzYZARgiEdynn1SKH1TjAvx2UBeau52a2eJnFtwH4BhZ5"/>
        <s v="1HomBzZwkpQjhm3e9hQJ2AVFPmV4Ppon9ycCo91bh88xmGn"/>
        <s v="14aoY4nfAmAGLC7xT89MBDV4g1QXFmDzf5YPSjRk73K8Ryja"/>
        <s v="16YtzHdanucXK9Apz7wxrNGd6zBorJN6q8aqE6QX9Q4FiRoR"/>
        <s v="1uWMc2CoXHnrftM3pr9aodftcbG1RZxiCmCqbK9ohYT8Pig"/>
        <s v="157syWyZt7yPWbSPpjmVhzeYHA8pc3kk8eV1qUnHrAXeWJCU"/>
        <s v="16XYgDGN6MxvdmjhRsHLT1oqQVDwGdEPVQqC42pRXiZrE8su"/>
        <s v="167JHHcevLh8iTwKR1utwtbmAjH64xzwjtPUwn8BNjphjR9W"/>
        <s v="15V2Rfi6METM3FJpZJH5QVM3WYHEmNLcQ52FcMPYTtdTipA4"/>
        <s v="12uoF3PZxDBURLVqj5DAJiyUADiqdCYwhq27wAmr2ML1L7fG"/>
        <s v="12TnSoNV8wttzHx4bU4yxTm1nVuSHjTssZwMWs7XnPXnRiWV"/>
        <s v="1HGnvAkk9nbfZ58CzUJhjcrLdEDMkr5qNkqqYkyD5BF5v6Y"/>
        <s v="149AQApEw4Xe1DxWesqywiuGQHazbETMgWgT89WjEYFAc29y"/>
        <s v="15tVttSuyw3hYSUneii7piiQwQakWH2rKSPTnqFNbrQhfj3p"/>
        <s v="1CaXBXVGNbey352w7ydA1A2yDyNQLshycom8Zyj69v5eRNK"/>
        <s v="13fkHsX9da7am7W6ESQWX8wePShuvgx14cehTWWytq3iY6V8"/>
        <s v="16kmbXhTGCwkXzdQMsE5AMJHddqLfRynJJL4ycFZg91zE7H1"/>
        <s v="14rGQwhimTEkAAmgZtRSyYqQZW2ntNqpUCNHXdBTc97g7P6c"/>
        <s v="153AFAbg5z9DkvdAkPnRi5wGDmkHMr7ckwd986DcZxf2zKcF"/>
        <s v="1xYxQ1tomtMuBc2KHhRv8p8auU2dcBnP41E1e8Pgn1MRiqZ"/>
        <s v="15rqj6yN29bxzbjFWxYGNB1TaRdqrESkg7SZNDDHTcSsjNXq"/>
        <s v="13md2Kef1dbqQS43yHtoCxJzsFfxH1LNb5LVKdCVfP5z7pFw"/>
        <s v="14SqfnmZGzve61FJJGbdHozW17gaR1F9bGQTScwxPSLvUqvs"/>
        <s v="1BwTXhCMc2yCAkdTRbfQEHGZt6t6wxN2t2HvgSupRhVoHKn"/>
        <s v="166hUw1E57AqJh1vGDLoHY5YZXzNx9cvwWdbx6Gid1KzWD5c"/>
        <s v="14Xh9F14w9GPwprsytsXd9nCpf9VvjAUTg5Mj7zN2SU8RBDj"/>
        <s v="1635AMQRRAV78EyHi4SkNhXS6HySDgRH1ds3TbYyr5Z9GWUE"/>
        <s v="14N5cTFuzJf6irrQkKNAjiADKsCxgk48LUKx2fA77YRruzMW"/>
        <s v="1pt1pYm54Cha2th5r2fw98NcGFjYGANnptxL7HwgEoH3cRL"/>
        <s v="15pmMM8VbJC6oDNMhxZeoDEaatY6m2mimfpnSfUDtLZdABYS"/>
        <s v="14RYaXRSqb9rPqMaAVp1UZW2czQ6dMNGMbvukwfifi6m8ZgZ"/>
        <s v="16GVsVkX9gymWZWLzYHWZYxxVQeCwpoCecjTHJRyC4oXptiU"/>
        <s v="14F4qjQBhqm8bVNAMPWasS73B8Yo4WJSagAiHEWzTs81aeha"/>
        <s v="13A37FXVRmvdN8GK8VN1W2V6qNGo5j845ThE7vrFXhsWPdpA"/>
        <s v="16i7JAEaHLi7KjSzHvrnkiCYqtcb7H3FZ8KAqR52L8pEizAn"/>
        <s v="131cQySF87ceHM9F7JZb6rRfaGzGvX42oJKty6deyCKc5TRh"/>
        <s v="14ENpc9HgiLs6od51BbhyKP19maNSitJAnvXWuZd6F1WThkE"/>
        <s v="14twpJZFqKirZX7G22zXjA1mnariYrTPWvcFu6vysAvefzcC"/>
        <s v="13YJxVJHGRyo4sJgamfDkjWRmfQd3MfDdYg5hSDrzzh2dNG3"/>
        <s v="16G93XTYowWsw1KCqqyQU36m2Uq6B6gcg1ehvFU6R6KxfDoX"/>
        <s v="14Hkd7k7bHCkopUtRb8GWDUdF6dzd6GgpVRGmJqW1mktcnef"/>
        <s v="16LkUhjeG5WD74mYbP2V9Jx7KvJ6ENuqYFc9dxx9xyFtDkFV"/>
        <s v="14tBR5nFHUgSCRsT3d7whxGakKG3oLMqGoMNCpjeuozgDeny"/>
        <s v="16JK7LdoTGVoQy42YUiQcKjn1jz5WgUWjTENpGdFhg3PGX9X"/>
        <s v="14sD2iYm1HsFPoHaT2GJNUMD2KJzvJNfVe9PBrG1KGyDBeHn"/>
        <s v="12sEC4VQWtEK52pMTNehM3KnpRQrcgW8VyQxqhBpcNdwZc3R"/>
        <s v="15a5Q7ERVMYBAewqH7aNY2sEnsv4WU9mxD9y8rP7EezYCdQQ"/>
        <s v="13eB7Q6RLv57Wn7bwE65ur2pyq75nYw2PvWVXt6SuBV5cBGR"/>
        <s v="133wRJGJKGN1Gokf14vQmA9umyDEbKNJ9LLgqeA4fK7TvrVm"/>
        <s v="15MeGvBQqGFgTirWiPK27bdsWdPYnS2QY6VyfQo8TSKiFxGT"/>
        <s v="136Fm42HZTxUAQD1zDxXuzeF8JgijeDfTSkFBWJKxzVAgQ8K"/>
        <s v="1hY7cHJSNEjbvLGpDw4XsKX5JwuYcTt6r21r36KiHZ5TZuw"/>
        <s v="158YHkPHMCGesUdgLGVEcqHfwzxTxNbL3dKYUoty5xqScrKt"/>
        <s v="12uG79Fn8fucRG7BShV28VEBBcQ6d1CqnX3FWCvc66qURzGt"/>
        <s v="16SpacegeUTft9v3ts27CEC3tJaxgvE4uZeCctThFH3Vb24p"/>
        <s v="13pYWKctR5s8vQuyZt3pxQXue4SRH9coyAS9S9z5HtogAnhs"/>
        <s v="15tKco3E2zXYrtw2DgRThZpX541EdRhhNfGKzvSeHFr3QH2N"/>
        <s v="1411DNB4MtSePxsnaQ8qsnTNnp4JYvaMzc5TCegkwnydpG6N"/>
        <s v="13dqoLfnth7wfBDfGRZhb6kS17zxgE9tnASUGP5z2aSYfAUt"/>
        <s v="14tQWzBYLm43JL4E9v9LYHjDRLD8XLWZYbe36qLRGi2CtGxr"/>
        <s v="14D7M2M3YTXXx1Evcz5eDhNmFLR5nH23TjQbjRtTGHENF4jP"/>
        <s v="15FvxWCgCfZVvXzL6WbkfntzNVftTkF1BbZCUS1sf7u4hG2B"/>
        <s v="13TXF3zfUvUa3ZKz5mQi5L4t8qXCZHbe5Y1uNmUR2UqdyoqR"/>
        <s v="14XNJmoUzkvmh9cYoqG4axBRR4BWzWRbnFP79oiZgKu7V9bz"/>
        <s v="15rThjK57fPzMAYYZztnZCG35eBTSsbz7YKF9UtLkLcEQHm3"/>
      </sharedItems>
    </cacheField>
    <cacheField name="proposal_time" numFmtId="172">
      <sharedItems containsSemiMixedTypes="0" containsDate="1" containsString="0">
        <d v="2022-05-03T00:00:00Z"/>
        <d v="2022-05-04T00:00:00Z"/>
        <d v="2022-05-11T00:00:00Z"/>
        <d v="2022-05-14T00:00:00Z"/>
        <d v="2022-05-22T00:00:00Z"/>
        <d v="2022-05-31T00:00:00Z"/>
        <d v="2022-06-02T00:00:00Z"/>
        <d v="2022-06-20T00:00:00Z"/>
        <d v="2022-07-02T00:00:00Z"/>
        <d v="2022-07-03T00:00:00Z"/>
        <d v="2022-07-07T00:00:00Z"/>
        <d v="2022-07-31T00:00:00Z"/>
        <d v="2022-08-06T00:00:00Z"/>
        <d v="2022-08-14T00:00:00Z"/>
        <d v="2022-08-28T00:00:00Z"/>
        <d v="2022-08-31T00:00:00Z"/>
        <d v="2022-09-03T00:00:00Z"/>
        <d v="2022-09-13T00:00:00Z"/>
        <d v="2022-09-19T00:00:00Z"/>
        <d v="2022-09-25T00:00:00Z"/>
        <d v="2022-09-26T00:00:00Z"/>
        <d v="2022-10-02T00:00:00Z"/>
        <d v="2022-10-12T00:00:00Z"/>
        <d v="2022-10-19T00:00:00Z"/>
        <d v="2022-11-01T00:00:00Z"/>
        <d v="2022-11-02T00:00:00Z"/>
        <d v="2022-11-05T00:00:00Z"/>
        <d v="2022-11-07T00:00:00Z"/>
        <d v="2022-11-09T00:00:00Z"/>
        <d v="2022-11-14T00:00:00Z"/>
        <d v="2022-11-20T00:00:00Z"/>
        <d v="2022-11-21T00:00:00Z"/>
        <d v="2022-11-23T00:00:00Z"/>
        <d v="2022-11-30T00:00:00Z"/>
        <d v="2022-12-01T00:00:00Z"/>
        <d v="2022-12-04T00:00:00Z"/>
        <d v="2022-12-05T00:00:00Z"/>
        <d v="2022-12-06T00:00:00Z"/>
        <d v="2022-12-08T00:00:00Z"/>
        <d v="2022-12-18T00:00:00Z"/>
        <d v="2022-12-20T00:00:00Z"/>
        <d v="2022-12-29T00:00:00Z"/>
        <d v="2022-12-31T00:00:00Z"/>
        <d v="2023-01-09T00:00:00Z"/>
        <d v="2023-01-15T00:00:00Z"/>
        <d v="2023-01-22T00:00:00Z"/>
        <d v="2023-01-23T00:00:00Z"/>
        <d v="2023-01-28T00:00:00Z"/>
        <d v="2023-02-01T00:00:00Z"/>
        <d v="2023-02-05T00:00:00Z"/>
        <d v="2023-02-13T00:00:00Z"/>
        <d v="2023-02-20T00:00:00Z"/>
        <d v="2023-02-22T00:00:00Z"/>
        <d v="2023-03-06T00:00:00Z"/>
        <d v="2023-03-07T00:00:00Z"/>
        <d v="2023-03-08T00:00:00Z"/>
        <d v="2023-03-09T00:00:00Z"/>
        <d v="2023-03-12T00:00:00Z"/>
        <d v="2023-03-25T00:00:00Z"/>
        <d v="2023-03-29T00:00:00Z"/>
        <d v="2023-04-01T00:00:00Z"/>
        <d v="2023-04-02T00:00:00Z"/>
        <d v="2023-04-03T00:00:00Z"/>
        <d v="2023-04-04T00:00:00Z"/>
        <d v="2023-04-06T00:00:00Z"/>
        <d v="2023-04-12T00:00:00Z"/>
        <d v="2023-04-14T00:00:00Z"/>
        <d v="2023-04-16T00:00:00Z"/>
        <d v="2023-04-25T00:00:00Z"/>
        <d v="2023-05-02T00:00:00Z"/>
        <d v="2023-05-03T00:00:00Z"/>
        <d v="2023-05-04T00:00:00Z"/>
        <d v="2023-05-08T00:00:00Z"/>
        <d v="2023-05-15T00:00:00Z"/>
        <d v="2023-05-22T00:00:00Z"/>
        <d v="2023-05-24T00:00:00Z"/>
        <d v="2023-05-30T00:00:00Z"/>
        <d v="2023-05-31T00:00:00Z"/>
        <d v="2023-06-01T00:00:00Z"/>
        <d v="2023-06-06T00:00:00Z"/>
        <d v="2023-06-10T00:00:00Z"/>
        <d v="2023-06-11T00:00:00Z"/>
        <d v="2023-06-12T00:00:00Z"/>
        <d v="2023-06-14T00:00:00Z"/>
        <d v="2023-06-21T00:00:00Z"/>
        <d v="2023-06-25T00:00:00Z"/>
        <d v="2023-07-01T00:00:00Z"/>
        <d v="2023-07-02T00:00:00Z"/>
        <d v="2023-07-05T00:00:00Z"/>
        <d v="2023-07-16T00:00:00Z"/>
        <d v="2023-07-25T00:00:00Z"/>
        <d v="2023-07-29T00:00:00Z"/>
        <d v="2023-08-01T00:00:00Z"/>
        <d v="2023-08-02T00:00:00Z"/>
        <d v="2023-08-05T00:00:00Z"/>
        <d v="2023-08-26T00:00:00Z"/>
        <d v="2023-08-28T00:00:00Z"/>
        <d v="2023-08-29T00:00:00Z"/>
        <d v="2023-08-30T00:00:00Z"/>
        <d v="2023-09-12T00:00:00Z"/>
        <d v="2023-09-13T00:00:00Z"/>
        <d v="2023-09-14T00:00:00Z"/>
        <d v="2023-09-17T00:00:00Z"/>
        <d v="2023-09-26T00:00:00Z"/>
        <d v="2023-09-29T00:00:00Z"/>
        <d v="2023-09-30T00:00:00Z"/>
        <d v="2023-10-01T00:00:00Z"/>
        <d v="2023-10-07T00:00:00Z"/>
        <d v="2023-10-08T00:00:00Z"/>
        <d v="2023-10-09T00:00:00Z"/>
        <d v="2023-10-11T00:00:00Z"/>
        <d v="2023-10-14T00:00:00Z"/>
        <d v="2023-10-15T00:00:00Z"/>
        <d v="2023-10-23T00:00:00Z"/>
        <d v="2023-10-24T00:00:00Z"/>
        <d v="2023-10-30T00:00:00Z"/>
        <d v="2023-10-31T00:00:00Z"/>
        <d v="2023-11-01T00:00:00Z"/>
        <d v="2023-11-02T00:00:00Z"/>
        <d v="2023-11-03T00:00:00Z"/>
        <d v="2023-11-12T00:00:00Z"/>
        <d v="2023-11-18T00:00:00Z"/>
        <d v="2023-11-25T00:00:00Z"/>
        <d v="2023-11-29T00:00:00Z"/>
        <d v="2023-12-02T00:00:00Z"/>
        <d v="2023-12-05T00:00:00Z"/>
        <d v="2023-12-17T00:00:00Z"/>
        <d v="2023-12-19T00:00:00Z"/>
        <d v="2023-12-24T00:00:00Z"/>
        <d v="2023-12-25T00:00:00Z"/>
        <d v="2023-12-31T00:00:00Z"/>
        <d v="2024-01-01T00:00:00Z"/>
        <d v="2024-01-02T00:00:00Z"/>
        <d v="2024-01-04T00:00:00Z"/>
        <d v="2024-01-08T00:00:00Z"/>
        <d v="2024-01-09T00:00:00Z"/>
        <d v="2024-01-15T00:00:00Z"/>
        <d v="2024-01-19T00:00:00Z"/>
        <d v="2024-01-20T00:00:00Z"/>
        <d v="2024-01-24T00:00:00Z"/>
        <d v="2024-01-25T00:00:00Z"/>
        <d v="2024-01-28T00:00:00Z"/>
        <d v="2024-01-31T00:00:00Z"/>
        <d v="2024-02-01T00:00:00Z"/>
        <d v="2024-02-02T00:00:00Z"/>
        <d v="2024-02-04T00:00:00Z"/>
        <d v="2024-02-05T00:00:00Z"/>
        <d v="2024-02-06T00:00:00Z"/>
        <d v="2024-02-08T00:00:00Z"/>
        <d v="2024-02-09T00:00:00Z"/>
        <d v="2024-02-11T00:00:00Z"/>
        <d v="2024-02-12T00:00:00Z"/>
        <d v="2024-02-17T00:00:00Z"/>
        <d v="2024-02-18T00:00:00Z"/>
        <d v="2024-02-19T00:00:00Z"/>
        <d v="2024-02-21T00:00:00Z"/>
        <d v="2024-02-25T00:00:00Z"/>
        <d v="2024-02-28T00:00:00Z"/>
        <d v="2024-02-29T00:00:00Z"/>
        <d v="2024-03-01T00:00:00Z"/>
        <d v="2024-03-03T00:00:00Z"/>
        <d v="2024-03-04T00:00:00Z"/>
        <d v="2024-03-05T00:00:00Z"/>
        <d v="2024-03-06T00:00:00Z"/>
        <d v="2024-03-08T00:00:00Z"/>
        <d v="2024-03-14T00:00:00Z"/>
        <d v="2024-03-15T00:00:00Z"/>
        <d v="2024-03-16T00:00:00Z"/>
        <d v="2024-03-26T00:00:00Z"/>
        <d v="2024-03-27T00:00:00Z"/>
        <d v="2024-03-29T00:00:00Z"/>
        <d v="2024-03-30T00:00:00Z"/>
        <d v="2024-03-31T00:00:00Z"/>
        <d v="2024-04-02T00:00:00Z"/>
        <d v="2024-04-03T00:00:00Z"/>
        <d v="2024-04-05T00:00:00Z"/>
        <d v="2024-04-06T00:00:00Z"/>
        <d v="2024-04-08T00:00:00Z"/>
        <d v="2024-04-09T00:00:00Z"/>
        <d v="2024-04-13T00:00:00Z"/>
        <d v="2024-04-14T00:00:00Z"/>
        <d v="2024-04-18T00:00:00Z"/>
        <d v="2024-04-19T00:00:00Z"/>
        <d v="2024-04-20T00:00:00Z"/>
        <d v="2024-04-24T00:00:00Z"/>
        <d v="2024-04-26T00:00:00Z"/>
        <d v="2024-04-27T00:00:00Z"/>
        <d v="2024-04-28T00:00:00Z"/>
        <d v="2024-04-29T00:00:00Z"/>
        <d v="2024-04-30T00:00:00Z"/>
        <d v="2024-05-01T00:00:00Z"/>
        <d v="2024-05-02T00:00:00Z"/>
        <d v="2024-05-05T00:00:00Z"/>
        <d v="2024-05-07T00:00:00Z"/>
        <d v="2024-05-09T00:00:00Z"/>
        <d v="2024-05-12T00:00:00Z"/>
        <d v="2024-05-13T00:00:00Z"/>
        <d v="2024-05-14T00:00:00Z"/>
        <d v="2024-05-15T00:00:00Z"/>
        <d v="2024-05-16T00:00:00Z"/>
        <d v="2024-05-19T00:00:00Z"/>
        <d v="2024-05-20T00:00:00Z"/>
        <d v="2024-05-21T00:00:00Z"/>
        <d v="2024-05-22T00:00:00Z"/>
        <d v="2024-05-25T00:00:00Z"/>
        <d v="2024-05-26T00:00:00Z"/>
        <d v="2024-05-27T00:00:00Z"/>
        <d v="2024-05-28T00:00:00Z"/>
        <d v="2024-05-29T00:00:00Z"/>
        <d v="2024-05-31T00:00:00Z"/>
        <d v="2024-06-01T00:00:00Z"/>
        <d v="2024-06-02T00:00:00Z"/>
        <d v="2024-06-03T00:00:00Z"/>
        <d v="2024-06-04T00:00:00Z"/>
        <d v="2024-06-05T00:00:00Z"/>
        <d v="2024-06-06T00:00:00Z"/>
        <d v="2024-06-08T00:00:00Z"/>
        <d v="2024-06-09T00:00:00Z"/>
        <d v="2024-06-10T00:00:00Z"/>
        <d v="2024-06-11T00:00:00Z"/>
        <d v="2024-06-12T00:00:00Z"/>
        <d v="2024-06-14T00:00:00Z"/>
        <d v="2024-06-16T00:00:00Z"/>
        <d v="2024-06-17T00:00:00Z"/>
        <d v="2024-06-18T00:00:00Z"/>
        <d v="2024-06-19T00:00:00Z"/>
        <d v="2024-06-20T00:00:00Z"/>
        <d v="2024-06-22T00:00:00Z"/>
        <d v="2024-06-23T00:00:00Z"/>
        <d v="2024-06-24T00:00:00Z"/>
        <d v="2024-06-25T00:00:00Z"/>
        <d v="2024-06-26T00:00:00Z"/>
        <d v="2024-06-28T00:00:00Z"/>
        <d v="2024-06-29T00:00:00Z"/>
        <d v="2024-06-30T00:00:00Z"/>
        <d v="2024-07-01T00:00:00Z"/>
        <d v="2024-07-02T00:00:00Z"/>
        <d v="2024-07-03T00:00:00Z"/>
        <d v="2024-07-04T00:00:00Z"/>
        <d v="2024-07-05T00:00:00Z"/>
        <d v="2024-07-06T00:00:00Z"/>
        <d v="2024-07-07T00:00:00Z"/>
        <d v="2024-07-08T00:00:00Z"/>
        <d v="2024-07-14T00:00:00Z"/>
        <d v="2024-07-15T00:00:00Z"/>
        <d v="2024-07-16T00:00:00Z"/>
        <d v="2024-07-20T00:00:00Z"/>
        <d v="2024-07-21T00:00:00Z"/>
        <d v="2024-07-22T00:00:00Z"/>
        <d v="2024-07-23T00:00:00Z"/>
        <d v="2024-07-25T00:00:00Z"/>
        <d v="2024-07-27T00:00:00Z"/>
        <d v="2024-07-29T00:00:00Z"/>
        <d v="2024-07-30T00:00:00Z"/>
        <d v="2024-08-02T00:00:00Z"/>
        <d v="2024-08-03T00:00:00Z"/>
        <d v="2024-08-04T00:00:00Z"/>
        <d v="2024-08-05T00:00:00Z"/>
        <d v="2024-08-06T00:00:00Z"/>
        <d v="2024-08-07T00:00:00Z"/>
        <d v="2024-08-08T00:00:00Z"/>
        <d v="2024-08-10T00:00:00Z"/>
        <d v="2024-08-11T00:00:00Z"/>
        <d v="2024-08-12T00:00:00Z"/>
        <d v="2024-08-13T00:00:00Z"/>
        <d v="2024-08-14T00:00:00Z"/>
        <d v="2024-08-19T00:00:00Z"/>
        <d v="2024-08-21T00:00:00Z"/>
        <d v="2024-08-24T00:00:00Z"/>
        <d v="2024-08-25T00:00:00Z"/>
        <d v="2024-08-26T00:00:00Z"/>
        <d v="2024-08-27T00:00:00Z"/>
        <d v="2024-08-31T00:00:00Z"/>
        <d v="2024-09-01T00:00:00Z"/>
        <d v="2024-09-02T00:00:00Z"/>
        <d v="2024-09-03T00:00:00Z"/>
        <d v="2024-09-04T00:00:00Z"/>
        <d v="2024-09-05T00:00:00Z"/>
        <d v="2024-09-07T00:00:00Z"/>
        <d v="2024-09-08T00:00:00Z"/>
        <d v="2024-09-09T00:00:00Z"/>
        <d v="2024-09-14T00:00:00Z"/>
        <d v="2024-09-16T00:00:00Z"/>
        <d v="2024-09-17T00:00:00Z"/>
        <d v="2024-09-20T00:00:00Z"/>
        <d v="2024-09-22T00:00:00Z"/>
        <d v="2024-09-23T00:00:00Z"/>
      </sharedItems>
    </cacheField>
    <cacheField name="last_status_change" numFmtId="172">
      <sharedItems containsSemiMixedTypes="0" containsDate="1" containsString="0">
        <d v="2022-05-13T00:00:00Z"/>
        <d v="2022-05-14T00:00:00Z"/>
        <d v="2022-05-22T00:00:00Z"/>
        <d v="2022-05-20T00:00:00Z"/>
        <d v="2022-05-30T00:00:00Z"/>
        <d v="2022-05-25T00:00:00Z"/>
        <d v="2022-05-27T00:00:00Z"/>
        <d v="2022-05-26T00:00:00Z"/>
        <d v="2023-03-29T00:00:00Z"/>
        <d v="2022-06-22T00:00:00Z"/>
        <d v="2022-06-02T00:00:00Z"/>
        <d v="2022-06-11T00:00:00Z"/>
        <d v="2022-06-09T00:00:00Z"/>
        <d v="2022-06-12T00:00:00Z"/>
        <d v="2022-06-13T00:00:00Z"/>
        <d v="2022-07-03T00:00:00Z"/>
        <d v="2022-08-07T00:00:00Z"/>
        <d v="2022-07-17T00:00:00Z"/>
        <d v="2022-07-30T00:00:00Z"/>
        <d v="2022-07-11T00:00:00Z"/>
        <d v="2022-07-18T00:00:00Z"/>
        <d v="2022-08-08T00:00:00Z"/>
        <d v="2022-08-09T00:00:00Z"/>
        <d v="2022-08-15T00:00:00Z"/>
        <d v="2022-08-23T00:00:00Z"/>
        <d v="2022-09-06T00:00:00Z"/>
        <d v="2022-09-05T00:00:00Z"/>
        <d v="2022-09-12T00:00:00Z"/>
        <d v="2022-09-09T00:00:00Z"/>
        <d v="2022-09-10T00:00:00Z"/>
        <d v="2022-09-08T00:00:00Z"/>
        <d v="2022-09-11T00:00:00Z"/>
        <d v="2022-09-13T00:00:00Z"/>
        <d v="2022-09-23T00:00:00Z"/>
        <d v="2022-09-28T00:00:00Z"/>
        <d v="2022-10-02T00:00:00Z"/>
        <d v="2022-10-04T00:00:00Z"/>
        <d v="2022-10-09T00:00:00Z"/>
        <d v="2022-10-12T00:00:00Z"/>
        <d v="2022-10-10T00:00:00Z"/>
        <d v="2022-10-11T00:00:00Z"/>
        <d v="2022-10-23T00:00:00Z"/>
        <d v="2022-10-27T00:00:00Z"/>
        <d v="2022-11-01T00:00:00Z"/>
        <d v="2022-11-21T00:00:00Z"/>
        <d v="2022-11-09T00:00:00Z"/>
        <d v="2022-11-10T00:00:00Z"/>
        <d v="2022-11-15T00:00:00Z"/>
        <d v="2022-11-12T00:00:00Z"/>
        <d v="2022-11-11T00:00:00Z"/>
        <d v="2022-11-14T00:00:00Z"/>
        <d v="2022-11-16T00:00:00Z"/>
        <d v="2022-11-17T00:00:00Z"/>
        <d v="2022-12-03T00:00:00Z"/>
        <d v="2022-12-07T00:00:00Z"/>
        <d v="2022-11-24T00:00:00Z"/>
        <d v="2023-06-04T00:00:00Z"/>
        <d v="2022-12-12T00:00:00Z"/>
        <d v="2023-01-04T00:00:00Z"/>
        <d v="2022-12-01T00:00:00Z"/>
        <d v="2023-08-19T00:00:00Z"/>
        <d v="2022-11-23T00:00:00Z"/>
        <d v="2023-01-08T00:00:00Z"/>
        <d v="2022-12-16T00:00:00Z"/>
        <d v="2022-11-29T00:00:00Z"/>
        <d v="2022-12-02T00:00:00Z"/>
        <d v="2022-12-14T00:00:00Z"/>
        <d v="2022-12-10T00:00:00Z"/>
        <d v="2022-12-13T00:00:00Z"/>
        <d v="2022-12-19T00:00:00Z"/>
        <d v="2022-12-17T00:00:00Z"/>
        <d v="2023-01-01T00:00:00Z"/>
        <d v="2022-12-31T00:00:00Z"/>
        <d v="2023-01-07T00:00:00Z"/>
        <d v="2023-01-15T00:00:00Z"/>
        <d v="2023-01-09T00:00:00Z"/>
        <d v="2023-01-14T00:00:00Z"/>
        <d v="2023-01-25T00:00:00Z"/>
        <d v="2023-01-23T00:00:00Z"/>
        <d v="2023-02-06T00:00:00Z"/>
        <d v="2023-02-05T00:00:00Z"/>
        <d v="2023-02-03T00:00:00Z"/>
        <d v="2023-02-07T00:00:00Z"/>
        <d v="2023-02-11T00:00:00Z"/>
        <d v="2023-02-15T00:00:00Z"/>
        <d v="2023-03-12T00:00:00Z"/>
        <d v="2023-02-26T00:00:00Z"/>
        <d v="2023-02-21T00:00:00Z"/>
        <d v="2023-03-03T00:00:00Z"/>
        <d v="2023-03-05T00:00:00Z"/>
        <d v="2023-03-19T00:00:00Z"/>
        <d v="2023-04-04T00:00:00Z"/>
        <d v="2023-03-16T00:00:00Z"/>
        <d v="2023-03-17T00:00:00Z"/>
        <d v="2023-03-24T00:00:00Z"/>
        <d v="2023-03-15T00:00:00Z"/>
        <d v="2023-04-11T00:00:00Z"/>
        <d v="2023-03-08T00:00:00Z"/>
        <d v="2023-03-20T00:00:00Z"/>
        <d v="2023-03-18T00:00:00Z"/>
        <d v="2023-03-22T00:00:00Z"/>
        <d v="2023-03-23T00:00:00Z"/>
        <d v="2023-04-12T00:00:00Z"/>
        <d v="2023-04-09T00:00:00Z"/>
        <d v="2023-04-07T00:00:00Z"/>
        <d v="2023-04-14T00:00:00Z"/>
        <d v="2023-04-02T00:00:00Z"/>
        <d v="2023-05-11T00:00:00Z"/>
        <d v="2023-07-03T00:00:00Z"/>
        <d v="2023-04-13T00:00:00Z"/>
        <d v="2023-04-15T00:00:00Z"/>
        <d v="2023-06-11T00:00:00Z"/>
        <d v="2023-04-17T00:00:00Z"/>
        <d v="2023-04-16T00:00:00Z"/>
        <d v="2023-04-27T00:00:00Z"/>
        <d v="2023-04-22T00:00:00Z"/>
        <d v="2023-11-19T00:00:00Z"/>
        <d v="2023-04-26T00:00:00Z"/>
        <d v="2023-04-29T00:00:00Z"/>
        <d v="2023-04-24T00:00:00Z"/>
        <d v="2023-05-20T00:00:00Z"/>
        <d v="2023-05-13T00:00:00Z"/>
        <d v="2023-05-14T00:00:00Z"/>
        <d v="2023-05-10T00:00:00Z"/>
        <d v="2023-05-12T00:00:00Z"/>
        <d v="2023-05-16T00:00:00Z"/>
        <d v="2023-06-08T00:00:00Z"/>
        <d v="2023-06-02T00:00:00Z"/>
        <d v="2023-06-03T00:00:00Z"/>
        <d v="2023-06-05T00:00:00Z"/>
        <d v="2023-05-31T00:00:00Z"/>
        <d v="2023-06-01T00:00:00Z"/>
        <d v="2023-05-30T00:00:00Z"/>
        <d v="2023-06-19T00:00:00Z"/>
        <d v="2023-06-20T00:00:00Z"/>
        <d v="2023-06-15T00:00:00Z"/>
        <d v="2023-05-24T00:00:00Z"/>
        <d v="2023-06-10T00:00:00Z"/>
        <d v="2023-06-09T00:00:00Z"/>
        <d v="2023-06-07T00:00:00Z"/>
        <d v="2023-06-14T00:00:00Z"/>
        <d v="2023-06-16T00:00:00Z"/>
        <d v="2023-06-17T00:00:00Z"/>
        <d v="2023-07-04T00:00:00Z"/>
        <d v="2023-07-01T00:00:00Z"/>
        <d v="2023-06-21T00:00:00Z"/>
        <d v="2023-06-24T00:00:00Z"/>
        <d v="2023-06-22T00:00:00Z"/>
        <d v="2023-06-23T00:00:00Z"/>
        <d v="2023-06-26T00:00:00Z"/>
        <d v="2023-07-13T00:00:00Z"/>
        <d v="2023-07-11T00:00:00Z"/>
        <d v="2023-07-10T00:00:00Z"/>
        <d v="2023-07-09T00:00:00Z"/>
        <d v="2023-07-14T00:00:00Z"/>
        <d v="2023-07-12T00:00:00Z"/>
        <d v="2023-07-15T00:00:00Z"/>
        <d v="2023-08-06T00:00:00Z"/>
        <d v="2023-09-16T00:00:00Z"/>
        <d v="2023-08-02T00:00:00Z"/>
        <d v="2023-08-04T00:00:00Z"/>
        <d v="2023-08-15T00:00:00Z"/>
        <d v="2023-10-30T00:00:00Z"/>
        <d v="2023-08-10T00:00:00Z"/>
        <d v="2023-08-09T00:00:00Z"/>
        <d v="2023-08-08T00:00:00Z"/>
        <d v="2023-08-20T00:00:00Z"/>
        <d v="2023-08-12T00:00:00Z"/>
        <d v="2023-08-11T00:00:00Z"/>
        <d v="2023-08-14T00:00:00Z"/>
        <d v="2023-08-17T00:00:00Z"/>
        <d v="2023-10-12T00:00:00Z"/>
        <d v="2023-09-26T00:00:00Z"/>
        <d v="2023-09-23T00:00:00Z"/>
        <d v="2023-10-10T00:00:00Z"/>
        <d v="2023-09-28T00:00:00Z"/>
        <d v="2023-09-06T00:00:00Z"/>
        <d v="2023-09-08T00:00:00Z"/>
        <d v="2023-09-07T00:00:00Z"/>
        <d v="2023-09-09T00:00:00Z"/>
        <d v="2023-08-30T00:00:00Z"/>
        <d v="2023-09-13T00:00:00Z"/>
        <d v="2023-09-17T00:00:00Z"/>
        <d v="2023-09-14T00:00:00Z"/>
        <d v="2023-09-27T00:00:00Z"/>
        <d v="2023-10-29T00:00:00Z"/>
        <d v="2023-10-11T00:00:00Z"/>
        <d v="2023-10-07T00:00:00Z"/>
        <d v="2023-10-14T00:00:00Z"/>
        <d v="2023-10-15T00:00:00Z"/>
        <d v="2023-10-08T00:00:00Z"/>
        <d v="2023-10-09T00:00:00Z"/>
        <d v="2023-10-13T00:00:00Z"/>
        <d v="2023-10-16T00:00:00Z"/>
        <d v="2023-10-23T00:00:00Z"/>
        <d v="2023-10-18T00:00:00Z"/>
        <d v="2023-10-22T00:00:00Z"/>
        <d v="2023-12-25T00:00:00Z"/>
        <d v="2023-10-24T00:00:00Z"/>
        <d v="2023-11-01T00:00:00Z"/>
        <d v="2023-11-04T00:00:00Z"/>
        <d v="2023-11-02T00:00:00Z"/>
        <d v="2023-11-06T00:00:00Z"/>
        <d v="2023-11-08T00:00:00Z"/>
        <d v="2023-11-10T00:00:00Z"/>
        <d v="2023-11-12T00:00:00Z"/>
        <d v="2023-11-09T00:00:00Z"/>
        <d v="2023-11-11T00:00:00Z"/>
        <d v="2023-11-20T00:00:00Z"/>
        <d v="2023-12-20T00:00:00Z"/>
        <d v="2023-12-03T00:00:00Z"/>
        <d v="2023-12-04T00:00:00Z"/>
        <d v="2023-12-05T00:00:00Z"/>
        <d v="2023-12-17T00:00:00Z"/>
        <d v="2023-12-08T00:00:00Z"/>
        <d v="2023-12-09T00:00:00Z"/>
        <d v="2023-12-12T00:00:00Z"/>
        <d v="2023-12-13T00:00:00Z"/>
        <d v="2023-12-19T00:00:00Z"/>
        <d v="2024-01-15T00:00:00Z"/>
        <d v="2024-01-18T00:00:00Z"/>
        <d v="2023-12-30T00:00:00Z"/>
        <d v="2023-12-27T00:00:00Z"/>
        <d v="2024-01-02T00:00:00Z"/>
        <d v="2024-01-06T00:00:00Z"/>
        <d v="2024-01-03T00:00:00Z"/>
        <d v="2024-01-13T00:00:00Z"/>
        <d v="2024-01-05T00:00:00Z"/>
        <d v="2024-01-30T00:00:00Z"/>
        <d v="2024-02-05T00:00:00Z"/>
        <d v="2024-01-09T00:00:00Z"/>
        <d v="2024-01-10T00:00:00Z"/>
        <d v="2024-01-11T00:00:00Z"/>
        <d v="2024-02-14T00:00:00Z"/>
        <d v="2024-01-17T00:00:00Z"/>
        <d v="2024-01-29T00:00:00Z"/>
        <d v="2024-01-27T00:00:00Z"/>
        <d v="2024-03-31T00:00:00Z"/>
        <d v="2024-01-24T00:00:00Z"/>
        <d v="2024-09-20T00:00:00Z"/>
        <d v="2024-01-28T00:00:00Z"/>
        <d v="2024-02-01T00:00:00Z"/>
        <d v="2024-02-02T00:00:00Z"/>
        <d v="2024-02-06T00:00:00Z"/>
        <d v="2024-02-10T00:00:00Z"/>
        <d v="2024-02-09T00:00:00Z"/>
        <d v="2024-02-11T00:00:00Z"/>
        <d v="2024-02-15T00:00:00Z"/>
        <d v="2024-02-12T00:00:00Z"/>
        <d v="2024-02-13T00:00:00Z"/>
        <d v="2024-03-02T00:00:00Z"/>
        <d v="2024-02-22T00:00:00Z"/>
        <d v="2024-02-19T00:00:00Z"/>
        <d v="2024-02-18T00:00:00Z"/>
        <d v="2024-02-17T00:00:00Z"/>
        <d v="2024-02-20T00:00:00Z"/>
        <d v="2024-02-21T00:00:00Z"/>
        <d v="2024-02-29T00:00:00Z"/>
        <d v="2024-04-08T00:00:00Z"/>
        <d v="2024-02-23T00:00:00Z"/>
        <d v="2024-04-11T00:00:00Z"/>
        <d v="2024-02-25T00:00:00Z"/>
        <d v="2024-03-01T00:00:00Z"/>
        <d v="2024-02-28T00:00:00Z"/>
        <d v="2024-03-06T00:00:00Z"/>
        <d v="2024-03-12T00:00:00Z"/>
        <d v="2024-03-23T00:00:00Z"/>
        <d v="2024-02-26T00:00:00Z"/>
        <d v="2024-02-27T00:00:00Z"/>
        <d v="2024-03-18T00:00:00Z"/>
        <d v="2024-03-11T00:00:00Z"/>
        <d v="2024-03-21T00:00:00Z"/>
        <d v="2024-03-19T00:00:00Z"/>
        <d v="2024-04-06T00:00:00Z"/>
        <d v="2024-03-05T00:00:00Z"/>
        <d v="2024-03-07T00:00:00Z"/>
        <d v="2024-03-09T00:00:00Z"/>
        <d v="2024-03-10T00:00:00Z"/>
        <d v="2024-03-20T00:00:00Z"/>
        <d v="2024-03-16T00:00:00Z"/>
        <d v="2024-03-13T00:00:00Z"/>
        <d v="2024-03-28T00:00:00Z"/>
        <d v="2024-03-04T00:00:00Z"/>
        <d v="2024-03-15T00:00:00Z"/>
        <d v="2024-03-14T00:00:00Z"/>
        <d v="2024-05-12T00:00:00Z"/>
        <d v="2024-03-26T00:00:00Z"/>
        <d v="2024-03-29T00:00:00Z"/>
        <d v="2024-03-27T00:00:00Z"/>
        <d v="2024-03-24T00:00:00Z"/>
        <d v="2024-04-05T00:00:00Z"/>
        <d v="2024-04-02T00:00:00Z"/>
        <d v="2024-04-04T00:00:00Z"/>
        <d v="2024-04-07T00:00:00Z"/>
        <d v="2024-04-27T00:00:00Z"/>
        <d v="2024-04-03T00:00:00Z"/>
        <d v="2024-04-14T00:00:00Z"/>
        <d v="2024-05-11T00:00:00Z"/>
        <d v="2024-04-20T00:00:00Z"/>
        <d v="2024-06-18T00:00:00Z"/>
        <d v="2024-04-28T00:00:00Z"/>
        <d v="2024-05-02T00:00:00Z"/>
        <d v="2024-04-22T00:00:00Z"/>
        <d v="2024-05-04T00:00:00Z"/>
        <d v="2024-08-25T00:00:00Z"/>
        <d v="2024-05-05T00:00:00Z"/>
        <d v="2024-04-24T00:00:00Z"/>
        <d v="2024-05-27T00:00:00Z"/>
        <d v="2024-06-07T00:00:00Z"/>
        <d v="2024-05-09T00:00:00Z"/>
        <d v="2024-06-01T00:00:00Z"/>
        <d v="2024-04-23T00:00:00Z"/>
        <d v="2024-04-10T00:00:00Z"/>
        <d v="2024-04-13T00:00:00Z"/>
        <d v="2024-05-10T00:00:00Z"/>
        <d v="2024-04-16T00:00:00Z"/>
        <d v="2024-04-15T00:00:00Z"/>
        <d v="2024-05-14T00:00:00Z"/>
        <d v="2024-04-18T00:00:00Z"/>
        <d v="2024-04-19T00:00:00Z"/>
        <d v="2024-05-20T00:00:00Z"/>
        <d v="2024-04-21T00:00:00Z"/>
        <d v="2024-05-19T00:00:00Z"/>
        <d v="2024-05-08T00:00:00Z"/>
        <d v="2024-07-21T00:00:00Z"/>
        <d v="2024-05-13T00:00:00Z"/>
        <d v="2024-04-29T00:00:00Z"/>
        <d v="2024-05-01T00:00:00Z"/>
        <d v="2024-05-06T00:00:00Z"/>
        <d v="2024-05-23T00:00:00Z"/>
        <d v="2024-05-18T00:00:00Z"/>
        <d v="2024-05-03T00:00:00Z"/>
        <d v="2024-05-07T00:00:00Z"/>
        <d v="2024-06-16T00:00:00Z"/>
        <d v="2024-05-16T00:00:00Z"/>
        <d v="2024-06-14T00:00:00Z"/>
        <d v="2024-05-15T00:00:00Z"/>
        <d v="2024-06-05T00:00:00Z"/>
        <d v="2024-05-17T00:00:00Z"/>
        <d v="2024-05-24T00:00:00Z"/>
        <d v="2024-05-29T00:00:00Z"/>
        <d v="2024-06-10T00:00:00Z"/>
        <d v="2024-08-22T00:00:00Z"/>
        <d v="2024-05-28T00:00:00Z"/>
        <d v="2024-05-26T00:00:00Z"/>
        <d v="2024-05-21T00:00:00Z"/>
        <d v="2024-05-22T00:00:00Z"/>
        <d v="2024-06-09T00:00:00Z"/>
        <d v="2024-08-06T00:00:00Z"/>
        <d v="2024-05-30T00:00:00Z"/>
        <d v="2024-05-31T00:00:00Z"/>
        <d v="2024-06-02T00:00:00Z"/>
        <d v="2024-06-03T00:00:00Z"/>
        <d v="2024-06-04T00:00:00Z"/>
        <d v="2024-06-22T00:00:00Z"/>
        <d v="2024-06-12T00:00:00Z"/>
        <d v="2024-06-11T00:00:00Z"/>
        <d v="2024-07-09T00:00:00Z"/>
        <d v="2024-06-06T00:00:00Z"/>
        <d v="2024-06-15T00:00:00Z"/>
        <d v="2024-07-02T00:00:00Z"/>
        <d v="2024-06-30T00:00:00Z"/>
        <d v="2024-06-13T00:00:00Z"/>
        <d v="2024-06-25T00:00:00Z"/>
        <d v="2024-06-23T00:00:00Z"/>
        <d v="2024-06-17T00:00:00Z"/>
        <d v="2024-07-17T00:00:00Z"/>
        <d v="2024-06-20T00:00:00Z"/>
        <d v="2024-06-19T00:00:00Z"/>
        <d v="2024-06-24T00:00:00Z"/>
        <d v="2024-06-21T00:00:00Z"/>
        <d v="2024-06-28T00:00:00Z"/>
        <d v="2024-06-29T00:00:00Z"/>
        <d v="2024-06-27T00:00:00Z"/>
        <d v="2024-07-16T00:00:00Z"/>
        <d v="2024-06-26T00:00:00Z"/>
        <d v="2024-07-13T00:00:00Z"/>
        <d v="2024-08-03T00:00:00Z"/>
        <d v="2024-07-01T00:00:00Z"/>
        <d v="2024-07-20T00:00:00Z"/>
        <d v="2024-07-03T00:00:00Z"/>
        <d v="2024-07-15T00:00:00Z"/>
        <d v="2024-07-29T00:00:00Z"/>
        <d v="2024-07-18T00:00:00Z"/>
        <d v="2024-07-05T00:00:00Z"/>
        <d v="2024-07-14T00:00:00Z"/>
        <d v="2024-07-06T00:00:00Z"/>
        <d v="2024-07-07T00:00:00Z"/>
        <d v="2024-07-04T00:00:00Z"/>
        <d v="2024-07-08T00:00:00Z"/>
        <d v="2024-08-24T00:00:00Z"/>
        <d v="2024-07-10T00:00:00Z"/>
        <d v="2024-07-12T00:00:00Z"/>
        <d v="2024-07-11T00:00:00Z"/>
        <d v="2024-07-24T00:00:00Z"/>
        <d v="2024-07-22T00:00:00Z"/>
        <d v="2024-07-27T00:00:00Z"/>
        <d v="2024-07-23T00:00:00Z"/>
        <d v="2024-08-11T00:00:00Z"/>
        <d v="2024-08-20T00:00:00Z"/>
        <d v="2024-08-19T00:00:00Z"/>
        <d v="2024-08-31T00:00:00Z"/>
        <d v="2024-07-26T00:00:00Z"/>
        <d v="2024-07-31T00:00:00Z"/>
        <d v="2024-08-01T00:00:00Z"/>
        <d v="2024-07-30T00:00:00Z"/>
        <d v="2024-07-25T00:00:00Z"/>
        <d v="2024-08-05T00:00:00Z"/>
        <d v="2024-08-04T00:00:00Z"/>
        <d v="2024-08-10T00:00:00Z"/>
        <d v="2024-08-27T00:00:00Z"/>
        <d v="2024-08-08T00:00:00Z"/>
        <d v="2024-08-29T00:00:00Z"/>
        <d v="2024-08-15T00:00:00Z"/>
        <d v="2024-08-23T00:00:00Z"/>
        <d v="2024-08-09T00:00:00Z"/>
        <d v="2024-08-18T00:00:00Z"/>
        <d v="2024-08-14T00:00:00Z"/>
        <d v="2024-08-13T00:00:00Z"/>
        <d v="2024-08-17T00:00:00Z"/>
        <d v="2024-08-21T00:00:00Z"/>
        <d v="2024-08-16T00:00:00Z"/>
        <d v="2024-08-28T00:00:00Z"/>
        <d v="2024-08-30T00:00:00Z"/>
        <d v="2024-09-09T00:00:00Z"/>
        <d v="2024-08-26T00:00:00Z"/>
        <d v="2024-09-16T00:00:00Z"/>
        <d v="2024-09-08T00:00:00Z"/>
        <d v="2024-09-07T00:00:00Z"/>
        <d v="2024-09-14T00:00:00Z"/>
        <d v="2024-09-03T00:00:00Z"/>
        <d v="2024-09-01T00:00:00Z"/>
        <d v="2024-09-02T00:00:00Z"/>
        <d v="2024-09-04T00:00:00Z"/>
        <d v="2024-09-05T00:00:00Z"/>
        <d v="2024-09-12T00:00:00Z"/>
        <d v="2024-09-24T00:00:00Z"/>
        <d v="2024-09-17T00:00:00Z"/>
        <d v="2024-09-19T00:00:00Z"/>
        <d v="2024-09-13T00:00:00Z"/>
        <d v="2024-09-15T00:00:00Z"/>
        <d v="2024-09-11T00:00:00Z"/>
        <d v="2024-09-10T00:00:00Z"/>
        <d v="2024-09-27T00:00:00Z"/>
        <d v="2024-09-18T00:00:00Z"/>
        <d v="2024-09-23T00:00:00Z"/>
        <d v="2024-09-25T00:00:00Z"/>
        <d v="2024-09-29T00:00:00Z"/>
        <d v="2024-09-28T00:00:00Z"/>
        <d v="2024-09-22T00:00:00Z"/>
        <d v="2024-09-21T00:00:00Z"/>
      </sharedItems>
    </cacheField>
    <cacheField name="USD latest" numFmtId="164">
      <sharedItems containsSemiMixedTypes="0" containsString="0" containsNumber="1">
        <n v="1487.4488639831543"/>
        <n v="2528.6630687713623"/>
        <n v="3962.9887590408325"/>
        <n v="266.3977117538452"/>
        <n v="266.9479465484619"/>
        <n v="4592.845325732232"/>
        <n v="4515.508999841213"/>
        <n v="5796.991513363124"/>
        <n v="1678.2008754825592"/>
        <n v="95.11535882949829"/>
        <n v="123.0886173248291"/>
        <n v="148.4652042388916"/>
        <n v="141.45888805389404"/>
        <n v="184.13642644882202"/>
        <n v="200.40442943572998"/>
        <n v="3776.436173915863"/>
        <n v="1872.3464171791077"/>
        <n v="110.48185586929321"/>
        <n v="127.6541805267334"/>
        <n v="686.106217417717"/>
        <n v="678.138055020363"/>
        <n v="425.8118012939957"/>
        <n v="452.88026637419586"/>
        <n v="479.48800799462566"/>
        <n v="9041.05388293743"/>
        <n v="6364.067106046677"/>
        <n v="1223.5777053451536"/>
        <n v="250.76033290863037"/>
        <n v="571.0636816880973"/>
        <n v="456.85094577998433"/>
        <n v="73566.60385131836"/>
        <n v="24012.303926467896"/>
        <n v="4768.932426465491"/>
        <n v="8431.174553519224"/>
        <n v="4816.778183403694"/>
        <n v="4058.727365450228"/>
        <n v="7176.211921051034"/>
        <n v="5242.745283010491"/>
        <n v="427.0221656519108"/>
        <n v="429.0456241659643"/>
        <n v="497.5934093187661"/>
        <n v="119.62126815952548"/>
        <n v="831.8104734352271"/>
        <n v="38327.18999235153"/>
        <n v="140764.43520736694"/>
        <n v="386.2372975349426"/>
        <n v="7699.501463890076"/>
        <n v="3128.172719335556"/>
        <n v="5525.366881656646"/>
        <n v="2743.231800527573"/>
        <n v="482.2507110615395"/>
        <n v="476.5211464441137"/>
        <n v="381.21691715529096"/>
        <n v="546.0268409156799"/>
        <n v="758.0492952585221"/>
        <n v="20291.084230422974"/>
        <n v="12925.754986286163"/>
        <n v="9106.374662399292"/>
        <n v="685.5903437432097"/>
        <n v="1112.971338467397"/>
        <n v="356.75652771086123"/>
        <n v="444.7470790600015"/>
        <n v="1220.4944356163885"/>
        <n v="5615.136126853981"/>
        <n v="3242.8296103040775"/>
        <n v="303.33470376419103"/>
        <n v="251.66162730216982"/>
        <n v="528.8254669704139"/>
        <n v="562.2245786215814"/>
        <n v="1547.5103138694037"/>
        <n v="248.64673948287964"/>
        <n v="739.6236145019532"/>
        <n v="133.41923389434814"/>
        <n v="8202.318509674073"/>
        <n v="5439.946712522507"/>
        <n v="186.7045166015625"/>
        <n v="125.51419129371642"/>
        <n v="1152.7053155899048"/>
        <n v="238.52998609542846"/>
        <n v="1426.238268852234"/>
        <n v="2427.0869019211364"/>
        <n v="7629.792306900024"/>
        <n v="27857.804944896696"/>
        <n v="194.47790336608887"/>
        <n v="20063.619260787964"/>
        <n v="29801.908933496474"/>
        <n v="4522.409883785248"/>
        <n v="308.1501011657715"/>
        <n v="364.10990381240845"/>
        <n v="1782.9294305540657"/>
        <n v="4915.855663845692"/>
        <n v="3182.2472778059578"/>
        <n v="423.0289921846619"/>
        <n v="337.93192423768505"/>
        <n v="16625.386779785156"/>
        <n v="683.7720599284175"/>
        <n v="427.97880970887456"/>
        <n v="354.3573778811342"/>
        <n v="67610.04678153992"/>
        <n v="81605.26164264679"/>
        <n v="21494.800901937484"/>
        <n v="564.4894461712596"/>
        <n v="469.1338944252363"/>
        <n v="544.691892741165"/>
        <n v="1052.4224742907818"/>
        <n v="4446.996980155933"/>
        <n v="1932.3702221989936"/>
        <n v="1481.009779158025"/>
        <n v="837.6752144552495"/>
        <n v="727.0816804570713"/>
        <n v="1318.5671101135874"/>
        <n v="3374.6368885040283"/>
        <n v="719.4725846290588"/>
        <n v="1430.708094024658"/>
        <n v="70280.2214627266"/>
        <n v="304.53275356292727"/>
        <n v="39252.398112773895"/>
        <n v="321.43039557456973"/>
        <n v="3409.737792062759"/>
        <n v="3675.6213634014125"/>
        <n v="5587.86357421875"/>
        <n v="18386.317708587645"/>
        <n v="724.0579458236695"/>
        <n v="46643.1014316082"/>
        <n v="23458.87099838257"/>
        <n v="3979.0991109609604"/>
        <n v="12707.383953094482"/>
        <n v="6826.646856451035"/>
        <n v="628.2520274162292"/>
        <n v="197.49572925567625"/>
        <n v="142.72889728546144"/>
        <n v="296.2435938835144"/>
        <n v="148.1217969417572"/>
        <n v="196.45677967071532"/>
        <n v="1631.4957562269717"/>
        <n v="259.32580928802537"/>
        <n v="829.8425904222557"/>
        <n v="848.4058039363418"/>
        <n v="1490.775492714535"/>
        <n v="1590.7608823802368"/>
        <n v="15479.032557773591"/>
        <n v="5002.038375663757"/>
        <n v="18619.942534160615"/>
        <n v="213845.16329956055"/>
        <n v="27272.08772416115"/>
        <n v="1039.0704945452055"/>
        <n v="920.6872517080632"/>
        <n v="878.8378311754724"/>
        <n v="39489.623997211456"/>
        <n v="4639.478283309937"/>
        <n v="839.2911257743835"/>
        <n v="216.45951175689697"/>
        <n v="952.5270358085633"/>
        <n v="317.50901193618773"/>
        <n v="17555.15490913391"/>
        <n v="4105.14773273468"/>
        <n v="18292.22296333313"/>
        <n v="9844.601478219032"/>
        <n v="3786.385183930397"/>
        <n v="1514.5540735721588"/>
        <n v="82272.14293956757"/>
        <n v="31643.13189983368"/>
        <n v="11886.606209278107"/>
        <n v="486.65568551430295"/>
        <n v="540.5736090996076"/>
        <n v="9369.777618248585"/>
        <n v="9333.90431664681"/>
        <n v="8283.677908940832"/>
        <n v="531.1587947950137"/>
        <n v="194.02926869683313"/>
        <n v="536.906679715987"/>
        <n v="12881.892453670502"/>
        <n v="996.2272930145264"/>
        <n v="498.4951109556101"/>
        <n v="2357.13686067333"/>
        <n v="1528.9536393551302"/>
        <n v="1448.9495379933865"/>
        <n v="573.3576147576716"/>
        <n v="1826.250180341185"/>
        <n v="400.8830330631331"/>
        <n v="383.1406377390198"/>
        <n v="424.70934423518406"/>
        <n v="614.9797245618932"/>
        <n v="4603.849773406982"/>
        <n v="10327.355861091613"/>
        <n v="4439.117272949219"/>
        <n v="75135.29746341705"/>
        <n v="21961.982362747192"/>
        <n v="1726.600468158722"/>
        <n v="49956.42650938034"/>
        <n v="64252.91061401367"/>
        <n v="16705.6974029541"/>
        <n v="106759.53839588165"/>
        <n v="1581.3616183051065"/>
        <n v="5646.690626883273"/>
        <n v="995.2018994561325"/>
        <n v="459.15454286419714"/>
        <n v="771.3794250071653"/>
        <n v="661.4918731710825"/>
        <n v="550.9853035762408"/>
        <n v="367.49548509474835"/>
        <n v="363.71256606389727"/>
        <n v="367.32353571731545"/>
        <n v="444.08425548553464"/>
        <n v="532.8798254394532"/>
        <n v="219.35668686744833"/>
        <n v="230.63875389515698"/>
        <n v="461.2775077366136"/>
        <n v="768.79584631719"/>
        <n v="405.00127338088004"/>
        <n v="685.3969384372765"/>
        <n v="145.31175942420958"/>
        <n v="280.74098601341245"/>
        <n v="297.96610751152036"/>
        <n v="148.71653666496277"/>
        <n v="144.32293109893797"/>
        <n v="148.41242609024047"/>
        <n v="1524.8307346343995"/>
        <n v="197383.21393203735"/>
        <n v="607.6929921150207"/>
        <n v="4441.279308032989"/>
        <n v="1674.6439041137696"/>
        <n v="35537.78762340546"/>
        <n v="157113.09609746933"/>
        <n v="48020.569173812866"/>
        <n v="147675.86865520477"/>
        <n v="46338.305505275726"/>
        <n v="38305.43020329475"/>
        <n v="23317.896953105927"/>
        <n v="34090.10069131851"/>
        <n v="1148.7144260142827"/>
        <n v="2956.1569582372913"/>
        <n v="1338.1794332420302"/>
        <n v="606.4257251380798"/>
        <n v="420.69397497922404"/>
        <n v="706.7658779656028"/>
        <n v="422.19751396179197"/>
        <n v="608.7981343078613"/>
        <n v="507.361994895935"/>
        <n v="175374.99641132355"/>
        <n v="6891.333751678467"/>
        <n v="611.1163021470804"/>
        <n v="508.04706101962694"/>
        <n v="420.693992628911"/>
        <n v="424.3863209352082"/>
        <n v="342.31085902251186"/>
        <n v="339.50905674807586"/>
        <n v="656.1352413699109"/>
        <n v="69484.29807014465"/>
        <n v="9163.152519464493"/>
        <n v="4973.337690162659"/>
        <n v="5444.115904340744"/>
        <n v="2529.1915752887726"/>
        <n v="55387.97971057892"/>
        <n v="36785.932109404566"/>
        <n v="3162.351244166374"/>
        <n v="1667.5182654938699"/>
        <n v="2090.869665620804"/>
        <n v="2267.6368330330847"/>
        <n v="2455.5675815644267"/>
        <n v="2648.01630564785"/>
        <n v="3143.1451737890247"/>
        <n v="2979.550622484207"/>
        <n v="3165.1819921264646"/>
        <n v="3640.110006536484"/>
        <n v="4025.1810008540156"/>
        <n v="4204.872222280503"/>
        <n v="4164.513207115173"/>
        <n v="4634.127635785103"/>
        <n v="4956.496000884056"/>
        <n v="5098.409482095718"/>
        <n v="5128.893466900826"/>
        <n v="4978.266399308682"/>
        <n v="2132.9591931438445"/>
        <n v="3331.3125044565204"/>
        <n v="4625.359444508553"/>
        <n v="5256.092827958108"/>
        <n v="5365.426136016846"/>
        <n v="3659.460178375244"/>
        <n v="5335.064884185791"/>
        <n v="4299.481209754944"/>
        <n v="28760.112149238586"/>
        <n v="4797.134001731873"/>
        <n v="3855.502687931061"/>
        <n v="4561.784003734589"/>
        <n v="4967.609369277954"/>
        <n v="3993.4683122634888"/>
        <n v="4556.776556968689"/>
        <n v="4299.003604507446"/>
        <n v="5298.880167675018"/>
        <n v="3608.1875220298766"/>
        <n v="42866.88487958908"/>
        <n v="16964.846990680693"/>
        <n v="25261.341041660307"/>
        <n v="116338.69789567853"/>
        <n v="832.1959289254995"/>
        <n v="4685.418470386528"/>
        <n v="1564.9423527308609"/>
        <n v="445.6281745570286"/>
        <n v="500.87772147271755"/>
        <n v="516.0273455391923"/>
        <n v="647.4553390474968"/>
        <n v="776.9464068571069"/>
        <n v="761.0048471106378"/>
        <n v="601.0532657513022"/>
        <n v="539.5461158872397"/>
        <n v="906.4374746667172"/>
        <n v="568.9556895828883"/>
        <n v="485.43925808475774"/>
        <n v="417.582157491743"/>
        <n v="424.695001258844"/>
        <n v="52481.555284023285"/>
        <n v="41126.77585261345"/>
        <n v="704.8986251831054"/>
        <n v="535.1840356349945"/>
        <n v="146.33658576011658"/>
        <n v="10995.967483520508"/>
        <n v="2535.156989765167"/>
        <n v="1196.5336097717284"/>
        <n v="268.715678024292"/>
        <n v="51945.95075941086"/>
        <n v="10388.142042160034"/>
        <n v="5364.204368591309"/>
        <n v="21422.804985046387"/>
        <n v="486.4720791538912"/>
        <n v="875.6497425676338"/>
        <n v="243.23603955177066"/>
        <n v="697.4614183301268"/>
        <n v="1945.888316816964"/>
        <n v="427.12262288150345"/>
        <n v="1349.4923911192075"/>
        <n v="389.177663313043"/>
        <n v="817.2730929624253"/>
        <n v="700.5197939534074"/>
        <n v="694.0246582030816"/>
        <n v="583.766494972082"/>
        <n v="385.4147132451247"/>
        <n v="5137.527772734075"/>
        <n v="7739.084402464176"/>
        <n v="5231.359497664084"/>
        <n v="342.05555800641935"/>
        <n v="6299.906018071341"/>
        <n v="8817.084179981002"/>
        <n v="8672.760952719593"/>
        <n v="449.30157494097233"/>
        <n v="667.8976138901235"/>
        <n v="556.5813371317578"/>
        <n v="17497.821709656713"/>
        <n v="42437.59200334549"/>
        <n v="71041.56000137329"/>
        <n v="5583.867588043213"/>
        <n v="6476.7340087890625"/>
        <n v="39407.97456026077"/>
        <n v="80655.97719573975"/>
        <n v="631.7619580620002"/>
        <n v="783.7466244967168"/>
        <n v="456.8607874319353"/>
        <n v="671.7828209973068"/>
        <n v="526.4682983847343"/>
        <n v="466.5158479146316"/>
        <n v="438.7235819873451"/>
        <n v="373.2126783317901"/>
        <n v="350.97886558995583"/>
        <n v="275.9993908386217"/>
        <n v="12258.096282920014"/>
        <n v="8887.548384189882"/>
        <n v="8534.715977957594"/>
        <n v="313.63340774468435"/>
        <n v="473.7989542728289"/>
        <n v="277.50586767196654"/>
        <n v="2697.146849155426"/>
        <n v="68.86070342063903"/>
        <n v="4989.825168514251"/>
        <n v="3533.4912429809574"/>
        <n v="2758.975296020508"/>
        <n v="752.2494168281555"/>
        <n v="35358.01541137695"/>
        <n v="26563.361439704895"/>
        <n v="49143.23797893524"/>
        <n v="29096.04780292511"/>
        <n v="58887.95964717865"/>
        <n v="28231.30078601837"/>
        <n v="676.2628914774514"/>
        <n v="788.9733733905505"/>
        <n v="469.62700797048404"/>
        <n v="651.8947998857464"/>
        <n v="366.7108235498327"/>
        <n v="362.1637777145485"/>
        <n v="375.701606376616"/>
        <n v="660.0794823892523"/>
        <n v="460.46539667521625"/>
        <n v="563.5524095647334"/>
        <n v="452.52489497367634"/>
        <n v="414.41885700780676"/>
        <n v="6274.546006983111"/>
        <n v="6411.549037315922"/>
        <n v="5455.757130176483"/>
        <n v="3.721198081970215"/>
        <n v="596.1142558496662"/>
        <n v="307.0891621044862"/>
        <n v="35212.5666475296"/>
        <n v="270546.06654167175"/>
        <n v="38890.205698013306"/>
        <n v="134694.1677274704"/>
        <n v="21892.34194278717"/>
        <n v="3768.750955581665"/>
        <n v="2615.1849981028618"/>
        <n v="2920.8559719069085"/>
        <n v="3181.242356999626"/>
        <n v="139216.48340177536"/>
        <n v="10324.12105512619"/>
        <n v="34179.32239341736"/>
        <n v="65643.65575790405"/>
        <n v="141434.4402551651"/>
        <n v="1630.8509299972297"/>
        <n v="1714.4482870506806"/>
        <n v="1788.1115553900024"/>
        <n v="1659.4258969848945"/>
        <n v="1922.0743103536602"/>
        <n v="1756.89572224641"/>
        <n v="651.3212478247763"/>
        <n v="3126.3420295419355"/>
        <n v="32597.078309059143"/>
        <n v="1875.8051937352666"/>
        <n v="2188.4393926909593"/>
        <n v="53.746646162747666"/>
        <n v="114289.68802022934"/>
        <n v="878.7153003754246"/>
        <n v="1813.3826259153727"/>
        <n v="669.4686879805435"/>
        <n v="43.91135626019401"/>
        <n v="755.5760941312265"/>
        <n v="610.2189585940738"/>
        <n v="2423.8629298108704"/>
        <n v="5690.028609126491"/>
        <n v="8785.662521471468"/>
        <n v="997.9735072581028"/>
        <n v="585.1082451007977"/>
        <n v="463.494596139177"/>
        <n v="495.86255732184395"/>
        <n v="8757.98626613617"/>
        <n v="33263.15674495697"/>
        <n v="1762.5888767021795"/>
        <n v="1607.57291686184"/>
        <n v="1608.4897835445615"/>
        <n v="1894.6395091588993"/>
        <n v="1661.662993810668"/>
        <n v="1819.4091335892663"/>
        <n v="229844.86533260345"/>
        <n v="919.9508155362719"/>
        <n v="699.3308388001058"/>
        <n v="766.625679613448"/>
        <n v="638.8547330114302"/>
        <n v="559.464671039644"/>
        <n v="511.0837864087418"/>
        <n v="1839.9016310725438"/>
        <n v="1533.251359226896"/>
        <n v="662.6731533169416"/>
        <n v="2349.7516183673865"/>
        <n v="9176.034977014713"/>
        <n v="6368.738320501188"/>
        <n v="4412.949782935081"/>
        <n v="21998.88038635254"/>
        <n v="960.9912020519233"/>
        <n v="2950.972444295883"/>
        <n v="59361.664701652524"/>
        <n v="16632.90470314026"/>
        <n v="15660.492663860321"/>
        <n v="2071.3916482925415"/>
        <n v="5567.332426548004"/>
        <n v="2153.6490783691406"/>
        <n v="8766.398661708832"/>
        <n v="6678.376530170441"/>
        <n v="79055.41602897644"/>
        <n v="1211.5525749206543"/>
        <n v="2628.7622604370117"/>
        <n v="19777.911643981934"/>
        <n v="1453.4885709168573"/>
        <n v="1286.2520533274026"/>
        <n v="1410.283501326804"/>
        <n v="1298.7292413059508"/>
        <n v="1191.2840846022743"/>
        <n v="63693.512467861176"/>
        <n v="40779.0284576416"/>
        <n v="1621.6821102949448"/>
        <n v="639.5092896052214"/>
        <n v="539.6728530648785"/>
        <n v="447.14520012408826"/>
        <n v="482.6434843314514"/>
        <n v="1390.0132338941576"/>
        <n v="1246.5763622488976"/>
        <n v="623.2881818571586"/>
        <n v="147.5579090772171"/>
        <n v="1073.1484833255215"/>
        <n v="6063.394108390808"/>
        <n v="2389.3030578804014"/>
        <n v="2458.4244857883455"/>
        <n v="347.25586928748896"/>
        <n v="356.2932215682201"/>
        <n v="1061.940685901642"/>
        <n v="413.9411190032959"/>
        <n v="141451.93593978882"/>
        <n v="7388.716316699982"/>
        <n v="104109.02203559875"/>
        <n v="95739.64571237564"/>
        <n v="14921.488241100311"/>
        <n v="158137.0222120285"/>
        <n v="1962.3866903305052"/>
        <n v="1190.5016067504882"/>
        <n v="1162.0915002822876"/>
        <n v="129.12127780914307"/>
        <n v="218.00554978370667"/>
        <n v="393.2145917034149"/>
        <n v="463.92648860454557"/>
        <n v="33540.681507110596"/>
        <n v="47385.84178161621"/>
        <n v="1418.119442796707"/>
        <n v="1554.864293627739"/>
        <n v="1476.1231029510498"/>
        <n v="1671.3407706642151"/>
        <n v="1568.7835973787307"/>
        <n v="1430.8145926952361"/>
        <n v="149022.07913398743"/>
        <n v="61289.055614471436"/>
        <n v="217.04678144741058"/>
        <n v="1562.75739539814"/>
        <n v="1302.2953808107375"/>
        <n v="542.6242996816635"/>
        <n v="7181.684351690514"/>
        <n v="3287.1625712648292"/>
        <n v="5552.764170901084"/>
        <n v="261.0896098136902"/>
        <n v="1566.3167708873748"/>
        <n v="1302.3100729370117"/>
        <n v="781.4007358884812"/>
        <n v="651.1550364685058"/>
        <n v="543.8998724460602"/>
        <n v="433.8154755555332"/>
        <n v="105.63379315042496"/>
        <n v="55.36254132628441"/>
        <n v="1814.5412527624273"/>
        <n v="808.8531973308802"/>
        <n v="561.7036098106527"/>
        <n v="39566.725192546844"/>
        <n v="9405.031173706055"/>
        <n v="627.2170478152265"/>
        <n v="2913.078727834608"/>
        <n v="2000.693128601259"/>
        <n v="2842.1377948592535"/>
        <n v="6156.4118694305425"/>
        <n v="2261.931372566223"/>
        <n v="4527.54090801239"/>
        <n v="7972.773496074676"/>
        <n v="3803.0894519233707"/>
        <n v="6164.407569942475"/>
        <n v="30901.78857564926"/>
        <n v="5513.730267047882"/>
        <n v="160949.49256896973"/>
        <n v="8448.335676670074"/>
        <n v="1476.3744106292725"/>
        <n v="2127.840766429901"/>
        <n v="166.39515209197998"/>
        <n v="180.15798711776733"/>
        <n v="23972.647819519043"/>
        <n v="314723.45749872207"/>
        <n v="458.47477852378086"/>
        <n v="457.86232815423193"/>
        <n v="458.72532640159994"/>
        <n v="458.9758742801924"/>
        <n v="458.78100370778196"/>
        <n v="455.8022678224038"/>
        <n v="458.1685533390064"/>
        <n v="340.3206109276638"/>
        <n v="340.7754468086319"/>
        <n v="340.38263400198974"/>
        <n v="340.9201673164236"/>
        <n v="82.30279514072112"/>
        <n v="28.41001394309974"/>
        <n v="340.5687032265143"/>
        <n v="337.79947470759265"/>
        <n v="458.00190619307455"/>
        <n v="458.58630527111933"/>
        <n v="458.94807612899336"/>
        <n v="457.9184206106072"/>
        <n v="458.78110496405867"/>
        <n v="457.58447827996446"/>
        <n v="340.4448300317833"/>
        <n v="340.13482745437324"/>
        <n v="340.1968279701646"/>
        <n v="82.27187896867869"/>
        <n v="339.64743320639286"/>
        <n v="340.3161579080375"/>
        <n v="340.70444967068187"/>
        <n v="340.5750190826182"/>
        <n v="340.1867273207471"/>
        <n v="457.7813205631102"/>
        <n v="459.0593902394654"/>
        <n v="458.24607317234245"/>
        <n v="457.2584738770474"/>
        <n v="457.95560279128233"/>
        <n v="458.88510801052"/>
        <n v="457.8684616768096"/>
        <n v="82.28157052454968"/>
        <n v="502.6583766937256"/>
        <n v="56.58760743492509"/>
        <n v="1852.2049452638626"/>
        <n v="267.2474551963806"/>
        <n v="266.6328983306885"/>
        <n v="169353.9059617281"/>
        <n v="157160.728225708"/>
        <n v="171305.924949646"/>
        <n v="85726.9772195816"/>
        <n v="64076.11046600342"/>
        <n v="449.00203905105593"/>
        <n v="1253.1142074584961"/>
        <n v="1056.1755323410034"/>
        <n v="2233.5515356063843"/>
        <n v="2206.1604043960574"/>
        <n v="7251.643587589264"/>
        <n v="7483.360508918762"/>
        <n v="8196.15361070633"/>
        <n v="3549.2274698257447"/>
        <n v="7895.238786315918"/>
        <n v="9307.567596435547"/>
        <n v="3500.7934560775757"/>
        <n v="55127.05634880066"/>
        <n v="202085.4358316231"/>
        <n v="174270.53924560547"/>
        <n v="13723.356179237368"/>
        <n v="69186.7285205841"/>
        <n v="10220.577877044678"/>
        <n v="358.1681053161621"/>
        <n v="2051.5836399078366"/>
        <n v="1871.0734613800048"/>
        <n v="1914.7110705661773"/>
        <n v="1889.112136440277"/>
        <n v="2099.431149339676"/>
        <n v="2205.2048888397217"/>
        <n v="58381.17281455993"/>
        <n v="62551.2565870285"/>
        <n v="30086.441482543945"/>
        <n v="1851.4048247509002"/>
        <n v="1628.3452038717269"/>
        <n v="678.4724511623383"/>
        <n v="2159.977658855438"/>
        <n v="976.9980654573442"/>
        <n v="691.7661164283752"/>
        <n v="1028.5546604309084"/>
        <n v="1851.4155513763428"/>
        <n v="769.7319755554199"/>
        <n v="642.8466627693176"/>
        <n v="514.234423713684"/>
        <n v="427.5892341613769"/>
        <n v="1628.3112406253815"/>
        <n v="814.2122257232667"/>
        <n v="8923.775050792694"/>
        <n v="2547.992115053177"/>
        <n v="4603.481481407165"/>
        <n v="1002.2124655246735"/>
        <n v="841.9283234596253"/>
        <n v="507.3074194440842"/>
        <n v="334.0631265735626"/>
        <n v="280.63630992507933"/>
        <n v="558.1151818084717"/>
        <n v="279.05759090423584"/>
        <n v="3031.278122372464"/>
        <n v="9209.040836989096"/>
        <n v="9203.38834445408"/>
        <n v="2865.791148390172"/>
        <n v="2926.017765920468"/>
        <n v="2920.531482608738"/>
        <n v="359363.0323265076"/>
        <n v="92325.28769958306"/>
        <n v="193392.41333007812"/>
        <n v="17.6633077389534"/>
        <n v="389.33288693234414"/>
        <n v="266.5107459889214"/>
        <n v="262.40459025290403"/>
        <n v="264.5992596979563"/>
        <n v="265.6080996846111"/>
        <n v="266.776230195659"/>
        <n v="390.26747277733193"/>
        <n v="390.0338263158659"/>
        <n v="390.4491978034036"/>
        <n v="390.786687136535"/>
        <n v="390.241512060073"/>
        <n v="391.02033359800106"/>
        <n v="68.24150434249302"/>
        <n v="14.228065610411777"/>
        <n v="22.231352516597063"/>
        <n v="390.68259615023516"/>
        <n v="265.961754415158"/>
        <n v="266.49293427143493"/>
        <n v="266.51064026708235"/>
        <n v="266.38669830017955"/>
        <n v="266.59917024356673"/>
        <n v="389.25418806759444"/>
        <n v="385.43644282836135"/>
        <n v="388.215345825674"/>
        <n v="391.30590149486153"/>
        <n v="390.39691453318113"/>
        <n v="390.89036459844397"/>
        <n v="68.24320615235312"/>
        <n v="389.82525648793137"/>
        <n v="266.1209779044713"/>
        <n v="266.7231016318877"/>
        <n v="266.65226354569063"/>
        <n v="266.4220397681795"/>
        <n v="388.9160885019117"/>
        <n v="390.1109949988248"/>
        <n v="390.3967335088419"/>
        <n v="384.7079395342932"/>
        <n v="390.6824720188591"/>
        <n v="390.9941867572985"/>
        <n v="68.24646171662516"/>
        <n v="1066.5456302261352"/>
        <n v="732.646708946228"/>
        <n v="1433.5506443023683"/>
        <n v="271.1330865097046"/>
        <n v="546.7934859848023"/>
        <n v="88610.55618919373"/>
        <n v="320758.0207824707"/>
        <n v="4601.917474365235"/>
        <n v="2312.0181079864506"/>
        <n v="75947.90087280273"/>
        <n v="59456.45506744385"/>
        <n v="40872.924617958066"/>
        <n v="1860.5223118305205"/>
        <n v="1149.2634201049805"/>
        <n v="169.134938621521"/>
        <n v="5868.96904335022"/>
        <n v="193888.29879760742"/>
        <n v="572836.6336402893"/>
        <n v="89129.4979095459"/>
        <n v="331099.3791503906"/>
        <n v="1369.741920013428"/>
        <n v="1249.275669631958"/>
        <n v="1567.776867556572"/>
        <n v="985.4040548617362"/>
        <n v="1554.9698379135132"/>
        <n v="1330.1965466880797"/>
        <n v="1458.5401177597046"/>
        <n v="1238.167835292816"/>
        <n v="967.6657483386992"/>
        <n v="1280.5347719848633"/>
        <n v="952.879308393669"/>
        <n v="79512.80796408653"/>
        <n v="2947.822427749634"/>
        <n v="245.05085468292236"/>
        <n v="5314.168479442596"/>
        <n v="13259.994536542892"/>
        <n v="115.447189617157"/>
        <n v="134.86699533462524"/>
        <n v="108.42543115615845"/>
        <n v="112.53173961639405"/>
        <n v="69.2176986694336"/>
        <n v="153.442467212677"/>
        <n v="146.792498588562"/>
        <n v="106.77982635498047"/>
        <n v="146.95505905151367"/>
        <n v="142.77133512496948"/>
        <n v="102.8176589012146"/>
        <n v="104.60198774337769"/>
        <n v="93.5648717880249"/>
        <n v="144.1097502708435"/>
        <n v="113.56100072860718"/>
        <n v="118.45614910125732"/>
        <n v="110.56618728637696"/>
        <n v="106.03677791595459"/>
        <n v="210097.73074436188"/>
        <n v="276.93510069966317"/>
        <n v="289.1063587419033"/>
        <n v="289.6450452710152"/>
        <n v="1015.5920929963833"/>
        <n v="352.636143401718"/>
        <n v="523.8102043069398"/>
        <n v="530.1144199643135"/>
        <n v="372.8305578160286"/>
        <n v="367.45335963964465"/>
        <n v="16.942919244715014"/>
        <n v="10.843468316437905"/>
        <n v="189.43729144778987"/>
        <n v="194.4266295917879"/>
        <n v="318.7590668952652"/>
        <n v="285.76856360306783"/>
        <n v="322.3965811143757"/>
        <n v="305.72626193866785"/>
        <n v="288.72525965250645"/>
        <n v="267.13678411832643"/>
        <n v="261.37568740649937"/>
        <n v="190.82711604015506"/>
        <n v="189.92309542492163"/>
        <n v="177.3946339072891"/>
        <n v="51.50844619660959"/>
        <n v="48.12394919223329"/>
        <n v="16.265202474977755"/>
        <n v="200.4269333690288"/>
        <n v="179.37024338012793"/>
        <n v="282.3343892445127"/>
        <n v="280.65581876365763"/>
        <n v="311.9027658609055"/>
        <n v="288.7264811472726"/>
        <n v="289.58630958505177"/>
        <n v="188.2258860928975"/>
        <n v="194.45171778410725"/>
        <n v="213.15559350104596"/>
        <n v="282.92263919140436"/>
        <n v="51.70283456973422"/>
        <n v="48.30556476953304"/>
        <n v="185.6715676938991"/>
        <n v="209.98649114762802"/>
        <n v="199.67951050139402"/>
        <n v="279.98683883838237"/>
        <n v="318.8002035260672"/>
        <n v="279.57413977073645"/>
        <n v="291.62102207580864"/>
        <n v="279.5937921072583"/>
        <n v="179.0981720251789"/>
        <n v="217.49453625077962"/>
        <n v="281.6948983741978"/>
        <n v="51.89247265948422"/>
        <n v="48.48274219323568"/>
        <n v="29.740909171104434"/>
        <n v="754.8732023972052"/>
        <n v="723.0359381371152"/>
        <n v="377.43660119894605"/>
        <n v="188.71830059912958"/>
        <n v="184.06704165101053"/>
        <n v="1239.2359408995628"/>
        <n v="1073.7526850624563"/>
        <n v="441.76089996242524"/>
        <n v="368.13408330202105"/>
        <n v="935.6049445152282"/>
        <n v="896.1452024459838"/>
        <n v="155.9341574192047"/>
        <n v="389.8353935480118"/>
        <n v="55198.465101909635"/>
        <n v="24199.868242263794"/>
        <n v="374.2646263217926"/>
        <n v="1995.9440061092375"/>
        <n v="202.073418006897"/>
        <n v="561.3969394826889"/>
        <n v="1937.1778937306406"/>
        <n v="1902.391249622822"/>
        <n v="5077.851093162537"/>
        <n v="7606.97097158432"/>
        <n v="10992.547159194946"/>
        <n v="963.2288932800293"/>
        <n v="41306.89853858948"/>
        <n v="465198.0544750214"/>
        <n v="45391.62646865845"/>
        <n v="23518.594665527344"/>
        <n v="15992.91948223114"/>
        <n v="2870.7400226593018"/>
        <n v="34997.67335188389"/>
        <n v="69579.22166061401"/>
        <n v="68160.11169695854"/>
        <n v="308.17468872070316"/>
        <n v="143770.574150486"/>
        <n v="7.454471111297607"/>
        <n v="656.3135190205575"/>
        <n v="1789.397506722927"/>
        <n v="3742.7451550636288"/>
        <n v="5152.136165210724"/>
        <n v="1844.4501023292542"/>
        <n v="3606.496772670746"/>
        <n v="3981.881259475708"/>
        <n v="5175.742196502686"/>
        <n v="15198.436926941871"/>
        <n v="36097.085616230965"/>
        <n v="1351.1200977230071"/>
        <n v="5904.343799180984"/>
        <n v="20705.006443419454"/>
        <n v="8966.225616168977"/>
        <n v="54735.32352023601"/>
        <n v="2305.389199733734"/>
        <n v="323.45377459526065"/>
        <n v="1677.6780560016632"/>
        <n v="1233.3365929031372"/>
        <n v="868.1727773666382"/>
        <n v="1610.3137095165253"/>
        <n v="413.66097702026366"/>
        <n v="1414.125120306015"/>
        <n v="213.43379379272463"/>
        <n v="893.5599501037598"/>
        <n v="112.46565228939056"/>
        <n v="1408.233640551567"/>
        <n v="1406.9012471866608"/>
        <n v="1645.6526320695878"/>
        <n v="1542.5095554065704"/>
        <n v="1222.4968730020523"/>
        <n v="1332.4836755132676"/>
        <n v="1412.1438364219666"/>
        <n v="1548.3113541603088"/>
        <n v="1308.8677543830872"/>
        <n v="742.7923941612244"/>
        <n v="642.1954195833206"/>
        <n v="933.1538669013978"/>
        <n v="113.36371511936187"/>
        <n v="8574.355184874534"/>
        <n v="6669.936915206909"/>
        <n v="6665.497779846191"/>
        <n v="803.2192622423172"/>
        <n v="698.1016757488251"/>
        <n v="625.320503616333"/>
        <n v="495.204347038269"/>
        <n v="1426.6916682720184"/>
        <n v="1189.0200632095336"/>
        <n v="1664.495680913925"/>
        <n v="1396.2033514976501"/>
        <n v="990.408694076538"/>
        <n v="969.2437187194823"/>
        <n v="247.6021735191345"/>
        <n v="538.3173402786255"/>
        <n v="388.08622159957883"/>
        <n v="396.5607003688812"/>
        <n v="2267.484438140214"/>
        <n v="1533.4421844839173"/>
        <n v="718.2818030043165"/>
        <n v="669.8825268745422"/>
        <n v="6382.495803375245"/>
        <n v="1610.6550031661986"/>
        <n v="2518.9582659816742"/>
        <n v="29220.93856859207"/>
        <n v="43130.653908252716"/>
        <n v="16166.175353050232"/>
        <n v="29519.210612773895"/>
        <n v="1030.5573329925537"/>
        <n v="11824.971375465393"/>
        <n v="8572.543142795563"/>
        <n v="12814.235840320587"/>
        <n v="13612.328640460968"/>
        <n v="12133.753804206848"/>
        <n v="346.87674045562744"/>
        <n v="349.8929977416992"/>
        <n v="40132.50814533234"/>
        <n v="9057.816326141357"/>
        <n v="56692.587339019774"/>
        <n v="94813.20697569847"/>
        <n v="806.0589263391495"/>
        <n v="537.3726175594329"/>
        <n v="10369.899596214294"/>
        <n v="45.975431140600556"/>
        <n v="267.2728542930643"/>
        <n v="275.0405939093657"/>
        <n v="274.21881792986176"/>
        <n v="281.65393393510294"/>
        <n v="377.75670976939654"/>
        <n v="412.9777973710427"/>
        <n v="394.15455145252656"/>
        <n v="370.5859494187313"/>
        <n v="249.71118395768255"/>
        <n v="283.1409571360072"/>
        <n v="372.06228243235773"/>
        <n v="373.48588926679747"/>
        <n v="116.73576040605629"/>
        <n v="68.24621187365523"/>
        <n v="279.2203634464404"/>
        <n v="275.03508938482554"/>
        <n v="276.01295715569245"/>
        <n v="276.8539234396462"/>
        <n v="381.1454097230122"/>
        <n v="224.6713055380053"/>
        <n v="372.792043097055"/>
        <n v="395.16430891906117"/>
        <n v="379.2744664095732"/>
        <n v="109.33160294132931"/>
        <n v="280.86318130236094"/>
        <n v="254.76450644379332"/>
        <n v="126.7498216790012"/>
        <n v="68.18053680002535"/>
        <n v="297.6162720044068"/>
        <n v="265.27734147162744"/>
        <n v="286.08821683783776"/>
        <n v="262.918901380946"/>
        <n v="371.05718254466376"/>
        <n v="98.40794420577453"/>
        <n v="282.94508370199213"/>
        <n v="269.6168712402383"/>
        <n v="363.43063042264663"/>
        <n v="356.33793694999883"/>
        <n v="361.60025791350654"/>
        <n v="252.76935914229549"/>
        <n v="65.45032043893697"/>
        <n v="160924.67646884918"/>
        <n v="175550.89965200424"/>
        <n v="566873.001636982"/>
        <n v="129180.1940574646"/>
        <n v="919618.0729379654"/>
        <n v="233.83777729034423"/>
        <n v="24.920360450744628"/>
        <n v="24.413260092735293"/>
        <n v="226.96363166332245"/>
        <n v="1470.156380777359"/>
        <n v="24726.648113985062"/>
        <n v="724.5584197235108"/>
        <n v="1879.7793633317947"/>
        <n v="4049.83631980896"/>
        <n v="4746.215666885377"/>
        <n v="2026.0174836826322"/>
        <n v="3730.0897500705714"/>
        <n v="4209.637880458831"/>
        <n v="119.37017411231994"/>
        <n v="186.00056999206544"/>
        <n v="59.64794636726379"/>
        <n v="261.0761583328247"/>
        <n v="175.18899734497072"/>
        <n v="15965.617486953735"/>
        <n v="2493.086895465851"/>
        <n v="700064.2426943779"/>
        <n v="10727.649428367615"/>
        <n v="82224.64503097534"/>
        <n v="3425.0998971939084"/>
        <n v="143.096767578125"/>
        <n v="122.69429876327514"/>
        <n v="207.72787598133087"/>
        <n v="14.141985233306885"/>
        <n v="92.30020994663239"/>
        <n v="107.74180449485779"/>
        <n v="20.68195468902588"/>
        <n v="26.55115804672241"/>
        <n v="22.358869934082033"/>
        <n v="28.856916508674622"/>
        <n v="1366.4064388465881"/>
        <n v="487.98233631134036"/>
        <n v="1009.370979309082"/>
        <n v="111193.39516560556"/>
        <n v="4417.702824840546"/>
        <n v="247840.3480205536"/>
        <n v="106.72938254356386"/>
        <n v="1384.651984062195"/>
        <n v="1364.2675193691255"/>
        <n v="1631.9060892677307"/>
        <n v="1271.7666177654266"/>
        <n v="1495.823417739868"/>
        <n v="1093.5293653964998"/>
        <n v="97.25330212478637"/>
        <n v="100.36702636260986"/>
        <n v="93.18393421478271"/>
        <n v="98.17256304168701"/>
        <n v="13.692362123324825"/>
        <n v="12.045348277473536"/>
        <n v="15.027559327122018"/>
        <n v="6726.159330368042"/>
        <n v="75537.58044419289"/>
        <n v="1337.9915057373046"/>
        <n v="1160.2392442035675"/>
        <n v="1287.8027549266817"/>
        <n v="1103.2648498344422"/>
        <n v="1220.3167371368409"/>
        <n v="444.0031868457794"/>
        <n v="41919.99544620514"/>
        <n v="252.9655091342926"/>
        <n v="444.1349173784256"/>
        <n v="23.286624479293824"/>
        <n v="117.08359181880951"/>
        <n v="72.27221155166626"/>
        <n v="20.288630113601684"/>
        <n v="100.9304993391037"/>
        <n v="151.65423452854156"/>
        <n v="33.26317727088929"/>
        <n v="16.430648803710938"/>
        <n v="50.551411509513855"/>
        <n v="129.89470531463624"/>
        <n v="13.241208434104918"/>
        <n v="131.3032146692276"/>
        <n v="15.354158020019531"/>
        <n v="819.240891828537"/>
        <n v="1489.4016927909852"/>
        <n v="1353.062574148178"/>
        <n v="579.6443321609497"/>
        <n v="469.8976652622223"/>
        <n v="354.63762229919433"/>
        <n v="319.2084463119507"/>
        <n v="227.04151368141174"/>
        <n v="211.67593791484833"/>
        <n v="1063.8492661762239"/>
        <n v="531.8928327274323"/>
        <n v="433.6046109199524"/>
        <n v="281.9385991573334"/>
        <n v="242.31394017219543"/>
        <n v="254.011125497818"/>
        <n v="1030.8450678300858"/>
        <n v="429.5444564342499"/>
        <n v="150.34028601646423"/>
        <n v="902.1765504360199"/>
        <n v="1276.4664776802063"/>
        <n v="574.5294058799743"/>
        <n v="443.29702787399293"/>
        <n v="248.04281330108643"/>
        <n v="222.62417674064636"/>
        <n v="5765.491135425091"/>
        <n v="2202.2520452928543"/>
        <n v="1820.3958898258209"/>
        <n v="25890.31449758053"/>
        <n v="890.6416658629116"/>
        <n v="647.2582137169022"/>
        <n v="431.50547622129716"/>
        <n v="215.75273811064858"/>
        <n v="1158.5991077423096"/>
        <n v="3136.845456600189"/>
        <n v="1084.6459732055664"/>
        <n v="1220.2267198562622"/>
        <n v="2465.1044845581055"/>
        <n v="1109.2970180511475"/>
        <n v="1096.971495628357"/>
        <n v="1756.3869452476501"/>
        <n v="986.0417938232422"/>
        <n v="4048.9341158866882"/>
        <n v="225.33529389953614"/>
        <n v="51362.78985002833"/>
        <n v="48916.94271182947"/>
        <n v="118581.3500902472"/>
        <n v="4076.401873011589"/>
        <n v="3310.2836775779724"/>
        <n v="3184.159755706787"/>
        <n v="2717.8801703453064"/>
        <n v="2428.2311964035034"/>
        <n v="3729.383812904358"/>
        <n v="1033.6294545030594"/>
        <n v="1077.8221786022186"/>
        <n v="982.0650469064713"/>
        <n v="9232.350807189941"/>
        <n v="2162.979289007187"/>
        <n v="2156.050510120392"/>
        <n v="2257.4312506580354"/>
        <n v="1400.280365190506"/>
        <n v="41.65930455207825"/>
        <n v="446.0788023471832"/>
        <n v="123.30082847595216"/>
        <n v="100.93517067909242"/>
        <n v="23.117575645446777"/>
        <n v="183.00705909252167"/>
        <n v="184.95071189403532"/>
        <n v="10490.011601448059"/>
        <n v="115327.31317520142"/>
        <n v="9704.435741209983"/>
        <n v="9173.222397475243"/>
        <n v="10001.09938867092"/>
        <n v="11327.162715973855"/>
        <n v="9063.149855589867"/>
        <n v="1770.9429142570496"/>
        <n v="9829.226301941871"/>
        <n v="11325.772105126382"/>
        <n v="9668.399629497528"/>
        <n v="9413.879392147064"/>
        <n v="10729.66358850956"/>
        <n v="10314.004097557068"/>
        <n v="106.61017894744873"/>
        <n v="33.23488213479967"/>
        <n v="320.2302801877466"/>
        <n v="320.07162271351103"/>
        <n v="296.6147229239741"/>
        <n v="337.6048239531363"/>
        <n v="235.91450873898427"/>
        <n v="227.73593336711224"/>
        <n v="243.46627426348164"/>
        <n v="247.99144082246042"/>
        <n v="236.20781226202232"/>
        <n v="329.9243976908028"/>
        <n v="319.2386709719507"/>
        <n v="295.98860121802386"/>
        <n v="61.33977377379182"/>
        <n v="58.66043674442994"/>
        <n v="320.3329750523227"/>
        <n v="319.78179682430147"/>
        <n v="336.1340046304086"/>
        <n v="320.2083292414322"/>
        <n v="328.6272341609642"/>
        <n v="242.30956272636146"/>
        <n v="236.0791935027304"/>
        <n v="216.7869357811151"/>
        <n v="220.28547054432744"/>
        <n v="216.60360644835163"/>
        <n v="308.9342050442223"/>
        <n v="320.2345503686874"/>
        <n v="61.18080426592983"/>
        <n v="58.508411065388124"/>
        <n v="182.3224353981018"/>
        <n v="119.55569534301758"/>
        <n v="50.52377702236175"/>
        <n v="71.38854500770569"/>
        <n v="43.971205258369444"/>
        <n v="95.5002760887146"/>
        <n v="206.82374715805054"/>
        <n v="170.96906065940857"/>
        <n v="190.66388845443723"/>
        <n v="182.80840158462524"/>
        <n v="62.82421875476837"/>
        <n v="176.74845457077026"/>
        <n v="901.6976714134215"/>
        <n v="125.85612177848816"/>
        <n v="35.34709453582764"/>
        <n v="27.589775848388673"/>
        <n v="37.59411573410034"/>
        <n v="45.44960260391235"/>
        <n v="49.948990025520324"/>
        <n v="30.860841274261475"/>
        <n v="26.390195264091176"/>
        <n v="218.1154328686135"/>
        <n v="236.23973609798864"/>
        <n v="236.02251081537813"/>
        <n v="248.4735898195134"/>
        <n v="320.8054135333235"/>
        <n v="315.64095103942986"/>
        <n v="351.90138426138486"/>
        <n v="296.3573961137872"/>
        <n v="328.54677208475346"/>
        <n v="333.26516471124563"/>
        <n v="246.5381049133658"/>
        <n v="257.5258483399199"/>
        <n v="60.628627930675414"/>
        <n v="57.98035393388625"/>
        <n v="126.7980115032196"/>
        <n v="119066.73669815063"/>
        <n v="246.17873641014097"/>
        <n v="2994.8044939041138"/>
        <n v="1762.4470310211184"/>
        <n v="111878.00199508667"/>
        <n v="694.6138867378235"/>
        <n v="623.2315063476562"/>
        <n v="1042.0874239397049"/>
        <n v="119353.10217857361"/>
        <n v="61493.7544108963"/>
        <n v="58565.42258815765"/>
        <n v="4880.472113456726"/>
        <n v="238.09261756896973"/>
        <n v="29.011412105560304"/>
        <n v="295.940680809021"/>
        <n v="29.55280683517456"/>
        <n v="371.15527080059053"/>
        <n v="88.17330339431763"/>
        <n v="43.66012468338013"/>
        <n v="69.03204005241393"/>
        <n v="265.2835132598877"/>
        <n v="83.17307739257812"/>
        <n v="8352.853446350098"/>
        <n v="785.5327491474152"/>
        <n v="1874.1837203979492"/>
        <n v="34633.337446689606"/>
        <n v="273686.3090143204"/>
        <n v="617930.7768344879"/>
        <n v="747.2040942955017"/>
        <n v="2087.640963215828"/>
        <n v="3552.7595306396483"/>
        <n v="3718.5792745018007"/>
        <n v="3210.692952690124"/>
        <n v="3980.748887996674"/>
        <n v="947.0555318669128"/>
        <n v="5383.0128921890255"/>
        <n v="1502.3278747558595"/>
        <n v="1474.041386756897"/>
        <n v="1584.4443960380554"/>
        <n v="1344.404016342163"/>
        <n v="1509.4385700988769"/>
        <n v="1473.6697169113158"/>
        <n v="27795.31955718994"/>
        <n v="808.6206722946167"/>
        <n v="12412.222310819625"/>
        <n v="13173.009710998535"/>
        <n v="12791.628422775268"/>
        <n v="14487.754412794113"/>
        <n v="11394.907147979735"/>
        <n v="5133.295206460953"/>
        <n v="13549.250902175903"/>
        <n v="14979.256477041245"/>
        <n v="12605.423789978027"/>
        <n v="13140.548956561088"/>
        <n v="15848.224748253822"/>
        <n v="9512.149941329955"/>
        <n v="1364.990313720703"/>
        <n v="487.42369537353517"/>
        <n v="276.3748443603516"/>
        <n v="27.76213073730469"/>
        <n v="219.43414764404295"/>
        <n v="231.16223144531247"/>
        <n v="96.31759643554688"/>
        <n v="46.79902038574219"/>
        <n v="64.47613220214845"/>
        <n v="110.87855072021485"/>
        <n v="57.33729858398437"/>
        <n v="214.1083511352539"/>
        <n v="378.98141326904295"/>
        <n v="15.410815429687501"/>
        <n v="233.1452407836914"/>
        <n v="17101.940231323242"/>
        <n v="649701.8481445312"/>
        <n v="21043.134675621986"/>
        <n v="34030.969014167786"/>
        <n v="1394.1733515501023"/>
        <n v="1989.948914527893"/>
        <n v="1234.1226205825806"/>
        <n v="1021.9284614562988"/>
        <n v="1599.7059309959413"/>
        <n v="158.42825174331665"/>
        <n v="134.17537689208984"/>
        <n v="833.1141543388367"/>
        <n v="2756.7364522159733"/>
        <n v="430.3669433355331"/>
        <n v="403.54687811136245"/>
        <n v="413.50943405628203"/>
        <n v="410.0497456455231"/>
        <n v="1005.1968107986451"/>
        <n v="178.95803998947144"/>
        <n v="573.8349723815918"/>
        <n v="99.53907257080078"/>
        <n v="43.060407619476315"/>
        <n v="113.81121900558472"/>
        <n v="390.8882090091705"/>
        <n v="225.59597332477568"/>
        <n v="1104.0176180171966"/>
        <n v="1716.2849391315372"/>
        <n v="747.3561152112474"/>
        <n v="756.6660281470271"/>
        <n v="504.4440187646847"/>
        <n v="1531.0600505828857"/>
        <n v="1197.4884577444666"/>
        <n v="2793.0473448228836"/>
        <n v="1732.5283175106047"/>
        <n v="255.61794284700986"/>
        <n v="511.2358856940197"/>
        <n v="2787.3380002975464"/>
        <n v="1579.3898800373076"/>
        <n v="875.2973225879668"/>
        <n v="1826.2894992160795"/>
        <n v="1225.9178136653836"/>
        <n v="612.9589068326918"/>
        <n v="787.5129776994434"/>
        <n v="474.2302325694988"/>
        <n v="511.96720538893817"/>
        <n v="512.5402343699265"/>
        <n v="464.40337302063983"/>
        <n v="7232.868047786713"/>
        <n v="3376.64993897295"/>
        <n v="2193.834891155243"/>
        <n v="49.26522362709045"/>
        <n v="117.63711193084717"/>
        <n v="2494.5484924316406"/>
        <n v="717.8292911089003"/>
        <n v="1531.0736601262863"/>
        <n v="1207704.8468608856"/>
        <n v="3173.749523162842"/>
        <n v="50435.70001602173"/>
        <n v="278555.5068192482"/>
        <n v="7483.729537954331"/>
        <n v="14575.399160385132"/>
        <n v="36.12428122722688"/>
        <n v="348.0707002978378"/>
        <n v="347.8982493411941"/>
        <n v="306.35912507799094"/>
        <n v="348.69583501727226"/>
        <n v="256.4246211165783"/>
        <n v="235.21752597914963"/>
        <n v="251.4646408448047"/>
        <n v="256.1384684086383"/>
        <n v="255.39129189349543"/>
        <n v="340.7630909958043"/>
        <n v="346.99288181683244"/>
        <n v="305.71243398950975"/>
        <n v="60.58755243354056"/>
        <n v="348.18232332551975"/>
        <n v="347.5832263516052"/>
        <n v="347.1766962624028"/>
        <n v="346.21386184006195"/>
        <n v="252.9428165407935"/>
        <n v="256.60362336774546"/>
        <n v="223.90883136055217"/>
        <n v="227.52230016799027"/>
        <n v="223.71947928310678"/>
        <n v="319.08332745934257"/>
        <n v="348.07534172296965"/>
        <n v="60.4305323990611"/>
        <n v="225.28097230279056"/>
        <n v="256.77812333547615"/>
        <n v="256.5420127584367"/>
        <n v="256.6364569893745"/>
        <n v="343.08238061234346"/>
        <n v="347.5859504959856"/>
        <n v="306.0933445541827"/>
        <n v="348.6104592847248"/>
        <n v="344.21360906646197"/>
        <n v="254.63738743340707"/>
        <n v="268.82683736554776"/>
        <n v="59.88512750747865"/>
        <n v="44.27885208441096"/>
        <n v="405.6956862822065"/>
        <n v="406.510285138028"/>
        <n v="396.12414972979377"/>
        <n v="345.84812661280415"/>
        <n v="389.14914702896357"/>
        <n v="331.3635407129233"/>
        <n v="314.8502489524258"/>
        <n v="314.7713292262328"/>
        <n v="315.04754826886"/>
        <n v="314.7121394311121"/>
        <n v="315.20538772188047"/>
        <n v="406.12844192456"/>
        <n v="75.12128821129666"/>
        <n v="72.91343618871599"/>
        <n v="396.41161276771896"/>
        <n v="406.53547319018435"/>
        <n v="406.1784604806381"/>
        <n v="406.68847863785805"/>
        <n v="405.9489523097622"/>
        <n v="405.8724495859254"/>
        <n v="314.9286837196636"/>
        <n v="314.8100962896888"/>
        <n v="276.60517940596105"/>
        <n v="315.1065648639912"/>
        <n v="300.5993693168343"/>
        <n v="73.34421085452428"/>
        <n v="406.66248218645006"/>
        <n v="405.83059575662605"/>
        <n v="356.2033708958664"/>
        <n v="406.63648573567673"/>
        <n v="403.49091517115954"/>
        <n v="308.8384161976044"/>
        <n v="314.50018517962667"/>
        <n v="314.9233067047251"/>
        <n v="200.3984138507039"/>
        <n v="406.58449283413"/>
        <n v="299.95286416609497"/>
        <n v="71.249814323296"/>
        <n v="2433.8205290436745"/>
        <n v="119.9069200539589"/>
        <n v="168.83892538547516"/>
        <n v="1519.5249439287186"/>
        <n v="651.4616042900085"/>
        <n v="30319.954105453493"/>
        <n v="673.9593310594558"/>
        <n v="545.0783099126816"/>
        <n v="1712.888165283203"/>
        <n v="2665.4384039354327"/>
        <n v="3755.7614617013933"/>
        <n v="3337.4794344902043"/>
        <n v="3372.097934036255"/>
        <n v="1176.8385611629487"/>
        <n v="1195.1629288482666"/>
        <n v="303216.3562774658"/>
        <n v="60.34382431030273"/>
        <n v="37.68554008483887"/>
        <n v="236.3965429210663"/>
        <n v="253.23274131774903"/>
        <n v="67.32915027618408"/>
        <n v="124.97276454925536"/>
        <n v="160.95599830627444"/>
        <n v="489.26631870269773"/>
        <n v="725.6520973968506"/>
        <n v="168.58702667236327"/>
        <n v="262.9769775390625"/>
        <n v="18.6079691696167"/>
        <n v="68.51523435115814"/>
        <n v="74.56708788871765"/>
        <n v="665.5599020290375"/>
        <n v="260.4828685092926"/>
        <n v="411.96606867313386"/>
        <n v="282.9241847419739"/>
        <n v="240.0074081611633"/>
        <n v="26.00663363456726"/>
        <n v="2733.5829191207886"/>
        <n v="4845.017973899841"/>
        <n v="12258.559122047425"/>
        <n v="367221.4543102455"/>
        <n v="768.4212098121643"/>
        <n v="27504.165269851685"/>
        <n v="814.6346899414062"/>
        <n v="36165.913986206055"/>
        <n v="608390.9068908691"/>
        <n v="921.0740061950684"/>
        <n v="1167.3493827819825"/>
        <n v="416.9470809936524"/>
        <n v="959.0658363342285"/>
        <n v="137.51760646820068"/>
        <n v="277.9305726623535"/>
        <n v="508.14933800697327"/>
        <n v="194.83466092586517"/>
        <n v="91.53371421813965"/>
        <n v="43.63509595870971"/>
        <n v="82.313754196167"/>
        <n v="31.45030807495117"/>
        <n v="13890.586881103516"/>
        <n v="291.81173469543455"/>
        <n v="32802.773766174316"/>
        <n v="7993.809693369866"/>
        <n v="9870.940421524047"/>
        <n v="14594.223496780396"/>
        <n v="16608.64045237541"/>
        <n v="2399.0533215332034"/>
        <n v="8106.847799420357"/>
        <n v="9142.729589233399"/>
        <n v="9556.591006774903"/>
        <n v="9410.068316688537"/>
        <n v="9425.941134095192"/>
        <n v="130.03150820732117"/>
        <n v="23419.600199103355"/>
        <n v="22024.57514822483"/>
        <n v="11628.801881828307"/>
        <n v="24.61308952331543"/>
        <n v="58.45490520954132"/>
        <n v="22.857149848937986"/>
        <n v="1221.812460231495"/>
        <n v="1128.2026558962345"/>
        <n v="1212.7261052247047"/>
        <n v="1028.9798485615254"/>
        <n v="1043.5303492248058"/>
        <n v="1026.5575593688488"/>
        <n v="970.4869534714221"/>
        <n v="2036.6274046230315"/>
        <n v="40419.7925163269"/>
        <n v="102623.10769371034"/>
        <n v="16559.116587381362"/>
        <n v="61876.03033441543"/>
        <n v="80.76801127433777"/>
        <n v="145.44068311691282"/>
        <n v="384.28621538639067"/>
        <n v="79.98957113742829"/>
        <n v="397.9033442211151"/>
        <n v="299.248709115982"/>
        <n v="24.560752687454222"/>
        <n v="53.74275939464569"/>
        <n v="34.375478420257565"/>
        <n v="250.5867048072815"/>
        <n v="375.68855036735533"/>
        <n v="47.467542819976806"/>
        <n v="39.73945391178132"/>
        <n v="24.5128759765625"/>
        <n v="80.25047059059143"/>
        <n v="169.86657024383544"/>
        <n v="37037.55448737144"/>
        <n v="57131.04780464172"/>
        <n v="233490.75317382812"/>
        <n v="7367.688186645508"/>
        <n v="6416.17395401001"/>
        <n v="154140.94094276428"/>
        <n v="27674.000820159912"/>
        <n v="26932.81600828171"/>
        <n v="44887.573311853404"/>
        <n v="133.94088695526125"/>
        <n v="86.24727828979492"/>
        <n v="19.335816745758056"/>
        <n v="223.69207518577576"/>
        <n v="198.40894889831543"/>
        <n v="89.97316858291626"/>
        <n v="506.0522922706604"/>
        <n v="372.12591311931607"/>
        <n v="19.66441404819488"/>
        <n v="42.015082902908325"/>
        <n v="33.760139808654785"/>
        <n v="116.4853678894043"/>
        <n v="1771.009192428589"/>
        <n v="227.58952306747435"/>
        <n v="414.12247579574586"/>
        <n v="4550.376756649017"/>
        <n v="676.3549875619752"/>
        <n v="450.90332504117134"/>
        <n v="506.06116775606006"/>
        <n v="470.0969362564087"/>
        <n v="489.59742070007326"/>
        <n v="513.5914793872834"/>
        <n v="460.3736902751923"/>
        <n v="492.1006221146584"/>
        <n v="1334.028511993045"/>
        <n v="1082.1679800994223"/>
        <n v="376.0802392959595"/>
        <n v="356.53022187948227"/>
        <n v="366.0929186344147"/>
        <n v="226.81183066213228"/>
        <n v="453.6236613247036"/>
        <n v="482.41891151586117"/>
        <n v="3910.912767124176"/>
        <n v="1088.6967871799034"/>
        <n v="544.3483935901713"/>
        <n v="5289.78950548172"/>
        <n v="3535.717117819786"/>
        <n v="1597.6256662893295"/>
        <n v="1573.6878033590317"/>
        <n v="698.2334399604797"/>
        <n v="231.60217222110813"/>
        <n v="712.9933276964665"/>
        <n v="2084.653005404568"/>
        <n v="2205.2827358452796"/>
        <n v="700.3747016928672"/>
        <n v="632.3404312133263"/>
        <n v="1457.456163138276"/>
        <n v="2342.9772177151954"/>
        <n v="1417.8549860767491"/>
        <n v="3584.6483806321535"/>
        <n v="1771.483211359047"/>
        <n v="2806.3016046762464"/>
        <n v="59916.11602787018"/>
        <n v="119.08671884536743"/>
        <n v="17.688770685195923"/>
        <n v="52.761783857345584"/>
        <n v="18.71292743682861"/>
        <n v="103.6330950164795"/>
        <n v="125.28649878501892"/>
        <n v="265.0181608200073"/>
        <n v="421.5797212600708"/>
        <n v="120.65429391860961"/>
        <n v="396.5269445323944"/>
        <n v="285.73954381942747"/>
        <n v="685.814094543457"/>
        <n v="32238.917142748833"/>
        <n v="37447.83257198334"/>
        <n v="2056.3164737701413"/>
        <n v="3508.7174101352693"/>
        <n v="4693.370540595055"/>
        <n v="3363.980155334473"/>
        <n v="3690.7141482353213"/>
        <n v="327.00897766113286"/>
        <n v="327.03285150527955"/>
        <n v="39.69510208676369"/>
        <n v="268.13023015162327"/>
        <n v="269.7542599010224"/>
        <n v="274.97928931005123"/>
        <n v="293.3441869466613"/>
        <n v="379.3174754610827"/>
        <n v="361.12124986663883"/>
        <n v="78.01774264771711"/>
        <n v="336.21478517246874"/>
        <n v="325.86480597730025"/>
        <n v="310.36479966205275"/>
        <n v="308.3467713219737"/>
        <n v="61.67423499510711"/>
        <n v="60.83707208091747"/>
        <n v="69.90851693445269"/>
        <n v="293.3624428334063"/>
        <n v="329.7913803030132"/>
        <n v="327.132677341582"/>
        <n v="357.31114059240724"/>
        <n v="337.08235432028306"/>
        <n v="380.7312705583479"/>
        <n v="338.08793789047036"/>
        <n v="359.9192511074139"/>
        <n v="272.71462608803665"/>
        <n v="61.868034391242865"/>
        <n v="61.028240853953484"/>
        <n v="70.12819097447472"/>
        <n v="267.0267534747047"/>
        <n v="273.79935845167756"/>
        <n v="274.19293472920134"/>
        <n v="336.9340745190456"/>
        <n v="381.3304780471486"/>
        <n v="337.93862501688454"/>
        <n v="360.3950587025075"/>
        <n v="61.81740677984269"/>
        <n v="60.978300459163314"/>
        <n v="70.07080394358248"/>
        <n v="293.02686849533416"/>
        <n v="309.96233785919554"/>
        <n v="27.95673619832305"/>
        <n v="27.57725288979274"/>
        <n v="31.689310229912795"/>
        <n v="31.660794734954834"/>
        <n v="54.507908773422244"/>
        <n v="72.99096732139587"/>
        <n v="28.429001688957214"/>
        <n v="42.52814860343933"/>
        <n v="127.7983700990677"/>
        <n v="32.773201036453244"/>
        <n v="106.93273365497589"/>
        <n v="370.57802839279174"/>
        <n v="115.22412986755371"/>
        <n v="39.69463148117065"/>
        <n v="96.54277184486388"/>
        <n v="440.258055343628"/>
        <n v="511.4879657745361"/>
        <n v="150.97773857116698"/>
        <n v="1334.9731315135955"/>
        <n v="476.7944547653198"/>
        <n v="20753.577386598587"/>
        <n v="13327.442047977447"/>
        <n v="13329.195802302362"/>
        <n v="20184.4598595953"/>
        <n v="19516.493583917618"/>
        <n v="4061.265699419975"/>
        <n v="13173.754471149445"/>
        <n v="16157.776244859695"/>
        <n v="13455.111642198563"/>
        <n v="13900.951698846817"/>
        <n v="14814.304620838166"/>
        <n v="12913.921193761826"/>
        <n v="124.04068973064422"/>
        <n v="745.8221252632142"/>
        <n v="1394.7632499933243"/>
        <n v="1297.5582372546196"/>
        <n v="1183.4462834000587"/>
        <n v="1218.4648303556442"/>
        <n v="1272.9111731529235"/>
        <n v="228.89717864990234"/>
        <n v="299.96952199935913"/>
        <n v="308.845714302063"/>
        <n v="65.52924484014511"/>
        <n v="57.08989178180695"/>
        <n v="172.84923820495604"/>
        <n v="29.379274725914"/>
        <n v="108.72707331180573"/>
        <n v="23.756825923919678"/>
        <n v="56.928479003906254"/>
        <n v="163.96217831611634"/>
        <n v="95.29734995365143"/>
        <n v="375.5954178571701"/>
        <n v="338.8119323849678"/>
        <n v="663.0352394104003"/>
        <n v="19765.995926380157"/>
        <n v="17051.46180689335"/>
        <n v="5503.454518318176"/>
        <n v="20744.530313072202"/>
        <n v="1408.1916107225418"/>
        <n v="1381.4686079263686"/>
        <n v="1173.403626394272"/>
        <n v="709.2942222118378"/>
        <n v="1126.4511624526979"/>
        <n v="652.7041130065918"/>
        <n v="1091.0054498434067"/>
        <n v="1207.8528079986575"/>
        <n v="1747.5760736465454"/>
        <n v="1783.675331540108"/>
        <n v="1123.387378692627"/>
        <n v="643.8240685462952"/>
        <n v="1564.4020299339295"/>
        <n v="1126.3660573482514"/>
        <n v="1103.543553352356"/>
        <n v="76.19040064811706"/>
        <n v="964.7931660692198"/>
        <n v="227.74931502650034"/>
        <n v="1320.8548593521118"/>
        <n v="685.0960907936096"/>
        <n v="116.19100427627563"/>
        <n v="89.48403253555297"/>
        <n v="107.73816701889038"/>
        <n v="27.83346960067749"/>
        <n v="92.49338674545288"/>
        <n v="22.240140781402587"/>
        <n v="73.55671312332153"/>
        <n v="69.83471975326538"/>
        <n v="82.75724077224731"/>
        <n v="20020.048971176147"/>
        <n v="686.7459125518799"/>
        <n v="19124.468044281006"/>
        <n v="222.10518374443055"/>
        <n v="756.7640733718872"/>
        <n v="210.74330511093137"/>
        <n v="396.8807140350342"/>
        <n v="160.02236247062683"/>
        <n v="137.95456882476807"/>
        <n v="15.179536676406862"/>
        <n v="30.934391069412232"/>
        <n v="244.77556080818178"/>
        <n v="210.45288467407227"/>
        <n v="2528.5113033502003"/>
        <n v="408.90544143524176"/>
        <n v="390.0111807167053"/>
        <n v="412.36861111602786"/>
        <n v="1447.1897491033892"/>
        <n v="2040.1355490836781"/>
        <n v="913.7607439994812"/>
        <n v="325.5166444206238"/>
        <n v="239.63881409843862"/>
        <n v="253.2583393459333"/>
        <n v="125.62411016486406"/>
        <n v="119.81940704900938"/>
        <n v="524.6565437440872"/>
        <n v="516.9675310900211"/>
        <n v="500.41378118658065"/>
        <n v="531.0452517132759"/>
        <n v="2987.347339701653"/>
        <n v="2840.686170768738"/>
        <n v="2079.2932693958282"/>
        <n v="2288.7584620348694"/>
        <n v="1535.7470199802744"/>
        <n v="62.38697902191128"/>
        <n v="311.1300284823169"/>
        <n v="291.21981514811205"/>
        <n v="290.4488508196784"/>
        <n v="290.2840311692479"/>
        <n v="292.6101360208996"/>
        <n v="351.56987945504136"/>
        <n v="351.54771097776273"/>
        <n v="355.32794814714777"/>
        <n v="354.969664357677"/>
        <n v="355.8205883574601"/>
        <n v="99.15312801476823"/>
        <n v="290.5950526845572"/>
        <n v="293.31260575678004"/>
        <n v="353.19228126908365"/>
        <n v="360.63296564059476"/>
        <n v="352.25710224735604"/>
        <n v="351.7468419277842"/>
        <n v="376.60236019865016"/>
        <n v="351.414063458679"/>
        <n v="354.67769567522186"/>
        <n v="99.43710729087952"/>
        <n v="290.3935684485827"/>
        <n v="290.3569211026426"/>
        <n v="293.70141445564366"/>
        <n v="351.81348143965613"/>
        <n v="377.2445255724591"/>
        <n v="360.0425458240771"/>
        <n v="351.7025762380429"/>
        <n v="99.22249029720562"/>
        <n v="297.7526303519131"/>
        <n v="293.91879083207766"/>
        <n v="126.78191970208765"/>
        <n v="132.67915720595636"/>
        <n v="124.78689224419827"/>
        <n v="123.74606090404318"/>
        <n v="121.43435191138765"/>
        <n v="122.43773081900017"/>
        <n v="64.19475407614287"/>
        <n v="28631.33387989998"/>
        <n v="6353.609275817871"/>
        <n v="20098.679340958595"/>
        <n v="361.79489507905515"/>
        <n v="1045.7036088151976"/>
        <n v="272.318648128539"/>
        <n v="249.22459055900575"/>
        <n v="259.5908761739731"/>
        <n v="176.5304705142975"/>
        <n v="766.302026181221"/>
        <n v="19.127465305328368"/>
        <n v="24.027218961715697"/>
        <n v="76.46762150287628"/>
        <n v="68.87724500656128"/>
        <n v="48.233078956604004"/>
        <n v="46.36635699748993"/>
        <n v="72.31227948188781"/>
        <n v="41.881418800354005"/>
        <n v="133.46050559520722"/>
        <n v="202.29437702178956"/>
        <n v="106.52551242828369"/>
        <n v="226.4275095462799"/>
        <n v="731.9891802883147"/>
        <n v="516.1662093639374"/>
        <n v="334.3830298900604"/>
        <n v="137.3304135322571"/>
        <n v="170.28467499732972"/>
        <n v="307969.27239990234"/>
        <n v="26896.22617006302"/>
        <n v="129.65762662410737"/>
        <n v="20.992812709808348"/>
        <n v="47.29521353244782"/>
        <n v="111.91321234703064"/>
        <n v="80.24045468330382"/>
        <n v="29.967033314704896"/>
        <n v="196.93321168899536"/>
        <n v="51.531140742301936"/>
        <n v="156.87710169792174"/>
        <n v="220.54987817287446"/>
        <n v="142.44599223136902"/>
        <n v="200.37996841907503"/>
        <n v="316.583760266304"/>
        <n v="304.5486162614822"/>
        <n v="367.015762925148"/>
        <n v="499.7371733093262"/>
        <n v="7851.286305599212"/>
        <n v="288.8041719388962"/>
        <n v="306.13072749137876"/>
        <n v="3175.943646798134"/>
        <n v="91769.0397950077"/>
        <n v="5365.811732940673"/>
        <n v="111.5913779296875"/>
        <n v="2451.344158935547"/>
        <n v="5569.262048339843"/>
        <n v="3898.4930664062504"/>
        <n v="4399.723760986328"/>
        <n v="389.8300415039062"/>
        <n v="24029.411982345584"/>
        <n v="72.72589111328125"/>
        <n v="80.04664306640626"/>
        <n v="48.54814453125"/>
        <n v="55.2909423828125"/>
        <n v="37.326202392578125"/>
        <n v="169.72585449218752"/>
        <n v="45.61021118164063"/>
        <n v="118.62507934570311"/>
        <n v="46.477142333984375"/>
        <n v="1561.0058654785157"/>
        <n v="180.08500623703003"/>
        <n v="298.994921875"/>
        <n v="683.4200883388519"/>
        <n v="181.52575073242187"/>
        <n v="153.26808423519134"/>
        <n v="116.89121704101562"/>
        <n v="404.6641967773437"/>
        <n v="1522.764569091797"/>
        <n v="544.7699035644531"/>
      </sharedItems>
    </cacheField>
    <cacheField name="Category" numFmtId="0">
      <sharedItems containsBlank="1">
        <m/>
        <s v="Outreach"/>
        <s v="Development"/>
      </sharedItems>
    </cacheField>
    <cacheField name="Subcategory" numFmtId="0">
      <sharedItems containsBlank="1">
        <m/>
        <s v="Events/Conference Attendance &amp; Side Events"/>
        <s v="Advertising/Influencers"/>
        <s v="Advertising/Digital Ads"/>
        <s v="Advertising/Physical Ads"/>
        <s v="Advertising"/>
        <s v="Advertising/Sponsorships"/>
        <s v="PR"/>
        <s v="Polkadot Protocol &amp; SDK"/>
        <s v="Advertising/Platform Integrations"/>
        <s v="Media"/>
      </sharedItems>
    </cacheField>
    <cacheField name="inherited Category" numFmtId="0">
      <sharedItems containsBlank="1">
        <s v="Research"/>
        <m/>
        <s v="Outreach"/>
        <s v="Development"/>
        <s v="Operations"/>
      </sharedItems>
    </cacheField>
    <cacheField name="inherited Subcategory" numFmtId="0">
      <sharedItems containsBlank="1">
        <s v="Anti-Scam"/>
        <m/>
        <s v="Events/Meetups"/>
        <s v="Smart Contracts"/>
        <s v="Community Building"/>
        <s v="Ecosystem Services"/>
        <s v="Advertising"/>
        <s v="RPCs and Nodes"/>
        <s v="Protocol Subsidies"/>
        <s v="Infrastructure"/>
        <s v="Games"/>
        <s v="Media"/>
        <s v="Other"/>
        <s v="Software Development"/>
        <s v="Business Development"/>
      </sharedItems>
    </cacheField>
    <cacheField name="evaluated Category" numFmtId="0">
      <sharedItems containsBlank="1">
        <s v="Research"/>
        <m/>
        <s v="Outreach"/>
        <s v="Development"/>
        <s v="Operations"/>
      </sharedItems>
    </cacheField>
    <cacheField name="evaluated Subcategory" numFmtId="0">
      <sharedItems containsBlank="1">
        <s v="Anti-Scam"/>
        <m/>
        <s v="Events/Meetups"/>
        <s v="Events/Conference Attendance &amp; Side Events"/>
        <s v="Smart Contracts"/>
        <s v="Community Building"/>
        <s v="Ecosystem Services"/>
        <s v="Advertising/Influencers"/>
        <s v="RPCs and Nodes"/>
        <s v="Advertising/Digital Ads"/>
        <s v="Advertising/Physical Ads"/>
        <s v="Protocol Subsidies"/>
        <s v="Advertising"/>
        <s v="Advertising/Sponsorships"/>
        <s v="Infrastructure"/>
        <s v="Games"/>
        <s v="Media"/>
        <s v="Other"/>
        <s v="Software Development"/>
        <s v="PR"/>
        <s v="Polkadot Protocol &amp; SDK"/>
        <s v="Advertising/Platform Integrations"/>
        <s v="Business Development"/>
      </sharedItems>
    </cacheField>
    <cacheField name="year" numFmtId="3">
      <sharedItems>
        <s v="2022"/>
        <s v="2023"/>
        <s v="2024"/>
      </sharedItems>
    </cacheField>
    <cacheField name="month" numFmtId="3">
      <sharedItems containsSemiMixedTypes="0" containsString="0" containsNumber="1" containsInteger="1">
        <n v="5.0"/>
        <n v="3.0"/>
        <n v="6.0"/>
        <n v="7.0"/>
        <n v="8.0"/>
        <n v="9.0"/>
        <n v="10.0"/>
        <n v="11.0"/>
        <n v="12.0"/>
        <n v="1.0"/>
        <n v="2.0"/>
        <n v="4.0"/>
      </sharedItems>
    </cacheField>
    <cacheField name="quarter" numFmtId="3">
      <sharedItems>
        <s v="2022-Q2"/>
        <s v="2023-Q1"/>
        <s v="2022-Q3"/>
        <s v="2022-Q4"/>
        <s v="2023-Q2"/>
        <s v="2023-Q3"/>
        <s v="2023-Q4"/>
        <s v="2024-Q1"/>
        <s v="2024-Q3"/>
        <s v="2024-Q2"/>
      </sharedItems>
    </cacheField>
    <cacheField name="year-month" numFmtId="3">
      <sharedItems>
        <s v="2022-05"/>
        <s v="2023-03"/>
        <s v="2022-06"/>
        <s v="2022-07"/>
        <s v="2022-08"/>
        <s v="2022-09"/>
        <s v="2022-10"/>
        <s v="2022-11"/>
        <s v="2022-12"/>
        <s v="2023-06"/>
        <s v="2023-01"/>
        <s v="2023-08"/>
        <s v="2023-02"/>
        <s v="2023-04"/>
        <s v="2023-05"/>
        <s v="2023-07"/>
        <s v="2023-11"/>
        <s v="2023-09"/>
        <s v="2023-10"/>
        <s v="2023-12"/>
        <s v="2024-01"/>
        <s v="2024-02"/>
        <s v="2024-03"/>
        <s v="2024-09"/>
        <s v="2024-04"/>
        <s v="2024-05"/>
        <s v="2024-06"/>
        <s v="2024-08"/>
        <s v="2024-07"/>
      </sharedItems>
    </cacheField>
    <cacheField name="half-year" numFmtId="0">
      <sharedItems>
        <s v="2022-H1"/>
        <s v="2023-H1"/>
        <s v="2022-H2"/>
        <s v="2023-H2"/>
        <s v="2024-H1"/>
        <s v="2024-H2"/>
      </sharedItems>
    </cacheField>
    <cacheField name="bounty name" numFmtId="0">
      <sharedItems>
        <s v="Anti-Scam Bounty"/>
        <s v="Security Bug Bounty for Open Runtime Module Library (ORML)"/>
        <s v="Events Bounty"/>
        <s v="Polkadot Pioneers Bounty"/>
        <s v="Wasm Smart Contracts Bounty"/>
        <s v="Moderation Team Bounty"/>
        <s v="Polkadot Assurance Legion Bounty"/>
        <s v="Marketing Bounty"/>
        <s v="System Parachains Collator Bounty"/>
        <s v="Polkadot Parachain Assets Onramp Bounty"/>
        <s v="Paseo Testnet Bounty"/>
        <s v="Games Bounty"/>
        <s v="Public RPCs for Relay and System Chains"/>
        <s v="Spanish Bounty"/>
        <s v="Meetups Bounty"/>
        <s v="AMI Bounty Program"/>
        <s v="DeFi Infrastructure and Tooling Bounty"/>
        <s v="Infrastructure Builders Program"/>
        <s v="BD Bounty"/>
        <s v="BD Bounty in Spain &amp; Andorra"/>
      </sharedItems>
    </cacheField>
    <cacheField name="hide from income statement" numFmtId="0">
      <sharedItems containsBlank="1">
        <m/>
        <s v="x"/>
      </sharedItems>
    </cacheField>
    <cacheField name="NOTE" numFmtId="0">
      <sharedItems containsBlank="1">
        <m/>
        <s v="Treasury refund"/>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name="Parity Data" cacheId="0" dataCaption="" createdVersion="6" compact="0" compactData="0">
  <location ref="G13:O21" firstHeaderRow="0" firstDataRow="1" firstDataCol="1" rowPageCount="1" colPageCount="1"/>
  <pivotFields>
    <pivotField name="month" compact="0" numFmtId="170" outline="0" multipleItemSelectionAllowed="1" showAll="0">
      <items>
        <item x="0"/>
        <item x="1"/>
        <item x="2"/>
        <item x="3"/>
        <item x="4"/>
        <item x="5"/>
        <item x="6"/>
        <item x="7"/>
        <item x="8"/>
        <item x="9"/>
        <item x="10"/>
        <item x="11"/>
        <item x="12"/>
        <item x="13"/>
        <item x="14"/>
        <item x="15"/>
        <item t="default"/>
      </items>
    </pivotField>
    <pivotField name="flow_type" axis="axisCol" compact="0" outline="0" multipleItemSelectionAllowed="1" showAll="0" sortType="ascending">
      <items>
        <item x="9"/>
        <item x="10"/>
        <item x="0"/>
        <item x="1"/>
        <item x="4"/>
        <item x="7"/>
        <item x="8"/>
        <item x="5"/>
        <item x="3"/>
        <item x="2"/>
        <item x="11"/>
        <item x="6"/>
        <item t="default"/>
      </items>
    </pivotField>
    <pivotField name="amount"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t="default"/>
      </items>
    </pivotField>
    <pivotField name="amount_us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t="default"/>
      </items>
    </pivotField>
    <pivotField name="quarter" axis="axisRow" compact="0" outline="0" multipleItemSelectionAllowed="1" showAll="0" sortType="ascending">
      <items>
        <item x="5"/>
        <item x="4"/>
        <item x="3"/>
        <item x="2"/>
        <item x="1"/>
        <item x="0"/>
        <item t="default"/>
      </items>
    </pivotField>
  </pivotFields>
  <rowFields>
    <field x="4"/>
  </rowFields>
  <colFields>
    <field x="1"/>
  </colFields>
  <pageFields>
    <pageField fld="2"/>
  </pageFields>
  <dataFields>
    <dataField name="SUM of amount" fld="2" baseField="0"/>
  </dataFields>
  <filters>
    <filter fld="2" type="captionLessThan" evalOrder="-1" id="1" stringValue1="0">
      <autoFilter ref="A1">
        <filterColumn colId="0">
          <customFilters>
            <customFilter operator="lessThan" val="0"/>
          </customFilters>
        </filterColumn>
      </autoFilter>
    </filter>
  </filters>
</pivotTableDefinition>
</file>

<file path=xl/pivotTables/pivotTable2.xml><?xml version="1.0" encoding="utf-8"?>
<pivotTableDefinition xmlns="http://schemas.openxmlformats.org/spreadsheetml/2006/main" name="Parity Data 2" cacheId="0" dataCaption="" createdVersion="6" compact="0" compactData="0">
  <location ref="G27:N35" firstHeaderRow="0" firstDataRow="1" firstDataCol="1" rowPageCount="1" colPageCount="1"/>
  <pivotFields>
    <pivotField name="month" compact="0" numFmtId="170" outline="0" multipleItemSelectionAllowed="1" showAll="0">
      <items>
        <item x="0"/>
        <item x="1"/>
        <item x="2"/>
        <item x="3"/>
        <item x="4"/>
        <item x="5"/>
        <item x="6"/>
        <item x="7"/>
        <item x="8"/>
        <item x="9"/>
        <item x="10"/>
        <item x="11"/>
        <item x="12"/>
        <item x="13"/>
        <item x="14"/>
        <item x="15"/>
        <item t="default"/>
      </items>
    </pivotField>
    <pivotField name="flow_type" axis="axisCol" compact="0" outline="0" multipleItemSelectionAllowed="1" showAll="0" sortType="ascending">
      <items>
        <item x="9"/>
        <item x="10"/>
        <item x="0"/>
        <item x="1"/>
        <item x="4"/>
        <item x="7"/>
        <item x="8"/>
        <item x="5"/>
        <item x="3"/>
        <item x="2"/>
        <item x="11"/>
        <item x="6"/>
        <item t="default"/>
      </items>
    </pivotField>
    <pivotField name="amount" axis="axisPag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t="default"/>
      </items>
    </pivotField>
    <pivotField name="amount_usd"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t="default"/>
      </items>
    </pivotField>
    <pivotField name="quarter" axis="axisRow" compact="0" outline="0" multipleItemSelectionAllowed="1" showAll="0" sortType="ascending">
      <items>
        <item x="5"/>
        <item x="4"/>
        <item x="3"/>
        <item x="2"/>
        <item x="1"/>
        <item x="0"/>
        <item t="default"/>
      </items>
    </pivotField>
  </pivotFields>
  <rowFields>
    <field x="4"/>
  </rowFields>
  <colFields>
    <field x="1"/>
  </colFields>
  <pageFields>
    <pageField fld="2"/>
  </pageFields>
  <dataFields>
    <dataField name="SUM of amount_usd" fld="3" baseField="0"/>
  </dataFields>
  <filters>
    <filter fld="2" type="captionGreaterThan" evalOrder="-1" id="1" stringValue1="0">
      <autoFilter ref="A1">
        <filterColumn colId="0">
          <customFilters>
            <customFilter operator="greaterThan" val="0"/>
          </customFilters>
        </filterColumn>
      </autoFilter>
    </filter>
  </filters>
</pivotTableDefinition>
</file>

<file path=xl/pivotTables/pivotTable3.xml><?xml version="1.0" encoding="utf-8"?>
<pivotTableDefinition xmlns="http://schemas.openxmlformats.org/spreadsheetml/2006/main" name="Parity Data 3" cacheId="0" dataCaption="" createdVersion="6" compact="0" compactData="0">
  <location ref="G39:O47" firstHeaderRow="0" firstDataRow="1" firstDataCol="1" rowPageCount="1" colPageCount="1"/>
  <pivotFields>
    <pivotField name="month" compact="0" numFmtId="170" outline="0" multipleItemSelectionAllowed="1" showAll="0">
      <items>
        <item x="0"/>
        <item x="1"/>
        <item x="2"/>
        <item x="3"/>
        <item x="4"/>
        <item x="5"/>
        <item x="6"/>
        <item x="7"/>
        <item x="8"/>
        <item x="9"/>
        <item x="10"/>
        <item x="11"/>
        <item x="12"/>
        <item x="13"/>
        <item x="14"/>
        <item x="15"/>
        <item t="default"/>
      </items>
    </pivotField>
    <pivotField name="flow_type" axis="axisCol" compact="0" outline="0" multipleItemSelectionAllowed="1" showAll="0" sortType="ascending">
      <items>
        <item x="9"/>
        <item x="10"/>
        <item x="0"/>
        <item x="1"/>
        <item x="4"/>
        <item x="7"/>
        <item x="8"/>
        <item x="5"/>
        <item x="3"/>
        <item x="2"/>
        <item x="11"/>
        <item x="6"/>
        <item t="default"/>
      </items>
    </pivotField>
    <pivotField name="amount" axis="axisPag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t="default"/>
      </items>
    </pivotField>
    <pivotField name="amount_usd"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t="default"/>
      </items>
    </pivotField>
    <pivotField name="quarter" axis="axisRow" compact="0" outline="0" multipleItemSelectionAllowed="1" showAll="0" sortType="ascending">
      <items>
        <item x="5"/>
        <item x="4"/>
        <item x="3"/>
        <item x="2"/>
        <item x="1"/>
        <item x="0"/>
        <item t="default"/>
      </items>
    </pivotField>
  </pivotFields>
  <rowFields>
    <field x="4"/>
  </rowFields>
  <colFields>
    <field x="1"/>
  </colFields>
  <pageFields>
    <pageField fld="2"/>
  </pageFields>
  <dataFields>
    <dataField name="SUM of amount_usd" fld="3" baseField="0"/>
  </dataFields>
  <filters>
    <filter fld="2" type="captionLessThan" evalOrder="-1" id="1" stringValue1="0">
      <autoFilter ref="A1">
        <filterColumn colId="0">
          <customFilters>
            <customFilter operator="lessThan" val="0"/>
          </customFilters>
        </filterColumn>
      </autoFilter>
    </filter>
  </filters>
</pivotTableDefinition>
</file>

<file path=xl/pivotTables/pivotTable4.xml><?xml version="1.0" encoding="utf-8"?>
<pivotTableDefinition xmlns="http://schemas.openxmlformats.org/spreadsheetml/2006/main" name="Aggregated" cacheId="1" dataCaption="" rowGrandTotals="0" createdVersion="6" compact="0" compactData="0">
  <location ref="B6:I471" firstHeaderRow="0" firstDataRow="7" firstDataCol="0" rowPageCount="2" colPageCount="1"/>
  <pivotFields>
    <pivotField name="Ref" axis="axisRow" compact="0" outline="0" multipleItemSelectionAllowed="1" showAll="0" sortType="ascending" defaultSubtotal="0">
      <items>
        <item x="0"/>
        <item x="2"/>
        <item x="3"/>
        <item x="4"/>
        <item x="5"/>
        <item x="6"/>
        <item x="8"/>
        <item x="9"/>
        <item x="10"/>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2"/>
        <item x="94"/>
        <item x="95"/>
        <item x="96"/>
        <item x="97"/>
        <item x="98"/>
        <item x="99"/>
        <item x="100"/>
        <item x="101"/>
        <item x="102"/>
        <item x="103"/>
        <item x="104"/>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91"/>
        <item x="1074"/>
        <item x="1075"/>
        <item x="1076"/>
        <item x="1077"/>
        <item x="1078"/>
        <item x="1079"/>
        <item x="1080"/>
        <item x="1081"/>
        <item x="93"/>
        <item x="1082"/>
        <item x="1083"/>
        <item x="1084"/>
        <item x="1085"/>
        <item x="1086"/>
        <item x="1087"/>
        <item x="1088"/>
        <item x="1089"/>
        <item x="1090"/>
        <item x="1091"/>
        <item x="1092"/>
        <item x="1093"/>
        <item x="1094"/>
        <item x="1095"/>
        <item x="1096"/>
        <item x="1097"/>
        <item x="1098"/>
        <item x="1099"/>
        <item x="1100"/>
        <item x="1101"/>
        <item x="1102"/>
        <item x="105"/>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
        <item x="1133"/>
        <item x="1134"/>
        <item x="1135"/>
        <item x="1136"/>
        <item x="1137"/>
        <item x="1138"/>
        <item x="1139"/>
        <item x="1140"/>
        <item x="1141"/>
        <item x="1142"/>
        <item x="7"/>
        <item x="1143"/>
        <item x="1144"/>
        <item x="1145"/>
        <item x="1146"/>
        <item x="1147"/>
        <item x="1148"/>
        <item x="1149"/>
        <item x="11"/>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s>
    </pivotField>
    <pivotField name="Title" axis="axisRow" compact="0" outline="0" multipleItemSelectionAllowed="1" showAll="0" sortType="ascending">
      <items>
        <item x="414"/>
        <item x="226"/>
        <item x="773"/>
        <item x="318"/>
        <item x="769"/>
        <item x="404"/>
        <item x="647"/>
        <item x="241"/>
        <item x="518"/>
        <item x="895"/>
        <item x="345"/>
        <item x="359"/>
        <item x="845"/>
        <item x="591"/>
        <item x="937"/>
        <item x="794"/>
        <item x="1078"/>
        <item x="272"/>
        <item x="311"/>
        <item x="846"/>
        <item x="1024"/>
        <item x="1007"/>
        <item x="40"/>
        <item x="809"/>
        <item x="377"/>
        <item x="504"/>
        <item x="41"/>
        <item x="938"/>
        <item x="142"/>
        <item x="615"/>
        <item x="654"/>
        <item x="56"/>
        <item x="593"/>
        <item x="72"/>
        <item x="996"/>
        <item x="488"/>
        <item x="29"/>
        <item x="429"/>
        <item x="45"/>
        <item x="991"/>
        <item x="212"/>
        <item x="62"/>
        <item x="0"/>
        <item x="1065"/>
        <item x="208"/>
        <item x="350"/>
        <item x="105"/>
        <item x="746"/>
        <item x="1028"/>
        <item x="432"/>
        <item x="596"/>
        <item x="1053"/>
        <item x="207"/>
        <item x="248"/>
        <item x="250"/>
        <item x="22"/>
        <item x="1033"/>
        <item x="949"/>
        <item x="970"/>
        <item x="982"/>
        <item x="1011"/>
        <item x="1069"/>
        <item x="85"/>
        <item x="58"/>
        <item x="194"/>
        <item x="950"/>
        <item x="527"/>
        <item x="1063"/>
        <item x="934"/>
        <item x="1073"/>
        <item x="1037"/>
        <item x="831"/>
        <item x="112"/>
        <item x="124"/>
        <item x="21"/>
        <item x="209"/>
        <item x="264"/>
        <item x="4"/>
        <item x="54"/>
        <item x="61"/>
        <item x="904"/>
        <item x="1018"/>
        <item x="905"/>
        <item x="837"/>
        <item x="931"/>
        <item x="1047"/>
        <item x="742"/>
        <item x="814"/>
        <item x="908"/>
        <item x="1059"/>
        <item x="534"/>
        <item x="764"/>
        <item x="1031"/>
        <item x="609"/>
        <item x="682"/>
        <item x="763"/>
        <item x="818"/>
        <item x="307"/>
        <item x="309"/>
        <item x="627"/>
        <item x="202"/>
        <item x="758"/>
        <item x="512"/>
        <item x="838"/>
        <item x="1022"/>
        <item x="57"/>
        <item x="355"/>
        <item x="720"/>
        <item x="444"/>
        <item x="976"/>
        <item x="630"/>
        <item x="256"/>
        <item x="315"/>
        <item x="374"/>
        <item x="19"/>
        <item x="169"/>
        <item x="261"/>
        <item x="75"/>
        <item x="761"/>
        <item x="64"/>
        <item x="103"/>
        <item x="63"/>
        <item x="929"/>
        <item x="1081"/>
        <item x="253"/>
        <item x="270"/>
        <item x="282"/>
        <item x="223"/>
        <item x="947"/>
        <item x="15"/>
        <item x="69"/>
        <item x="68"/>
        <item x="162"/>
        <item x="724"/>
        <item x="257"/>
        <item x="954"/>
        <item x="130"/>
        <item x="319"/>
        <item x="251"/>
        <item x="1030"/>
        <item x="530"/>
        <item x="541"/>
        <item x="344"/>
        <item x="121"/>
        <item x="1082"/>
        <item x="163"/>
        <item x="419"/>
        <item x="492"/>
        <item x="491"/>
        <item x="602"/>
        <item x="385"/>
        <item x="50"/>
        <item x="660"/>
        <item x="1060"/>
        <item x="834"/>
        <item x="958"/>
        <item x="772"/>
        <item x="379"/>
        <item x="887"/>
        <item x="756"/>
        <item x="1002"/>
        <item x="348"/>
        <item x="782"/>
        <item x="536"/>
        <item x="453"/>
        <item x="744"/>
        <item x="745"/>
        <item x="960"/>
        <item x="400"/>
        <item x="180"/>
        <item x="454"/>
        <item x="405"/>
        <item x="455"/>
        <item x="551"/>
        <item x="354"/>
        <item x="494"/>
        <item x="786"/>
        <item x="198"/>
        <item x="255"/>
        <item x="313"/>
        <item x="1041"/>
        <item x="216"/>
        <item x="657"/>
        <item x="80"/>
        <item x="367"/>
        <item x="370"/>
        <item x="299"/>
        <item x="1010"/>
        <item x="498"/>
        <item x="334"/>
        <item x="1085"/>
        <item x="513"/>
        <item x="508"/>
        <item x="479"/>
        <item x="246"/>
        <item x="83"/>
        <item x="152"/>
        <item x="239"/>
        <item x="310"/>
        <item x="701"/>
        <item x="398"/>
        <item x="317"/>
        <item x="604"/>
        <item x="331"/>
        <item x="1005"/>
        <item x="870"/>
        <item x="869"/>
        <item x="737"/>
        <item x="132"/>
        <item x="336"/>
        <item x="236"/>
        <item x="242"/>
        <item x="262"/>
        <item x="738"/>
        <item x="78"/>
        <item x="1088"/>
        <item x="59"/>
        <item x="542"/>
        <item x="428"/>
        <item x="229"/>
        <item x="736"/>
        <item x="644"/>
        <item x="989"/>
        <item x="694"/>
        <item x="1066"/>
        <item x="381"/>
        <item x="424"/>
        <item x="268"/>
        <item x="1062"/>
        <item x="876"/>
        <item x="956"/>
        <item x="1017"/>
        <item x="696"/>
        <item x="171"/>
        <item x="371"/>
        <item x="109"/>
        <item x="456"/>
        <item x="1094"/>
        <item x="1058"/>
        <item x="281"/>
        <item x="1021"/>
        <item x="496"/>
        <item x="584"/>
        <item x="878"/>
        <item x="552"/>
        <item x="368"/>
        <item x="577"/>
        <item x="1015"/>
        <item x="320"/>
        <item x="1029"/>
        <item x="237"/>
        <item x="138"/>
        <item x="967"/>
        <item x="278"/>
        <item x="266"/>
        <item x="123"/>
        <item x="245"/>
        <item x="438"/>
        <item x="276"/>
        <item x="184"/>
        <item x="395"/>
        <item x="649"/>
        <item x="605"/>
        <item x="752"/>
        <item x="611"/>
        <item x="1025"/>
        <item x="55"/>
        <item x="302"/>
        <item x="275"/>
        <item x="915"/>
        <item x="966"/>
        <item x="437"/>
        <item x="254"/>
        <item x="280"/>
        <item x="688"/>
        <item x="788"/>
        <item x="535"/>
        <item x="464"/>
        <item x="82"/>
        <item x="987"/>
        <item x="734"/>
        <item x="325"/>
        <item x="1067"/>
        <item x="894"/>
        <item x="589"/>
        <item x="277"/>
        <item x="928"/>
        <item x="480"/>
        <item x="407"/>
        <item x="425"/>
        <item x="732"/>
        <item x="733"/>
        <item x="86"/>
        <item x="493"/>
        <item x="178"/>
        <item x="858"/>
        <item x="321"/>
        <item x="436"/>
        <item x="722"/>
        <item x="193"/>
        <item x="599"/>
        <item x="748"/>
        <item x="725"/>
        <item x="917"/>
        <item x="1009"/>
        <item x="174"/>
        <item x="1046"/>
        <item x="547"/>
        <item x="1040"/>
        <item x="295"/>
        <item x="260"/>
        <item x="855"/>
        <item x="972"/>
        <item x="754"/>
        <item x="925"/>
        <item x="892"/>
        <item x="196"/>
        <item x="1072"/>
        <item x="294"/>
        <item x="135"/>
        <item x="659"/>
        <item x="188"/>
        <item x="698"/>
        <item x="829"/>
        <item x="648"/>
        <item x="17"/>
        <item x="409"/>
        <item x="187"/>
        <item x="412"/>
        <item x="210"/>
        <item x="36"/>
        <item x="131"/>
        <item x="230"/>
        <item x="963"/>
        <item x="510"/>
        <item x="566"/>
        <item x="383"/>
        <item x="762"/>
        <item x="390"/>
        <item x="849"/>
        <item x="673"/>
        <item x="461"/>
        <item x="727"/>
        <item x="233"/>
        <item x="877"/>
        <item x="369"/>
        <item x="503"/>
        <item x="697"/>
        <item x="1080"/>
        <item x="182"/>
        <item x="1048"/>
        <item x="923"/>
        <item x="1026"/>
        <item x="340"/>
        <item x="378"/>
        <item x="73"/>
        <item x="12"/>
        <item x="795"/>
        <item x="965"/>
        <item x="463"/>
        <item x="1006"/>
        <item x="853"/>
        <item x="564"/>
        <item x="48"/>
        <item x="472"/>
        <item x="891"/>
        <item x="332"/>
        <item x="571"/>
        <item x="349"/>
        <item x="778"/>
        <item x="940"/>
        <item x="1050"/>
        <item x="650"/>
        <item x="537"/>
        <item x="452"/>
        <item x="25"/>
        <item x="172"/>
        <item x="206"/>
        <item x="93"/>
        <item x="53"/>
        <item x="7"/>
        <item x="805"/>
        <item x="841"/>
        <item x="942"/>
        <item x="714"/>
        <item x="292"/>
        <item x="848"/>
        <item x="308"/>
        <item x="893"/>
        <item x="235"/>
        <item x="360"/>
        <item x="731"/>
        <item x="291"/>
        <item x="149"/>
        <item x="668"/>
        <item x="476"/>
        <item x="1052"/>
        <item x="984"/>
        <item x="636"/>
        <item x="1008"/>
        <item x="670"/>
        <item x="952"/>
        <item x="980"/>
        <item x="780"/>
        <item x="835"/>
        <item x="798"/>
        <item x="751"/>
        <item x="806"/>
        <item x="926"/>
        <item x="927"/>
        <item x="811"/>
        <item x="553"/>
        <item x="312"/>
        <item x="159"/>
        <item x="144"/>
        <item x="973"/>
        <item x="143"/>
        <item x="633"/>
        <item x="890"/>
        <item x="342"/>
        <item x="614"/>
        <item x="96"/>
        <item x="363"/>
        <item x="524"/>
        <item x="641"/>
        <item x="393"/>
        <item x="678"/>
        <item x="968"/>
        <item x="1032"/>
        <item x="730"/>
        <item x="587"/>
        <item x="155"/>
        <item x="139"/>
        <item x="1090"/>
        <item x="516"/>
        <item x="421"/>
        <item x="582"/>
        <item x="232"/>
        <item x="953"/>
        <item x="948"/>
        <item x="793"/>
        <item x="148"/>
        <item x="866"/>
        <item x="356"/>
        <item x="691"/>
        <item x="827"/>
        <item x="1013"/>
        <item x="1091"/>
        <item x="203"/>
        <item x="6"/>
        <item x="726"/>
        <item x="215"/>
        <item x="211"/>
        <item x="154"/>
        <item x="306"/>
        <item x="791"/>
        <item x="189"/>
        <item x="888"/>
        <item x="333"/>
        <item x="574"/>
        <item x="110"/>
        <item x="706"/>
        <item x="24"/>
        <item x="957"/>
        <item x="475"/>
        <item x="918"/>
        <item x="796"/>
        <item x="214"/>
        <item x="346"/>
        <item x="618"/>
        <item x="126"/>
        <item x="168"/>
        <item x="607"/>
        <item x="382"/>
        <item x="88"/>
        <item x="285"/>
        <item x="743"/>
        <item x="120"/>
        <item x="721"/>
        <item x="978"/>
        <item x="578"/>
        <item x="265"/>
        <item x="219"/>
        <item x="387"/>
        <item x="1068"/>
        <item x="497"/>
        <item x="376"/>
        <item x="402"/>
        <item x="686"/>
        <item x="252"/>
        <item x="514"/>
        <item x="65"/>
        <item x="485"/>
        <item x="99"/>
        <item x="983"/>
        <item x="35"/>
        <item x="104"/>
        <item x="106"/>
        <item x="357"/>
        <item x="271"/>
        <item x="269"/>
        <item x="433"/>
        <item x="575"/>
        <item x="699"/>
        <item x="137"/>
        <item x="161"/>
        <item x="141"/>
        <item x="695"/>
        <item x="122"/>
        <item x="608"/>
        <item x="170"/>
        <item x="42"/>
        <item x="666"/>
        <item x="365"/>
        <item x="906"/>
        <item x="9"/>
        <item x="561"/>
        <item x="225"/>
        <item x="458"/>
        <item x="515"/>
        <item x="150"/>
        <item x="44"/>
        <item x="127"/>
        <item x="637"/>
        <item x="10"/>
        <item x="296"/>
        <item x="322"/>
        <item x="600"/>
        <item x="718"/>
        <item x="692"/>
        <item x="39"/>
        <item x="84"/>
        <item x="140"/>
        <item x="90"/>
        <item x="665"/>
        <item x="1071"/>
        <item x="495"/>
        <item x="415"/>
        <item x="399"/>
        <item x="565"/>
        <item x="328"/>
        <item x="677"/>
        <item x="422"/>
        <item x="274"/>
        <item x="711"/>
        <item x="993"/>
        <item x="1051"/>
        <item x="759"/>
        <item x="2"/>
        <item x="521"/>
        <item x="33"/>
        <item x="173"/>
        <item x="426"/>
        <item x="305"/>
        <item x="500"/>
        <item x="51"/>
        <item x="52"/>
        <item x="447"/>
        <item x="532"/>
        <item x="101"/>
        <item x="557"/>
        <item x="723"/>
        <item x="913"/>
        <item x="881"/>
        <item x="708"/>
        <item x="544"/>
        <item x="43"/>
        <item x="901"/>
        <item x="900"/>
        <item x="844"/>
        <item x="205"/>
        <item x="286"/>
        <item x="847"/>
        <item x="1054"/>
        <item x="195"/>
        <item x="284"/>
        <item x="909"/>
        <item x="935"/>
        <item x="832"/>
        <item x="681"/>
        <item x="842"/>
        <item x="868"/>
        <item x="910"/>
        <item x="879"/>
        <item x="898"/>
        <item x="797"/>
        <item x="1064"/>
        <item x="548"/>
        <item x="543"/>
        <item x="687"/>
        <item x="990"/>
        <item x="621"/>
        <item x="585"/>
        <item x="704"/>
        <item x="562"/>
        <item x="675"/>
        <item x="133"/>
        <item x="157"/>
        <item x="519"/>
        <item x="700"/>
        <item x="568"/>
        <item x="999"/>
        <item x="572"/>
        <item x="1020"/>
        <item x="638"/>
        <item x="469"/>
        <item x="619"/>
        <item x="550"/>
        <item x="875"/>
        <item x="995"/>
        <item x="1016"/>
        <item x="626"/>
        <item x="361"/>
        <item x="179"/>
        <item x="558"/>
        <item x="693"/>
        <item x="1034"/>
        <item x="316"/>
        <item x="431"/>
        <item x="652"/>
        <item x="766"/>
        <item x="1004"/>
        <item x="327"/>
        <item x="1074"/>
        <item x="489"/>
        <item x="639"/>
        <item x="750"/>
        <item x="372"/>
        <item x="459"/>
        <item x="499"/>
        <item x="396"/>
        <item x="631"/>
        <item x="1049"/>
        <item x="199"/>
        <item x="467"/>
        <item x="330"/>
        <item x="747"/>
        <item x="783"/>
        <item x="755"/>
        <item x="628"/>
        <item x="959"/>
        <item x="473"/>
        <item x="590"/>
        <item x="962"/>
        <item x="446"/>
        <item x="920"/>
        <item x="945"/>
        <item x="902"/>
        <item x="867"/>
        <item x="874"/>
        <item x="851"/>
        <item x="821"/>
        <item x="914"/>
        <item x="850"/>
        <item x="816"/>
        <item x="807"/>
        <item x="812"/>
        <item x="830"/>
        <item x="889"/>
        <item x="880"/>
        <item x="804"/>
        <item x="808"/>
        <item x="803"/>
        <item x="922"/>
        <item x="822"/>
        <item x="843"/>
        <item x="813"/>
        <item x="825"/>
        <item x="802"/>
        <item x="815"/>
        <item x="865"/>
        <item x="897"/>
        <item x="49"/>
        <item x="540"/>
        <item x="539"/>
        <item x="397"/>
        <item x="753"/>
        <item x="606"/>
        <item x="1038"/>
        <item x="100"/>
        <item x="683"/>
        <item x="341"/>
        <item x="430"/>
        <item x="620"/>
        <item x="712"/>
        <item x="107"/>
        <item x="1087"/>
        <item x="981"/>
        <item x="164"/>
        <item x="799"/>
        <item x="507"/>
        <item x="466"/>
        <item x="353"/>
        <item x="166"/>
        <item x="974"/>
        <item x="570"/>
        <item x="165"/>
        <item x="1012"/>
        <item x="220"/>
        <item x="533"/>
        <item x="645"/>
        <item x="200"/>
        <item x="46"/>
        <item x="741"/>
        <item x="191"/>
        <item x="555"/>
        <item x="227"/>
        <item x="394"/>
        <item x="326"/>
        <item x="490"/>
        <item x="343"/>
        <item x="153"/>
        <item x="158"/>
        <item x="283"/>
        <item x="228"/>
        <item x="177"/>
        <item x="1084"/>
        <item x="863"/>
        <item x="1027"/>
        <item x="416"/>
        <item x="197"/>
        <item x="337"/>
        <item x="581"/>
        <item x="653"/>
        <item x="1014"/>
        <item x="449"/>
        <item x="612"/>
        <item x="775"/>
        <item x="1042"/>
        <item x="1043"/>
        <item x="1044"/>
        <item x="1055"/>
        <item x="293"/>
        <item x="38"/>
        <item x="1092"/>
        <item x="448"/>
        <item x="529"/>
        <item x="111"/>
        <item x="873"/>
        <item x="13"/>
        <item x="183"/>
        <item x="465"/>
        <item x="26"/>
        <item x="218"/>
        <item x="403"/>
        <item x="181"/>
        <item x="1039"/>
        <item x="160"/>
        <item x="5"/>
        <item x="118"/>
        <item x="549"/>
        <item x="643"/>
        <item x="314"/>
        <item x="243"/>
        <item x="707"/>
        <item x="757"/>
        <item x="760"/>
        <item x="839"/>
        <item x="810"/>
        <item x="689"/>
        <item x="749"/>
        <item x="418"/>
        <item x="20"/>
        <item x="411"/>
        <item x="434"/>
        <item x="450"/>
        <item x="373"/>
        <item x="217"/>
        <item x="3"/>
        <item x="859"/>
        <item x="240"/>
        <item x="739"/>
        <item x="640"/>
        <item x="1096"/>
        <item x="642"/>
        <item x="646"/>
        <item x="594"/>
        <item x="339"/>
        <item x="729"/>
        <item x="933"/>
        <item x="651"/>
        <item x="175"/>
        <item x="672"/>
        <item x="1089"/>
        <item x="267"/>
        <item x="1097"/>
        <item x="911"/>
        <item x="896"/>
        <item x="91"/>
        <item x="474"/>
        <item x="765"/>
        <item x="92"/>
        <item x="136"/>
        <item x="545"/>
        <item x="685"/>
        <item x="819"/>
        <item x="921"/>
        <item x="728"/>
        <item x="221"/>
        <item x="27"/>
        <item x="108"/>
        <item x="833"/>
        <item x="386"/>
        <item x="899"/>
        <item x="201"/>
        <item x="185"/>
        <item x="703"/>
        <item x="113"/>
        <item x="323"/>
        <item x="408"/>
        <item x="569"/>
        <item x="955"/>
        <item x="872"/>
        <item x="936"/>
        <item x="186"/>
        <item x="287"/>
        <item x="37"/>
        <item x="128"/>
        <item x="787"/>
        <item x="388"/>
        <item x="886"/>
        <item x="125"/>
        <item x="946"/>
        <item x="190"/>
        <item x="719"/>
        <item x="435"/>
        <item x="801"/>
        <item x="1086"/>
        <item x="661"/>
        <item x="662"/>
        <item x="767"/>
        <item x="770"/>
        <item x="777"/>
        <item x="854"/>
        <item x="857"/>
        <item x="861"/>
        <item x="511"/>
        <item x="470"/>
        <item x="145"/>
        <item x="117"/>
        <item x="115"/>
        <item x="114"/>
        <item x="944"/>
        <item x="116"/>
        <item x="556"/>
        <item x="364"/>
        <item x="690"/>
        <item x="509"/>
        <item x="601"/>
        <item x="679"/>
        <item x="76"/>
        <item x="1095"/>
        <item x="964"/>
        <item x="986"/>
        <item x="192"/>
        <item x="864"/>
        <item x="860"/>
        <item x="884"/>
        <item x="526"/>
        <item x="717"/>
        <item x="710"/>
        <item x="502"/>
        <item x="391"/>
        <item x="969"/>
        <item x="525"/>
        <item x="559"/>
        <item x="836"/>
        <item x="824"/>
        <item x="939"/>
        <item x="567"/>
        <item x="34"/>
        <item x="30"/>
        <item x="28"/>
        <item x="658"/>
        <item x="919"/>
        <item x="14"/>
        <item x="828"/>
        <item x="1001"/>
        <item x="862"/>
        <item x="792"/>
        <item x="238"/>
        <item x="156"/>
        <item x="234"/>
        <item x="222"/>
        <item x="486"/>
        <item x="445"/>
        <item x="423"/>
        <item x="907"/>
        <item x="667"/>
        <item x="347"/>
        <item x="713"/>
        <item x="635"/>
        <item x="420"/>
        <item x="634"/>
        <item x="522"/>
        <item x="781"/>
        <item x="716"/>
        <item x="997"/>
        <item x="468"/>
        <item x="1057"/>
        <item x="224"/>
        <item x="406"/>
        <item x="629"/>
        <item x="546"/>
        <item x="903"/>
        <item x="462"/>
        <item x="992"/>
        <item x="1036"/>
        <item x="632"/>
        <item x="31"/>
        <item x="840"/>
        <item x="263"/>
        <item x="774"/>
        <item x="297"/>
        <item x="505"/>
        <item x="77"/>
        <item x="702"/>
        <item x="994"/>
        <item x="60"/>
        <item x="8"/>
        <item x="335"/>
        <item x="70"/>
        <item x="622"/>
        <item x="487"/>
        <item x="610"/>
        <item x="583"/>
        <item x="580"/>
        <item x="471"/>
        <item x="366"/>
        <item x="451"/>
        <item x="528"/>
        <item x="705"/>
        <item x="826"/>
        <item x="1070"/>
        <item x="273"/>
        <item x="97"/>
        <item x="885"/>
        <item x="384"/>
        <item x="460"/>
        <item x="146"/>
        <item x="81"/>
        <item x="79"/>
        <item x="213"/>
        <item x="883"/>
        <item x="1035"/>
        <item x="32"/>
        <item x="119"/>
        <item x="988"/>
        <item x="1079"/>
        <item x="94"/>
        <item x="655"/>
        <item x="1093"/>
        <item x="1045"/>
        <item x="554"/>
        <item x="776"/>
        <item x="338"/>
        <item x="1077"/>
        <item x="11"/>
        <item x="176"/>
        <item x="304"/>
        <item x="23"/>
        <item x="977"/>
        <item x="16"/>
        <item x="930"/>
        <item x="597"/>
        <item x="18"/>
        <item x="147"/>
        <item x="358"/>
        <item x="924"/>
        <item x="586"/>
        <item x="352"/>
        <item x="244"/>
        <item x="87"/>
        <item x="298"/>
        <item x="1023"/>
        <item x="1061"/>
        <item x="481"/>
        <item x="523"/>
        <item x="303"/>
        <item x="598"/>
        <item x="592"/>
        <item x="579"/>
        <item x="329"/>
        <item x="912"/>
        <item x="932"/>
        <item x="617"/>
        <item x="664"/>
        <item x="709"/>
        <item x="616"/>
        <item x="1003"/>
        <item x="680"/>
        <item x="288"/>
        <item x="715"/>
        <item x="998"/>
        <item x="656"/>
        <item x="439"/>
        <item x="971"/>
        <item x="477"/>
        <item x="576"/>
        <item x="375"/>
        <item x="823"/>
        <item x="684"/>
        <item x="442"/>
        <item x="1075"/>
        <item x="603"/>
        <item x="595"/>
        <item x="258"/>
        <item x="501"/>
        <item x="443"/>
        <item x="985"/>
        <item x="975"/>
        <item x="483"/>
        <item x="538"/>
        <item x="623"/>
        <item x="624"/>
        <item x="671"/>
        <item x="1000"/>
        <item x="676"/>
        <item x="768"/>
        <item x="231"/>
        <item x="961"/>
        <item x="531"/>
        <item x="301"/>
        <item x="871"/>
        <item x="856"/>
        <item x="674"/>
        <item x="817"/>
        <item x="740"/>
        <item x="882"/>
        <item x="89"/>
        <item x="102"/>
        <item x="506"/>
        <item x="67"/>
        <item x="47"/>
        <item x="784"/>
        <item x="392"/>
        <item x="324"/>
        <item x="417"/>
        <item x="484"/>
        <item x="410"/>
        <item x="204"/>
        <item x="852"/>
        <item x="259"/>
        <item x="457"/>
        <item x="167"/>
        <item x="380"/>
        <item x="71"/>
        <item x="134"/>
        <item x="362"/>
        <item x="482"/>
        <item x="520"/>
        <item x="1056"/>
        <item x="151"/>
        <item x="427"/>
        <item x="413"/>
        <item x="613"/>
        <item x="401"/>
        <item x="785"/>
        <item x="441"/>
        <item x="440"/>
        <item x="1076"/>
        <item x="478"/>
        <item x="800"/>
        <item x="779"/>
        <item x="129"/>
        <item x="790"/>
        <item x="249"/>
        <item x="517"/>
        <item x="916"/>
        <item x="563"/>
        <item x="789"/>
        <item x="290"/>
        <item x="951"/>
        <item x="941"/>
        <item x="247"/>
        <item x="943"/>
        <item x="735"/>
        <item x="979"/>
        <item x="771"/>
        <item x="669"/>
        <item x="560"/>
        <item x="66"/>
        <item x="588"/>
        <item x="573"/>
        <item x="351"/>
        <item x="1"/>
        <item x="74"/>
        <item x="389"/>
        <item x="1083"/>
        <item x="95"/>
        <item x="625"/>
        <item x="1019"/>
        <item x="820"/>
        <item x="663"/>
        <item x="289"/>
        <item x="279"/>
        <item x="300"/>
        <item x="98"/>
        <item t="default"/>
      </items>
    </pivotField>
    <pivotField name="Status" axis="axisPage" compact="0" outline="0" multipleItemSelectionAllowed="1" showAll="0">
      <items>
        <item h="1" x="0"/>
        <item h="1" x="1"/>
        <item x="2"/>
        <item h="1" x="3"/>
        <item h="1" x="4"/>
        <item h="1" x="5"/>
        <item h="1" x="6"/>
        <item h="1" x="7"/>
        <item h="1" x="8"/>
        <item h="1" x="9"/>
        <item t="default"/>
      </items>
    </pivotField>
    <pivotField name="DOT" axis="axisRow" compact="0" numFmtId="165" outline="0" multipleItemSelectionAllowed="1" showAll="0" sortType="ascending" defaultSubtotal="0">
      <items>
        <item x="0"/>
        <item x="592"/>
        <item x="211"/>
        <item x="362"/>
        <item x="456"/>
        <item x="454"/>
        <item x="350"/>
        <item x="390"/>
        <item x="614"/>
        <item x="419"/>
        <item x="356"/>
        <item x="506"/>
        <item x="372"/>
        <item x="520"/>
        <item x="461"/>
        <item x="482"/>
        <item x="508"/>
        <item x="439"/>
        <item x="411"/>
        <item x="440"/>
        <item x="375"/>
        <item x="366"/>
        <item x="384"/>
        <item x="358"/>
        <item x="215"/>
        <item x="646"/>
        <item x="354"/>
        <item x="549"/>
        <item x="588"/>
        <item x="617"/>
        <item x="494"/>
        <item x="223"/>
        <item x="576"/>
        <item x="445"/>
        <item x="473"/>
        <item x="120"/>
        <item x="55"/>
        <item x="595"/>
        <item x="449"/>
        <item x="604"/>
        <item x="44"/>
        <item x="418"/>
        <item x="620"/>
        <item x="479"/>
        <item x="67"/>
        <item x="66"/>
        <item x="349"/>
        <item x="40"/>
        <item x="33"/>
        <item x="353"/>
        <item x="123"/>
        <item x="660"/>
        <item x="152"/>
        <item x="417"/>
        <item x="290"/>
        <item x="81"/>
        <item x="142"/>
        <item x="615"/>
        <item x="82"/>
        <item x="342"/>
        <item x="621"/>
        <item x="72"/>
        <item x="299"/>
        <item x="45"/>
        <item x="185"/>
        <item x="42"/>
        <item x="263"/>
        <item x="90"/>
        <item x="189"/>
        <item x="529"/>
        <item x="167"/>
        <item x="83"/>
        <item x="23"/>
        <item x="616"/>
        <item x="570"/>
        <item x="515"/>
        <item x="157"/>
        <item x="632"/>
        <item x="525"/>
        <item x="250"/>
        <item x="248"/>
        <item x="457"/>
        <item x="202"/>
        <item x="24"/>
        <item x="284"/>
        <item x="307"/>
        <item x="455"/>
        <item x="225"/>
        <item x="171"/>
        <item x="452"/>
        <item x="247"/>
        <item x="378"/>
        <item x="195"/>
        <item x="298"/>
        <item x="397"/>
        <item x="143"/>
        <item x="325"/>
        <item x="546"/>
        <item x="447"/>
        <item x="571"/>
        <item x="428"/>
        <item x="489"/>
        <item x="108"/>
        <item x="606"/>
        <item x="575"/>
        <item x="641"/>
        <item x="427"/>
        <item x="502"/>
        <item x="230"/>
        <item x="192"/>
        <item x="425"/>
        <item x="345"/>
        <item x="141"/>
        <item x="32"/>
        <item x="666"/>
        <item x="99"/>
        <item x="319"/>
        <item x="659"/>
        <item x="332"/>
        <item x="132"/>
        <item x="58"/>
        <item x="52"/>
        <item x="229"/>
        <item x="405"/>
        <item x="41"/>
        <item x="488"/>
        <item x="160"/>
        <item x="407"/>
        <item x="166"/>
        <item x="531"/>
        <item x="165"/>
        <item x="201"/>
        <item x="320"/>
        <item x="289"/>
        <item x="200"/>
        <item x="193"/>
        <item x="300"/>
        <item x="134"/>
        <item x="264"/>
        <item x="154"/>
        <item x="251"/>
        <item x="158"/>
        <item x="286"/>
        <item x="198"/>
        <item x="526"/>
        <item x="2"/>
        <item x="613"/>
        <item x="568"/>
        <item x="431"/>
        <item x="208"/>
        <item x="678"/>
        <item x="76"/>
        <item x="259"/>
        <item x="505"/>
        <item x="287"/>
        <item x="276"/>
        <item x="591"/>
        <item x="396"/>
        <item x="469"/>
        <item x="492"/>
        <item x="491"/>
        <item x="295"/>
        <item x="199"/>
        <item x="180"/>
        <item x="196"/>
        <item x="496"/>
        <item x="214"/>
        <item x="18"/>
        <item x="468"/>
        <item x="162"/>
        <item x="364"/>
        <item x="501"/>
        <item x="11"/>
        <item x="593"/>
        <item x="43"/>
        <item x="498"/>
        <item x="86"/>
        <item x="599"/>
        <item x="519"/>
        <item x="34"/>
        <item x="277"/>
        <item x="206"/>
        <item x="186"/>
        <item x="140"/>
        <item x="672"/>
        <item x="179"/>
        <item x="360"/>
        <item x="511"/>
        <item x="634"/>
        <item x="493"/>
        <item x="197"/>
        <item x="668"/>
        <item x="38"/>
        <item x="663"/>
        <item x="138"/>
        <item x="161"/>
        <item x="121"/>
        <item x="241"/>
        <item x="119"/>
        <item x="400"/>
        <item x="188"/>
        <item x="420"/>
        <item x="130"/>
        <item x="387"/>
        <item x="212"/>
        <item x="8"/>
        <item x="413"/>
        <item x="172"/>
        <item x="347"/>
        <item x="507"/>
        <item x="626"/>
        <item x="662"/>
        <item x="107"/>
        <item x="213"/>
        <item x="517"/>
        <item x="536"/>
        <item x="237"/>
        <item x="118"/>
        <item x="3"/>
        <item x="316"/>
        <item x="61"/>
        <item x="673"/>
        <item x="523"/>
        <item x="669"/>
        <item x="170"/>
        <item x="585"/>
        <item x="627"/>
        <item x="373"/>
        <item x="399"/>
        <item x="210"/>
        <item x="532"/>
        <item x="573"/>
        <item x="560"/>
        <item x="652"/>
        <item x="572"/>
        <item x="471"/>
        <item x="487"/>
        <item x="39"/>
        <item x="402"/>
        <item x="209"/>
        <item x="191"/>
        <item x="301"/>
        <item x="416"/>
        <item x="282"/>
        <item x="351"/>
        <item x="463"/>
        <item x="618"/>
        <item x="224"/>
        <item x="550"/>
        <item x="415"/>
        <item x="71"/>
        <item x="326"/>
        <item x="17"/>
        <item x="499"/>
        <item x="219"/>
        <item x="239"/>
        <item x="648"/>
        <item x="629"/>
        <item x="569"/>
        <item x="509"/>
        <item x="403"/>
        <item x="205"/>
        <item x="137"/>
        <item x="500"/>
        <item x="388"/>
        <item x="374"/>
        <item x="330"/>
        <item x="432"/>
        <item x="177"/>
        <item x="453"/>
        <item x="207"/>
        <item x="204"/>
        <item x="279"/>
        <item x="426"/>
        <item x="600"/>
        <item x="292"/>
        <item x="357"/>
        <item x="567"/>
        <item x="466"/>
        <item x="235"/>
        <item x="147"/>
        <item x="266"/>
        <item x="78"/>
        <item x="352"/>
        <item x="256"/>
        <item x="181"/>
        <item x="480"/>
        <item x="622"/>
        <item x="254"/>
        <item x="379"/>
        <item x="639"/>
        <item x="124"/>
        <item x="51"/>
        <item x="244"/>
        <item x="311"/>
        <item x="344"/>
        <item x="302"/>
        <item x="27"/>
        <item x="222"/>
        <item x="232"/>
        <item x="135"/>
        <item x="129"/>
        <item x="50"/>
        <item x="101"/>
        <item x="56"/>
        <item x="291"/>
        <item x="597"/>
        <item x="462"/>
        <item x="521"/>
        <item x="478"/>
        <item x="306"/>
        <item x="323"/>
        <item x="236"/>
        <item x="527"/>
        <item x="661"/>
        <item x="483"/>
        <item x="635"/>
        <item x="159"/>
        <item x="676"/>
        <item x="577"/>
        <item x="69"/>
        <item x="60"/>
        <item x="450"/>
        <item x="504"/>
        <item x="361"/>
        <item x="30"/>
        <item x="109"/>
        <item x="53"/>
        <item x="68"/>
        <item x="564"/>
        <item x="422"/>
        <item x="178"/>
        <item x="114"/>
        <item x="398"/>
        <item x="401"/>
        <item x="441"/>
        <item x="667"/>
        <item x="557"/>
        <item x="670"/>
        <item x="540"/>
        <item x="4"/>
        <item x="84"/>
        <item x="128"/>
        <item x="245"/>
        <item x="164"/>
        <item x="303"/>
        <item x="551"/>
        <item x="578"/>
        <item x="381"/>
        <item x="184"/>
        <item x="49"/>
        <item x="528"/>
        <item x="444"/>
        <item x="70"/>
        <item x="535"/>
        <item x="657"/>
        <item x="395"/>
        <item x="155"/>
        <item x="594"/>
        <item x="29"/>
        <item x="93"/>
        <item x="331"/>
        <item x="89"/>
        <item x="474"/>
        <item x="269"/>
        <item x="246"/>
        <item x="187"/>
        <item x="182"/>
        <item x="394"/>
        <item x="424"/>
        <item x="321"/>
        <item x="631"/>
        <item x="190"/>
        <item x="281"/>
        <item x="674"/>
        <item x="234"/>
        <item x="253"/>
        <item x="110"/>
        <item x="153"/>
        <item x="514"/>
        <item x="619"/>
        <item x="275"/>
        <item x="409"/>
        <item x="150"/>
        <item x="163"/>
        <item x="522"/>
        <item x="116"/>
        <item x="611"/>
        <item x="537"/>
        <item x="203"/>
        <item x="22"/>
        <item x="310"/>
        <item x="637"/>
        <item x="268"/>
        <item x="258"/>
        <item x="260"/>
        <item x="458"/>
        <item x="524"/>
        <item x="144"/>
        <item x="633"/>
        <item x="481"/>
        <item x="257"/>
        <item x="589"/>
        <item x="85"/>
        <item x="243"/>
        <item x="14"/>
        <item x="87"/>
        <item x="558"/>
        <item x="548"/>
        <item x="146"/>
        <item x="624"/>
        <item x="602"/>
        <item x="47"/>
        <item x="587"/>
        <item x="654"/>
        <item x="218"/>
        <item x="429"/>
        <item x="556"/>
        <item x="334"/>
        <item x="442"/>
        <item x="54"/>
        <item x="338"/>
        <item x="437"/>
        <item x="598"/>
        <item x="365"/>
        <item x="414"/>
        <item x="404"/>
        <item x="376"/>
        <item x="324"/>
        <item x="582"/>
        <item x="63"/>
        <item x="490"/>
        <item x="217"/>
        <item x="369"/>
        <item x="610"/>
        <item x="113"/>
        <item x="117"/>
        <item x="329"/>
        <item x="586"/>
        <item x="175"/>
        <item x="552"/>
        <item x="136"/>
        <item x="412"/>
        <item x="543"/>
        <item x="309"/>
        <item x="348"/>
        <item x="438"/>
        <item x="106"/>
        <item x="367"/>
        <item x="36"/>
        <item x="231"/>
        <item x="477"/>
        <item x="561"/>
        <item x="406"/>
        <item x="37"/>
        <item x="643"/>
        <item x="65"/>
        <item x="13"/>
        <item x="318"/>
        <item x="609"/>
        <item x="553"/>
        <item x="630"/>
        <item x="126"/>
        <item x="475"/>
        <item x="25"/>
        <item x="59"/>
        <item x="308"/>
        <item x="655"/>
        <item x="288"/>
        <item x="385"/>
        <item x="539"/>
        <item x="359"/>
        <item x="472"/>
        <item x="91"/>
        <item x="336"/>
        <item x="255"/>
        <item x="19"/>
        <item x="80"/>
        <item x="628"/>
        <item x="10"/>
        <item x="451"/>
        <item x="151"/>
        <item x="125"/>
        <item x="88"/>
        <item x="233"/>
        <item x="605"/>
        <item x="131"/>
        <item x="12"/>
        <item x="77"/>
        <item x="73"/>
        <item x="312"/>
        <item x="339"/>
        <item x="285"/>
        <item x="103"/>
        <item x="265"/>
        <item x="435"/>
        <item x="111"/>
        <item x="267"/>
        <item x="392"/>
        <item x="391"/>
        <item x="530"/>
        <item x="679"/>
        <item x="221"/>
        <item x="434"/>
        <item x="252"/>
        <item x="485"/>
        <item x="583"/>
        <item x="671"/>
        <item x="15"/>
        <item x="337"/>
        <item x="559"/>
        <item x="389"/>
        <item x="322"/>
        <item x="638"/>
        <item x="297"/>
        <item x="341"/>
        <item x="510"/>
        <item x="516"/>
        <item x="216"/>
        <item x="98"/>
        <item x="333"/>
        <item x="603"/>
        <item x="156"/>
        <item x="296"/>
        <item x="274"/>
        <item x="464"/>
        <item x="293"/>
        <item x="271"/>
        <item x="100"/>
        <item x="104"/>
        <item x="386"/>
        <item x="57"/>
        <item x="168"/>
        <item x="96"/>
        <item x="75"/>
        <item x="497"/>
        <item x="5"/>
        <item x="608"/>
        <item x="62"/>
        <item x="370"/>
        <item x="317"/>
        <item x="280"/>
        <item x="665"/>
        <item x="294"/>
        <item x="335"/>
        <item x="122"/>
        <item x="16"/>
        <item x="410"/>
        <item x="31"/>
        <item x="228"/>
        <item x="547"/>
        <item x="97"/>
        <item x="240"/>
        <item x="272"/>
        <item x="35"/>
        <item x="513"/>
        <item x="423"/>
        <item x="607"/>
        <item x="470"/>
        <item x="7"/>
        <item x="102"/>
        <item x="584"/>
        <item x="21"/>
        <item x="436"/>
        <item x="580"/>
        <item x="227"/>
        <item x="226"/>
        <item x="484"/>
        <item x="79"/>
        <item x="443"/>
        <item x="315"/>
        <item x="176"/>
        <item x="433"/>
        <item x="377"/>
        <item x="645"/>
        <item x="677"/>
        <item x="562"/>
        <item x="625"/>
        <item x="653"/>
        <item x="642"/>
        <item x="459"/>
        <item x="518"/>
        <item x="133"/>
        <item x="278"/>
        <item x="421"/>
        <item x="656"/>
        <item x="644"/>
        <item x="340"/>
        <item x="601"/>
        <item x="566"/>
        <item x="48"/>
        <item x="380"/>
        <item x="538"/>
        <item x="363"/>
        <item x="183"/>
        <item x="590"/>
        <item x="74"/>
        <item x="28"/>
        <item x="249"/>
        <item x="658"/>
        <item x="555"/>
        <item x="304"/>
        <item x="1"/>
        <item x="273"/>
        <item x="46"/>
        <item x="623"/>
        <item x="9"/>
        <item x="650"/>
        <item x="430"/>
        <item x="220"/>
        <item x="92"/>
        <item x="636"/>
        <item x="465"/>
        <item x="542"/>
        <item x="534"/>
        <item x="173"/>
        <item x="467"/>
        <item x="169"/>
        <item x="545"/>
        <item x="554"/>
        <item x="26"/>
        <item x="242"/>
        <item x="393"/>
        <item x="460"/>
        <item x="596"/>
        <item x="544"/>
        <item x="383"/>
        <item x="145"/>
        <item x="647"/>
        <item x="115"/>
        <item x="368"/>
        <item x="328"/>
        <item x="486"/>
        <item x="20"/>
        <item x="262"/>
        <item x="327"/>
        <item x="95"/>
        <item x="476"/>
        <item x="664"/>
        <item x="448"/>
        <item x="313"/>
        <item x="112"/>
        <item x="382"/>
        <item x="270"/>
        <item x="355"/>
        <item x="105"/>
        <item x="127"/>
        <item x="565"/>
        <item x="6"/>
        <item x="675"/>
        <item x="346"/>
        <item x="343"/>
        <item x="261"/>
        <item x="446"/>
        <item x="579"/>
        <item x="581"/>
        <item x="574"/>
        <item x="139"/>
        <item x="651"/>
        <item x="495"/>
        <item x="305"/>
        <item x="148"/>
        <item x="541"/>
        <item x="649"/>
        <item x="314"/>
        <item x="408"/>
        <item x="194"/>
        <item x="371"/>
        <item x="174"/>
        <item x="563"/>
        <item x="238"/>
        <item x="533"/>
        <item x="612"/>
        <item x="640"/>
        <item x="64"/>
        <item x="283"/>
        <item x="512"/>
        <item x="149"/>
        <item x="94"/>
        <item x="503"/>
      </items>
    </pivotField>
    <pivotField name="USD Propose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t="default"/>
      </items>
    </pivotField>
    <pivotField name="Track" compact="0" outline="0" multipleItemSelectionAllowed="1" showAll="0">
      <items>
        <item x="0"/>
        <item x="1"/>
        <item x="2"/>
        <item x="3"/>
        <item x="4"/>
        <item x="5"/>
        <item x="6"/>
        <item x="7"/>
        <item x="8"/>
        <item x="9"/>
        <item x="10"/>
        <item x="11"/>
        <item x="12"/>
        <item x="13"/>
        <item x="14"/>
        <item x="15"/>
        <item t="default"/>
      </items>
    </pivotField>
    <pivotField name="AYE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t="default"/>
      </items>
    </pivotField>
    <pivotField name="NAY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t="default"/>
      </items>
    </pivotField>
    <pivotField name="Propose Date" compact="0" numFmtId="17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t="default"/>
      </items>
    </pivotField>
    <pivotField name="Last Update" axis="axisRow" compact="0" numFmtId="172" outline="0" multipleItemSelectionAllowed="1" showAll="0" sortType="ascending" defaultSubtotal="0">
      <items>
        <item x="3"/>
        <item x="12"/>
        <item x="0"/>
        <item x="16"/>
        <item x="17"/>
        <item x="7"/>
        <item x="21"/>
        <item x="22"/>
        <item x="23"/>
        <item x="25"/>
        <item x="26"/>
        <item x="18"/>
        <item x="4"/>
        <item x="5"/>
        <item x="2"/>
        <item x="6"/>
        <item x="8"/>
        <item x="9"/>
        <item x="11"/>
        <item x="10"/>
        <item x="13"/>
        <item x="15"/>
        <item x="34"/>
        <item x="14"/>
        <item x="19"/>
        <item x="20"/>
        <item x="27"/>
        <item x="24"/>
        <item x="28"/>
        <item x="41"/>
        <item x="29"/>
        <item x="31"/>
        <item x="35"/>
        <item x="30"/>
        <item x="33"/>
        <item x="32"/>
        <item x="39"/>
        <item x="54"/>
        <item x="51"/>
        <item x="55"/>
        <item x="38"/>
        <item x="36"/>
        <item x="59"/>
        <item x="40"/>
        <item x="44"/>
        <item x="48"/>
        <item x="42"/>
        <item x="45"/>
        <item x="43"/>
        <item x="46"/>
        <item x="47"/>
        <item x="49"/>
        <item x="56"/>
        <item x="50"/>
        <item x="52"/>
        <item x="53"/>
        <item x="70"/>
        <item x="57"/>
        <item x="60"/>
        <item x="64"/>
        <item x="76"/>
        <item x="58"/>
        <item x="61"/>
        <item x="65"/>
        <item x="62"/>
        <item x="63"/>
        <item x="74"/>
        <item x="66"/>
        <item x="68"/>
        <item x="71"/>
        <item x="90"/>
        <item x="69"/>
        <item x="79"/>
        <item x="88"/>
        <item x="81"/>
        <item x="72"/>
        <item x="77"/>
        <item x="73"/>
        <item x="67"/>
        <item x="75"/>
        <item x="82"/>
        <item x="89"/>
        <item x="78"/>
        <item x="84"/>
        <item x="80"/>
        <item x="97"/>
        <item x="94"/>
        <item x="87"/>
        <item x="86"/>
        <item x="83"/>
        <item x="96"/>
        <item x="91"/>
        <item x="85"/>
        <item x="99"/>
        <item x="102"/>
        <item x="104"/>
        <item x="93"/>
        <item x="98"/>
        <item x="95"/>
        <item x="108"/>
        <item x="109"/>
        <item x="100"/>
        <item x="92"/>
        <item x="106"/>
        <item x="101"/>
        <item x="103"/>
        <item x="105"/>
        <item x="112"/>
        <item x="114"/>
        <item x="111"/>
        <item x="116"/>
        <item x="107"/>
        <item x="120"/>
        <item x="127"/>
        <item x="121"/>
        <item x="110"/>
        <item x="113"/>
        <item x="132"/>
        <item x="115"/>
        <item x="117"/>
        <item x="119"/>
        <item x="129"/>
        <item x="133"/>
        <item x="123"/>
        <item x="130"/>
        <item x="118"/>
        <item x="144"/>
        <item x="122"/>
        <item x="141"/>
        <item x="124"/>
        <item x="125"/>
        <item x="126"/>
        <item x="128"/>
        <item x="142"/>
        <item x="146"/>
        <item x="131"/>
        <item x="140"/>
        <item x="134"/>
        <item x="135"/>
        <item x="136"/>
        <item x="137"/>
        <item x="139"/>
        <item x="138"/>
        <item x="143"/>
        <item x="156"/>
        <item x="149"/>
        <item x="152"/>
        <item x="145"/>
        <item x="147"/>
        <item x="155"/>
        <item x="150"/>
        <item x="148"/>
        <item x="151"/>
        <item x="153"/>
        <item x="154"/>
        <item x="157"/>
        <item x="159"/>
        <item x="162"/>
        <item x="158"/>
        <item x="164"/>
        <item x="160"/>
        <item x="161"/>
        <item x="169"/>
        <item x="168"/>
        <item x="173"/>
        <item x="183"/>
        <item x="165"/>
        <item x="163"/>
        <item x="174"/>
        <item x="182"/>
        <item x="167"/>
        <item x="170"/>
        <item x="171"/>
        <item x="179"/>
        <item x="177"/>
        <item x="172"/>
        <item x="166"/>
        <item x="176"/>
        <item x="191"/>
        <item x="175"/>
        <item x="178"/>
        <item x="184"/>
        <item x="188"/>
        <item x="180"/>
        <item x="186"/>
        <item x="205"/>
        <item x="193"/>
        <item x="181"/>
        <item x="185"/>
        <item x="187"/>
        <item x="209"/>
        <item x="214"/>
        <item x="199"/>
        <item x="190"/>
        <item x="189"/>
        <item x="213"/>
        <item x="192"/>
        <item x="224"/>
        <item x="200"/>
        <item x="201"/>
        <item x="202"/>
        <item x="194"/>
        <item x="198"/>
        <item x="196"/>
        <item x="195"/>
        <item x="206"/>
        <item x="203"/>
        <item x="218"/>
        <item x="207"/>
        <item x="204"/>
        <item x="210"/>
        <item x="215"/>
        <item x="211"/>
        <item x="217"/>
        <item x="212"/>
        <item x="219"/>
        <item x="241"/>
        <item x="216"/>
        <item x="230"/>
        <item x="220"/>
        <item x="222"/>
        <item x="231"/>
        <item x="225"/>
        <item x="226"/>
        <item x="228"/>
        <item x="234"/>
        <item x="229"/>
        <item x="221"/>
        <item x="232"/>
        <item x="253"/>
        <item x="208"/>
        <item x="227"/>
        <item x="223"/>
        <item x="233"/>
        <item x="239"/>
        <item x="236"/>
        <item x="252"/>
        <item x="247"/>
        <item x="238"/>
        <item x="235"/>
        <item x="246"/>
        <item x="257"/>
        <item x="240"/>
        <item x="242"/>
        <item x="267"/>
        <item x="237"/>
        <item x="243"/>
        <item x="245"/>
        <item x="248"/>
        <item x="244"/>
        <item x="249"/>
        <item x="250"/>
        <item x="256"/>
        <item x="254"/>
        <item x="255"/>
        <item x="258"/>
        <item x="259"/>
        <item x="251"/>
        <item x="260"/>
        <item x="197"/>
        <item x="268"/>
        <item x="263"/>
        <item x="266"/>
        <item x="279"/>
        <item x="265"/>
        <item x="264"/>
        <item x="269"/>
        <item x="261"/>
        <item x="271"/>
        <item x="262"/>
        <item x="274"/>
        <item x="270"/>
        <item x="280"/>
        <item x="272"/>
        <item x="277"/>
        <item x="276"/>
        <item x="273"/>
        <item x="282"/>
        <item x="281"/>
        <item x="283"/>
        <item x="278"/>
        <item x="306"/>
        <item x="285"/>
        <item x="286"/>
        <item x="284"/>
        <item x="288"/>
        <item x="275"/>
        <item x="292"/>
        <item x="294"/>
        <item x="308"/>
        <item x="313"/>
        <item x="290"/>
        <item x="291"/>
        <item x="293"/>
        <item x="289"/>
        <item x="295"/>
        <item x="296"/>
        <item x="287"/>
        <item x="299"/>
        <item x="302"/>
        <item x="301"/>
        <item x="303"/>
        <item x="305"/>
        <item x="315"/>
        <item x="298"/>
        <item x="309"/>
        <item x="300"/>
        <item x="307"/>
        <item x="304"/>
        <item x="297"/>
        <item x="310"/>
        <item x="312"/>
        <item x="311"/>
        <item x="314"/>
        <item x="316"/>
        <item x="317"/>
        <item x="330"/>
        <item x="321"/>
        <item x="318"/>
        <item x="319"/>
        <item x="320"/>
        <item x="322"/>
        <item x="323"/>
        <item x="326"/>
        <item x="325"/>
        <item x="324"/>
        <item x="327"/>
        <item x="328"/>
        <item x="342"/>
        <item x="333"/>
        <item x="334"/>
        <item x="338"/>
        <item x="336"/>
        <item x="335"/>
        <item x="329"/>
        <item x="340"/>
        <item x="332"/>
        <item x="341"/>
        <item x="343"/>
        <item x="344"/>
        <item x="345"/>
        <item x="346"/>
        <item x="349"/>
        <item x="348"/>
        <item x="339"/>
        <item x="362"/>
        <item x="337"/>
        <item x="351"/>
        <item x="331"/>
        <item x="354"/>
        <item x="350"/>
        <item x="368"/>
        <item x="355"/>
        <item x="352"/>
        <item x="356"/>
        <item x="347"/>
        <item x="358"/>
        <item x="359"/>
        <item x="357"/>
        <item x="360"/>
        <item x="364"/>
        <item x="361"/>
        <item x="376"/>
        <item x="365"/>
        <item x="366"/>
        <item x="367"/>
        <item x="369"/>
        <item x="370"/>
        <item x="374"/>
        <item x="373"/>
        <item x="384"/>
        <item x="385"/>
        <item x="363"/>
        <item x="375"/>
        <item x="371"/>
        <item x="353"/>
        <item x="377"/>
        <item x="372"/>
        <item x="378"/>
        <item x="383"/>
        <item x="381"/>
        <item x="379"/>
        <item x="382"/>
        <item x="380"/>
        <item x="37"/>
        <item x="386"/>
        <item x="398"/>
        <item x="399"/>
        <item x="400"/>
        <item x="387"/>
        <item x="389"/>
        <item x="401"/>
        <item x="388"/>
        <item x="390"/>
        <item x="391"/>
        <item x="392"/>
        <item x="394"/>
        <item x="403"/>
        <item x="393"/>
        <item x="395"/>
        <item x="397"/>
        <item x="402"/>
        <item x="396"/>
        <item x="1"/>
      </items>
    </pivotField>
    <pivotField name="USD Last Update" axis="axisRow" compact="0" numFmtId="164" outline="0" multipleItemSelectionAllowed="1" showAll="0" sortType="ascending" defaultSubtotal="0">
      <items>
        <item x="0"/>
        <item x="730"/>
        <item x="232"/>
        <item x="426"/>
        <item x="562"/>
        <item x="560"/>
        <item x="411"/>
        <item x="469"/>
        <item x="468"/>
        <item x="762"/>
        <item x="643"/>
        <item x="513"/>
        <item x="626"/>
        <item x="417"/>
        <item x="439"/>
        <item x="568"/>
        <item x="628"/>
        <item x="594"/>
        <item x="541"/>
        <item x="504"/>
        <item x="542"/>
        <item x="457"/>
        <item x="444"/>
        <item x="430"/>
        <item x="420"/>
        <item x="236"/>
        <item x="801"/>
        <item x="415"/>
        <item x="676"/>
        <item x="766"/>
        <item x="724"/>
        <item x="758"/>
        <item x="753"/>
        <item x="612"/>
        <item x="759"/>
        <item x="246"/>
        <item x="748"/>
        <item x="711"/>
        <item x="132"/>
        <item x="130"/>
        <item x="583"/>
        <item x="547"/>
        <item x="804"/>
        <item x="810"/>
        <item x="126"/>
        <item x="814"/>
        <item x="756"/>
        <item x="751"/>
        <item x="831"/>
        <item x="58"/>
        <item x="709"/>
        <item x="345"/>
        <item x="554"/>
        <item x="601"/>
        <item x="532"/>
        <item x="490"/>
        <item x="458"/>
        <item x="744"/>
        <item x="459"/>
        <item x="474"/>
        <item x="484"/>
        <item x="769"/>
        <item x="450"/>
        <item x="733"/>
        <item x="44"/>
        <item x="443"/>
        <item x="553"/>
        <item x="70"/>
        <item x="671"/>
        <item x="693"/>
        <item x="258"/>
        <item x="512"/>
        <item x="591"/>
        <item x="136"/>
        <item x="304"/>
        <item x="777"/>
        <item x="84"/>
        <item x="323"/>
        <item x="842"/>
        <item x="69"/>
        <item x="110"/>
        <item x="254"/>
        <item x="736"/>
        <item x="729"/>
        <item x="658"/>
        <item x="698"/>
        <item x="134"/>
        <item x="715"/>
        <item x="348"/>
        <item x="53"/>
        <item x="40"/>
        <item x="522"/>
        <item x="518"/>
        <item x="630"/>
        <item x="369"/>
        <item x="824"/>
        <item x="381"/>
        <item x="618"/>
        <item x="168"/>
        <item x="215"/>
        <item x="33"/>
        <item x="496"/>
        <item x="253"/>
        <item x="455"/>
        <item x="409"/>
        <item x="86"/>
        <item x="422"/>
        <item x="318"/>
        <item x="157"/>
        <item x="830"/>
        <item x="150"/>
        <item x="701"/>
        <item x="763"/>
        <item x="87"/>
        <item x="489"/>
        <item x="353"/>
        <item x="808"/>
        <item x="326"/>
        <item x="770"/>
        <item x="111"/>
        <item x="849"/>
        <item x="414"/>
        <item x="565"/>
        <item x="243"/>
        <item x="76"/>
        <item x="511"/>
        <item x="787"/>
        <item x="45"/>
        <item x="42"/>
        <item x="202"/>
        <item x="327"/>
        <item x="46"/>
        <item x="96"/>
        <item x="379"/>
        <item x="382"/>
        <item x="370"/>
        <item x="339"/>
        <item x="337"/>
        <item x="89"/>
        <item x="207"/>
        <item x="183"/>
        <item x="531"/>
        <item x="322"/>
        <item x="765"/>
        <item x="400"/>
        <item x="173"/>
        <item x="23"/>
        <item x="811"/>
        <item x="784"/>
        <item x="653"/>
        <item x="88"/>
        <item x="294"/>
        <item x="24"/>
        <item x="702"/>
        <item x="637"/>
        <item x="746"/>
        <item x="200"/>
        <item x="187"/>
        <item x="648"/>
        <item x="728"/>
        <item x="158"/>
        <item x="279"/>
        <item x="248"/>
        <item x="589"/>
        <item x="461"/>
        <item x="223"/>
        <item x="277"/>
        <item x="216"/>
        <item x="563"/>
        <item x="156"/>
        <item x="288"/>
        <item x="116"/>
        <item x="144"/>
        <item x="350"/>
        <item x="154"/>
        <item x="519"/>
        <item x="749"/>
        <item x="796"/>
        <item x="561"/>
        <item x="105"/>
        <item x="812"/>
        <item x="823"/>
        <item x="155"/>
        <item x="833"/>
        <item x="276"/>
        <item x="826"/>
        <item x="316"/>
        <item x="558"/>
        <item x="822"/>
        <item x="673"/>
        <item x="338"/>
        <item x="747"/>
        <item x="581"/>
        <item x="836"/>
        <item x="550"/>
        <item x="773"/>
        <item x="703"/>
        <item x="211"/>
        <item x="786"/>
        <item x="782"/>
        <item x="319"/>
        <item x="32"/>
        <item x="61"/>
        <item x="41"/>
        <item x="208"/>
        <item x="55"/>
        <item x="255"/>
        <item x="708"/>
        <item x="376"/>
        <item x="447"/>
        <item x="176"/>
        <item x="482"/>
        <item x="252"/>
        <item x="525"/>
        <item x="526"/>
        <item x="605"/>
        <item x="677"/>
        <item x="523"/>
        <item x="622"/>
        <item x="483"/>
        <item x="340"/>
        <item x="374"/>
        <item x="365"/>
        <item x="264"/>
        <item x="505"/>
        <item x="335"/>
        <item x="386"/>
        <item x="284"/>
        <item x="375"/>
        <item x="549"/>
        <item x="404"/>
        <item x="603"/>
        <item x="388"/>
        <item x="405"/>
        <item x="397"/>
        <item x="604"/>
        <item x="487"/>
        <item x="182"/>
        <item x="498"/>
        <item x="146"/>
        <item x="495"/>
        <item x="181"/>
        <item x="470"/>
        <item x="442"/>
        <item x="472"/>
        <item x="761"/>
        <item x="170"/>
        <item x="656"/>
        <item x="221"/>
        <item x="471"/>
        <item x="380"/>
        <item x="174"/>
        <item x="80"/>
        <item x="435"/>
        <item x="764"/>
        <item x="325"/>
        <item x="222"/>
        <item x="213"/>
        <item x="847"/>
        <item x="2"/>
        <item x="320"/>
        <item x="341"/>
        <item x="366"/>
        <item x="650"/>
        <item x="280"/>
        <item x="727"/>
        <item x="410"/>
        <item x="295"/>
        <item x="219"/>
        <item x="699"/>
        <item x="625"/>
        <item x="196"/>
        <item x="609"/>
        <item x="92"/>
        <item x="529"/>
        <item x="793"/>
        <item x="731"/>
        <item x="18"/>
        <item x="610"/>
        <item x="321"/>
        <item x="153"/>
        <item x="178"/>
        <item x="481"/>
        <item x="738"/>
        <item x="131"/>
        <item x="615"/>
        <item x="308"/>
        <item x="129"/>
        <item x="788"/>
        <item x="840"/>
        <item x="835"/>
        <item x="828"/>
        <item x="229"/>
        <item x="142"/>
        <item x="43"/>
        <item x="151"/>
        <item x="290"/>
        <item x="850"/>
        <item x="621"/>
        <item x="577"/>
        <item x="11"/>
        <item x="332"/>
        <item x="220"/>
        <item x="34"/>
        <item x="195"/>
        <item x="217"/>
        <item x="120"/>
        <item x="776"/>
        <item x="38"/>
        <item x="617"/>
        <item x="576"/>
        <item x="115"/>
        <item x="128"/>
        <item x="633"/>
        <item x="642"/>
        <item x="827"/>
        <item x="177"/>
        <item x="309"/>
        <item x="235"/>
        <item x="778"/>
        <item x="841"/>
        <item x="837"/>
        <item x="212"/>
        <item x="218"/>
        <item x="71"/>
        <item x="227"/>
        <item x="611"/>
        <item x="8"/>
        <item x="203"/>
        <item x="188"/>
        <item x="721"/>
        <item x="75"/>
        <item x="64"/>
        <item x="705"/>
        <item x="428"/>
        <item x="514"/>
        <item x="704"/>
        <item x="627"/>
        <item x="767"/>
        <item x="3"/>
        <item x="706"/>
        <item x="813"/>
        <item x="689"/>
        <item x="205"/>
        <item x="206"/>
        <item x="780"/>
        <item x="464"/>
        <item x="640"/>
        <item x="488"/>
        <item x="646"/>
        <item x="424"/>
        <item x="270"/>
        <item x="186"/>
        <item x="233"/>
        <item x="467"/>
        <item x="662"/>
        <item x="39"/>
        <item x="803"/>
        <item x="507"/>
        <item x="265"/>
        <item x="739"/>
        <item x="210"/>
        <item x="82"/>
        <item x="771"/>
        <item x="17"/>
        <item x="700"/>
        <item x="657"/>
        <item x="193"/>
        <item x="816"/>
        <item x="149"/>
        <item x="794"/>
        <item x="655"/>
        <item x="710"/>
        <item x="486"/>
        <item x="107"/>
        <item x="619"/>
        <item x="231"/>
        <item x="697"/>
        <item x="602"/>
        <item x="162"/>
        <item x="141"/>
        <item x="234"/>
        <item x="135"/>
        <item x="492"/>
        <item x="629"/>
        <item x="678"/>
        <item x="649"/>
        <item x="393"/>
        <item x="620"/>
        <item x="407"/>
        <item x="580"/>
        <item x="117"/>
        <item x="266"/>
        <item x="197"/>
        <item x="54"/>
        <item x="342"/>
        <item x="147"/>
        <item x="510"/>
        <item x="825"/>
        <item x="735"/>
        <item x="789"/>
        <item x="247"/>
        <item x="845"/>
        <item x="570"/>
        <item x="257"/>
        <item x="123"/>
        <item x="52"/>
        <item x="509"/>
        <item x="59"/>
        <item x="361"/>
        <item x="314"/>
        <item x="632"/>
        <item x="63"/>
        <item x="27"/>
        <item x="226"/>
        <item x="72"/>
        <item x="524"/>
        <item x="230"/>
        <item x="73"/>
        <item x="228"/>
        <item x="377"/>
        <item x="225"/>
        <item x="90"/>
        <item x="530"/>
        <item x="336"/>
        <item x="834"/>
        <item x="838"/>
        <item x="712"/>
        <item x="262"/>
        <item x="440"/>
        <item x="493"/>
        <item x="329"/>
        <item x="241"/>
        <item x="268"/>
        <item x="573"/>
        <item x="559"/>
        <item x="385"/>
        <item x="644"/>
        <item x="311"/>
        <item x="56"/>
        <item x="574"/>
        <item x="820"/>
        <item x="297"/>
        <item x="140"/>
        <item x="74"/>
        <item x="713"/>
        <item x="286"/>
        <item x="592"/>
        <item x="30"/>
        <item x="441"/>
        <item x="465"/>
        <item x="273"/>
        <item x="99"/>
        <item x="412"/>
        <item x="175"/>
        <item x="118"/>
        <item x="651"/>
        <item x="686"/>
        <item x="456"/>
        <item x="95"/>
        <item x="624"/>
        <item x="343"/>
        <item x="418"/>
        <item x="783"/>
        <item x="356"/>
        <item x="328"/>
        <item x="694"/>
        <item x="590"/>
        <item x="51"/>
        <item x="732"/>
        <item x="180"/>
        <item x="194"/>
        <item x="259"/>
        <item x="283"/>
        <item x="125"/>
        <item x="4"/>
        <item x="569"/>
        <item x="768"/>
        <item x="245"/>
        <item x="413"/>
        <item x="805"/>
        <item x="679"/>
        <item x="349"/>
        <item x="595"/>
        <item x="757"/>
        <item x="29"/>
        <item x="448"/>
        <item x="843"/>
        <item x="785"/>
        <item x="666"/>
        <item x="791"/>
        <item x="171"/>
        <item x="556"/>
        <item x="91"/>
        <item x="198"/>
        <item x="485"/>
        <item x="516"/>
        <item x="774"/>
        <item x="652"/>
        <item x="452"/>
        <item x="263"/>
        <item x="517"/>
        <item x="93"/>
        <item x="661"/>
        <item x="169"/>
        <item x="817"/>
        <item x="204"/>
        <item x="491"/>
        <item x="742"/>
        <item x="403"/>
        <item x="209"/>
        <item x="543"/>
        <item x="725"/>
        <item x="114"/>
        <item x="122"/>
        <item x="201"/>
        <item x="344"/>
        <item x="159"/>
        <item x="300"/>
        <item x="371"/>
        <item x="179"/>
        <item x="546"/>
        <item x="425"/>
        <item x="165"/>
        <item x="584"/>
        <item x="755"/>
        <item x="723"/>
        <item x="161"/>
        <item x="14"/>
        <item x="48"/>
        <item x="480"/>
        <item x="22"/>
        <item x="127"/>
        <item x="274"/>
        <item x="57"/>
        <item x="722"/>
        <item x="737"/>
        <item x="521"/>
        <item x="313"/>
        <item x="647"/>
        <item x="781"/>
        <item x="479"/>
        <item x="636"/>
        <item x="754"/>
        <item x="62"/>
        <item x="66"/>
        <item x="645"/>
        <item x="275"/>
        <item x="798"/>
        <item x="138"/>
        <item x="687"/>
        <item x="818"/>
        <item x="191"/>
        <item x="663"/>
        <item x="685"/>
        <item x="97"/>
        <item x="282"/>
        <item x="137"/>
        <item x="779"/>
        <item x="85"/>
        <item x="68"/>
        <item x="675"/>
        <item x="94"/>
        <item x="148"/>
        <item x="224"/>
        <item x="718"/>
        <item x="10"/>
        <item x="501"/>
        <item x="593"/>
        <item x="109"/>
        <item x="307"/>
        <item x="287"/>
        <item x="36"/>
        <item x="119"/>
        <item x="606"/>
        <item x="745"/>
        <item x="77"/>
        <item x="261"/>
        <item x="37"/>
        <item x="690"/>
        <item x="680"/>
        <item x="848"/>
        <item x="387"/>
        <item x="81"/>
        <item x="291"/>
        <item x="355"/>
        <item x="564"/>
        <item x="238"/>
        <item x="527"/>
        <item x="13"/>
        <item x="166"/>
        <item x="143"/>
        <item x="299"/>
        <item x="544"/>
        <item x="25"/>
        <item x="289"/>
        <item x="494"/>
        <item x="367"/>
        <item x="682"/>
        <item x="669"/>
        <item x="538"/>
        <item x="19"/>
        <item x="104"/>
        <item x="792"/>
        <item x="839"/>
        <item x="167"/>
        <item x="240"/>
        <item x="508"/>
        <item x="272"/>
        <item x="743"/>
        <item x="106"/>
        <item x="719"/>
        <item x="497"/>
        <item x="112"/>
        <item x="256"/>
        <item x="12"/>
        <item x="506"/>
        <item x="586"/>
        <item x="540"/>
        <item x="239"/>
        <item x="588"/>
        <item x="102"/>
        <item x="665"/>
        <item x="79"/>
        <item x="585"/>
        <item x="752"/>
        <item x="354"/>
        <item x="429"/>
        <item x="372"/>
        <item x="324"/>
        <item x="582"/>
        <item x="15"/>
        <item x="373"/>
        <item x="832"/>
        <item x="688"/>
        <item x="445"/>
        <item x="65"/>
        <item x="172"/>
        <item x="103"/>
        <item x="654"/>
        <item x="351"/>
        <item x="133"/>
        <item x="438"/>
        <item x="317"/>
        <item x="260"/>
        <item x="60"/>
        <item x="431"/>
        <item x="408"/>
        <item x="421"/>
        <item x="363"/>
        <item x="638"/>
        <item x="433"/>
        <item x="108"/>
        <item x="475"/>
        <item x="599"/>
        <item x="184"/>
        <item x="473"/>
        <item x="390"/>
        <item x="750"/>
        <item x="557"/>
        <item x="5"/>
        <item x="535"/>
        <item x="536"/>
        <item x="384"/>
        <item x="357"/>
        <item x="596"/>
        <item x="460"/>
        <item x="631"/>
        <item x="395"/>
        <item x="298"/>
        <item x="423"/>
        <item x="296"/>
        <item x="720"/>
        <item x="83"/>
        <item x="244"/>
        <item x="285"/>
        <item x="775"/>
        <item x="639"/>
        <item x="334"/>
        <item x="846"/>
        <item x="16"/>
        <item x="578"/>
        <item x="466"/>
        <item x="815"/>
        <item x="616"/>
        <item x="797"/>
        <item x="716"/>
        <item x="31"/>
        <item x="330"/>
        <item x="35"/>
        <item x="145"/>
        <item x="819"/>
        <item x="306"/>
        <item x="463"/>
        <item x="800"/>
        <item x="333"/>
        <item x="7"/>
        <item x="368"/>
        <item x="821"/>
        <item x="571"/>
        <item x="394"/>
        <item x="691"/>
        <item x="78"/>
        <item x="21"/>
        <item x="477"/>
        <item x="726"/>
        <item x="799"/>
        <item x="740"/>
        <item x="1"/>
        <item x="237"/>
        <item x="674"/>
        <item x="281"/>
        <item x="696"/>
        <item x="331"/>
        <item x="503"/>
        <item x="772"/>
        <item x="302"/>
        <item x="392"/>
        <item x="635"/>
        <item x="50"/>
        <item x="312"/>
        <item x="396"/>
        <item x="807"/>
        <item x="192"/>
        <item x="49"/>
        <item x="28"/>
        <item x="520"/>
        <item x="362"/>
        <item x="401"/>
        <item x="579"/>
        <item x="98"/>
        <item x="597"/>
        <item x="199"/>
        <item x="434"/>
        <item x="537"/>
        <item x="250"/>
        <item x="47"/>
        <item x="389"/>
        <item x="249"/>
        <item x="790"/>
        <item x="533"/>
        <item x="251"/>
        <item x="545"/>
        <item x="399"/>
        <item x="684"/>
        <item x="641"/>
        <item x="303"/>
        <item x="446"/>
        <item x="269"/>
        <item x="664"/>
        <item x="566"/>
        <item x="515"/>
        <item x="9"/>
        <item x="310"/>
        <item x="391"/>
        <item x="449"/>
        <item x="352"/>
        <item x="189"/>
        <item x="305"/>
        <item x="502"/>
        <item x="185"/>
        <item x="124"/>
        <item x="734"/>
        <item x="346"/>
        <item x="668"/>
        <item x="26"/>
        <item x="101"/>
        <item x="802"/>
        <item x="360"/>
        <item x="683"/>
        <item x="364"/>
        <item x="660"/>
        <item x="829"/>
        <item x="278"/>
        <item x="242"/>
        <item x="528"/>
        <item x="427"/>
        <item x="672"/>
        <item x="121"/>
        <item x="160"/>
        <item x="419"/>
        <item x="20"/>
        <item x="572"/>
        <item x="113"/>
        <item x="575"/>
        <item x="271"/>
        <item x="398"/>
        <item x="476"/>
        <item x="670"/>
        <item x="567"/>
        <item x="139"/>
        <item x="600"/>
        <item x="6"/>
        <item x="844"/>
        <item x="454"/>
        <item x="587"/>
        <item x="695"/>
        <item x="551"/>
        <item x="432"/>
        <item x="293"/>
        <item x="552"/>
        <item x="453"/>
        <item x="358"/>
        <item x="741"/>
        <item x="717"/>
        <item x="707"/>
        <item x="383"/>
        <item x="714"/>
        <item x="301"/>
        <item x="378"/>
        <item x="478"/>
        <item x="152"/>
        <item x="809"/>
        <item x="416"/>
        <item x="292"/>
        <item x="402"/>
        <item x="614"/>
        <item x="613"/>
        <item x="548"/>
        <item x="681"/>
        <item x="163"/>
        <item x="406"/>
        <item x="806"/>
        <item x="539"/>
        <item x="462"/>
        <item x="347"/>
        <item x="667"/>
        <item x="214"/>
        <item x="692"/>
        <item x="190"/>
        <item x="760"/>
        <item x="598"/>
        <item x="359"/>
        <item x="499"/>
        <item x="500"/>
        <item x="451"/>
        <item x="795"/>
        <item x="607"/>
        <item x="534"/>
        <item x="608"/>
        <item x="555"/>
        <item x="659"/>
        <item x="267"/>
        <item x="437"/>
        <item x="436"/>
        <item x="67"/>
        <item x="315"/>
        <item x="634"/>
        <item x="164"/>
        <item x="100"/>
        <item x="623"/>
      </items>
    </pivotField>
    <pivotField name="Category" axis="axisRow" compact="0" outline="0" multipleItemSelectionAllowed="1" showAll="0" sortType="ascending" defaultSubtotal="0">
      <items>
        <item x="1"/>
        <item x="0"/>
        <item x="3"/>
        <item x="7"/>
        <item x="4"/>
        <item x="2"/>
        <item x="6"/>
        <item x="5"/>
      </items>
    </pivotField>
    <pivotField name="Subcategory" axis="axisRow" compact="0" outline="0" multipleItemSelectionAllowed="1" showAll="0" sortType="ascending" defaultSubtotal="0">
      <items>
        <item x="1"/>
        <item x="0"/>
        <item x="18"/>
        <item x="25"/>
        <item x="28"/>
        <item x="35"/>
        <item x="43"/>
        <item x="38"/>
        <item x="44"/>
        <item x="22"/>
        <item x="19"/>
        <item x="9"/>
        <item x="40"/>
        <item x="13"/>
        <item x="41"/>
        <item x="26"/>
        <item x="29"/>
        <item x="31"/>
        <item x="10"/>
        <item x="21"/>
        <item x="7"/>
        <item x="23"/>
        <item x="37"/>
        <item x="45"/>
        <item x="15"/>
        <item x="34"/>
        <item x="39"/>
        <item x="2"/>
        <item x="4"/>
        <item x="5"/>
        <item x="16"/>
        <item x="27"/>
        <item x="33"/>
        <item x="3"/>
        <item x="20"/>
        <item x="24"/>
        <item x="12"/>
        <item x="17"/>
        <item x="42"/>
        <item x="11"/>
        <item x="14"/>
        <item x="32"/>
        <item x="36"/>
        <item x="30"/>
        <item x="8"/>
        <item x="6"/>
      </items>
    </pivotField>
    <pivotField name="hide from income statement (represented via child bounties and/or via the balance sheet)" axis="axisPage" compact="0" outline="0" multipleItemSelectionAllowed="1" showAll="0">
      <items>
        <item x="0"/>
        <item h="1" x="1"/>
        <item t="default"/>
      </items>
    </pivotField>
    <pivotField name="bounty-related" compact="0" outline="0" multipleItemSelectionAllowed="1" showAll="0">
      <items>
        <item x="0"/>
        <item x="1"/>
        <item t="default"/>
      </items>
    </pivotField>
    <pivotField name="recurring" compact="0" outline="0" multipleItemSelectionAllowed="1" showAll="0">
      <items>
        <item x="0"/>
        <item x="1"/>
        <item t="default"/>
      </items>
    </pivotField>
    <pivotField name="Notes" compact="0" outline="0" multipleItemSelectionAllowed="1" showAll="0">
      <items>
        <item x="0"/>
        <item x="1"/>
        <item x="2"/>
        <item t="default"/>
      </items>
    </pivotField>
    <pivotField name="year" compact="0" numFmtId="3" outline="0" multipleItemSelectionAllowed="1" showAll="0">
      <items>
        <item x="0"/>
        <item x="1"/>
        <item t="default"/>
      </items>
    </pivotField>
    <pivotField name="month" compact="0" numFmtId="3" outline="0" multipleItemSelectionAllowed="1" showAll="0">
      <items>
        <item x="0"/>
        <item x="1"/>
        <item x="2"/>
        <item x="3"/>
        <item x="4"/>
        <item x="5"/>
        <item x="6"/>
        <item x="7"/>
        <item x="8"/>
        <item x="9"/>
        <item x="10"/>
        <item x="11"/>
        <item t="default"/>
      </items>
    </pivotField>
    <pivotField name="quarter" compact="0" numFmtId="3" outline="0" multipleItemSelectionAllowed="1" showAll="0">
      <items>
        <item x="0"/>
        <item x="1"/>
        <item x="2"/>
        <item x="3"/>
        <item x="4"/>
        <item x="5"/>
        <item t="default"/>
      </items>
    </pivotField>
    <pivotField name="year-month" compact="0" numFmtId="3" outline="0" multipleItemSelectionAllowed="1" showAll="0">
      <items>
        <item x="0"/>
        <item x="1"/>
        <item x="2"/>
        <item x="3"/>
        <item x="4"/>
        <item x="5"/>
        <item x="6"/>
        <item x="7"/>
        <item x="8"/>
        <item x="9"/>
        <item x="10"/>
        <item x="11"/>
        <item x="12"/>
        <item x="13"/>
        <item x="14"/>
        <item x="15"/>
        <item t="default"/>
      </items>
    </pivotField>
    <pivotField name="half-years" compact="0" outline="0" multipleItemSelectionAllowed="1" showAll="0">
      <items>
        <item x="0"/>
        <item x="1"/>
        <item x="2"/>
        <item x="3"/>
        <item t="default"/>
      </items>
    </pivotField>
    <pivotField name="error - please vote nay" compact="0" outline="0" multipleItemSelectionAllowed="1" showAll="0">
      <items>
        <item x="0"/>
        <item x="1"/>
        <item t="default"/>
      </items>
    </pivotField>
  </pivotFields>
  <rowFields>
    <field x="0"/>
    <field x="9"/>
    <field x="3"/>
    <field x="10"/>
    <field x="11"/>
    <field x="12"/>
    <field x="1"/>
  </rowFields>
  <pageFields>
    <pageField fld="2"/>
    <pageField fld="13"/>
  </pageFields>
  <filters>
    <filter fld="3" type="captionGreaterThan" evalOrder="-1" id="2" stringValue1="0">
      <autoFilter ref="A1">
        <filterColumn colId="0">
          <customFilters>
            <customFilter operator="greaterThan" val="0"/>
          </customFilters>
        </filterColumn>
      </autoFilter>
    </filter>
  </filters>
</pivotTableDefinition>
</file>

<file path=xl/pivotTables/pivotTable5.xml><?xml version="1.0" encoding="utf-8"?>
<pivotTableDefinition xmlns="http://schemas.openxmlformats.org/spreadsheetml/2006/main" name="Aggregated 2" cacheId="2" dataCaption="" rowGrandTotals="0" compact="0" compactData="0">
  <location ref="B746:I2809" firstHeaderRow="0" firstDataRow="7" firstDataCol="0" rowPageCount="2" colPageCount="1"/>
  <pivotFields>
    <pivotField name="#" axis="axisRow" compact="0" outline="0" multipleItemSelectionAllowed="1" showAll="0" sortType="ascending" defaultSubtota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s>
    </pivotField>
    <pivotField name="parentBountyID"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status" axis="axisPage" compact="0" outline="0" multipleItemSelectionAllowed="1" showAll="0">
      <items>
        <item x="0"/>
        <item h="1" x="1"/>
        <item h="1" x="2"/>
        <item t="default"/>
      </items>
    </pivotField>
    <pivotField name="description" axis="axisRow" compact="0" outline="0" multipleItemSelectionAllowed="1" showAll="0" sortType="ascending">
      <items>
        <item x="634"/>
        <item x="1996"/>
        <item x="1997"/>
        <item x="399"/>
        <item x="801"/>
        <item x="767"/>
        <item x="781"/>
        <item x="675"/>
        <item x="905"/>
        <item x="914"/>
        <item x="881"/>
        <item x="654"/>
        <item x="646"/>
        <item x="1565"/>
        <item x="397"/>
        <item x="1931"/>
        <item x="1657"/>
        <item x="1440"/>
        <item x="1930"/>
        <item x="1655"/>
        <item x="1438"/>
        <item x="965"/>
        <item x="1796"/>
        <item x="1795"/>
        <item x="974"/>
        <item x="1067"/>
        <item x="1271"/>
        <item x="1065"/>
        <item x="1280"/>
        <item x="1066"/>
        <item x="1272"/>
        <item x="1071"/>
        <item x="1282"/>
        <item x="878"/>
        <item x="776"/>
        <item x="140"/>
        <item x="144"/>
        <item x="142"/>
        <item x="162"/>
        <item x="894"/>
        <item x="777"/>
        <item x="865"/>
        <item x="861"/>
        <item x="852"/>
        <item x="856"/>
        <item x="864"/>
        <item x="847"/>
        <item x="866"/>
        <item x="850"/>
        <item x="854"/>
        <item x="849"/>
        <item x="855"/>
        <item x="851"/>
        <item x="863"/>
        <item x="860"/>
        <item x="853"/>
        <item x="859"/>
        <item x="848"/>
        <item x="862"/>
        <item x="857"/>
        <item x="858"/>
        <item x="698"/>
        <item x="700"/>
        <item x="702"/>
        <item x="699"/>
        <item x="701"/>
        <item x="823"/>
        <item x="986"/>
        <item x="109"/>
        <item x="167"/>
        <item x="820"/>
        <item x="571"/>
        <item x="572"/>
        <item x="228"/>
        <item x="200"/>
        <item x="193"/>
        <item x="573"/>
        <item x="1929"/>
        <item x="1687"/>
        <item x="1470"/>
        <item x="1866"/>
        <item x="1659"/>
        <item x="1457"/>
        <item x="604"/>
        <item x="608"/>
        <item x="484"/>
        <item x="124"/>
        <item x="181"/>
        <item x="545"/>
        <item x="1031"/>
        <item x="1025"/>
        <item x="1235"/>
        <item x="1147"/>
        <item x="551"/>
        <item x="552"/>
        <item x="507"/>
        <item x="728"/>
        <item x="729"/>
        <item x="874"/>
        <item x="1772"/>
        <item x="1411"/>
        <item x="1876"/>
        <item x="1691"/>
        <item x="1445"/>
        <item x="1875"/>
        <item x="1690"/>
        <item x="1444"/>
        <item x="613"/>
        <item x="1775"/>
        <item x="1346"/>
        <item x="1347"/>
        <item x="1348"/>
        <item x="1261"/>
        <item x="1236"/>
        <item x="1203"/>
        <item x="1205"/>
        <item x="1204"/>
        <item x="1206"/>
        <item x="1010"/>
        <item x="1009"/>
        <item x="48"/>
        <item x="1242"/>
        <item x="1243"/>
        <item x="1245"/>
        <item x="1241"/>
        <item x="1244"/>
        <item x="978"/>
        <item x="1166"/>
        <item x="579"/>
        <item x="950"/>
        <item x="618"/>
        <item x="2006"/>
        <item x="1414"/>
        <item x="632"/>
        <item x="705"/>
        <item x="180"/>
        <item x="527"/>
        <item x="694"/>
        <item x="798"/>
        <item x="912"/>
        <item x="672"/>
        <item x="1097"/>
        <item x="1905"/>
        <item x="1743"/>
        <item x="1324"/>
        <item x="1522"/>
        <item x="822"/>
        <item x="1610"/>
        <item x="161"/>
        <item x="578"/>
        <item x="816"/>
        <item x="985"/>
        <item x="336"/>
        <item x="529"/>
        <item x="166"/>
        <item x="966"/>
        <item x="1535"/>
        <item x="1365"/>
        <item x="1118"/>
        <item x="121"/>
        <item x="686"/>
        <item x="687"/>
        <item x="129"/>
        <item x="128"/>
        <item x="1340"/>
        <item x="1648"/>
        <item x="1040"/>
        <item x="1165"/>
        <item x="1249"/>
        <item x="1933"/>
        <item x="1935"/>
        <item x="1934"/>
        <item x="984"/>
        <item x="692"/>
        <item x="1868"/>
        <item x="1661"/>
        <item x="1459"/>
        <item x="1932"/>
        <item x="1658"/>
        <item x="1441"/>
        <item x="1305"/>
        <item x="1053"/>
        <item x="975"/>
        <item x="1341"/>
        <item x="1111"/>
        <item x="813"/>
        <item x="951"/>
        <item x="868"/>
        <item x="826"/>
        <item x="5"/>
        <item x="7"/>
        <item x="6"/>
        <item x="8"/>
        <item x="0"/>
        <item x="2"/>
        <item x="1"/>
        <item x="4"/>
        <item x="3"/>
        <item x="10"/>
        <item x="11"/>
        <item x="12"/>
        <item x="9"/>
        <item x="808"/>
        <item x="902"/>
        <item x="778"/>
        <item x="643"/>
        <item x="1486"/>
        <item x="1723"/>
        <item x="1887"/>
        <item x="1274"/>
        <item x="1087"/>
        <item x="1073"/>
        <item x="1338"/>
        <item x="1232"/>
        <item x="1674"/>
        <item x="1455"/>
        <item x="1671"/>
        <item x="607"/>
        <item x="1475"/>
        <item x="1262"/>
        <item x="916"/>
        <item x="803"/>
        <item x="1732"/>
        <item x="677"/>
        <item x="1894"/>
        <item x="1499"/>
        <item x="1290"/>
        <item x="1089"/>
        <item x="987"/>
        <item x="988"/>
        <item x="1825"/>
        <item x="1104"/>
        <item x="1752"/>
        <item x="1517"/>
        <item x="1909"/>
        <item x="1748"/>
        <item x="1329"/>
        <item x="1914"/>
        <item x="1564"/>
        <item x="1056"/>
        <item x="1026"/>
        <item x="1969"/>
        <item x="1965"/>
        <item x="1970"/>
        <item x="1971"/>
        <item x="1968"/>
        <item x="1967"/>
        <item x="1127"/>
        <item x="1125"/>
        <item x="1126"/>
        <item x="1198"/>
        <item x="1701"/>
        <item x="1702"/>
        <item x="1703"/>
        <item x="1700"/>
        <item x="1704"/>
        <item x="1804"/>
        <item x="1805"/>
        <item x="1806"/>
        <item x="1807"/>
        <item x="1841"/>
        <item x="1808"/>
        <item x="1842"/>
        <item x="1843"/>
        <item x="1946"/>
        <item x="1844"/>
        <item x="1845"/>
        <item x="1846"/>
        <item x="1947"/>
        <item x="1847"/>
        <item x="1848"/>
        <item x="1948"/>
        <item x="1849"/>
        <item x="1949"/>
        <item x="1950"/>
        <item x="1951"/>
        <item x="1952"/>
        <item x="1995"/>
        <item x="1998"/>
        <item x="1999"/>
        <item x="2000"/>
        <item x="2001"/>
        <item x="2002"/>
        <item x="1580"/>
        <item x="1549"/>
        <item x="1556"/>
        <item x="1557"/>
        <item x="1551"/>
        <item x="1550"/>
        <item x="1552"/>
        <item x="1558"/>
        <item x="1559"/>
        <item x="1554"/>
        <item x="1553"/>
        <item x="1581"/>
        <item x="1560"/>
        <item x="1561"/>
        <item x="1555"/>
        <item x="1562"/>
        <item x="1582"/>
        <item x="1583"/>
        <item x="930"/>
        <item x="1642"/>
        <item x="1643"/>
        <item x="1644"/>
        <item x="1645"/>
        <item x="1646"/>
        <item x="1630"/>
        <item x="1619"/>
        <item x="1620"/>
        <item x="1615"/>
        <item x="1616"/>
        <item x="1617"/>
        <item x="1618"/>
        <item x="1765"/>
        <item x="1766"/>
        <item x="1767"/>
        <item x="1768"/>
        <item x="1769"/>
        <item x="1771"/>
        <item x="1770"/>
        <item x="1966"/>
        <item x="1386"/>
        <item x="395"/>
        <item x="958"/>
        <item x="973"/>
        <item x="1154"/>
        <item x="1372"/>
        <item x="1633"/>
        <item x="1634"/>
        <item x="1810"/>
        <item x="710"/>
        <item x="427"/>
        <item x="706"/>
        <item x="824"/>
        <item x="1782"/>
        <item x="1783"/>
        <item x="991"/>
        <item x="1597"/>
        <item x="1598"/>
        <item x="1373"/>
        <item x="1374"/>
        <item x="516"/>
        <item x="1148"/>
        <item x="1149"/>
        <item x="1150"/>
        <item x="833"/>
        <item x="1151"/>
        <item x="1146"/>
        <item x="1144"/>
        <item x="1145"/>
        <item x="2003"/>
        <item x="2005"/>
        <item x="2004"/>
        <item x="1862"/>
        <item x="1361"/>
        <item x="1530"/>
        <item x="1531"/>
        <item x="1529"/>
        <item x="1528"/>
        <item x="1209"/>
        <item x="1211"/>
        <item x="1210"/>
        <item x="945"/>
        <item x="1215"/>
        <item x="283"/>
        <item x="273"/>
        <item x="285"/>
        <item x="266"/>
        <item x="280"/>
        <item x="278"/>
        <item x="270"/>
        <item x="287"/>
        <item x="267"/>
        <item x="265"/>
        <item x="279"/>
        <item x="276"/>
        <item x="275"/>
        <item x="269"/>
        <item x="286"/>
        <item x="274"/>
        <item x="268"/>
        <item x="277"/>
        <item x="271"/>
        <item x="272"/>
        <item x="284"/>
        <item x="282"/>
        <item x="281"/>
        <item x="845"/>
        <item x="291"/>
        <item x="298"/>
        <item x="299"/>
        <item x="289"/>
        <item x="288"/>
        <item x="297"/>
        <item x="301"/>
        <item x="290"/>
        <item x="300"/>
        <item x="293"/>
        <item x="296"/>
        <item x="232"/>
        <item x="231"/>
        <item x="230"/>
        <item x="294"/>
        <item x="295"/>
        <item x="745"/>
        <item x="746"/>
        <item x="744"/>
        <item x="980"/>
        <item x="1978"/>
        <item x="401"/>
        <item x="703"/>
        <item x="1629"/>
        <item x="62"/>
        <item x="1413"/>
        <item x="1828"/>
        <item x="1816"/>
        <item x="1815"/>
        <item x="1062"/>
        <item x="890"/>
        <item x="764"/>
        <item x="1277"/>
        <item x="1880"/>
        <item x="1716"/>
        <item x="1490"/>
        <item x="663"/>
        <item x="1247"/>
        <item x="967"/>
        <item x="1707"/>
        <item x="1264"/>
        <item x="1536"/>
        <item x="1366"/>
        <item x="1119"/>
        <item x="1979"/>
        <item x="1199"/>
        <item x="1233"/>
        <item x="461"/>
        <item x="936"/>
        <item x="1200"/>
        <item x="741"/>
        <item x="508"/>
        <item x="1779"/>
        <item x="1588"/>
        <item x="1134"/>
        <item x="398"/>
        <item x="393"/>
        <item x="709"/>
        <item x="155"/>
        <item x="369"/>
        <item x="521"/>
        <item x="368"/>
        <item x="520"/>
        <item x="825"/>
        <item x="954"/>
        <item x="964"/>
        <item x="1114"/>
        <item x="1153"/>
        <item x="1363"/>
        <item x="1410"/>
        <item x="814"/>
        <item x="758"/>
        <item x="688"/>
        <item x="568"/>
        <item x="1102"/>
        <item x="1321"/>
        <item x="919"/>
        <item x="1524"/>
        <item x="794"/>
        <item x="668"/>
        <item x="1776"/>
        <item x="1229"/>
        <item x="1362"/>
        <item x="428"/>
        <item x="1985"/>
        <item x="937"/>
        <item x="1254"/>
        <item x="1870"/>
        <item x="1663"/>
        <item x="1461"/>
        <item x="1854"/>
        <item x="1423"/>
        <item x="1872"/>
        <item x="1675"/>
        <item x="1463"/>
        <item x="1665"/>
        <item x="1829"/>
        <item x="1442"/>
        <item x="612"/>
        <item x="1176"/>
        <item x="683"/>
        <item x="1614"/>
        <item x="1260"/>
        <item x="1006"/>
        <item x="1007"/>
        <item x="1823"/>
        <item x="338"/>
        <item x="252"/>
        <item x="412"/>
        <item x="553"/>
        <item x="1014"/>
        <item x="1201"/>
        <item x="1012"/>
        <item x="1013"/>
        <item x="406"/>
        <item x="501"/>
        <item x="500"/>
        <item x="246"/>
        <item x="247"/>
        <item x="350"/>
        <item x="411"/>
        <item x="351"/>
        <item x="742"/>
        <item x="372"/>
        <item x="373"/>
        <item x="548"/>
        <item x="547"/>
        <item x="732"/>
        <item x="375"/>
        <item x="377"/>
        <item x="376"/>
        <item x="1193"/>
        <item x="463"/>
        <item x="464"/>
        <item x="736"/>
        <item x="875"/>
        <item x="242"/>
        <item x="215"/>
        <item x="221"/>
        <item x="498"/>
        <item x="312"/>
        <item x="311"/>
        <item x="313"/>
        <item x="469"/>
        <item x="468"/>
        <item x="615"/>
        <item x="933"/>
        <item x="1213"/>
        <item x="472"/>
        <item x="414"/>
        <item x="318"/>
        <item x="319"/>
        <item x="207"/>
        <item x="346"/>
        <item x="244"/>
        <item x="403"/>
        <item x="347"/>
        <item x="208"/>
        <item x="209"/>
        <item x="314"/>
        <item x="250"/>
        <item x="404"/>
        <item x="210"/>
        <item x="315"/>
        <item x="251"/>
        <item x="374"/>
        <item x="1015"/>
        <item x="460"/>
        <item x="549"/>
        <item x="733"/>
        <item x="1022"/>
        <item x="598"/>
        <item x="938"/>
        <item x="1202"/>
        <item x="378"/>
        <item x="737"/>
        <item x="556"/>
        <item x="876"/>
        <item x="1194"/>
        <item x="506"/>
        <item x="465"/>
        <item x="502"/>
        <item x="564"/>
        <item x="743"/>
        <item x="379"/>
        <item x="1214"/>
        <item x="510"/>
        <item x="473"/>
        <item x="415"/>
        <item x="1027"/>
        <item x="616"/>
        <item x="550"/>
        <item x="1017"/>
        <item x="499"/>
        <item x="1208"/>
        <item x="873"/>
        <item x="413"/>
        <item x="206"/>
        <item x="243"/>
        <item x="348"/>
        <item x="405"/>
        <item x="205"/>
        <item x="730"/>
        <item x="316"/>
        <item x="253"/>
        <item x="941"/>
        <item x="407"/>
        <item x="349"/>
        <item x="383"/>
        <item x="245"/>
        <item x="214"/>
        <item x="364"/>
        <item x="362"/>
        <item x="363"/>
        <item x="602"/>
        <item x="470"/>
        <item x="1777"/>
        <item x="1628"/>
        <item x="1128"/>
        <item x="1869"/>
        <item x="1662"/>
        <item x="1460"/>
        <item x="1673"/>
        <item x="1454"/>
        <item x="1669"/>
        <item x="1448"/>
        <item x="1681"/>
        <item x="1861"/>
        <item x="1864"/>
        <item x="1668"/>
        <item x="1447"/>
        <item x="485"/>
        <item x="1794"/>
        <item x="425"/>
        <item x="201"/>
        <item x="1925"/>
        <item x="1599"/>
        <item x="1375"/>
        <item x="1259"/>
        <item x="1135"/>
        <item x="651"/>
        <item x="1060"/>
        <item x="1270"/>
        <item x="1714"/>
        <item x="1877"/>
        <item x="371"/>
        <item x="197"/>
        <item x="32"/>
        <item x="567"/>
        <item x="1255"/>
        <item x="1256"/>
        <item x="1078"/>
        <item x="1103"/>
        <item x="1487"/>
        <item x="1516"/>
        <item x="1506"/>
        <item x="1480"/>
        <item x="1293"/>
        <item x="1328"/>
        <item x="1977"/>
        <item x="1371"/>
        <item x="726"/>
        <item x="82"/>
        <item x="226"/>
        <item x="689"/>
        <item x="1230"/>
        <item x="497"/>
        <item x="1345"/>
        <item x="1954"/>
        <item x="812"/>
        <item x="1178"/>
        <item x="1234"/>
        <item x="28"/>
        <item x="29"/>
        <item x="30"/>
        <item x="31"/>
        <item x="1867"/>
        <item x="1660"/>
        <item x="1458"/>
        <item x="1670"/>
        <item x="1449"/>
        <item x="525"/>
        <item x="629"/>
        <item x="1237"/>
        <item x="1131"/>
        <item x="1570"/>
        <item x="1541"/>
        <item x="1712"/>
        <item x="1983"/>
        <item x="725"/>
        <item x="1778"/>
        <item x="154"/>
        <item x="229"/>
        <item x="734"/>
        <item x="1542"/>
        <item x="1713"/>
        <item x="1984"/>
        <item x="1774"/>
        <item x="969"/>
        <item x="1709"/>
        <item x="1268"/>
        <item x="1538"/>
        <item x="1368"/>
        <item x="1121"/>
        <item x="1980"/>
        <item x="1063"/>
        <item x="1083"/>
        <item x="1105"/>
        <item x="913"/>
        <item x="898"/>
        <item x="879"/>
        <item x="786"/>
        <item x="799"/>
        <item x="765"/>
        <item x="1515"/>
        <item x="673"/>
        <item x="1898"/>
        <item x="1881"/>
        <item x="1910"/>
        <item x="1747"/>
        <item x="1735"/>
        <item x="1717"/>
        <item x="1502"/>
        <item x="1491"/>
        <item x="1278"/>
        <item x="1288"/>
        <item x="1327"/>
        <item x="639"/>
        <item x="664"/>
        <item x="1920"/>
        <item x="1227"/>
        <item x="827"/>
        <item x="953"/>
        <item x="1364"/>
        <item x="1473"/>
        <item x="1112"/>
        <item x="636"/>
        <item x="759"/>
        <item x="1865"/>
        <item x="1682"/>
        <item x="1456"/>
        <item x="1666"/>
        <item x="1443"/>
        <item x="1656"/>
        <item x="1439"/>
        <item x="810"/>
        <item x="605"/>
        <item x="1689"/>
        <item x="392"/>
        <item x="504"/>
        <item x="505"/>
        <item x="503"/>
        <item x="408"/>
        <item x="409"/>
        <item x="410"/>
        <item x="738"/>
        <item x="1195"/>
        <item x="1196"/>
        <item x="1197"/>
        <item x="739"/>
        <item x="740"/>
        <item x="381"/>
        <item x="382"/>
        <item x="380"/>
        <item x="1028"/>
        <item x="1029"/>
        <item x="1030"/>
        <item x="480"/>
        <item x="479"/>
        <item x="481"/>
        <item x="1857"/>
        <item x="727"/>
        <item x="1113"/>
        <item x="1155"/>
        <item x="1337"/>
        <item x="1409"/>
        <item x="804"/>
        <item x="678"/>
        <item x="917"/>
        <item x="1518"/>
        <item x="1330"/>
        <item x="1100"/>
        <item x="1226"/>
        <item x="1110"/>
        <item x="1343"/>
        <item x="711"/>
        <item x="697"/>
        <item x="693"/>
        <item x="695"/>
        <item x="696"/>
        <item x="1342"/>
        <item x="164"/>
        <item x="163"/>
        <item x="165"/>
        <item x="1116"/>
        <item x="633"/>
        <item x="981"/>
        <item x="1339"/>
        <item x="1826"/>
        <item x="1258"/>
        <item x="1005"/>
        <item x="843"/>
        <item x="133"/>
        <item x="1863"/>
        <item x="1667"/>
        <item x="1446"/>
        <item x="1851"/>
        <item x="1683"/>
        <item x="1420"/>
        <item x="1821"/>
        <item x="1286"/>
        <item x="770"/>
        <item x="797"/>
        <item x="787"/>
        <item x="884"/>
        <item x="671"/>
        <item x="911"/>
        <item x="899"/>
        <item x="640"/>
        <item x="657"/>
        <item x="1084"/>
        <item x="1096"/>
        <item x="1521"/>
        <item x="1904"/>
        <item x="1884"/>
        <item x="1895"/>
        <item x="1742"/>
        <item x="1722"/>
        <item x="1733"/>
        <item x="1500"/>
        <item x="1483"/>
        <item x="1477"/>
        <item x="1481"/>
        <item x="1323"/>
        <item x="1916"/>
        <item x="835"/>
        <item x="1781"/>
        <item x="1793"/>
        <item x="1789"/>
        <item x="1785"/>
        <item x="1788"/>
        <item x="1792"/>
        <item x="1786"/>
        <item x="1791"/>
        <item x="1784"/>
        <item x="1790"/>
        <item x="1787"/>
        <item x="539"/>
        <item x="533"/>
        <item x="536"/>
        <item x="543"/>
        <item x="540"/>
        <item x="534"/>
        <item x="531"/>
        <item x="542"/>
        <item x="532"/>
        <item x="541"/>
        <item x="535"/>
        <item x="538"/>
        <item x="537"/>
        <item x="993"/>
        <item x="994"/>
        <item x="995"/>
        <item x="992"/>
        <item x="834"/>
        <item x="1161"/>
        <item x="1162"/>
        <item x="1163"/>
        <item x="1164"/>
        <item x="712"/>
        <item x="713"/>
        <item x="715"/>
        <item x="716"/>
        <item x="717"/>
        <item x="714"/>
        <item x="486"/>
        <item x="487"/>
        <item x="488"/>
        <item x="489"/>
        <item x="490"/>
        <item x="1156"/>
        <item x="837"/>
        <item x="436"/>
        <item x="429"/>
        <item x="437"/>
        <item x="430"/>
        <item x="438"/>
        <item x="431"/>
        <item x="439"/>
        <item x="432"/>
        <item x="440"/>
        <item x="433"/>
        <item x="441"/>
        <item x="718"/>
        <item x="719"/>
        <item x="720"/>
        <item x="721"/>
        <item x="722"/>
        <item x="723"/>
        <item x="724"/>
        <item x="580"/>
        <item x="581"/>
        <item x="582"/>
        <item x="583"/>
        <item x="584"/>
        <item x="585"/>
        <item x="586"/>
        <item x="1607"/>
        <item x="1608"/>
        <item x="1600"/>
        <item x="1604"/>
        <item x="1601"/>
        <item x="1603"/>
        <item x="1602"/>
        <item x="1605"/>
        <item x="1609"/>
        <item x="1606"/>
        <item x="1383"/>
        <item x="1384"/>
        <item x="1376"/>
        <item x="1380"/>
        <item x="1377"/>
        <item x="1379"/>
        <item x="1378"/>
        <item x="1381"/>
        <item x="1385"/>
        <item x="1382"/>
        <item x="836"/>
        <item x="1157"/>
        <item x="1158"/>
        <item x="1159"/>
        <item x="1160"/>
        <item x="491"/>
        <item x="495"/>
        <item x="492"/>
        <item x="493"/>
        <item x="494"/>
        <item x="496"/>
        <item x="447"/>
        <item x="448"/>
        <item x="449"/>
        <item x="450"/>
        <item x="451"/>
        <item x="1001"/>
        <item x="1002"/>
        <item x="1003"/>
        <item x="1004"/>
        <item x="996"/>
        <item x="997"/>
        <item x="998"/>
        <item x="999"/>
        <item x="588"/>
        <item x="589"/>
        <item x="590"/>
        <item x="591"/>
        <item x="828"/>
        <item x="829"/>
        <item x="830"/>
        <item x="831"/>
        <item x="832"/>
        <item x="1171"/>
        <item x="1172"/>
        <item x="1175"/>
        <item x="454"/>
        <item x="455"/>
        <item x="456"/>
        <item x="457"/>
        <item x="458"/>
        <item x="459"/>
        <item x="1000"/>
        <item x="587"/>
        <item x="592"/>
        <item x="1173"/>
        <item x="1174"/>
        <item x="434"/>
        <item x="435"/>
        <item x="867"/>
        <item x="452"/>
        <item x="453"/>
        <item x="838"/>
        <item x="839"/>
        <item x="840"/>
        <item x="841"/>
        <item x="1416"/>
        <item x="528"/>
        <item x="690"/>
        <item x="1773"/>
        <item x="1613"/>
        <item x="1976"/>
        <item x="704"/>
        <item x="233"/>
        <item x="524"/>
        <item x="955"/>
        <item x="1011"/>
        <item x="1693"/>
        <item x="708"/>
        <item x="754"/>
        <item x="554"/>
        <item x="471"/>
        <item x="968"/>
        <item x="1708"/>
        <item x="1537"/>
        <item x="1367"/>
        <item x="1120"/>
        <item x="222"/>
        <item x="782"/>
        <item x="895"/>
        <item x="647"/>
        <item x="1819"/>
        <item x="1079"/>
        <item x="1294"/>
        <item x="1507"/>
        <item x="1044"/>
        <item x="928"/>
        <item x="929"/>
        <item x="927"/>
        <item x="926"/>
        <item x="752"/>
        <item x="753"/>
        <item x="1058"/>
        <item x="934"/>
        <item x="1057"/>
        <item x="555"/>
        <item x="597"/>
        <item x="935"/>
        <item x="509"/>
        <item x="749"/>
        <item x="750"/>
        <item x="751"/>
        <item x="747"/>
        <item x="748"/>
        <item x="1224"/>
        <item x="1225"/>
        <item x="1223"/>
        <item x="1222"/>
        <item x="303"/>
        <item x="1860"/>
        <item x="1679"/>
        <item x="1437"/>
        <item x="1871"/>
        <item x="1664"/>
        <item x="1462"/>
        <item x="809"/>
        <item x="1081"/>
        <item x="1070"/>
        <item x="1098"/>
        <item x="784"/>
        <item x="800"/>
        <item x="762"/>
        <item x="921"/>
        <item x="897"/>
        <item x="888"/>
        <item x="1514"/>
        <item x="674"/>
        <item x="1897"/>
        <item x="1878"/>
        <item x="1908"/>
        <item x="1734"/>
        <item x="1746"/>
        <item x="1724"/>
        <item x="1501"/>
        <item x="1488"/>
        <item x="1326"/>
        <item x="1275"/>
        <item x="1287"/>
        <item x="637"/>
        <item x="661"/>
        <item x="1917"/>
        <item x="192"/>
        <item x="134"/>
        <item x="248"/>
        <item x="93"/>
        <item x="94"/>
        <item x="305"/>
        <item x="1042"/>
        <item x="1928"/>
        <item x="1686"/>
        <item x="1469"/>
        <item x="1855"/>
        <item x="1424"/>
        <item x="1873"/>
        <item x="1676"/>
        <item x="1464"/>
        <item x="606"/>
        <item x="1567"/>
        <item x="1578"/>
        <item x="1476"/>
        <item x="1811"/>
        <item x="1926"/>
        <item x="462"/>
        <item x="617"/>
        <item x="1177"/>
        <item x="443"/>
        <item x="530"/>
        <item x="957"/>
        <item x="446"/>
        <item x="482"/>
        <item x="566"/>
        <item x="423"/>
        <item x="1059"/>
        <item x="956"/>
        <item x="467"/>
        <item x="424"/>
        <item x="444"/>
        <item x="760"/>
        <item x="445"/>
        <item x="483"/>
        <item x="1133"/>
        <item x="337"/>
        <item x="819"/>
        <item x="325"/>
        <item x="707"/>
        <item x="330"/>
        <item x="544"/>
        <item x="869"/>
        <item x="870"/>
        <item x="871"/>
        <item x="1474"/>
        <item x="1471"/>
        <item x="1571"/>
        <item x="1635"/>
        <item x="1543"/>
        <item x="1636"/>
        <item x="594"/>
        <item x="635"/>
        <item x="1927"/>
        <item x="1936"/>
        <item x="939"/>
        <item x="365"/>
        <item x="370"/>
        <item x="628"/>
        <item x="259"/>
        <item x="940"/>
        <item x="818"/>
        <item x="817"/>
        <item x="402"/>
        <item x="198"/>
        <item x="570"/>
        <item x="1043"/>
        <item x="522"/>
        <item x="249"/>
        <item x="262"/>
        <item x="426"/>
        <item x="86"/>
        <item x="630"/>
        <item x="846"/>
        <item x="1054"/>
        <item x="292"/>
        <item x="264"/>
        <item x="263"/>
        <item x="1451"/>
        <item x="1453"/>
        <item x="1468"/>
        <item x="1450"/>
        <item x="1452"/>
        <item x="1360"/>
        <item x="1653"/>
        <item x="1972"/>
        <item x="49"/>
        <item x="125"/>
        <item x="225"/>
        <item x="302"/>
        <item x="196"/>
        <item x="126"/>
        <item x="258"/>
        <item x="95"/>
        <item x="844"/>
        <item x="1190"/>
        <item x="1831"/>
        <item x="1344"/>
        <item x="260"/>
        <item x="1572"/>
        <item x="80"/>
        <item x="132"/>
        <item x="85"/>
        <item x="329"/>
        <item x="89"/>
        <item x="227"/>
        <item x="96"/>
        <item x="331"/>
        <item x="328"/>
        <item x="127"/>
        <item x="327"/>
        <item x="1427"/>
        <item x="333"/>
        <item x="223"/>
        <item x="1532"/>
        <item x="224"/>
        <item x="61"/>
        <item x="123"/>
        <item x="122"/>
        <item x="81"/>
        <item x="87"/>
        <item x="97"/>
        <item x="76"/>
        <item x="46"/>
        <item x="110"/>
        <item x="982"/>
        <item x="574"/>
        <item x="983"/>
        <item x="1534"/>
        <item x="1435"/>
        <item x="519"/>
        <item x="234"/>
        <item x="627"/>
        <item x="367"/>
        <item x="195"/>
        <item x="153"/>
        <item x="631"/>
        <item x="1631"/>
        <item x="235"/>
        <item x="1812"/>
        <item x="104"/>
        <item x="199"/>
        <item x="111"/>
        <item x="130"/>
        <item x="47"/>
        <item x="1612"/>
        <item x="194"/>
        <item x="569"/>
        <item x="1246"/>
        <item x="1820"/>
        <item x="1267"/>
        <item x="918"/>
        <item x="903"/>
        <item x="882"/>
        <item x="793"/>
        <item x="779"/>
        <item x="768"/>
        <item x="679"/>
        <item x="644"/>
        <item x="655"/>
        <item x="1493"/>
        <item x="1101"/>
        <item x="1332"/>
        <item x="1088"/>
        <item x="1513"/>
        <item x="1479"/>
        <item x="1737"/>
        <item x="1891"/>
        <item x="1907"/>
        <item x="1745"/>
        <item x="1504"/>
        <item x="1291"/>
        <item x="1721"/>
        <item x="1359"/>
        <item x="88"/>
        <item x="1130"/>
        <item x="1627"/>
        <item x="1647"/>
        <item x="156"/>
        <item x="1568"/>
        <item x="684"/>
        <item x="236"/>
        <item x="596"/>
        <item x="932"/>
        <item x="1212"/>
        <item x="511"/>
        <item x="1170"/>
        <item x="335"/>
        <item x="1047"/>
        <item x="1046"/>
        <item x="1048"/>
        <item x="1045"/>
        <item x="1049"/>
        <item x="1051"/>
        <item x="1052"/>
        <item x="1050"/>
        <item x="963"/>
        <item x="959"/>
        <item x="960"/>
        <item x="962"/>
        <item x="961"/>
        <item x="1813"/>
        <item x="1248"/>
        <item x="972"/>
        <item x="1711"/>
        <item x="1265"/>
        <item x="1540"/>
        <item x="1370"/>
        <item x="1124"/>
        <item x="1982"/>
        <item x="1231"/>
        <item x="1238"/>
        <item x="546"/>
        <item x="731"/>
        <item x="931"/>
        <item x="512"/>
        <item x="614"/>
        <item x="1472"/>
        <item x="952"/>
        <item x="685"/>
        <item x="1417"/>
        <item x="1418"/>
        <item x="98"/>
        <item x="609"/>
        <item x="610"/>
        <item x="611"/>
        <item x="560"/>
        <item x="562"/>
        <item x="561"/>
        <item x="1041"/>
        <item x="1850"/>
        <item x="1167"/>
        <item x="1754"/>
        <item x="891"/>
        <item x="907"/>
        <item x="922"/>
        <item x="773"/>
        <item x="790"/>
        <item x="805"/>
        <item x="1107"/>
        <item x="1091"/>
        <item x="1074"/>
        <item x="1333"/>
        <item x="1298"/>
        <item x="1283"/>
        <item x="1922"/>
        <item x="665"/>
        <item x="680"/>
        <item x="648"/>
        <item x="1525"/>
        <item x="1495"/>
        <item x="1510"/>
        <item x="1726"/>
        <item x="1749"/>
        <item x="1738"/>
        <item x="1888"/>
        <item x="1911"/>
        <item x="1900"/>
        <item x="1168"/>
        <item x="1755"/>
        <item x="892"/>
        <item x="908"/>
        <item x="923"/>
        <item x="774"/>
        <item x="791"/>
        <item x="806"/>
        <item x="1108"/>
        <item x="1092"/>
        <item x="1075"/>
        <item x="1334"/>
        <item x="1299"/>
        <item x="1284"/>
        <item x="1923"/>
        <item x="666"/>
        <item x="681"/>
        <item x="649"/>
        <item x="1526"/>
        <item x="1496"/>
        <item x="1511"/>
        <item x="1727"/>
        <item x="1750"/>
        <item x="1739"/>
        <item x="1889"/>
        <item x="1912"/>
        <item x="1901"/>
        <item x="1169"/>
        <item x="1756"/>
        <item x="893"/>
        <item x="909"/>
        <item x="924"/>
        <item x="775"/>
        <item x="792"/>
        <item x="807"/>
        <item x="1109"/>
        <item x="1093"/>
        <item x="1076"/>
        <item x="1335"/>
        <item x="1300"/>
        <item x="1285"/>
        <item x="1924"/>
        <item x="667"/>
        <item x="682"/>
        <item x="650"/>
        <item x="1527"/>
        <item x="1497"/>
        <item x="1512"/>
        <item x="1728"/>
        <item x="1751"/>
        <item x="1740"/>
        <item x="1890"/>
        <item x="1913"/>
        <item x="1902"/>
        <item x="925"/>
        <item x="1953"/>
        <item x="1312"/>
        <item x="1589"/>
        <item x="1705"/>
        <item x="1973"/>
        <item x="1974"/>
        <item x="1626"/>
        <item x="1624"/>
        <item x="1625"/>
        <item x="138"/>
        <item x="141"/>
        <item x="143"/>
        <item x="139"/>
        <item x="145"/>
        <item x="970"/>
        <item x="1122"/>
        <item x="1591"/>
        <item x="979"/>
        <item x="1266"/>
        <item x="1590"/>
        <item x="1955"/>
        <item x="1706"/>
        <item x="1533"/>
        <item x="50"/>
        <item x="1036"/>
        <item x="1852"/>
        <item x="1684"/>
        <item x="1421"/>
        <item x="1672"/>
        <item x="1654"/>
        <item x="1485"/>
        <item x="1068"/>
        <item x="1080"/>
        <item x="1295"/>
        <item x="1273"/>
        <item x="896"/>
        <item x="886"/>
        <item x="783"/>
        <item x="772"/>
        <item x="1508"/>
        <item x="652"/>
        <item x="659"/>
        <item x="1649"/>
        <item x="1008"/>
        <item x="1853"/>
        <item x="1685"/>
        <item x="1422"/>
        <item x="691"/>
        <item x="977"/>
        <item x="304"/>
        <item x="1221"/>
        <item x="1216"/>
        <item x="877"/>
        <item x="942"/>
        <item x="943"/>
        <item x="944"/>
        <item x="1032"/>
        <item x="1033"/>
        <item x="1034"/>
        <item x="1251"/>
        <item x="1252"/>
        <item x="1250"/>
        <item x="518"/>
        <item x="1356"/>
        <item x="1962"/>
        <item x="1963"/>
        <item x="1991"/>
        <item x="1992"/>
        <item x="1994"/>
        <item x="1314"/>
        <item x="1315"/>
        <item x="1317"/>
        <item x="1318"/>
        <item x="1319"/>
        <item x="1320"/>
        <item x="1316"/>
        <item x="1354"/>
        <item x="1430"/>
        <item x="1400"/>
        <item x="1431"/>
        <item x="1544"/>
        <item x="1545"/>
        <item x="1941"/>
        <item x="1942"/>
        <item x="1943"/>
        <item x="1960"/>
        <item x="1961"/>
        <item x="1993"/>
        <item x="1136"/>
        <item x="1115"/>
        <item x="1349"/>
        <item x="1357"/>
        <item x="1350"/>
        <item x="1351"/>
        <item x="1358"/>
        <item x="1352"/>
        <item x="1353"/>
        <item x="1306"/>
        <item x="1307"/>
        <item x="1308"/>
        <item x="1310"/>
        <item x="1311"/>
        <item x="1309"/>
        <item x="1405"/>
        <item x="1406"/>
        <item x="1396"/>
        <item x="1397"/>
        <item x="1407"/>
        <item x="1408"/>
        <item x="1398"/>
        <item x="1399"/>
        <item x="1433"/>
        <item x="1428"/>
        <item x="1434"/>
        <item x="1429"/>
        <item x="1179"/>
        <item x="1336"/>
        <item x="1579"/>
        <item x="1392"/>
        <item x="1394"/>
        <item x="1391"/>
        <item x="1390"/>
        <item x="1389"/>
        <item x="1395"/>
        <item x="1388"/>
        <item x="1393"/>
        <item x="1945"/>
        <item x="1944"/>
        <item x="1401"/>
        <item x="1403"/>
        <item x="1402"/>
        <item x="1432"/>
        <item x="1594"/>
        <item x="1595"/>
        <item x="1596"/>
        <item x="1404"/>
        <item x="1546"/>
        <item x="1956"/>
        <item x="1958"/>
        <item x="1959"/>
        <item x="1142"/>
        <item x="1143"/>
        <item x="1138"/>
        <item x="1139"/>
        <item x="1140"/>
        <item x="1141"/>
        <item x="1587"/>
        <item x="1761"/>
        <item x="1622"/>
        <item x="1355"/>
        <item x="1802"/>
        <item x="1803"/>
        <item x="1840"/>
        <item x="1836"/>
        <item x="1837"/>
        <item x="1838"/>
        <item x="1839"/>
        <item x="1621"/>
        <item x="1758"/>
        <item x="1757"/>
        <item x="1759"/>
        <item x="1760"/>
        <item x="1640"/>
        <item x="1937"/>
        <item x="1938"/>
        <item x="1939"/>
        <item x="1940"/>
        <item x="1573"/>
        <item x="1575"/>
        <item x="1576"/>
        <item x="1577"/>
        <item x="1574"/>
        <item x="1989"/>
        <item x="1957"/>
        <item x="1990"/>
        <item x="1137"/>
        <item x="1799"/>
        <item x="1641"/>
        <item x="1698"/>
        <item x="1699"/>
        <item x="1639"/>
        <item x="1763"/>
        <item x="1762"/>
        <item x="1764"/>
        <item x="1548"/>
        <item x="1547"/>
        <item x="1586"/>
        <item x="1584"/>
        <item x="1585"/>
        <item x="1800"/>
        <item x="1801"/>
        <item x="1964"/>
        <item x="1623"/>
        <item x="1832"/>
        <item x="1833"/>
        <item x="1835"/>
        <item x="1834"/>
        <item x="1466"/>
        <item x="1467"/>
        <item x="1797"/>
        <item x="1798"/>
        <item x="1696"/>
        <item x="1694"/>
        <item x="1695"/>
        <item x="1697"/>
        <item x="1986"/>
        <item x="1987"/>
        <item x="1988"/>
        <item x="1566"/>
        <item x="1975"/>
        <item x="1809"/>
        <item x="1257"/>
        <item x="910"/>
        <item x="796"/>
        <item x="670"/>
        <item x="1095"/>
        <item x="1520"/>
        <item x="1331"/>
        <item x="1818"/>
        <item x="915"/>
        <item x="889"/>
        <item x="906"/>
        <item x="802"/>
        <item x="763"/>
        <item x="785"/>
        <item x="676"/>
        <item x="638"/>
        <item x="662"/>
        <item x="1817"/>
        <item x="1296"/>
        <item x="1893"/>
        <item x="1730"/>
        <item x="1509"/>
        <item x="1082"/>
        <item x="1099"/>
        <item x="1061"/>
        <item x="1276"/>
        <item x="1879"/>
        <item x="1715"/>
        <item x="1489"/>
        <item x="1824"/>
        <item x="1827"/>
        <item x="971"/>
        <item x="1710"/>
        <item x="1539"/>
        <item x="1369"/>
        <item x="1123"/>
        <item x="1981"/>
        <item x="1072"/>
        <item x="1077"/>
        <item x="904"/>
        <item x="885"/>
        <item x="771"/>
        <item x="780"/>
        <item x="1523"/>
        <item x="1892"/>
        <item x="1885"/>
        <item x="1906"/>
        <item x="1729"/>
        <item x="1744"/>
        <item x="1505"/>
        <item x="1720"/>
        <item x="1482"/>
        <item x="1281"/>
        <item x="1292"/>
        <item x="1325"/>
        <item x="658"/>
        <item x="645"/>
        <item x="1918"/>
        <item x="1106"/>
        <item x="1228"/>
        <item x="1822"/>
        <item x="1753"/>
        <item x="887"/>
        <item x="761"/>
        <item x="660"/>
        <item x="1915"/>
        <item x="1090"/>
        <item x="1719"/>
        <item x="1886"/>
        <item x="1494"/>
        <item x="1069"/>
        <item x="1023"/>
        <item x="1024"/>
        <item x="394"/>
        <item x="400"/>
        <item x="526"/>
        <item x="64"/>
        <item x="92"/>
        <item x="396"/>
        <item x="84"/>
        <item x="326"/>
        <item x="261"/>
        <item x="63"/>
        <item x="1593"/>
        <item x="1220"/>
        <item x="1692"/>
        <item x="565"/>
        <item x="1217"/>
        <item x="1219"/>
        <item x="1218"/>
        <item x="1037"/>
        <item x="1038"/>
        <item x="1039"/>
        <item x="38"/>
        <item x="37"/>
        <item x="39"/>
        <item x="623"/>
        <item x="624"/>
        <item x="626"/>
        <item x="625"/>
        <item x="599"/>
        <item x="600"/>
        <item x="601"/>
        <item x="24"/>
        <item x="25"/>
        <item x="26"/>
        <item x="307"/>
        <item x="306"/>
        <item x="308"/>
        <item x="15"/>
        <item x="240"/>
        <item x="239"/>
        <item x="241"/>
        <item x="100"/>
        <item x="99"/>
        <item x="101"/>
        <item x="513"/>
        <item x="514"/>
        <item x="515"/>
        <item x="476"/>
        <item x="474"/>
        <item x="475"/>
        <item x="53"/>
        <item x="52"/>
        <item x="54"/>
        <item x="203"/>
        <item x="202"/>
        <item x="204"/>
        <item x="136"/>
        <item x="135"/>
        <item x="137"/>
        <item x="557"/>
        <item x="558"/>
        <item x="559"/>
        <item x="388"/>
        <item x="385"/>
        <item x="389"/>
        <item x="387"/>
        <item x="358"/>
        <item x="356"/>
        <item x="355"/>
        <item x="361"/>
        <item x="418"/>
        <item x="417"/>
        <item x="419"/>
        <item x="357"/>
        <item x="386"/>
        <item x="175"/>
        <item x="176"/>
        <item x="174"/>
        <item x="116"/>
        <item x="118"/>
        <item x="117"/>
        <item x="72"/>
        <item x="71"/>
        <item x="73"/>
        <item x="43"/>
        <item x="44"/>
        <item x="23"/>
        <item x="20"/>
        <item x="317"/>
        <item x="310"/>
        <item x="182"/>
        <item x="179"/>
        <item x="14"/>
        <item x="13"/>
        <item x="74"/>
        <item x="70"/>
        <item x="55"/>
        <item x="173"/>
        <item x="146"/>
        <item x="107"/>
        <item x="105"/>
        <item x="102"/>
        <item x="147"/>
        <item x="151"/>
        <item x="56"/>
        <item x="152"/>
        <item x="177"/>
        <item x="211"/>
        <item x="212"/>
        <item x="213"/>
        <item x="40"/>
        <item x="41"/>
        <item x="42"/>
        <item x="113"/>
        <item x="114"/>
        <item x="115"/>
        <item x="35"/>
        <item x="34"/>
        <item x="36"/>
        <item x="352"/>
        <item x="353"/>
        <item x="354"/>
        <item x="21"/>
        <item x="22"/>
        <item x="322"/>
        <item x="323"/>
        <item x="324"/>
        <item x="188"/>
        <item x="189"/>
        <item x="190"/>
        <item x="17"/>
        <item x="18"/>
        <item x="254"/>
        <item x="255"/>
        <item x="256"/>
        <item x="67"/>
        <item x="68"/>
        <item x="69"/>
        <item x="148"/>
        <item x="150"/>
        <item x="149"/>
        <item x="103"/>
        <item x="57"/>
        <item x="58"/>
        <item x="59"/>
        <item x="19"/>
        <item x="27"/>
        <item x="339"/>
        <item x="309"/>
        <item x="60"/>
        <item x="216"/>
        <item x="108"/>
        <item x="384"/>
        <item x="478"/>
        <item x="416"/>
        <item x="1269"/>
        <item x="112"/>
        <item x="159"/>
        <item x="178"/>
        <item x="603"/>
        <item x="75"/>
        <item x="45"/>
        <item x="90"/>
        <item x="120"/>
        <item x="119"/>
        <item x="575"/>
        <item x="576"/>
        <item x="577"/>
        <item x="755"/>
        <item x="757"/>
        <item x="756"/>
        <item x="106"/>
        <item x="620"/>
        <item x="619"/>
        <item x="621"/>
        <item x="622"/>
        <item x="171"/>
        <item x="172"/>
        <item x="65"/>
        <item x="66"/>
        <item x="477"/>
        <item x="422"/>
        <item x="421"/>
        <item x="360"/>
        <item x="321"/>
        <item x="320"/>
        <item x="257"/>
        <item x="391"/>
        <item x="390"/>
        <item x="517"/>
        <item x="359"/>
        <item x="158"/>
        <item x="157"/>
        <item x="191"/>
        <item x="79"/>
        <item x="77"/>
        <item x="78"/>
        <item x="184"/>
        <item x="183"/>
        <item x="185"/>
        <item x="342"/>
        <item x="343"/>
        <item x="345"/>
        <item x="341"/>
        <item x="340"/>
        <item x="344"/>
        <item x="218"/>
        <item x="220"/>
        <item x="219"/>
        <item x="217"/>
        <item x="187"/>
        <item x="186"/>
        <item x="949"/>
        <item x="947"/>
        <item x="948"/>
        <item x="16"/>
        <item x="842"/>
        <item x="420"/>
        <item x="1419"/>
        <item x="593"/>
        <item x="523"/>
        <item x="131"/>
        <item x="1152"/>
        <item x="442"/>
        <item x="91"/>
        <item x="1858"/>
        <item x="1688"/>
        <item x="1680"/>
        <item x="1856"/>
        <item x="1425"/>
        <item x="1874"/>
        <item x="1677"/>
        <item x="1465"/>
        <item x="1859"/>
        <item x="1678"/>
        <item x="1436"/>
        <item x="811"/>
        <item x="1611"/>
        <item x="1426"/>
        <item x="1651"/>
        <item x="735"/>
        <item x="1192"/>
        <item x="1016"/>
        <item x="1018"/>
        <item x="1021"/>
        <item x="1020"/>
        <item x="1019"/>
        <item x="1191"/>
        <item x="563"/>
        <item x="1207"/>
        <item x="872"/>
        <item x="1189"/>
        <item x="1187"/>
        <item x="1188"/>
        <item x="1129"/>
        <item x="1132"/>
        <item x="1303"/>
        <item x="1301"/>
        <item x="1302"/>
        <item x="1304"/>
        <item x="1263"/>
        <item x="901"/>
        <item x="880"/>
        <item x="789"/>
        <item x="766"/>
        <item x="653"/>
        <item x="642"/>
        <item x="1086"/>
        <item x="1064"/>
        <item x="1882"/>
        <item x="1899"/>
        <item x="1736"/>
        <item x="1718"/>
        <item x="1503"/>
        <item x="1492"/>
        <item x="1279"/>
        <item x="1289"/>
        <item x="1921"/>
        <item x="1415"/>
        <item x="33"/>
        <item x="595"/>
        <item x="1638"/>
        <item x="1637"/>
        <item x="1814"/>
        <item x="989"/>
        <item x="990"/>
        <item x="1117"/>
        <item x="1055"/>
        <item x="1253"/>
        <item x="51"/>
        <item x="83"/>
        <item x="1569"/>
        <item x="1412"/>
        <item x="1563"/>
        <item x="1652"/>
        <item x="1632"/>
        <item x="1830"/>
        <item x="238"/>
        <item x="237"/>
        <item x="334"/>
        <item x="332"/>
        <item x="366"/>
        <item x="466"/>
        <item x="1035"/>
        <item x="946"/>
        <item x="1387"/>
        <item x="815"/>
        <item x="976"/>
        <item x="821"/>
        <item x="1780"/>
        <item x="1313"/>
        <item x="1181"/>
        <item x="1182"/>
        <item x="1183"/>
        <item x="1184"/>
        <item x="1185"/>
        <item x="1186"/>
        <item x="1180"/>
        <item x="788"/>
        <item x="769"/>
        <item x="795"/>
        <item x="669"/>
        <item x="920"/>
        <item x="656"/>
        <item x="641"/>
        <item x="900"/>
        <item x="883"/>
        <item x="1725"/>
        <item x="1519"/>
        <item x="1731"/>
        <item x="1741"/>
        <item x="1498"/>
        <item x="1484"/>
        <item x="1085"/>
        <item x="1094"/>
        <item x="1903"/>
        <item x="1896"/>
        <item x="1883"/>
        <item x="1478"/>
        <item x="1297"/>
        <item x="1322"/>
        <item x="1919"/>
        <item x="1650"/>
        <item x="1239"/>
        <item x="1240"/>
        <item x="160"/>
        <item x="1592"/>
        <item x="168"/>
        <item x="169"/>
        <item x="170"/>
        <item t="default"/>
      </items>
    </pivotField>
    <pivotField name="DOT" axis="axisRow" compact="0" numFmtId="165" outline="0" multipleItemSelectionAllowed="1" showAll="0" sortType="ascending" defaultSubtotal="0">
      <items>
        <item x="343"/>
        <item x="598"/>
        <item x="665"/>
        <item x="877"/>
        <item x="912"/>
        <item x="895"/>
        <item x="679"/>
        <item x="584"/>
        <item x="664"/>
        <item x="914"/>
        <item x="1098"/>
        <item x="909"/>
        <item x="880"/>
        <item x="1214"/>
        <item x="905"/>
        <item x="882"/>
        <item x="852"/>
        <item x="1464"/>
        <item x="851"/>
        <item x="902"/>
        <item x="501"/>
        <item x="881"/>
        <item x="1333"/>
        <item x="1529"/>
        <item x="963"/>
        <item x="883"/>
        <item x="1331"/>
        <item x="1296"/>
        <item x="1290"/>
        <item x="1221"/>
        <item x="704"/>
        <item x="1050"/>
        <item x="1048"/>
        <item x="1018"/>
        <item x="1548"/>
        <item x="1253"/>
        <item x="1088"/>
        <item x="1453"/>
        <item x="1276"/>
        <item x="1269"/>
        <item x="908"/>
        <item x="1530"/>
        <item x="1022"/>
        <item x="977"/>
        <item x="1419"/>
        <item x="1017"/>
        <item x="1239"/>
        <item x="1451"/>
        <item x="803"/>
        <item x="1204"/>
        <item x="1381"/>
        <item x="1019"/>
        <item x="1552"/>
        <item x="1150"/>
        <item x="1465"/>
        <item x="463"/>
        <item x="1116"/>
        <item x="1271"/>
        <item x="1053"/>
        <item x="959"/>
        <item x="1382"/>
        <item x="1418"/>
        <item x="678"/>
        <item x="691"/>
        <item x="703"/>
        <item x="1007"/>
        <item x="1387"/>
        <item x="910"/>
        <item x="597"/>
        <item x="611"/>
        <item x="623"/>
        <item x="1298"/>
        <item x="1140"/>
        <item x="865"/>
        <item x="1020"/>
        <item x="1349"/>
        <item x="1092"/>
        <item x="371"/>
        <item x="1021"/>
        <item x="1275"/>
        <item x="1005"/>
        <item x="528"/>
        <item x="1238"/>
        <item x="844"/>
        <item x="1536"/>
        <item x="1297"/>
        <item x="831"/>
        <item x="1580"/>
        <item x="817"/>
        <item x="1581"/>
        <item x="1391"/>
        <item x="1034"/>
        <item x="1002"/>
        <item x="990"/>
        <item x="1385"/>
        <item x="368"/>
        <item x="1577"/>
        <item x="1095"/>
        <item x="1203"/>
        <item x="1332"/>
        <item x="1549"/>
        <item x="513"/>
        <item x="526"/>
        <item x="500"/>
        <item x="1534"/>
        <item x="1533"/>
        <item x="1274"/>
        <item x="1013"/>
        <item x="904"/>
        <item x="1054"/>
        <item x="1188"/>
        <item x="1093"/>
        <item x="1270"/>
        <item x="1207"/>
        <item x="1578"/>
        <item x="1164"/>
        <item x="1176"/>
        <item x="1215"/>
        <item x="1420"/>
        <item x="1163"/>
        <item x="1554"/>
        <item x="1006"/>
        <item x="1383"/>
        <item x="1254"/>
        <item x="878"/>
        <item x="837"/>
        <item x="1416"/>
        <item x="1482"/>
        <item x="656"/>
        <item x="1052"/>
        <item x="462"/>
        <item x="1361"/>
        <item x="1378"/>
        <item x="1370"/>
        <item x="1056"/>
        <item x="8"/>
        <item x="1575"/>
        <item x="827"/>
        <item x="1518"/>
        <item x="879"/>
        <item x="906"/>
        <item x="1455"/>
        <item x="894"/>
        <item x="654"/>
        <item x="1532"/>
        <item x="863"/>
        <item x="816"/>
        <item x="1535"/>
        <item x="1115"/>
        <item x="768"/>
        <item x="1415"/>
        <item x="1454"/>
        <item x="1576"/>
        <item x="1263"/>
        <item x="323"/>
        <item x="1091"/>
        <item x="1008"/>
        <item x="1384"/>
        <item x="31"/>
        <item x="1551"/>
        <item x="962"/>
        <item x="875"/>
        <item x="830"/>
        <item x="1531"/>
        <item x="1266"/>
        <item x="1237"/>
        <item x="903"/>
        <item x="1356"/>
        <item x="890"/>
        <item x="1117"/>
        <item x="638"/>
        <item x="1141"/>
        <item x="976"/>
        <item x="437"/>
        <item x="760"/>
        <item x="420"/>
        <item x="1094"/>
        <item x="1277"/>
        <item x="1289"/>
        <item x="913"/>
        <item x="1449"/>
        <item x="911"/>
        <item x="874"/>
        <item x="1293"/>
        <item x="1004"/>
        <item x="1452"/>
        <item x="655"/>
        <item x="961"/>
        <item x="1208"/>
        <item x="486"/>
        <item x="485"/>
        <item x="1035"/>
        <item x="925"/>
        <item x="1422"/>
        <item x="1016"/>
        <item x="712"/>
        <item x="1568"/>
        <item x="907"/>
        <item x="1392"/>
        <item x="1493"/>
        <item x="1509"/>
        <item x="1501"/>
        <item x="867"/>
        <item x="1450"/>
        <item x="115"/>
        <item x="1330"/>
        <item x="1539"/>
        <item x="1338"/>
        <item x="9"/>
        <item x="864"/>
        <item x="61"/>
        <item x="1334"/>
        <item x="1388"/>
        <item x="1550"/>
        <item x="1190"/>
        <item x="65"/>
        <item x="3"/>
        <item x="692"/>
        <item x="1299"/>
        <item x="18"/>
        <item x="687"/>
        <item x="1209"/>
        <item x="1335"/>
        <item x="707"/>
        <item x="706"/>
        <item x="666"/>
        <item x="677"/>
        <item x="676"/>
        <item x="1448"/>
        <item x="184"/>
        <item x="700"/>
        <item x="681"/>
        <item x="1113"/>
        <item x="667"/>
        <item x="688"/>
        <item x="1390"/>
        <item x="148"/>
        <item x="627"/>
        <item x="1251"/>
        <item x="1475"/>
        <item x="1212"/>
        <item x="575"/>
        <item x="573"/>
        <item x="694"/>
        <item x="1408"/>
        <item x="1517"/>
        <item x="680"/>
        <item x="1516"/>
        <item x="1233"/>
        <item x="276"/>
        <item x="448"/>
        <item x="1514"/>
        <item x="876"/>
        <item x="675"/>
        <item x="1515"/>
        <item x="1513"/>
        <item x="1386"/>
        <item x="587"/>
        <item x="964"/>
        <item x="717"/>
        <item x="588"/>
        <item x="589"/>
        <item x="600"/>
        <item x="613"/>
        <item x="603"/>
        <item x="616"/>
        <item x="601"/>
        <item x="602"/>
        <item x="586"/>
        <item x="604"/>
        <item x="615"/>
        <item x="614"/>
        <item x="590"/>
        <item x="965"/>
        <item x="1010"/>
        <item x="1512"/>
        <item x="693"/>
        <item x="1264"/>
        <item x="1537"/>
        <item x="689"/>
        <item x="823"/>
        <item x="853"/>
        <item x="1463"/>
        <item x="438"/>
        <item x="850"/>
        <item x="1014"/>
        <item x="1185"/>
        <item x="758"/>
        <item x="701"/>
        <item x="1003"/>
        <item x="132"/>
        <item x="530"/>
        <item x="114"/>
        <item x="1012"/>
        <item x="1288"/>
        <item x="531"/>
        <item x="1544"/>
        <item x="1011"/>
        <item x="1556"/>
        <item x="812"/>
        <item x="921"/>
        <item x="935"/>
        <item x="843"/>
        <item x="1555"/>
        <item x="1579"/>
        <item x="829"/>
        <item x="455"/>
        <item x="1278"/>
        <item x="1119"/>
        <item x="64"/>
        <item x="72"/>
        <item x="866"/>
        <item x="835"/>
        <item x="999"/>
        <item x="997"/>
        <item x="833"/>
        <item x="1009"/>
        <item x="1023"/>
        <item x="804"/>
        <item x="1395"/>
        <item x="998"/>
        <item x="779"/>
        <item x="839"/>
        <item x="1586"/>
        <item x="1096"/>
        <item x="806"/>
        <item x="819"/>
        <item x="805"/>
        <item x="820"/>
        <item x="821"/>
        <item x="1462"/>
        <item x="1047"/>
        <item x="983"/>
        <item x="1089"/>
        <item x="818"/>
        <item x="946"/>
        <item x="927"/>
        <item x="828"/>
        <item x="807"/>
        <item x="1545"/>
        <item x="838"/>
        <item x="813"/>
        <item x="550"/>
        <item x="834"/>
        <item x="900"/>
        <item x="1421"/>
        <item x="1129"/>
        <item x="1037"/>
        <item x="697"/>
        <item x="1527"/>
        <item x="699"/>
        <item x="1055"/>
        <item x="674"/>
        <item x="695"/>
        <item x="1090"/>
        <item x="683"/>
        <item x="118"/>
        <item x="1099"/>
        <item x="1220"/>
        <item x="690"/>
        <item x="984"/>
        <item x="832"/>
        <item x="178"/>
        <item x="995"/>
        <item x="669"/>
        <item x="673"/>
        <item x="1032"/>
        <item x="1205"/>
        <item x="924"/>
        <item x="986"/>
        <item x="985"/>
        <item x="672"/>
        <item x="685"/>
        <item x="982"/>
        <item x="1025"/>
        <item x="996"/>
        <item x="1026"/>
        <item x="536"/>
        <item x="1024"/>
        <item x="686"/>
        <item x="1417"/>
        <item x="698"/>
        <item x="751"/>
        <item x="179"/>
        <item x="1206"/>
        <item x="658"/>
        <item x="1236"/>
        <item x="1583"/>
        <item x="1173"/>
        <item x="503"/>
        <item x="702"/>
        <item x="620"/>
        <item x="514"/>
        <item x="606"/>
        <item x="511"/>
        <item x="518"/>
        <item x="682"/>
        <item x="512"/>
        <item x="515"/>
        <item x="496"/>
        <item x="498"/>
        <item x="510"/>
        <item x="502"/>
        <item x="517"/>
        <item x="516"/>
        <item x="497"/>
        <item x="1033"/>
        <item x="499"/>
        <item x="1292"/>
        <item x="607"/>
        <item x="617"/>
        <item x="55"/>
        <item x="605"/>
        <item x="585"/>
        <item x="612"/>
        <item x="592"/>
        <item x="671"/>
        <item x="618"/>
        <item x="595"/>
        <item x="591"/>
        <item x="619"/>
        <item x="609"/>
        <item x="593"/>
        <item x="621"/>
        <item x="599"/>
        <item x="594"/>
        <item x="610"/>
        <item x="622"/>
        <item x="596"/>
        <item x="608"/>
        <item x="1213"/>
        <item x="684"/>
        <item x="733"/>
        <item x="1217"/>
        <item x="1553"/>
        <item x="668"/>
        <item x="696"/>
        <item x="1538"/>
        <item x="670"/>
        <item x="59"/>
        <item x="1557"/>
        <item x="1187"/>
        <item x="1175"/>
        <item x="425"/>
        <item x="1460"/>
        <item x="134"/>
        <item x="565"/>
        <item x="287"/>
        <item x="1219"/>
        <item x="116"/>
        <item x="1182"/>
        <item x="1049"/>
        <item x="1087"/>
        <item x="102"/>
        <item x="1291"/>
        <item x="841"/>
        <item x="1183"/>
        <item x="1160"/>
        <item x="1158"/>
        <item x="1172"/>
        <item x="20"/>
        <item x="1157"/>
        <item x="1184"/>
        <item x="1171"/>
        <item x="1159"/>
        <item x="1174"/>
        <item x="1161"/>
        <item x="1459"/>
        <item x="795"/>
        <item x="989"/>
        <item x="1029"/>
        <item x="842"/>
        <item x="980"/>
        <item x="840"/>
        <item x="1467"/>
        <item x="1540"/>
        <item x="811"/>
        <item x="836"/>
        <item x="1310"/>
        <item x="1318"/>
        <item x="814"/>
        <item x="824"/>
        <item x="1301"/>
        <item x="815"/>
        <item x="1413"/>
        <item x="1156"/>
        <item x="1000"/>
        <item x="1272"/>
        <item x="808"/>
        <item x="826"/>
        <item x="54"/>
        <item x="822"/>
        <item x="67"/>
        <item x="1336"/>
        <item x="1234"/>
        <item x="1154"/>
        <item x="810"/>
        <item x="1445"/>
        <item x="825"/>
        <item x="663"/>
        <item x="660"/>
        <item x="651"/>
        <item x="1466"/>
        <item x="29"/>
        <item x="920"/>
        <item x="715"/>
        <item x="987"/>
        <item x="185"/>
        <item x="1179"/>
        <item x="1027"/>
        <item x="1031"/>
        <item x="439"/>
        <item x="713"/>
        <item x="994"/>
        <item x="280"/>
        <item x="988"/>
        <item x="993"/>
        <item x="1241"/>
        <item x="628"/>
        <item x="992"/>
        <item x="1028"/>
        <item x="979"/>
        <item x="14"/>
        <item x="978"/>
        <item x="1001"/>
        <item x="1474"/>
        <item x="991"/>
        <item x="1030"/>
        <item x="981"/>
        <item x="809"/>
        <item x="1525"/>
        <item x="574"/>
        <item x="572"/>
        <item x="756"/>
        <item x="1340"/>
        <item x="461"/>
        <item x="494"/>
        <item x="427"/>
        <item x="418"/>
        <item x="522"/>
        <item x="509"/>
        <item x="519"/>
        <item x="490"/>
        <item x="525"/>
        <item x="507"/>
        <item x="523"/>
        <item x="504"/>
        <item x="495"/>
        <item x="521"/>
        <item x="489"/>
        <item x="505"/>
        <item x="491"/>
        <item x="493"/>
        <item x="508"/>
        <item x="524"/>
        <item x="506"/>
        <item x="492"/>
        <item x="520"/>
        <item x="1526"/>
        <item x="780"/>
        <item x="559"/>
        <item x="1051"/>
        <item x="1118"/>
        <item x="1524"/>
        <item x="35"/>
        <item x="1155"/>
        <item x="49"/>
        <item x="19"/>
        <item x="1584"/>
        <item x="1153"/>
        <item x="1165"/>
        <item x="1371"/>
        <item x="41"/>
        <item x="156"/>
        <item x="1181"/>
        <item x="1151"/>
        <item x="1178"/>
        <item x="1170"/>
        <item x="1169"/>
        <item x="1162"/>
        <item x="1167"/>
        <item x="1369"/>
        <item x="1152"/>
        <item x="1166"/>
        <item x="1186"/>
        <item x="1180"/>
        <item x="1177"/>
        <item x="1168"/>
        <item x="1379"/>
        <item x="1380"/>
        <item x="1352"/>
        <item x="1372"/>
        <item x="1353"/>
        <item x="1362"/>
        <item x="1350"/>
        <item x="1359"/>
        <item x="1351"/>
        <item x="1373"/>
        <item x="527"/>
        <item x="76"/>
        <item x="710"/>
        <item x="1110"/>
        <item x="321"/>
        <item x="316"/>
        <item x="1097"/>
        <item x="1111"/>
        <item x="1563"/>
        <item x="440"/>
        <item x="901"/>
        <item x="299"/>
        <item x="175"/>
        <item x="77"/>
        <item x="30"/>
        <item x="1487"/>
        <item x="919"/>
        <item x="960"/>
        <item x="1483"/>
        <item x="1486"/>
        <item x="885"/>
        <item x="1484"/>
        <item x="1503"/>
        <item x="1495"/>
        <item x="1502"/>
        <item x="1485"/>
        <item x="1494"/>
        <item x="1504"/>
        <item x="1510"/>
        <item x="1511"/>
        <item x="934"/>
        <item x="1564"/>
        <item x="1218"/>
        <item x="417"/>
        <item x="801"/>
        <item x="13"/>
        <item x="1559"/>
        <item x="567"/>
        <item x="143"/>
        <item x="1360"/>
        <item x="82"/>
        <item x="1558"/>
        <item x="1473"/>
        <item x="898"/>
        <item x="466"/>
        <item x="1268"/>
        <item x="451"/>
        <item x="460"/>
        <item x="774"/>
        <item x="214"/>
        <item x="1543"/>
        <item x="1414"/>
        <item x="625"/>
        <item x="389"/>
        <item x="1358"/>
        <item x="271"/>
        <item x="1348"/>
        <item x="1364"/>
        <item x="85"/>
        <item x="291"/>
        <item x="50"/>
        <item x="1522"/>
        <item x="1365"/>
        <item x="1273"/>
        <item x="1354"/>
        <item x="319"/>
        <item x="40"/>
        <item x="147"/>
        <item x="1368"/>
        <item x="1366"/>
        <item x="1357"/>
        <item x="1376"/>
        <item x="1377"/>
        <item x="1367"/>
        <item x="1375"/>
        <item x="1363"/>
        <item x="1374"/>
        <item x="661"/>
        <item x="662"/>
        <item x="1355"/>
        <item x="144"/>
        <item x="1136"/>
        <item x="1124"/>
        <item x="1573"/>
        <item x="1232"/>
        <item x="469"/>
        <item x="264"/>
        <item x="345"/>
        <item x="1267"/>
        <item x="1210"/>
        <item x="176"/>
        <item x="923"/>
        <item x="718"/>
        <item x="1309"/>
        <item x="1587"/>
        <item x="1500"/>
        <item x="1498"/>
        <item x="1499"/>
        <item x="1491"/>
        <item x="1489"/>
        <item x="1488"/>
        <item x="1507"/>
        <item x="1508"/>
        <item x="1497"/>
        <item x="1490"/>
        <item x="1505"/>
        <item x="1506"/>
        <item x="42"/>
        <item x="1496"/>
        <item x="1492"/>
        <item x="416"/>
        <item x="1424"/>
        <item x="154"/>
        <item x="171"/>
        <item x="180"/>
        <item x="1086"/>
        <item x="1337"/>
        <item x="1560"/>
        <item x="561"/>
        <item x="564"/>
        <item x="571"/>
        <item x="1265"/>
        <item x="315"/>
        <item x="459"/>
        <item x="270"/>
        <item x="378"/>
        <item x="182"/>
        <item x="1461"/>
        <item x="773"/>
        <item x="1114"/>
        <item x="81"/>
        <item x="766"/>
        <item x="1389"/>
        <item x="1295"/>
        <item x="90"/>
        <item x="538"/>
        <item x="1469"/>
        <item x="203"/>
        <item x="212"/>
        <item x="205"/>
        <item x="213"/>
        <item x="56"/>
        <item x="1302"/>
        <item x="1423"/>
        <item x="387"/>
        <item x="562"/>
        <item x="285"/>
        <item x="113"/>
        <item x="265"/>
        <item x="1339"/>
        <item x="1134"/>
        <item x="337"/>
        <item x="735"/>
        <item x="302"/>
        <item x="57"/>
        <item x="177"/>
        <item x="12"/>
        <item x="918"/>
        <item x="783"/>
        <item x="1235"/>
        <item x="157"/>
        <item x="174"/>
        <item x="1305"/>
        <item x="856"/>
        <item x="269"/>
        <item x="1306"/>
        <item x="933"/>
        <item x="465"/>
        <item x="458"/>
        <item x="800"/>
        <item x="99"/>
        <item x="1393"/>
        <item x="275"/>
        <item x="772"/>
        <item x="377"/>
        <item x="705"/>
        <item x="1041"/>
        <item x="313"/>
        <item x="339"/>
        <item x="1397"/>
        <item x="207"/>
        <item x="624"/>
        <item x="211"/>
        <item x="1589"/>
        <item x="1294"/>
        <item x="96"/>
        <item x="43"/>
        <item x="320"/>
        <item x="1216"/>
        <item x="388"/>
        <item x="89"/>
        <item x="1394"/>
        <item x="1063"/>
        <item x="1192"/>
        <item x="1542"/>
        <item x="295"/>
        <item x="1195"/>
        <item x="266"/>
        <item x="363"/>
        <item x="1561"/>
        <item x="1122"/>
        <item x="47"/>
        <item x="1476"/>
        <item x="304"/>
        <item x="1040"/>
        <item x="1123"/>
        <item x="1135"/>
        <item x="336"/>
        <item x="131"/>
        <item x="173"/>
        <item x="1211"/>
        <item x="1312"/>
        <item x="754"/>
        <item x="188"/>
        <item x="1058"/>
        <item x="915"/>
        <item x="183"/>
        <item x="107"/>
        <item x="1075"/>
        <item x="119"/>
        <item x="314"/>
        <item x="767"/>
        <item x="759"/>
        <item x="537"/>
        <item x="926"/>
        <item x="202"/>
        <item x="32"/>
        <item x="206"/>
        <item x="60"/>
        <item x="210"/>
        <item x="724"/>
        <item x="637"/>
        <item x="711"/>
        <item x="386"/>
        <item x="128"/>
        <item x="293"/>
        <item x="294"/>
        <item x="1585"/>
        <item x="0"/>
        <item x="932"/>
        <item x="267"/>
        <item x="95"/>
        <item x="372"/>
        <item x="421"/>
        <item x="426"/>
        <item x="397"/>
        <item x="303"/>
        <item x="181"/>
        <item x="133"/>
        <item x="1132"/>
        <item x="566"/>
        <item x="558"/>
        <item x="172"/>
        <item x="127"/>
        <item x="215"/>
        <item x="288"/>
        <item x="84"/>
        <item x="791"/>
        <item x="407"/>
        <item x="648"/>
        <item x="645"/>
        <item x="338"/>
        <item x="1317"/>
        <item x="1323"/>
        <item x="1322"/>
        <item x="778"/>
        <item x="261"/>
        <item x="626"/>
        <item x="1194"/>
        <item x="1441"/>
        <item x="1112"/>
        <item x="1425"/>
        <item x="1304"/>
        <item x="955"/>
        <item x="204"/>
        <item x="1435"/>
        <item x="1319"/>
        <item x="886"/>
        <item x="709"/>
        <item x="659"/>
        <item x="311"/>
        <item x="1433"/>
        <item x="1227"/>
        <item x="944"/>
        <item x="344"/>
        <item x="1226"/>
        <item x="1015"/>
        <item x="1447"/>
        <item x="644"/>
        <item x="647"/>
        <item x="292"/>
        <item x="268"/>
        <item x="17"/>
        <item x="1541"/>
        <item x="1069"/>
        <item x="922"/>
        <item x="1106"/>
        <item x="7"/>
        <item x="1042"/>
        <item x="370"/>
        <item x="327"/>
        <item x="274"/>
        <item x="419"/>
        <item x="126"/>
        <item x="1457"/>
        <item x="557"/>
        <item x="563"/>
        <item x="411"/>
        <item x="646"/>
        <item x="286"/>
        <item x="436"/>
        <item x="376"/>
        <item x="938"/>
        <item x="753"/>
        <item x="450"/>
        <item x="457"/>
        <item x="334"/>
        <item x="1528"/>
        <item x="942"/>
        <item x="953"/>
        <item x="552"/>
        <item x="776"/>
        <item x="1230"/>
        <item x="941"/>
        <item x="1120"/>
        <item x="1108"/>
        <item x="708"/>
        <item x="312"/>
        <item x="1409"/>
        <item x="170"/>
        <item x="954"/>
        <item x="936"/>
        <item x="412"/>
        <item x="891"/>
        <item x="48"/>
        <item x="745"/>
        <item x="539"/>
        <item x="884"/>
        <item x="1126"/>
        <item x="551"/>
        <item x="483"/>
        <item x="939"/>
        <item x="415"/>
        <item x="757"/>
        <item x="917"/>
        <item x="91"/>
        <item x="761"/>
        <item x="560"/>
        <item x="764"/>
        <item x="854"/>
        <item x="410"/>
        <item x="97"/>
        <item x="66"/>
        <item x="335"/>
        <item x="1105"/>
        <item x="153"/>
        <item x="893"/>
        <item x="553"/>
        <item x="443"/>
        <item x="456"/>
        <item x="449"/>
        <item x="51"/>
        <item x="775"/>
        <item x="150"/>
        <item x="1472"/>
        <item x="1444"/>
        <item x="11"/>
        <item x="763"/>
        <item x="765"/>
        <item x="892"/>
        <item x="484"/>
        <item x="1231"/>
        <item x="1257"/>
        <item x="152"/>
        <item x="391"/>
        <item x="100"/>
        <item x="782"/>
        <item x="755"/>
        <item x="958"/>
        <item x="444"/>
        <item x="1201"/>
        <item x="540"/>
        <item x="1523"/>
        <item x="916"/>
        <item x="1125"/>
        <item x="1143"/>
        <item x="1103"/>
        <item x="139"/>
        <item x="762"/>
        <item x="1"/>
        <item x="1191"/>
        <item x="752"/>
        <item x="1085"/>
        <item x="1073"/>
        <item x="1436"/>
        <item x="529"/>
        <item x="117"/>
        <item x="120"/>
        <item x="464"/>
        <item x="1308"/>
        <item x="785"/>
        <item x="94"/>
        <item x="1255"/>
        <item x="445"/>
        <item x="777"/>
        <item x="199"/>
        <item x="739"/>
        <item x="1131"/>
        <item x="1107"/>
        <item x="1432"/>
        <item x="1440"/>
        <item x="1443"/>
        <item x="1434"/>
        <item x="1071"/>
        <item x="279"/>
        <item x="382"/>
        <item x="383"/>
        <item x="1128"/>
        <item x="435"/>
        <item x="860"/>
        <item x="471"/>
        <item x="68"/>
        <item x="1256"/>
        <item x="1446"/>
        <item x="290"/>
        <item x="155"/>
        <item x="58"/>
        <item x="390"/>
        <item x="1121"/>
        <item x="632"/>
        <item x="401"/>
        <item x="1133"/>
        <item x="720"/>
        <item x="943"/>
        <item x="1072"/>
        <item x="1059"/>
        <item x="403"/>
        <item x="580"/>
        <item x="186"/>
        <item x="719"/>
        <item x="579"/>
        <item x="636"/>
        <item x="1437"/>
        <item x="569"/>
        <item x="381"/>
        <item x="434"/>
        <item x="930"/>
        <item x="201"/>
        <item x="1307"/>
        <item x="716"/>
        <item x="168"/>
        <item x="1412"/>
        <item x="1039"/>
        <item x="1325"/>
        <item x="263"/>
        <item x="971"/>
        <item x="736"/>
        <item x="1396"/>
        <item x="576"/>
        <item x="384"/>
        <item x="1588"/>
        <item x="408"/>
        <item x="423"/>
        <item x="392"/>
        <item x="1582"/>
        <item x="1431"/>
        <item x="424"/>
        <item x="163"/>
        <item x="474"/>
        <item x="750"/>
        <item x="857"/>
        <item x="1411"/>
        <item x="1470"/>
        <item x="1430"/>
        <item x="1104"/>
        <item x="1139"/>
        <item x="366"/>
        <item x="781"/>
        <item x="223"/>
        <item x="1316"/>
        <item x="360"/>
        <item x="151"/>
        <item x="1410"/>
        <item x="1315"/>
        <item x="1327"/>
        <item x="1064"/>
        <item x="1196"/>
        <item x="472"/>
        <item x="1442"/>
        <item x="470"/>
        <item x="1481"/>
        <item x="190"/>
        <item x="869"/>
        <item x="544"/>
        <item x="957"/>
        <item x="2"/>
        <item x="956"/>
        <item x="93"/>
        <item x="786"/>
        <item x="1189"/>
        <item x="361"/>
        <item x="78"/>
        <item x="929"/>
        <item x="289"/>
        <item x="1142"/>
        <item x="367"/>
        <item x="730"/>
        <item x="940"/>
        <item x="1300"/>
        <item x="650"/>
        <item x="362"/>
        <item x="1439"/>
        <item x="1438"/>
        <item x="1258"/>
        <item x="570"/>
        <item x="1127"/>
        <item x="224"/>
        <item x="398"/>
        <item x="1109"/>
        <item x="10"/>
        <item x="1320"/>
        <item x="351"/>
        <item x="39"/>
        <item x="1130"/>
        <item x="1471"/>
        <item x="4"/>
        <item x="373"/>
        <item x="219"/>
        <item x="240"/>
        <item x="225"/>
        <item x="1321"/>
        <item x="69"/>
        <item x="453"/>
        <item x="477"/>
        <item x="1222"/>
        <item x="1324"/>
        <item x="1343"/>
        <item x="5"/>
        <item x="740"/>
        <item x="1479"/>
        <item x="98"/>
        <item x="1145"/>
        <item x="226"/>
        <item x="631"/>
        <item x="1569"/>
        <item x="937"/>
        <item x="1038"/>
        <item x="37"/>
        <item x="227"/>
        <item x="861"/>
        <item x="737"/>
        <item x="951"/>
        <item x="1480"/>
        <item x="53"/>
        <item x="1138"/>
        <item x="6"/>
        <item x="741"/>
        <item x="364"/>
        <item x="858"/>
        <item x="1468"/>
        <item x="1247"/>
        <item x="278"/>
        <item x="1067"/>
        <item x="104"/>
        <item x="1199"/>
        <item x="26"/>
        <item x="862"/>
        <item x="138"/>
        <item x="352"/>
        <item x="952"/>
        <item x="228"/>
        <item x="229"/>
        <item x="395"/>
        <item x="888"/>
        <item x="1065"/>
        <item x="110"/>
        <item x="1197"/>
        <item x="23"/>
        <item x="322"/>
        <item x="25"/>
        <item x="1068"/>
        <item x="475"/>
        <item x="136"/>
        <item x="200"/>
        <item x="241"/>
        <item x="222"/>
        <item x="230"/>
        <item x="1328"/>
        <item x="945"/>
        <item x="1200"/>
        <item x="326"/>
        <item x="1478"/>
        <item x="353"/>
        <item x="80"/>
        <item x="28"/>
        <item x="639"/>
        <item x="950"/>
        <item x="738"/>
        <item x="873"/>
        <item x="256"/>
        <item x="1477"/>
        <item x="742"/>
        <item x="244"/>
        <item x="480"/>
        <item x="1326"/>
        <item x="1565"/>
        <item x="354"/>
        <item x="122"/>
        <item x="859"/>
        <item x="402"/>
        <item x="721"/>
        <item x="231"/>
        <item x="394"/>
        <item x="249"/>
        <item x="1346"/>
        <item x="541"/>
        <item x="252"/>
        <item x="160"/>
        <item x="130"/>
        <item x="568"/>
        <item x="542"/>
        <item x="454"/>
        <item x="478"/>
        <item x="232"/>
        <item x="1046"/>
        <item x="75"/>
        <item x="1571"/>
        <item x="233"/>
        <item x="1066"/>
        <item x="422"/>
        <item x="234"/>
        <item x="1314"/>
        <item x="1198"/>
        <item x="1344"/>
        <item x="246"/>
        <item x="746"/>
        <item x="105"/>
        <item x="262"/>
        <item x="1223"/>
        <item x="16"/>
        <item x="1347"/>
        <item x="92"/>
        <item x="325"/>
        <item x="254"/>
        <item x="578"/>
        <item x="577"/>
        <item x="1070"/>
        <item x="473"/>
        <item x="158"/>
        <item x="1311"/>
        <item x="38"/>
        <item x="242"/>
        <item x="253"/>
        <item x="250"/>
        <item x="1572"/>
        <item x="189"/>
        <item x="1081"/>
        <item x="405"/>
        <item x="928"/>
        <item x="27"/>
        <item x="652"/>
        <item x="770"/>
        <item x="543"/>
        <item x="248"/>
        <item x="52"/>
        <item x="235"/>
        <item x="1403"/>
        <item x="236"/>
        <item x="251"/>
        <item x="784"/>
        <item x="374"/>
        <item x="237"/>
        <item x="771"/>
        <item x="238"/>
        <item x="468"/>
        <item x="245"/>
        <item x="239"/>
        <item x="296"/>
        <item x="452"/>
        <item x="476"/>
        <item x="1303"/>
        <item x="243"/>
        <item x="298"/>
        <item x="169"/>
        <item x="79"/>
        <item x="722"/>
        <item x="255"/>
        <item x="218"/>
        <item x="429"/>
        <item x="283"/>
        <item x="112"/>
        <item x="896"/>
        <item x="63"/>
        <item x="24"/>
        <item x="1345"/>
        <item x="1137"/>
        <item x="482"/>
        <item x="1313"/>
        <item x="549"/>
        <item x="1570"/>
        <item x="404"/>
        <item x="547"/>
        <item x="1567"/>
        <item x="324"/>
        <item x="15"/>
        <item x="146"/>
        <item x="797"/>
        <item x="36"/>
        <item x="748"/>
        <item x="1148"/>
        <item x="769"/>
        <item x="393"/>
        <item x="1057"/>
        <item x="1428"/>
        <item x="145"/>
        <item x="802"/>
        <item x="871"/>
        <item x="300"/>
        <item x="342"/>
        <item x="1283"/>
        <item x="209"/>
        <item x="308"/>
        <item x="1520"/>
        <item x="137"/>
        <item x="62"/>
        <item x="297"/>
        <item x="975"/>
        <item x="968"/>
        <item x="723"/>
        <item x="70"/>
        <item x="375"/>
        <item x="973"/>
        <item x="966"/>
        <item x="967"/>
        <item x="46"/>
        <item x="1282"/>
        <item x="379"/>
        <item x="340"/>
        <item x="341"/>
        <item x="793"/>
        <item x="969"/>
        <item x="159"/>
        <item x="792"/>
        <item x="432"/>
        <item x="1243"/>
        <item x="794"/>
        <item x="1562"/>
        <item x="974"/>
        <item x="149"/>
        <item x="1249"/>
        <item x="1244"/>
        <item x="45"/>
        <item x="301"/>
        <item x="972"/>
        <item x="970"/>
        <item x="111"/>
        <item x="400"/>
        <item x="217"/>
        <item x="1250"/>
        <item x="653"/>
        <item x="282"/>
        <item x="1077"/>
        <item x="1080"/>
        <item x="318"/>
        <item x="789"/>
        <item x="743"/>
        <item x="1248"/>
        <item x="277"/>
        <item x="1224"/>
        <item x="729"/>
        <item x="1083"/>
        <item x="1076"/>
        <item x="868"/>
        <item x="1149"/>
        <item x="1078"/>
        <item x="142"/>
        <item x="1252"/>
        <item x="409"/>
        <item x="356"/>
        <item x="1084"/>
        <item x="121"/>
        <item x="1082"/>
        <item x="1079"/>
        <item x="1240"/>
        <item x="135"/>
        <item x="747"/>
        <item x="1245"/>
        <item x="317"/>
        <item x="487"/>
        <item x="396"/>
        <item x="106"/>
        <item x="166"/>
        <item x="1407"/>
        <item x="44"/>
        <item x="1400"/>
        <item x="1399"/>
        <item x="1246"/>
        <item x="1405"/>
        <item x="258"/>
        <item x="556"/>
        <item x="123"/>
        <item x="855"/>
        <item x="1101"/>
        <item x="22"/>
        <item x="728"/>
        <item x="73"/>
        <item x="1261"/>
        <item x="1406"/>
        <item x="83"/>
        <item x="162"/>
        <item x="109"/>
        <item x="1404"/>
        <item x="479"/>
        <item x="380"/>
        <item x="931"/>
        <item x="790"/>
        <item x="1427"/>
        <item x="787"/>
        <item x="125"/>
        <item x="1521"/>
        <item x="305"/>
        <item x="1402"/>
        <item x="88"/>
        <item x="1458"/>
        <item x="1429"/>
        <item x="441"/>
        <item x="284"/>
        <item x="635"/>
        <item x="1398"/>
        <item x="259"/>
        <item x="1401"/>
        <item x="1456"/>
        <item x="1426"/>
        <item x="1074"/>
        <item x="197"/>
        <item x="71"/>
        <item x="350"/>
        <item x="731"/>
        <item x="744"/>
        <item x="1193"/>
        <item x="467"/>
        <item x="796"/>
        <item x="74"/>
        <item x="554"/>
        <item x="1102"/>
        <item x="1060"/>
        <item x="247"/>
        <item x="1574"/>
        <item x="365"/>
        <item x="414"/>
        <item x="1285"/>
        <item x="141"/>
        <item x="1286"/>
        <item x="555"/>
        <item x="535"/>
        <item x="33"/>
        <item x="788"/>
        <item x="899"/>
        <item x="725"/>
        <item x="103"/>
        <item x="727"/>
        <item x="1242"/>
        <item x="1547"/>
        <item x="329"/>
        <item x="129"/>
        <item x="1519"/>
        <item x="545"/>
        <item x="442"/>
        <item x="634"/>
        <item x="191"/>
        <item x="399"/>
        <item x="1341"/>
        <item x="108"/>
        <item x="198"/>
        <item x="548"/>
        <item x="333"/>
        <item x="1342"/>
        <item x="331"/>
        <item x="1259"/>
        <item x="798"/>
        <item x="196"/>
        <item x="1146"/>
        <item x="357"/>
        <item x="221"/>
        <item x="273"/>
        <item x="749"/>
        <item x="1279"/>
        <item x="447"/>
        <item x="714"/>
        <item x="948"/>
        <item x="1228"/>
        <item x="257"/>
        <item x="328"/>
        <item x="633"/>
        <item x="21"/>
        <item x="947"/>
        <item x="195"/>
        <item x="193"/>
        <item x="534"/>
        <item x="348"/>
        <item x="309"/>
        <item x="629"/>
        <item x="413"/>
        <item x="164"/>
        <item x="346"/>
        <item x="1045"/>
        <item x="1287"/>
        <item x="1044"/>
        <item x="272"/>
        <item x="732"/>
        <item x="281"/>
        <item x="306"/>
        <item x="642"/>
        <item x="582"/>
        <item x="101"/>
        <item x="406"/>
        <item x="872"/>
        <item x="220"/>
        <item x="649"/>
        <item x="165"/>
        <item x="330"/>
        <item x="897"/>
        <item x="161"/>
        <item x="1262"/>
        <item x="358"/>
        <item x="1280"/>
        <item x="799"/>
        <item x="431"/>
        <item x="1329"/>
        <item x="86"/>
        <item x="216"/>
        <item x="140"/>
        <item x="430"/>
        <item x="887"/>
        <item x="332"/>
        <item x="533"/>
        <item x="949"/>
        <item x="87"/>
        <item x="307"/>
        <item x="848"/>
        <item x="428"/>
        <item x="310"/>
        <item x="583"/>
        <item x="167"/>
        <item x="369"/>
        <item x="446"/>
        <item x="1260"/>
        <item x="1566"/>
        <item x="1036"/>
        <item x="481"/>
        <item x="260"/>
        <item x="1043"/>
        <item x="532"/>
        <item x="734"/>
        <item x="34"/>
        <item x="845"/>
        <item x="640"/>
        <item x="433"/>
        <item x="546"/>
        <item x="846"/>
        <item x="657"/>
        <item x="194"/>
        <item x="355"/>
        <item x="192"/>
        <item x="359"/>
        <item x="630"/>
        <item x="385"/>
        <item x="124"/>
        <item x="349"/>
        <item x="1284"/>
        <item x="889"/>
        <item x="581"/>
        <item x="187"/>
        <item x="643"/>
        <item x="208"/>
        <item x="488"/>
        <item x="1061"/>
        <item x="1147"/>
        <item x="1281"/>
        <item x="1202"/>
        <item x="1225"/>
        <item x="641"/>
        <item x="1546"/>
        <item x="726"/>
        <item x="347"/>
        <item x="847"/>
        <item x="1062"/>
        <item x="870"/>
        <item x="1229"/>
        <item x="1100"/>
        <item x="849"/>
        <item x="1144"/>
      </items>
    </pivotField>
    <pivotField name="USD Proposal Tim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t="default"/>
      </items>
    </pivotField>
    <pivotField name="beneficia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t="default"/>
      </items>
    </pivotField>
    <pivotField name="proposal_time" compact="0" numFmtId="17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t="default"/>
      </items>
    </pivotField>
    <pivotField name="last_status_change" axis="axisRow" compact="0" numFmtId="172" outline="0" multipleItemSelectionAllowed="1" showAll="0" sortType="ascending" defaultSubtotal="0">
      <items>
        <item x="0"/>
        <item x="1"/>
        <item x="3"/>
        <item x="2"/>
        <item x="5"/>
        <item x="7"/>
        <item x="6"/>
        <item x="4"/>
        <item x="10"/>
        <item x="12"/>
        <item x="11"/>
        <item x="13"/>
        <item x="14"/>
        <item x="9"/>
        <item x="15"/>
        <item x="19"/>
        <item x="17"/>
        <item x="20"/>
        <item x="18"/>
        <item x="16"/>
        <item x="21"/>
        <item x="22"/>
        <item x="23"/>
        <item x="24"/>
        <item x="26"/>
        <item x="25"/>
        <item x="30"/>
        <item x="28"/>
        <item x="29"/>
        <item x="31"/>
        <item x="27"/>
        <item x="32"/>
        <item x="33"/>
        <item x="34"/>
        <item x="35"/>
        <item x="36"/>
        <item x="37"/>
        <item x="39"/>
        <item x="40"/>
        <item x="38"/>
        <item x="41"/>
        <item x="42"/>
        <item x="43"/>
        <item x="45"/>
        <item x="46"/>
        <item x="49"/>
        <item x="48"/>
        <item x="50"/>
        <item x="47"/>
        <item x="51"/>
        <item x="52"/>
        <item x="44"/>
        <item x="61"/>
        <item x="55"/>
        <item x="64"/>
        <item x="59"/>
        <item x="65"/>
        <item x="53"/>
        <item x="54"/>
        <item x="67"/>
        <item x="57"/>
        <item x="68"/>
        <item x="66"/>
        <item x="63"/>
        <item x="70"/>
        <item x="69"/>
        <item x="72"/>
        <item x="71"/>
        <item x="58"/>
        <item x="73"/>
        <item x="62"/>
        <item x="75"/>
        <item x="76"/>
        <item x="74"/>
        <item x="78"/>
        <item x="77"/>
        <item x="81"/>
        <item x="80"/>
        <item x="79"/>
        <item x="82"/>
        <item x="83"/>
        <item x="84"/>
        <item x="87"/>
        <item x="86"/>
        <item x="88"/>
        <item x="89"/>
        <item x="97"/>
        <item x="85"/>
        <item x="95"/>
        <item x="92"/>
        <item x="93"/>
        <item x="99"/>
        <item x="90"/>
        <item x="98"/>
        <item x="100"/>
        <item x="101"/>
        <item x="94"/>
        <item x="8"/>
        <item x="106"/>
        <item x="91"/>
        <item x="104"/>
        <item x="103"/>
        <item x="96"/>
        <item x="102"/>
        <item x="109"/>
        <item x="105"/>
        <item x="110"/>
        <item x="113"/>
        <item x="112"/>
        <item x="115"/>
        <item x="119"/>
        <item x="117"/>
        <item x="114"/>
        <item x="118"/>
        <item x="123"/>
        <item x="107"/>
        <item x="124"/>
        <item x="121"/>
        <item x="122"/>
        <item x="125"/>
        <item x="120"/>
        <item x="136"/>
        <item x="132"/>
        <item x="130"/>
        <item x="131"/>
        <item x="127"/>
        <item x="128"/>
        <item x="56"/>
        <item x="129"/>
        <item x="139"/>
        <item x="126"/>
        <item x="138"/>
        <item x="137"/>
        <item x="111"/>
        <item x="140"/>
        <item x="135"/>
        <item x="141"/>
        <item x="142"/>
        <item x="133"/>
        <item x="134"/>
        <item x="145"/>
        <item x="147"/>
        <item x="148"/>
        <item x="146"/>
        <item x="149"/>
        <item x="144"/>
        <item x="108"/>
        <item x="143"/>
        <item x="153"/>
        <item x="152"/>
        <item x="151"/>
        <item x="155"/>
        <item x="150"/>
        <item x="154"/>
        <item x="156"/>
        <item x="159"/>
        <item x="160"/>
        <item x="157"/>
        <item x="165"/>
        <item x="164"/>
        <item x="163"/>
        <item x="168"/>
        <item x="167"/>
        <item x="169"/>
        <item x="161"/>
        <item x="170"/>
        <item x="60"/>
        <item x="166"/>
        <item x="180"/>
        <item x="176"/>
        <item x="178"/>
        <item x="177"/>
        <item x="179"/>
        <item x="181"/>
        <item x="183"/>
        <item x="158"/>
        <item x="182"/>
        <item x="173"/>
        <item x="172"/>
        <item x="184"/>
        <item x="175"/>
        <item x="187"/>
        <item x="190"/>
        <item x="191"/>
        <item x="174"/>
        <item x="186"/>
        <item x="171"/>
        <item x="192"/>
        <item x="188"/>
        <item x="189"/>
        <item x="193"/>
        <item x="195"/>
        <item x="196"/>
        <item x="194"/>
        <item x="198"/>
        <item x="185"/>
        <item x="162"/>
        <item x="199"/>
        <item x="201"/>
        <item x="200"/>
        <item x="202"/>
        <item x="203"/>
        <item x="206"/>
        <item x="204"/>
        <item x="207"/>
        <item x="205"/>
        <item x="116"/>
        <item x="208"/>
        <item x="210"/>
        <item x="211"/>
        <item x="212"/>
        <item x="214"/>
        <item x="215"/>
        <item x="216"/>
        <item x="217"/>
        <item x="213"/>
        <item x="218"/>
        <item x="209"/>
        <item x="197"/>
        <item x="222"/>
        <item x="221"/>
        <item x="223"/>
        <item x="225"/>
        <item x="227"/>
        <item x="224"/>
        <item x="230"/>
        <item x="231"/>
        <item x="232"/>
        <item x="226"/>
        <item x="219"/>
        <item x="234"/>
        <item x="220"/>
        <item x="238"/>
        <item x="236"/>
        <item x="240"/>
        <item x="235"/>
        <item x="228"/>
        <item x="241"/>
        <item x="242"/>
        <item x="229"/>
        <item x="243"/>
        <item x="245"/>
        <item x="244"/>
        <item x="246"/>
        <item x="248"/>
        <item x="249"/>
        <item x="233"/>
        <item x="247"/>
        <item x="254"/>
        <item x="253"/>
        <item x="252"/>
        <item x="255"/>
        <item x="256"/>
        <item x="251"/>
        <item x="259"/>
        <item x="261"/>
        <item x="267"/>
        <item x="268"/>
        <item x="263"/>
        <item x="257"/>
        <item x="262"/>
        <item x="250"/>
        <item x="282"/>
        <item x="274"/>
        <item x="264"/>
        <item x="275"/>
        <item x="276"/>
        <item x="277"/>
        <item x="270"/>
        <item x="265"/>
        <item x="280"/>
        <item x="284"/>
        <item x="283"/>
        <item x="279"/>
        <item x="269"/>
        <item x="272"/>
        <item x="278"/>
        <item x="271"/>
        <item x="266"/>
        <item x="289"/>
        <item x="286"/>
        <item x="288"/>
        <item x="281"/>
        <item x="287"/>
        <item x="237"/>
        <item x="291"/>
        <item x="295"/>
        <item x="292"/>
        <item x="290"/>
        <item x="273"/>
        <item x="293"/>
        <item x="258"/>
        <item x="312"/>
        <item x="260"/>
        <item x="313"/>
        <item x="296"/>
        <item x="316"/>
        <item x="315"/>
        <item x="318"/>
        <item x="319"/>
        <item x="298"/>
        <item x="321"/>
        <item x="302"/>
        <item x="311"/>
        <item x="306"/>
        <item x="294"/>
        <item x="300"/>
        <item x="326"/>
        <item x="327"/>
        <item x="301"/>
        <item x="331"/>
        <item x="303"/>
        <item x="305"/>
        <item x="328"/>
        <item x="332"/>
        <item x="323"/>
        <item x="309"/>
        <item x="314"/>
        <item x="297"/>
        <item x="285"/>
        <item x="325"/>
        <item x="317"/>
        <item x="336"/>
        <item x="334"/>
        <item x="338"/>
        <item x="330"/>
        <item x="322"/>
        <item x="320"/>
        <item x="345"/>
        <item x="346"/>
        <item x="329"/>
        <item x="339"/>
        <item x="344"/>
        <item x="307"/>
        <item x="343"/>
        <item x="340"/>
        <item x="349"/>
        <item x="350"/>
        <item x="310"/>
        <item x="351"/>
        <item x="352"/>
        <item x="353"/>
        <item x="337"/>
        <item x="358"/>
        <item x="308"/>
        <item x="347"/>
        <item x="341"/>
        <item x="356"/>
        <item x="355"/>
        <item x="362"/>
        <item x="335"/>
        <item x="359"/>
        <item x="333"/>
        <item x="365"/>
        <item x="299"/>
        <item x="368"/>
        <item x="367"/>
        <item x="370"/>
        <item x="354"/>
        <item x="364"/>
        <item x="369"/>
        <item x="363"/>
        <item x="375"/>
        <item x="373"/>
        <item x="371"/>
        <item x="372"/>
        <item x="361"/>
        <item x="378"/>
        <item x="360"/>
        <item x="380"/>
        <item x="388"/>
        <item x="384"/>
        <item x="386"/>
        <item x="387"/>
        <item x="389"/>
        <item x="357"/>
        <item x="391"/>
        <item x="393"/>
        <item x="392"/>
        <item x="376"/>
        <item x="385"/>
        <item x="381"/>
        <item x="374"/>
        <item x="366"/>
        <item x="383"/>
        <item x="379"/>
        <item x="324"/>
        <item x="395"/>
        <item x="397"/>
        <item x="394"/>
        <item x="406"/>
        <item x="402"/>
        <item x="396"/>
        <item x="382"/>
        <item x="405"/>
        <item x="403"/>
        <item x="404"/>
        <item x="377"/>
        <item x="408"/>
        <item x="407"/>
        <item x="348"/>
        <item x="411"/>
        <item x="415"/>
        <item x="409"/>
        <item x="398"/>
        <item x="418"/>
        <item x="417"/>
        <item x="413"/>
        <item x="421"/>
        <item x="419"/>
        <item x="416"/>
        <item x="400"/>
        <item x="399"/>
        <item x="420"/>
        <item x="342"/>
        <item x="414"/>
        <item x="390"/>
        <item x="304"/>
        <item x="425"/>
        <item x="410"/>
        <item x="422"/>
        <item x="412"/>
        <item x="423"/>
        <item x="401"/>
        <item x="431"/>
        <item x="432"/>
        <item x="430"/>
        <item x="433"/>
        <item x="434"/>
        <item x="428"/>
        <item x="427"/>
        <item x="424"/>
        <item x="442"/>
        <item x="441"/>
        <item x="435"/>
        <item x="439"/>
        <item x="429"/>
        <item x="440"/>
        <item x="426"/>
        <item x="437"/>
        <item x="444"/>
        <item x="438"/>
        <item x="239"/>
        <item x="450"/>
        <item x="449"/>
        <item x="445"/>
        <item x="436"/>
        <item x="446"/>
        <item x="443"/>
        <item x="448"/>
        <item x="447"/>
      </items>
    </pivotField>
    <pivotField name="USD latest" axis="axisRow" compact="0" numFmtId="164" outline="0" multipleItemSelectionAllowed="1" showAll="0" sortType="ascending" defaultSubtotal="0">
      <items>
        <item x="397"/>
        <item x="859"/>
        <item x="780"/>
        <item x="1041"/>
        <item x="1064"/>
        <item x="1040"/>
        <item x="1016"/>
        <item x="688"/>
        <item x="1042"/>
        <item x="1746"/>
        <item x="1066"/>
        <item x="1283"/>
        <item x="795"/>
        <item x="1061"/>
        <item x="779"/>
        <item x="674"/>
        <item x="1591"/>
        <item x="1450"/>
        <item x="1593"/>
        <item x="1820"/>
        <item x="1539"/>
        <item x="1545"/>
        <item x="1057"/>
        <item x="1019"/>
        <item x="1840"/>
        <item x="689"/>
        <item x="1733"/>
        <item x="1021"/>
        <item x="1499"/>
        <item x="1131"/>
        <item x="1054"/>
        <item x="1697"/>
        <item x="1821"/>
        <item x="991"/>
        <item x="1525"/>
        <item x="1518"/>
        <item x="1497"/>
        <item x="990"/>
        <item x="1458"/>
        <item x="1198"/>
        <item x="1020"/>
        <item x="1651"/>
        <item x="1193"/>
        <item x="1273"/>
        <item x="1731"/>
        <item x="1650"/>
        <item x="577"/>
        <item x="1656"/>
        <item x="1022"/>
        <item x="1227"/>
        <item x="1695"/>
        <item x="1229"/>
        <item x="822"/>
        <item x="1844"/>
        <item x="1197"/>
        <item x="1747"/>
        <item x="1479"/>
        <item x="1653"/>
        <item x="1652"/>
        <item x="1659"/>
        <item x="1149"/>
        <item x="1060"/>
        <item x="1547"/>
        <item x="1520"/>
        <item x="1192"/>
        <item x="1346"/>
        <item x="1872"/>
        <item x="1194"/>
        <item x="1440"/>
        <item x="1663"/>
        <item x="1611"/>
        <item x="1524"/>
        <item x="1127"/>
        <item x="1827"/>
        <item x="1546"/>
        <item x="1657"/>
        <item x="1306"/>
        <item x="1477"/>
        <item x="1232"/>
        <item x="430"/>
        <item x="1182"/>
        <item x="1384"/>
        <item x="1195"/>
        <item x="1874"/>
        <item x="942"/>
        <item x="1825"/>
        <item x="1876"/>
        <item x="1277"/>
        <item x="1841"/>
        <item x="1523"/>
        <item x="794"/>
        <item x="1824"/>
        <item x="808"/>
        <item x="821"/>
        <item x="1870"/>
        <item x="1335"/>
        <item x="1196"/>
        <item x="1180"/>
        <item x="1062"/>
        <item x="793"/>
        <item x="1846"/>
        <item x="807"/>
        <item x="820"/>
        <item x="1592"/>
        <item x="1519"/>
        <item x="425"/>
        <item x="1654"/>
        <item x="1871"/>
        <item x="539"/>
        <item x="604"/>
        <item x="1698"/>
        <item x="1693"/>
        <item x="1280"/>
        <item x="1212"/>
        <item x="1498"/>
        <item x="1177"/>
        <item x="1163"/>
        <item x="1004"/>
        <item x="1383"/>
        <item x="1439"/>
        <item x="1371"/>
        <item x="1359"/>
        <item x="1211"/>
        <item x="1624"/>
        <item x="1646"/>
        <item x="1636"/>
        <item x="1176"/>
        <item x="1162"/>
        <item x="1623"/>
        <item x="1645"/>
        <item x="1635"/>
        <item x="1771"/>
        <item x="1188"/>
        <item x="1809"/>
        <item x="1278"/>
        <item x="983"/>
        <item x="1692"/>
        <item x="1443"/>
        <item x="970"/>
        <item x="687"/>
        <item x="702"/>
        <item x="956"/>
        <item x="714"/>
        <item x="1451"/>
        <item x="371"/>
        <item x="1823"/>
        <item x="1233"/>
        <item x="755"/>
        <item x="1735"/>
        <item x="1625"/>
        <item x="1647"/>
        <item x="1637"/>
        <item x="1422"/>
        <item x="1181"/>
        <item x="1056"/>
        <item x="1826"/>
        <item x="1868"/>
        <item x="1398"/>
        <item x="1655"/>
        <item x="1410"/>
        <item x="1734"/>
        <item x="1452"/>
        <item x="1397"/>
        <item x="1723"/>
        <item x="1822"/>
        <item x="1618"/>
        <item x="1515"/>
        <item x="1869"/>
        <item x="1843"/>
        <item x="1526"/>
        <item x="1512"/>
        <item x="589"/>
        <item x="602"/>
        <item x="576"/>
        <item x="1478"/>
        <item x="1736"/>
        <item x="1235"/>
        <item x="1538"/>
        <item x="1231"/>
        <item x="1729"/>
        <item x="1542"/>
        <item x="1476"/>
        <item x="1017"/>
        <item x="1732"/>
        <item x="1038"/>
        <item x="763"/>
        <item x="9"/>
        <item x="1700"/>
        <item x="1183"/>
        <item x="1276"/>
        <item x="1664"/>
        <item x="1036"/>
        <item x="1039"/>
        <item x="976"/>
        <item x="1782"/>
        <item x="1800"/>
        <item x="1792"/>
        <item x="1305"/>
        <item x="1037"/>
        <item x="1058"/>
        <item x="1130"/>
        <item x="761"/>
        <item x="1594"/>
        <item x="762"/>
        <item x="538"/>
        <item x="768"/>
        <item x="1830"/>
        <item x="1148"/>
        <item x="1029"/>
        <item x="758"/>
        <item x="1660"/>
        <item x="1730"/>
        <item x="1018"/>
        <item x="753"/>
        <item x="1696"/>
        <item x="966"/>
        <item x="17"/>
        <item x="767"/>
        <item x="1279"/>
        <item x="1861"/>
        <item x="1842"/>
        <item x="885"/>
        <item x="754"/>
        <item x="898"/>
        <item x="765"/>
        <item x="1307"/>
        <item x="1662"/>
        <item x="751"/>
        <item x="1728"/>
        <item x="1548"/>
        <item x="955"/>
        <item x="1883"/>
        <item x="1055"/>
        <item x="1336"/>
        <item x="766"/>
        <item x="1875"/>
        <item x="1590"/>
        <item x="1002"/>
        <item x="1179"/>
        <item x="41"/>
        <item x="1761"/>
        <item x="1424"/>
        <item x="1598"/>
        <item x="1807"/>
        <item x="1808"/>
        <item x="1014"/>
        <item x="10"/>
        <item x="1129"/>
        <item x="1806"/>
        <item x="1682"/>
        <item x="1805"/>
        <item x="1444"/>
        <item x="1595"/>
        <item x="76"/>
        <item x="1760"/>
        <item x="1191"/>
        <item x="969"/>
        <item x="1803"/>
        <item x="1213"/>
        <item x="18"/>
        <item x="1658"/>
        <item x="510"/>
        <item x="1839"/>
        <item x="1063"/>
        <item x="1493"/>
        <item x="1065"/>
        <item x="1804"/>
        <item x="72"/>
        <item x="1828"/>
        <item x="1537"/>
        <item x="1295"/>
        <item x="752"/>
        <item x="1835"/>
        <item x="1472"/>
        <item x="1745"/>
        <item x="12"/>
        <item x="1849"/>
        <item x="130"/>
        <item x="760"/>
        <item x="1013"/>
        <item x="764"/>
        <item x="215"/>
        <item x="211"/>
        <item x="1513"/>
        <item x="315"/>
        <item x="757"/>
        <item x="759"/>
        <item x="492"/>
        <item x="132"/>
        <item x="216"/>
        <item x="11"/>
        <item x="214"/>
        <item x="1084"/>
        <item x="1667"/>
        <item x="1059"/>
        <item x="1882"/>
        <item x="756"/>
        <item x="834"/>
        <item x="1847"/>
        <item x="1294"/>
        <item x="1744"/>
        <item x="1445"/>
        <item x="1699"/>
        <item x="561"/>
        <item x="1448"/>
        <item x="1425"/>
        <item x="729"/>
        <item x="1873"/>
        <item x="1527"/>
        <item x="1836"/>
        <item x="1185"/>
        <item x="1694"/>
        <item x="1006"/>
        <item x="1818"/>
        <item x="1189"/>
        <item x="792"/>
        <item x="1303"/>
        <item x="817"/>
        <item x="797"/>
        <item x="1878"/>
        <item x="562"/>
        <item x="1881"/>
        <item x="1178"/>
        <item x="1187"/>
        <item x="1132"/>
        <item x="827"/>
        <item x="13"/>
        <item x="1133"/>
        <item x="809"/>
        <item x="1003"/>
        <item x="75"/>
        <item x="803"/>
        <item x="826"/>
        <item x="781"/>
        <item x="791"/>
        <item x="1186"/>
        <item x="790"/>
        <item x="169"/>
        <item x="782"/>
        <item x="804"/>
        <item x="83"/>
        <item x="1475"/>
        <item x="133"/>
        <item x="1845"/>
        <item x="129"/>
        <item x="1541"/>
        <item x="811"/>
        <item x="1850"/>
        <item x="1419"/>
        <item x="14"/>
        <item x="796"/>
        <item x="840"/>
        <item x="1829"/>
        <item x="1184"/>
        <item x="1015"/>
        <item x="810"/>
        <item x="1749"/>
        <item x="1742"/>
        <item x="1075"/>
        <item x="805"/>
        <item x="883"/>
        <item x="1281"/>
        <item x="1098"/>
        <item x="151"/>
        <item x="1173"/>
        <item x="1171"/>
        <item x="524"/>
        <item x="818"/>
        <item x="511"/>
        <item x="1199"/>
        <item x="205"/>
        <item x="1274"/>
        <item x="1172"/>
        <item x="1848"/>
        <item x="1740"/>
        <item x="1090"/>
        <item x="1540"/>
        <item x="1368"/>
        <item x="1366"/>
        <item x="962"/>
        <item x="1372"/>
        <item x="1109"/>
        <item x="1309"/>
        <item x="1831"/>
        <item x="1566"/>
        <item x="992"/>
        <item x="1074"/>
        <item x="1367"/>
        <item x="1550"/>
        <item x="1155"/>
        <item x="1725"/>
        <item x="1689"/>
        <item x="206"/>
        <item x="1275"/>
        <item x="1577"/>
        <item x="1284"/>
        <item x="989"/>
        <item x="1352"/>
        <item x="1154"/>
        <item x="1201"/>
        <item x="1170"/>
        <item x="1158"/>
        <item x="1200"/>
        <item x="1441"/>
        <item x="1226"/>
        <item x="78"/>
        <item x="1758"/>
        <item x="1457"/>
        <item x="1169"/>
        <item x="1080"/>
        <item x="326"/>
        <item x="1156"/>
        <item x="1748"/>
        <item x="748"/>
        <item x="1215"/>
        <item x="1209"/>
        <item x="912"/>
        <item x="1157"/>
        <item x="1089"/>
        <item x="1202"/>
        <item x="70"/>
        <item x="1816"/>
        <item x="951"/>
        <item x="1521"/>
        <item x="27"/>
        <item x="1353"/>
        <item x="66"/>
        <item x="982"/>
        <item x="1364"/>
        <item x="1052"/>
        <item x="1442"/>
        <item x="1759"/>
        <item x="1081"/>
        <item x="1381"/>
        <item x="968"/>
        <item x="1355"/>
        <item x="1319"/>
        <item x="1354"/>
        <item x="1351"/>
        <item x="1374"/>
        <item x="1365"/>
        <item x="1375"/>
        <item x="1373"/>
        <item x="1210"/>
        <item x="135"/>
        <item x="1817"/>
        <item x="1454"/>
        <item x="1005"/>
        <item x="531"/>
        <item x="789"/>
        <item x="677"/>
        <item x="974"/>
        <item x="1449"/>
        <item x="678"/>
        <item x="1596"/>
        <item x="972"/>
        <item x="1234"/>
        <item x="679"/>
        <item x="691"/>
        <item x="704"/>
        <item x="694"/>
        <item x="3"/>
        <item x="707"/>
        <item x="692"/>
        <item x="693"/>
        <item x="676"/>
        <item x="695"/>
        <item x="607"/>
        <item x="706"/>
        <item x="705"/>
        <item x="680"/>
        <item x="4"/>
        <item x="1638"/>
        <item x="788"/>
        <item x="606"/>
        <item x="943"/>
        <item x="1612"/>
        <item x="319"/>
        <item x="1382"/>
        <item x="978"/>
        <item x="1613"/>
        <item x="718"/>
        <item x="1815"/>
        <item x="1634"/>
        <item x="1639"/>
        <item x="1640"/>
        <item x="945"/>
        <item x="1614"/>
        <item x="958"/>
        <item x="944"/>
        <item x="363"/>
        <item x="959"/>
        <item x="1272"/>
        <item x="1407"/>
        <item x="960"/>
        <item x="770"/>
        <item x="369"/>
        <item x="1473"/>
        <item x="664"/>
        <item x="957"/>
        <item x="814"/>
        <item x="816"/>
        <item x="812"/>
        <item x="662"/>
        <item x="799"/>
        <item x="212"/>
        <item x="967"/>
        <item x="946"/>
        <item x="819"/>
        <item x="1079"/>
        <item x="798"/>
        <item x="806"/>
        <item x="1456"/>
        <item x="977"/>
        <item x="952"/>
        <item x="1600"/>
        <item x="784"/>
        <item x="973"/>
        <item x="787"/>
        <item x="801"/>
        <item x="1856"/>
        <item x="771"/>
        <item x="802"/>
        <item x="772"/>
        <item x="1775"/>
        <item x="1794"/>
        <item x="1793"/>
        <item x="1774"/>
        <item x="1783"/>
        <item x="1773"/>
        <item x="815"/>
        <item x="1481"/>
        <item x="1776"/>
        <item x="1648"/>
        <item x="1784"/>
        <item x="1615"/>
        <item x="1626"/>
        <item x="1795"/>
        <item x="1802"/>
        <item x="1228"/>
        <item x="1161"/>
        <item x="131"/>
        <item x="1206"/>
        <item x="1152"/>
        <item x="971"/>
        <item x="1801"/>
        <item x="213"/>
        <item x="1879"/>
        <item x="1517"/>
        <item x="1421"/>
        <item x="1690"/>
        <item x="1409"/>
        <item x="65"/>
        <item x="115"/>
        <item x="1852"/>
        <item x="1358"/>
        <item x="786"/>
        <item x="1378"/>
        <item x="1857"/>
        <item x="1349"/>
        <item x="399"/>
        <item x="87"/>
        <item x="857"/>
        <item x="1622"/>
        <item x="1416"/>
        <item x="1691"/>
        <item x="1174"/>
        <item x="1649"/>
        <item x="1621"/>
        <item x="1772"/>
        <item x="800"/>
        <item x="367"/>
        <item x="1417"/>
        <item x="1394"/>
        <item x="1392"/>
        <item x="1406"/>
        <item x="1391"/>
        <item x="1418"/>
        <item x="1405"/>
        <item x="1393"/>
        <item x="1408"/>
        <item x="1395"/>
        <item x="1204"/>
        <item x="1851"/>
        <item x="153"/>
        <item x="783"/>
        <item x="813"/>
        <item x="1369"/>
        <item x="1073"/>
        <item x="1160"/>
        <item x="1165"/>
        <item x="1151"/>
        <item x="1167"/>
        <item x="1150"/>
        <item x="1175"/>
        <item x="1164"/>
        <item x="1203"/>
        <item x="117"/>
        <item x="785"/>
        <item x="876"/>
        <item x="1757"/>
        <item x="1620"/>
        <item x="1609"/>
        <item x="1610"/>
        <item x="1628"/>
        <item x="1207"/>
        <item x="1168"/>
        <item x="1627"/>
        <item x="1159"/>
        <item x="1390"/>
        <item x="1208"/>
        <item x="661"/>
        <item x="1834"/>
        <item x="1166"/>
        <item x="1619"/>
        <item x="1641"/>
        <item x="1630"/>
        <item x="1153"/>
        <item x="579"/>
        <item x="93"/>
        <item x="1643"/>
        <item x="1632"/>
        <item x="1702"/>
        <item x="246"/>
        <item x="590"/>
        <item x="587"/>
        <item x="594"/>
        <item x="588"/>
        <item x="591"/>
        <item x="572"/>
        <item x="574"/>
        <item x="586"/>
        <item x="578"/>
        <item x="593"/>
        <item x="592"/>
        <item x="1356"/>
        <item x="573"/>
        <item x="575"/>
        <item x="340"/>
        <item x="245"/>
        <item x="1376"/>
        <item x="1380"/>
        <item x="1388"/>
        <item x="1363"/>
        <item x="933"/>
        <item x="1357"/>
        <item x="1362"/>
        <item x="497"/>
        <item x="1361"/>
        <item x="1377"/>
        <item x="1348"/>
        <item x="1347"/>
        <item x="1370"/>
        <item x="1360"/>
        <item x="1379"/>
        <item x="1350"/>
        <item x="934"/>
        <item x="362"/>
        <item x="1790"/>
        <item x="1778"/>
        <item x="1777"/>
        <item x="1799"/>
        <item x="1788"/>
        <item x="1796"/>
        <item x="1205"/>
        <item x="1787"/>
        <item x="774"/>
        <item x="1785"/>
        <item x="97"/>
        <item x="1072"/>
        <item x="1791"/>
        <item x="1780"/>
        <item x="1779"/>
        <item x="1781"/>
        <item x="1413"/>
        <item x="498"/>
        <item x="980"/>
        <item x="1564"/>
        <item x="60"/>
        <item x="1629"/>
        <item x="631"/>
        <item x="1633"/>
        <item x="1798"/>
        <item x="1644"/>
        <item x="1786"/>
        <item x="1617"/>
        <item x="981"/>
        <item x="1813"/>
        <item x="387"/>
        <item x="979"/>
        <item x="201"/>
        <item x="88"/>
        <item x="1565"/>
        <item x="386"/>
        <item x="1853"/>
        <item x="202"/>
        <item x="778"/>
        <item x="200"/>
        <item x="831"/>
        <item x="1661"/>
        <item x="950"/>
        <item x="975"/>
        <item x="1230"/>
        <item x="953"/>
        <item x="1544"/>
        <item x="963"/>
        <item x="777"/>
        <item x="361"/>
        <item x="954"/>
        <item x="838"/>
        <item x="1701"/>
        <item x="1522"/>
        <item x="388"/>
        <item x="1563"/>
        <item x="1789"/>
        <item x="1797"/>
        <item x="825"/>
        <item x="947"/>
        <item x="1282"/>
        <item x="965"/>
        <item x="1616"/>
        <item x="1631"/>
        <item x="961"/>
        <item x="52"/>
        <item x="1642"/>
        <item x="180"/>
        <item x="1514"/>
        <item x="711"/>
        <item x="336"/>
        <item x="697"/>
        <item x="45"/>
        <item x="914"/>
        <item x="698"/>
        <item x="708"/>
        <item x="1389"/>
        <item x="331"/>
        <item x="696"/>
        <item x="675"/>
        <item x="703"/>
        <item x="1866"/>
        <item x="835"/>
        <item x="1752"/>
        <item x="682"/>
        <item x="709"/>
        <item x="685"/>
        <item x="681"/>
        <item x="710"/>
        <item x="700"/>
        <item x="683"/>
        <item x="712"/>
        <item x="690"/>
        <item x="684"/>
        <item x="1308"/>
        <item x="701"/>
        <item x="713"/>
        <item x="686"/>
        <item x="699"/>
        <item x="512"/>
        <item x="949"/>
        <item x="964"/>
        <item x="1387"/>
        <item x="1399"/>
        <item x="1599"/>
        <item x="915"/>
        <item x="1743"/>
        <item x="1516"/>
        <item x="179"/>
        <item x="1415"/>
        <item x="1299"/>
        <item x="1884"/>
        <item x="209"/>
        <item x="1385"/>
        <item x="1412"/>
        <item x="1404"/>
        <item x="1403"/>
        <item x="1396"/>
        <item x="1401"/>
        <item x="1386"/>
        <item x="1400"/>
        <item x="1420"/>
        <item x="1414"/>
        <item x="1411"/>
        <item x="1402"/>
        <item x="1751"/>
        <item x="1301"/>
        <item x="1455"/>
        <item x="1753"/>
        <item x="948"/>
        <item x="1300"/>
        <item x="881"/>
        <item x="500"/>
        <item x="1551"/>
        <item x="393"/>
        <item x="1470"/>
        <item x="309"/>
        <item x="234"/>
        <item x="243"/>
        <item x="1597"/>
        <item x="236"/>
        <item x="92"/>
        <item x="244"/>
        <item x="310"/>
        <item x="181"/>
        <item x="21"/>
        <item x="38"/>
        <item x="329"/>
        <item x="652"/>
        <item x="96"/>
        <item x="39"/>
        <item x="1083"/>
        <item x="1298"/>
        <item x="1097"/>
        <item x="1078"/>
        <item x="537"/>
        <item x="360"/>
        <item x="1665"/>
        <item x="830"/>
        <item x="1088"/>
        <item x="1050"/>
        <item x="203"/>
        <item x="1053"/>
        <item x="61"/>
        <item x="298"/>
        <item x="1128"/>
        <item x="487"/>
        <item x="613"/>
        <item x="344"/>
        <item x="1554"/>
        <item x="392"/>
        <item x="22"/>
        <item x="1567"/>
        <item x="570"/>
        <item x="29"/>
        <item x="356"/>
        <item x="598"/>
        <item x="585"/>
        <item x="595"/>
        <item x="566"/>
        <item x="601"/>
        <item x="583"/>
        <item x="599"/>
        <item x="580"/>
        <item x="571"/>
        <item x="597"/>
        <item x="565"/>
        <item x="581"/>
        <item x="567"/>
        <item x="569"/>
        <item x="584"/>
        <item x="600"/>
        <item x="582"/>
        <item x="568"/>
        <item x="596"/>
        <item x="196"/>
        <item x="1559"/>
        <item x="390"/>
        <item x="207"/>
        <item x="438"/>
        <item x="513"/>
        <item x="1331"/>
        <item x="359"/>
        <item x="102"/>
        <item x="384"/>
        <item x="1071"/>
        <item x="1556"/>
        <item x="368"/>
        <item x="1328"/>
        <item x="51"/>
        <item x="1669"/>
        <item x="23"/>
        <item x="50"/>
        <item x="1568"/>
        <item x="488"/>
        <item x="308"/>
        <item x="324"/>
        <item x="163"/>
        <item x="1271"/>
        <item x="1024"/>
        <item x="1446"/>
        <item x="1557"/>
        <item x="1560"/>
        <item x="905"/>
        <item x="439"/>
        <item x="40"/>
        <item x="173"/>
        <item x="1854"/>
        <item x="1764"/>
        <item x="299"/>
        <item x="603"/>
        <item x="1314"/>
        <item x="1543"/>
        <item x="1555"/>
        <item x="660"/>
        <item x="238"/>
        <item x="242"/>
        <item x="1474"/>
        <item x="454"/>
        <item x="1320"/>
        <item x="1666"/>
        <item x="1329"/>
        <item x="1330"/>
        <item x="1558"/>
        <item x="651"/>
        <item x="300"/>
        <item x="1833"/>
        <item x="1763"/>
        <item x="775"/>
        <item x="1762"/>
        <item x="358"/>
        <item x="67"/>
        <item x="776"/>
        <item x="1765"/>
        <item x="168"/>
        <item x="1077"/>
        <item x="204"/>
        <item x="314"/>
        <item x="170"/>
        <item x="940"/>
        <item x="913"/>
        <item x="305"/>
        <item x="486"/>
        <item x="164"/>
        <item x="527"/>
        <item x="536"/>
        <item x="1571"/>
        <item x="103"/>
        <item x="1886"/>
        <item x="1430"/>
        <item x="53"/>
        <item x="719"/>
        <item x="199"/>
        <item x="346"/>
        <item x="663"/>
        <item x="453"/>
        <item x="841"/>
        <item x="542"/>
        <item x="68"/>
        <item x="391"/>
        <item x="101"/>
        <item x="307"/>
        <item x="28"/>
        <item x="177"/>
        <item x="1304"/>
        <item x="1087"/>
        <item x="1070"/>
        <item x="335"/>
        <item x="437"/>
        <item x="398"/>
        <item x="304"/>
        <item x="233"/>
        <item x="219"/>
        <item x="237"/>
        <item x="432"/>
        <item x="241"/>
        <item x="1326"/>
        <item x="182"/>
        <item x="1220"/>
        <item x="491"/>
        <item x="904"/>
        <item x="545"/>
        <item x="128"/>
        <item x="354"/>
        <item x="1582"/>
        <item x="452"/>
        <item x="485"/>
        <item x="896"/>
        <item x="650"/>
        <item x="1719"/>
        <item x="1096"/>
        <item x="301"/>
        <item x="535"/>
        <item x="420"/>
        <item x="1427"/>
        <item x="385"/>
        <item x="1713"/>
        <item x="247"/>
        <item x="860"/>
        <item x="389"/>
        <item x="198"/>
        <item x="457"/>
        <item x="1703"/>
        <item x="1453"/>
        <item x="345"/>
        <item x="429"/>
        <item x="919"/>
        <item x="357"/>
        <item x="1429"/>
        <item x="382"/>
        <item x="1553"/>
        <item x="20"/>
        <item x="643"/>
        <item x="1880"/>
        <item x="95"/>
        <item x="1727"/>
        <item x="210"/>
        <item x="58"/>
        <item x="1601"/>
        <item x="19"/>
        <item x="1738"/>
        <item x="646"/>
        <item x="334"/>
        <item x="1219"/>
        <item x="327"/>
        <item x="903"/>
        <item x="1576"/>
        <item x="450"/>
        <item x="1581"/>
        <item x="333"/>
        <item x="313"/>
        <item x="235"/>
        <item x="1711"/>
        <item x="1578"/>
        <item x="1338"/>
        <item x="918"/>
        <item x="112"/>
        <item x="824"/>
        <item x="122"/>
        <item x="995"/>
        <item x="1447"/>
        <item x="109"/>
        <item x="1832"/>
        <item x="716"/>
        <item x="71"/>
        <item x="895"/>
        <item x="1683"/>
        <item x="1242"/>
        <item x="1312"/>
        <item x="375"/>
        <item x="823"/>
        <item x="431"/>
        <item x="1313"/>
        <item x="1741"/>
        <item x="54"/>
        <item x="303"/>
        <item x="1819"/>
        <item x="451"/>
        <item x="1463"/>
        <item x="208"/>
        <item x="649"/>
        <item x="197"/>
        <item x="302"/>
        <item x="534"/>
        <item x="355"/>
        <item x="1237"/>
        <item x="1327"/>
        <item x="383"/>
        <item x="902"/>
        <item x="939"/>
        <item x="1257"/>
        <item x="541"/>
        <item x="654"/>
        <item x="1465"/>
        <item x="332"/>
        <item x="1067"/>
        <item x="136"/>
        <item x="42"/>
        <item x="295"/>
        <item x="1296"/>
        <item x="108"/>
        <item x="150"/>
        <item x="659"/>
        <item x="137"/>
        <item x="879"/>
        <item x="1323"/>
        <item x="325"/>
        <item x="427"/>
        <item x="147"/>
        <item x="1095"/>
        <item x="884"/>
        <item x="833"/>
        <item x="1190"/>
        <item x="1085"/>
        <item x="306"/>
        <item x="1756"/>
        <item x="449"/>
        <item x="146"/>
        <item x="1468"/>
        <item x="897"/>
        <item x="832"/>
        <item x="1248"/>
        <item x="152"/>
        <item x="745"/>
        <item x="1471"/>
        <item x="463"/>
        <item x="847"/>
        <item x="1724"/>
        <item x="743"/>
        <item x="911"/>
        <item x="1506"/>
        <item x="645"/>
        <item x="1121"/>
        <item x="738"/>
        <item x="1107"/>
        <item x="910"/>
        <item x="195"/>
        <item x="172"/>
        <item x="436"/>
        <item x="658"/>
        <item x="1302"/>
        <item x="1025"/>
        <item x="773"/>
        <item x="1292"/>
        <item x="1505"/>
        <item x="647"/>
        <item x="1503"/>
        <item x="927"/>
        <item x="1082"/>
        <item x="1119"/>
        <item x="145"/>
        <item x="1221"/>
        <item x="1504"/>
        <item x="1814"/>
        <item x="104"/>
        <item x="615"/>
        <item x="499"/>
        <item x="1076"/>
        <item x="715"/>
        <item x="493"/>
        <item x="829"/>
        <item x="1120"/>
        <item x="1562"/>
        <item x="1101"/>
        <item x="1570"/>
        <item x="1714"/>
        <item x="1035"/>
        <item x="1105"/>
        <item x="1048"/>
        <item x="1722"/>
        <item x="1310"/>
        <item x="1104"/>
        <item x="59"/>
        <item x="1718"/>
        <item x="1721"/>
        <item x="1712"/>
        <item x="1501"/>
        <item x="230"/>
        <item x="728"/>
        <item x="77"/>
        <item x="1099"/>
        <item x="1046"/>
        <item x="509"/>
        <item x="1469"/>
        <item x="1710"/>
        <item x="1436"/>
        <item x="1686"/>
        <item x="907"/>
        <item x="508"/>
        <item x="481"/>
        <item x="1437"/>
        <item x="318"/>
        <item x="1316"/>
        <item x="1715"/>
        <item x="474"/>
        <item x="1502"/>
        <item x="1687"/>
        <item x="1102"/>
        <item x="1049"/>
        <item x="62"/>
        <item x="1500"/>
        <item x="890"/>
        <item x="26"/>
        <item x="1325"/>
        <item x="878"/>
        <item x="1291"/>
        <item x="742"/>
        <item x="828"/>
        <item x="490"/>
        <item x="736"/>
        <item x="614"/>
        <item x="1033"/>
        <item x="1688"/>
        <item x="1086"/>
        <item x="744"/>
        <item x="478"/>
        <item x="1047"/>
        <item x="1685"/>
        <item x="480"/>
        <item x="526"/>
        <item x="533"/>
        <item x="894"/>
        <item x="110"/>
        <item x="1726"/>
        <item x="740"/>
        <item x="891"/>
        <item x="1561"/>
        <item x="1668"/>
        <item x="1045"/>
        <item x="232"/>
        <item x="1253"/>
        <item x="330"/>
        <item x="870"/>
        <item x="1069"/>
        <item x="1031"/>
        <item x="1270"/>
        <item x="1023"/>
        <item x="735"/>
        <item x="1709"/>
        <item x="1030"/>
        <item x="489"/>
        <item x="1289"/>
        <item x="1684"/>
        <item x="909"/>
        <item x="1126"/>
        <item x="887"/>
        <item x="1708"/>
        <item x="886"/>
        <item x="479"/>
        <item x="892"/>
        <item x="882"/>
        <item x="1585"/>
        <item x="516"/>
        <item x="79"/>
        <item x="906"/>
        <item x="113"/>
        <item x="521"/>
        <item x="717"/>
        <item x="1754"/>
        <item x="176"/>
        <item x="477"/>
        <item x="1583"/>
        <item x="741"/>
        <item x="993"/>
        <item x="1255"/>
        <item x="1251"/>
        <item x="518"/>
        <item x="559"/>
        <item x="107"/>
        <item x="0"/>
        <item x="1068"/>
        <item x="138"/>
        <item x="1034"/>
        <item x="1250"/>
        <item x="1254"/>
        <item x="159"/>
        <item x="1426"/>
        <item x="1885"/>
        <item x="217"/>
        <item x="175"/>
        <item x="1315"/>
        <item x="1339"/>
        <item x="456"/>
        <item x="917"/>
        <item x="1770"/>
        <item x="889"/>
        <item x="69"/>
        <item x="893"/>
        <item x="517"/>
        <item x="739"/>
        <item x="1877"/>
        <item x="525"/>
        <item x="1720"/>
        <item x="297"/>
        <item x="532"/>
        <item x="737"/>
        <item x="520"/>
        <item x="1575"/>
        <item x="1322"/>
        <item x="193"/>
        <item x="1252"/>
        <item x="139"/>
        <item x="1574"/>
        <item x="1293"/>
        <item x="443"/>
        <item x="444"/>
        <item x="880"/>
        <item x="921"/>
        <item x="484"/>
        <item x="653"/>
        <item x="642"/>
        <item x="414"/>
        <item x="134"/>
        <item x="1032"/>
        <item x="888"/>
        <item x="417"/>
        <item x="446"/>
        <item x="908"/>
        <item x="256"/>
        <item x="519"/>
        <item x="221"/>
        <item x="877"/>
        <item x="8"/>
        <item x="1431"/>
        <item x="415"/>
        <item x="1311"/>
        <item x="188"/>
        <item x="1318"/>
        <item x="1716"/>
        <item x="1106"/>
        <item x="419"/>
        <item x="1217"/>
        <item x="442"/>
        <item x="1141"/>
        <item x="1549"/>
        <item x="1587"/>
        <item x="89"/>
        <item x="1717"/>
        <item x="416"/>
        <item x="861"/>
        <item x="428"/>
        <item x="540"/>
        <item x="447"/>
        <item x="1093"/>
        <item x="178"/>
        <item x="1324"/>
        <item x="455"/>
        <item x="864"/>
        <item x="641"/>
        <item x="648"/>
        <item x="605"/>
        <item x="727"/>
        <item x="633"/>
        <item x="16"/>
        <item x="1238"/>
        <item x="423"/>
        <item x="996"/>
        <item x="635"/>
        <item x="445"/>
        <item x="843"/>
        <item x="634"/>
        <item x="418"/>
        <item x="106"/>
        <item x="842"/>
        <item x="328"/>
        <item x="507"/>
        <item x="1290"/>
        <item x="839"/>
        <item x="547"/>
        <item x="999"/>
        <item x="1507"/>
        <item x="1755"/>
        <item x="632"/>
        <item x="1604"/>
        <item x="468"/>
        <item x="1768"/>
        <item x="1579"/>
        <item x="1243"/>
        <item x="257"/>
        <item x="636"/>
        <item x="560"/>
        <item x="273"/>
        <item x="470"/>
        <item x="1124"/>
        <item x="644"/>
        <item x="1123"/>
        <item x="424"/>
        <item x="1334"/>
        <item x="1092"/>
        <item x="637"/>
        <item x="1580"/>
        <item x="617"/>
        <item x="616"/>
        <item x="1125"/>
        <item x="550"/>
        <item x="916"/>
        <item x="258"/>
        <item x="1769"/>
        <item x="875"/>
        <item x="723"/>
        <item x="1584"/>
        <item x="458"/>
        <item x="174"/>
        <item x="495"/>
        <item x="1487"/>
        <item x="433"/>
        <item x="80"/>
        <item x="1117"/>
        <item x="1423"/>
        <item x="1862"/>
        <item x="259"/>
        <item x="496"/>
        <item x="1103"/>
        <item x="1008"/>
        <item x="1337"/>
        <item x="922"/>
        <item x="1750"/>
        <item x="1"/>
        <item x="252"/>
        <item x="317"/>
        <item x="656"/>
        <item x="406"/>
        <item x="475"/>
        <item x="260"/>
        <item x="1432"/>
        <item x="370"/>
        <item x="1116"/>
        <item x="1459"/>
        <item x="49"/>
        <item x="1297"/>
        <item x="374"/>
        <item x="1321"/>
        <item x="1317"/>
        <item x="1588"/>
        <item x="1767"/>
        <item x="548"/>
        <item x="668"/>
        <item x="853"/>
        <item x="546"/>
        <item x="670"/>
        <item x="407"/>
        <item x="669"/>
        <item x="747"/>
        <item x="464"/>
        <item x="231"/>
        <item x="262"/>
        <item x="1766"/>
        <item x="1216"/>
        <item x="665"/>
        <item x="421"/>
        <item x="47"/>
        <item x="1100"/>
        <item x="261"/>
        <item x="255"/>
        <item x="263"/>
        <item x="1341"/>
        <item x="1858"/>
        <item x="408"/>
        <item x="91"/>
        <item x="1115"/>
        <item x="1246"/>
        <item x="64"/>
        <item x="529"/>
        <item x="1114"/>
        <item x="274"/>
        <item x="1434"/>
        <item x="1607"/>
        <item x="1435"/>
        <item x="111"/>
        <item x="1333"/>
        <item x="118"/>
        <item x="1012"/>
        <item x="624"/>
        <item x="1605"/>
        <item x="373"/>
        <item x="1573"/>
        <item x="621"/>
        <item x="1244"/>
        <item x="1586"/>
        <item x="865"/>
        <item x="290"/>
        <item x="264"/>
        <item x="278"/>
        <item x="119"/>
        <item x="1608"/>
        <item x="1245"/>
        <item x="1118"/>
        <item x="1000"/>
        <item x="862"/>
        <item x="1433"/>
        <item x="405"/>
        <item x="15"/>
        <item x="158"/>
        <item x="553"/>
        <item x="283"/>
        <item x="1864"/>
        <item x="1569"/>
        <item x="2"/>
        <item x="125"/>
        <item x="1247"/>
        <item x="866"/>
        <item x="286"/>
        <item x="265"/>
        <item x="1108"/>
        <item x="997"/>
        <item x="35"/>
        <item x="1675"/>
        <item x="1113"/>
        <item x="155"/>
        <item x="267"/>
        <item x="266"/>
        <item x="1001"/>
        <item x="288"/>
        <item x="280"/>
        <item x="1865"/>
        <item x="461"/>
        <item x="1027"/>
        <item x="185"/>
        <item x="220"/>
        <item x="105"/>
        <item x="6"/>
        <item x="86"/>
        <item x="551"/>
        <item x="1552"/>
        <item x="287"/>
        <item x="284"/>
        <item x="5"/>
        <item x="722"/>
        <item x="657"/>
        <item x="183"/>
        <item x="275"/>
        <item x="268"/>
        <item x="149"/>
        <item x="296"/>
        <item x="1606"/>
        <item x="998"/>
        <item x="32"/>
        <item x="282"/>
        <item x="34"/>
        <item x="1460"/>
        <item x="1225"/>
        <item x="90"/>
        <item x="269"/>
        <item x="285"/>
        <item x="250"/>
        <item x="272"/>
        <item x="372"/>
        <item x="141"/>
        <item x="844"/>
        <item x="270"/>
        <item x="271"/>
        <item x="1263"/>
        <item x="337"/>
        <item x="863"/>
        <item x="867"/>
        <item x="339"/>
        <item x="37"/>
        <item x="276"/>
        <item x="1572"/>
        <item x="289"/>
        <item x="749"/>
        <item x="279"/>
        <item x="322"/>
        <item x="277"/>
        <item x="1860"/>
        <item x="1249"/>
        <item x="74"/>
        <item x="251"/>
        <item x="396"/>
        <item x="1706"/>
        <item x="556"/>
        <item x="48"/>
        <item x="530"/>
        <item x="469"/>
        <item x="1863"/>
        <item x="350"/>
        <item x="120"/>
        <item x="63"/>
        <item x="194"/>
        <item x="434"/>
        <item x="1091"/>
        <item x="7"/>
        <item x="730"/>
        <item x="871"/>
        <item x="494"/>
        <item x="549"/>
        <item x="554"/>
        <item x="394"/>
        <item x="341"/>
        <item x="1811"/>
        <item x="25"/>
        <item x="460"/>
        <item x="920"/>
        <item x="395"/>
        <item x="1532"/>
        <item x="351"/>
        <item x="901"/>
        <item x="900"/>
        <item x="472"/>
        <item x="1043"/>
        <item x="127"/>
        <item x="240"/>
        <item x="36"/>
        <item x="528"/>
        <item x="1332"/>
        <item x="618"/>
        <item x="1531"/>
        <item x="502"/>
        <item x="619"/>
        <item x="1344"/>
        <item x="845"/>
        <item x="81"/>
        <item x="46"/>
        <item x="338"/>
        <item x="1855"/>
        <item x="622"/>
        <item x="552"/>
        <item x="1483"/>
        <item x="1488"/>
        <item x="620"/>
        <item x="73"/>
        <item x="167"/>
        <item x="1236"/>
        <item x="33"/>
        <item x="558"/>
        <item x="366"/>
        <item x="929"/>
        <item x="899"/>
        <item x="343"/>
        <item x="440"/>
        <item x="471"/>
        <item x="435"/>
        <item x="342"/>
        <item x="365"/>
        <item x="655"/>
        <item x="873"/>
        <item x="24"/>
        <item x="936"/>
        <item x="1140"/>
        <item x="57"/>
        <item x="1489"/>
        <item x="249"/>
        <item x="1137"/>
        <item x="459"/>
        <item x="667"/>
        <item x="666"/>
        <item x="1122"/>
        <item x="623"/>
        <item x="166"/>
        <item x="165"/>
        <item x="544"/>
        <item x="1491"/>
        <item x="1145"/>
        <item x="1492"/>
        <item x="1269"/>
        <item x="1490"/>
        <item x="1144"/>
        <item x="1136"/>
        <item x="1142"/>
        <item x="157"/>
        <item x="1484"/>
        <item x="1138"/>
        <item x="630"/>
        <item x="1147"/>
        <item x="410"/>
        <item x="184"/>
        <item x="941"/>
        <item x="321"/>
        <item x="1134"/>
        <item x="1010"/>
        <item x="1146"/>
        <item x="846"/>
        <item x="316"/>
        <item x="1143"/>
        <item x="1139"/>
        <item x="1262"/>
        <item x="1496"/>
        <item x="928"/>
        <item x="162"/>
        <item x="932"/>
        <item x="364"/>
        <item x="1461"/>
        <item x="1258"/>
        <item x="1266"/>
        <item x="126"/>
        <item x="1260"/>
        <item x="930"/>
        <item x="171"/>
        <item x="1681"/>
        <item x="56"/>
        <item x="1267"/>
        <item x="1259"/>
        <item x="1676"/>
        <item x="750"/>
        <item x="1671"/>
        <item x="1672"/>
        <item x="1678"/>
        <item x="1264"/>
        <item x="931"/>
        <item x="628"/>
        <item x="1480"/>
        <item x="1679"/>
        <item x="1261"/>
        <item x="1345"/>
        <item x="1485"/>
        <item x="1680"/>
        <item x="505"/>
        <item x="1265"/>
        <item x="868"/>
        <item x="140"/>
        <item x="467"/>
        <item x="1268"/>
        <item x="1007"/>
        <item x="852"/>
        <item x="1677"/>
        <item x="925"/>
        <item x="1510"/>
        <item x="1486"/>
        <item x="94"/>
        <item x="466"/>
        <item x="191"/>
        <item x="292"/>
        <item x="1705"/>
        <item x="1285"/>
        <item x="347"/>
        <item x="154"/>
        <item x="156"/>
        <item x="121"/>
        <item x="142"/>
        <item x="1739"/>
        <item x="1674"/>
        <item x="1704"/>
        <item x="476"/>
        <item x="1737"/>
        <item x="84"/>
        <item x="1812"/>
        <item x="1673"/>
        <item x="55"/>
        <item x="872"/>
        <item x="1707"/>
        <item x="1670"/>
        <item x="1287"/>
        <item x="323"/>
        <item x="100"/>
        <item x="404"/>
        <item x="187"/>
        <item x="462"/>
        <item x="1495"/>
        <item x="228"/>
        <item x="1494"/>
        <item x="124"/>
        <item x="851"/>
        <item x="563"/>
        <item x="31"/>
        <item x="1867"/>
        <item x="837"/>
        <item x="994"/>
        <item x="293"/>
        <item x="1094"/>
        <item x="377"/>
        <item x="1838"/>
        <item x="1535"/>
        <item x="144"/>
        <item x="1464"/>
        <item x="1534"/>
        <item x="1256"/>
        <item x="82"/>
        <item x="381"/>
        <item x="1810"/>
        <item x="281"/>
        <item x="379"/>
        <item x="923"/>
        <item x="926"/>
        <item x="85"/>
        <item x="640"/>
        <item x="1428"/>
        <item x="555"/>
        <item x="161"/>
        <item x="1602"/>
        <item x="422"/>
        <item x="1482"/>
        <item x="441"/>
        <item x="514"/>
        <item x="1288"/>
        <item x="229"/>
        <item x="411"/>
        <item x="1239"/>
        <item x="854"/>
        <item x="400"/>
        <item x="376"/>
        <item x="222"/>
        <item x="869"/>
        <item x="1466"/>
        <item x="254"/>
        <item x="1528"/>
        <item x="1603"/>
        <item x="227"/>
        <item x="43"/>
        <item x="402"/>
        <item x="116"/>
        <item x="352"/>
        <item x="148"/>
        <item x="543"/>
        <item x="935"/>
        <item x="1508"/>
        <item x="483"/>
        <item x="726"/>
        <item x="312"/>
        <item x="848"/>
        <item x="1051"/>
        <item x="348"/>
        <item x="291"/>
        <item x="924"/>
        <item x="1536"/>
        <item x="850"/>
        <item x="226"/>
        <item x="123"/>
        <item x="515"/>
        <item x="224"/>
        <item x="1111"/>
        <item x="378"/>
        <item x="189"/>
        <item x="1342"/>
        <item x="1110"/>
        <item x="320"/>
        <item x="311"/>
        <item x="874"/>
        <item x="625"/>
        <item x="836"/>
        <item x="253"/>
        <item x="937"/>
        <item x="1529"/>
        <item x="638"/>
        <item x="1224"/>
        <item x="380"/>
        <item x="465"/>
        <item x="725"/>
        <item x="1589"/>
        <item x="523"/>
        <item x="1223"/>
        <item x="1511"/>
        <item x="639"/>
        <item x="482"/>
        <item x="612"/>
        <item x="190"/>
        <item x="412"/>
        <item x="98"/>
        <item x="856"/>
        <item x="629"/>
        <item x="248"/>
        <item x="855"/>
        <item x="114"/>
        <item x="349"/>
        <item x="30"/>
        <item x="186"/>
        <item x="1044"/>
        <item x="724"/>
        <item x="473"/>
        <item x="746"/>
        <item x="353"/>
        <item x="99"/>
        <item x="1011"/>
        <item x="160"/>
        <item x="611"/>
        <item x="720"/>
        <item x="733"/>
        <item x="1859"/>
        <item x="672"/>
        <item x="938"/>
        <item x="504"/>
        <item x="1509"/>
        <item x="503"/>
        <item x="192"/>
        <item x="1026"/>
        <item x="1218"/>
        <item x="426"/>
        <item x="1135"/>
        <item x="294"/>
        <item x="1112"/>
        <item x="1214"/>
        <item x="1222"/>
        <item x="987"/>
        <item x="403"/>
        <item x="409"/>
        <item x="44"/>
        <item x="413"/>
        <item x="501"/>
        <item x="858"/>
        <item x="225"/>
        <item x="522"/>
        <item x="1533"/>
        <item x="223"/>
        <item x="609"/>
        <item x="506"/>
        <item x="984"/>
        <item x="557"/>
        <item x="608"/>
        <item x="610"/>
        <item x="627"/>
        <item x="239"/>
        <item x="985"/>
        <item x="673"/>
        <item x="731"/>
        <item x="218"/>
        <item x="626"/>
        <item x="769"/>
        <item x="143"/>
        <item x="448"/>
        <item x="1530"/>
        <item x="1028"/>
        <item x="401"/>
        <item x="1240"/>
        <item x="1343"/>
        <item x="1438"/>
        <item x="1837"/>
        <item x="564"/>
        <item x="721"/>
        <item x="734"/>
        <item x="671"/>
        <item x="1462"/>
        <item x="849"/>
        <item x="986"/>
        <item x="732"/>
        <item x="1467"/>
        <item x="1241"/>
        <item x="1286"/>
        <item x="1009"/>
        <item x="988"/>
        <item x="1340"/>
      </items>
    </pivotField>
    <pivotField name="Category" compact="0" outline="0" multipleItemSelectionAllowed="1" showAll="0">
      <items>
        <item x="0"/>
        <item x="1"/>
        <item x="2"/>
        <item t="default"/>
      </items>
    </pivotField>
    <pivotField name="Subcategory" compact="0" outline="0" multipleItemSelectionAllowed="1" showAll="0">
      <items>
        <item x="0"/>
        <item x="1"/>
        <item x="2"/>
        <item x="3"/>
        <item x="4"/>
        <item x="5"/>
        <item x="6"/>
        <item x="7"/>
        <item x="8"/>
        <item x="9"/>
        <item x="10"/>
        <item t="default"/>
      </items>
    </pivotField>
    <pivotField name="inherited Category" compact="0" outline="0" multipleItemSelectionAllowed="1" showAll="0">
      <items>
        <item x="0"/>
        <item x="1"/>
        <item x="2"/>
        <item x="3"/>
        <item x="4"/>
        <item t="default"/>
      </items>
    </pivotField>
    <pivotField name="inherited Subcategory" compact="0" outline="0" multipleItemSelectionAllowed="1" showAll="0">
      <items>
        <item x="0"/>
        <item x="1"/>
        <item x="2"/>
        <item x="3"/>
        <item x="4"/>
        <item x="5"/>
        <item x="6"/>
        <item x="7"/>
        <item x="8"/>
        <item x="9"/>
        <item x="10"/>
        <item x="11"/>
        <item x="12"/>
        <item x="13"/>
        <item x="14"/>
        <item t="default"/>
      </items>
    </pivotField>
    <pivotField name="evaluated Category" axis="axisRow" compact="0" outline="0" multipleItemSelectionAllowed="1" showAll="0" sortType="ascending" defaultSubtotal="0">
      <items>
        <item x="1"/>
        <item x="3"/>
        <item x="4"/>
        <item x="2"/>
        <item x="0"/>
      </items>
    </pivotField>
    <pivotField name="evaluated Subcategory" axis="axisRow" compact="0" outline="0" multipleItemSelectionAllowed="1" showAll="0" sortType="ascending" defaultSubtotal="0">
      <items>
        <item x="1"/>
        <item x="12"/>
        <item x="9"/>
        <item x="7"/>
        <item x="10"/>
        <item x="21"/>
        <item x="13"/>
        <item x="0"/>
        <item x="22"/>
        <item x="5"/>
        <item x="6"/>
        <item x="3"/>
        <item x="2"/>
        <item x="15"/>
        <item x="14"/>
        <item x="16"/>
        <item x="17"/>
        <item x="20"/>
        <item x="19"/>
        <item x="11"/>
        <item x="8"/>
        <item x="4"/>
        <item x="18"/>
      </items>
    </pivotField>
    <pivotField name="year" compact="0" numFmtId="3" outline="0" multipleItemSelectionAllowed="1" showAll="0">
      <items>
        <item x="0"/>
        <item x="1"/>
        <item x="2"/>
        <item t="default"/>
      </items>
    </pivotField>
    <pivotField name="month" compact="0" numFmtId="3" outline="0" multipleItemSelectionAllowed="1" showAll="0">
      <items>
        <item x="0"/>
        <item x="1"/>
        <item x="2"/>
        <item x="3"/>
        <item x="4"/>
        <item x="5"/>
        <item x="6"/>
        <item x="7"/>
        <item x="8"/>
        <item x="9"/>
        <item x="10"/>
        <item x="11"/>
        <item t="default"/>
      </items>
    </pivotField>
    <pivotField name="quarter" compact="0" numFmtId="3" outline="0" multipleItemSelectionAllowed="1" showAll="0">
      <items>
        <item x="0"/>
        <item x="1"/>
        <item x="2"/>
        <item x="3"/>
        <item x="4"/>
        <item x="5"/>
        <item x="6"/>
        <item x="7"/>
        <item x="8"/>
        <item x="9"/>
        <item t="default"/>
      </items>
    </pivotField>
    <pivotField name="year-month"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name="half-year" compact="0" outline="0" multipleItemSelectionAllowed="1" showAll="0">
      <items>
        <item x="0"/>
        <item x="1"/>
        <item x="2"/>
        <item x="3"/>
        <item x="4"/>
        <item x="5"/>
        <item t="default"/>
      </items>
    </pivotField>
    <pivotField name="bounty name"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hide from income statement" axis="axisPage" compact="0" outline="0" multipleItemSelectionAllowed="1" showAll="0">
      <items>
        <item x="0"/>
        <item h="1" x="1"/>
        <item t="default"/>
      </items>
    </pivotField>
  </pivotFields>
  <rowFields>
    <field x="0"/>
    <field x="8"/>
    <field x="4"/>
    <field x="9"/>
    <field x="14"/>
    <field x="15"/>
    <field x="3"/>
  </rowFields>
  <pageFields>
    <pageField fld="2"/>
    <pageField fld="22"/>
  </pageFields>
</pivotTableDefinition>
</file>

<file path=xl/pivotTables/pivotTable6.xml><?xml version="1.0" encoding="utf-8"?>
<pivotTableDefinition xmlns="http://schemas.openxmlformats.org/spreadsheetml/2006/main" name="Aggregated Pivots" cacheId="2" dataCaption="" compact="0" compactData="0">
  <location ref="X4:AJ26" firstHeaderRow="0" firstDataRow="2" firstDataCol="1" rowPageCount="2" colPageCount="1"/>
  <pivotFields>
    <pivotField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t="default"/>
      </items>
    </pivotField>
    <pivotField name="parentBountyID" axis="axisRow" compact="0" outline="0" multipleItemSelectionAllowed="1" showAll="0" sortType="descending" defaultSubtotal="0">
      <items>
        <item x="0"/>
        <item x="1"/>
        <item x="2"/>
        <item x="3"/>
        <item x="4"/>
        <item x="5"/>
        <item x="6"/>
        <item x="7"/>
        <item x="8"/>
        <item x="9"/>
        <item x="10"/>
        <item x="11"/>
        <item x="12"/>
        <item x="13"/>
        <item x="14"/>
        <item x="15"/>
        <item x="16"/>
        <item x="17"/>
        <item x="18"/>
        <item x="19"/>
      </items>
      <autoSortScope>
        <pivotArea>
          <references>
            <reference field="4294967294">
              <x v="0"/>
            </reference>
          </references>
        </pivotArea>
      </autoSortScope>
    </pivotField>
    <pivotField name="status" axis="axisPage" compact="0" outline="0" multipleItemSelectionAllowed="1" showAll="0">
      <items>
        <item x="0"/>
        <item h="1" x="1"/>
        <item h="1" x="2"/>
        <item t="default"/>
      </items>
    </pivotField>
    <pivotField name="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t="default"/>
      </items>
    </pivotField>
    <pivotField name="DOT"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t="default"/>
      </items>
    </pivotField>
    <pivotField name="USD Proposal Tim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t="default"/>
      </items>
    </pivotField>
    <pivotField name="beneficia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t="default"/>
      </items>
    </pivotField>
    <pivotField name="proposal_time" compact="0" numFmtId="17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t="default"/>
      </items>
    </pivotField>
    <pivotField name="last_status_change" compact="0" numFmtId="17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t="default"/>
      </items>
    </pivotField>
    <pivotField name="USD latest"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t="default"/>
      </items>
    </pivotField>
    <pivotField name="Category" compact="0" outline="0" multipleItemSelectionAllowed="1" showAll="0">
      <items>
        <item x="0"/>
        <item x="1"/>
        <item x="2"/>
        <item t="default"/>
      </items>
    </pivotField>
    <pivotField name="Subcategory" compact="0" outline="0" multipleItemSelectionAllowed="1" showAll="0">
      <items>
        <item x="0"/>
        <item x="1"/>
        <item x="2"/>
        <item x="3"/>
        <item x="4"/>
        <item x="5"/>
        <item x="6"/>
        <item x="7"/>
        <item x="8"/>
        <item x="9"/>
        <item x="10"/>
        <item t="default"/>
      </items>
    </pivotField>
    <pivotField name="inherited Category" compact="0" outline="0" multipleItemSelectionAllowed="1" showAll="0">
      <items>
        <item x="0"/>
        <item x="1"/>
        <item x="2"/>
        <item x="3"/>
        <item x="4"/>
        <item t="default"/>
      </items>
    </pivotField>
    <pivotField name="inherited Subcategory" compact="0" outline="0" multipleItemSelectionAllowed="1" showAll="0">
      <items>
        <item x="0"/>
        <item x="1"/>
        <item x="2"/>
        <item x="3"/>
        <item x="4"/>
        <item x="5"/>
        <item x="6"/>
        <item x="7"/>
        <item x="8"/>
        <item x="9"/>
        <item x="10"/>
        <item x="11"/>
        <item x="12"/>
        <item x="13"/>
        <item x="14"/>
        <item t="default"/>
      </items>
    </pivotField>
    <pivotField name="evaluated Category" compact="0" outline="0" multipleItemSelectionAllowed="1" showAll="0">
      <items>
        <item x="0"/>
        <item x="1"/>
        <item x="2"/>
        <item x="3"/>
        <item x="4"/>
        <item t="default"/>
      </items>
    </pivotField>
    <pivotField name="evaluated Subcategory"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year" compact="0" numFmtId="3" outline="0" multipleItemSelectionAllowed="1" showAll="0">
      <items>
        <item x="0"/>
        <item x="1"/>
        <item x="2"/>
        <item t="default"/>
      </items>
    </pivotField>
    <pivotField name="month" compact="0" numFmtId="3" outline="0" multipleItemSelectionAllowed="1" showAll="0">
      <items>
        <item x="0"/>
        <item x="1"/>
        <item x="2"/>
        <item x="3"/>
        <item x="4"/>
        <item x="5"/>
        <item x="6"/>
        <item x="7"/>
        <item x="8"/>
        <item x="9"/>
        <item x="10"/>
        <item x="11"/>
        <item t="default"/>
      </items>
    </pivotField>
    <pivotField name="quarter" axis="axisCol" compact="0" numFmtId="3" outline="0" multipleItemSelectionAllowed="1" showAll="0" sortType="ascending">
      <items>
        <item x="0"/>
        <item x="2"/>
        <item x="3"/>
        <item x="1"/>
        <item x="4"/>
        <item x="5"/>
        <item x="6"/>
        <item x="7"/>
        <item x="9"/>
        <item x="8"/>
        <item t="default"/>
      </items>
    </pivotField>
    <pivotField name="year-month"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name="half-year" compact="0" outline="0" multipleItemSelectionAllowed="1" showAll="0">
      <items>
        <item x="0"/>
        <item x="1"/>
        <item x="2"/>
        <item x="3"/>
        <item x="4"/>
        <item x="5"/>
        <item t="default"/>
      </items>
    </pivotField>
    <pivotField name="bounty name" axis="axisRow" compact="0" outline="0" multipleItemSelectionAllowed="1" showAll="0" sortType="ascending">
      <items>
        <item x="15"/>
        <item x="0"/>
        <item x="18"/>
        <item x="19"/>
        <item x="16"/>
        <item x="2"/>
        <item x="11"/>
        <item x="17"/>
        <item x="7"/>
        <item x="14"/>
        <item x="5"/>
        <item x="10"/>
        <item x="6"/>
        <item x="9"/>
        <item x="3"/>
        <item x="12"/>
        <item x="1"/>
        <item x="13"/>
        <item x="8"/>
        <item x="4"/>
        <item t="default"/>
      </items>
    </pivotField>
    <pivotField name="hide from income statement" axis="axisPage" compact="0" outline="0" multipleItemSelectionAllowed="1" showAll="0">
      <items>
        <item x="0"/>
        <item h="1" x="1"/>
        <item t="default"/>
      </items>
    </pivotField>
  </pivotFields>
  <rowFields>
    <field x="1"/>
    <field x="21"/>
  </rowFields>
  <colFields>
    <field x="18"/>
  </colFields>
  <pageFields>
    <pageField fld="2"/>
    <pageField fld="22"/>
  </pageFields>
  <dataFields>
    <dataField name="SUM of USD latest" fld="9" baseField="0"/>
  </dataFields>
</pivotTableDefinition>
</file>

<file path=xl/pivotTables/pivotTable7.xml><?xml version="1.0" encoding="utf-8"?>
<pivotTableDefinition xmlns="http://schemas.openxmlformats.org/spreadsheetml/2006/main" name="Aggregated Pivots 2" cacheId="2" dataCaption="" compact="0" compactData="0">
  <location ref="BJ6:BM27" firstHeaderRow="0" firstDataRow="3" firstDataCol="0" rowPageCount="2" colPageCount="1"/>
  <pivotFields>
    <pivotField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t="default"/>
      </items>
    </pivotField>
    <pivotField name="parentBountyID" axis="axisRow" compact="0" outline="0" multipleItemSelectionAllowed="1" showAll="0" sortType="descending" defaultSubtotal="0">
      <items>
        <item x="0"/>
        <item x="1"/>
        <item x="2"/>
        <item x="3"/>
        <item x="4"/>
        <item x="5"/>
        <item x="6"/>
        <item x="7"/>
        <item x="8"/>
        <item x="9"/>
        <item x="10"/>
        <item x="11"/>
        <item x="12"/>
        <item x="13"/>
        <item x="14"/>
        <item x="15"/>
        <item x="16"/>
        <item x="17"/>
        <item x="18"/>
        <item x="19"/>
      </items>
      <autoSortScope>
        <pivotArea>
          <references>
            <reference field="4294967294">
              <x v="1"/>
            </reference>
          </references>
        </pivotArea>
      </autoSortScope>
    </pivotField>
    <pivotField name="status" axis="axisPage" compact="0" outline="0" multipleItemSelectionAllowed="1" showAll="0">
      <items>
        <item x="0"/>
        <item h="1" x="1"/>
        <item h="1" x="2"/>
        <item t="default"/>
      </items>
    </pivotField>
    <pivotField name="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t="default"/>
      </items>
    </pivotField>
    <pivotField name="DO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t="default"/>
      </items>
    </pivotField>
    <pivotField name="USD Proposal Tim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t="default"/>
      </items>
    </pivotField>
    <pivotField name="beneficia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t="default"/>
      </items>
    </pivotField>
    <pivotField name="proposal_time" compact="0" numFmtId="17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t="default"/>
      </items>
    </pivotField>
    <pivotField name="last_status_change" compact="0" numFmtId="17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t="default"/>
      </items>
    </pivotField>
    <pivotField name="USD latest"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t="default"/>
      </items>
    </pivotField>
    <pivotField name="Category" compact="0" outline="0" multipleItemSelectionAllowed="1" showAll="0">
      <items>
        <item x="0"/>
        <item x="1"/>
        <item x="2"/>
        <item t="default"/>
      </items>
    </pivotField>
    <pivotField name="Subcategory" compact="0" outline="0" multipleItemSelectionAllowed="1" showAll="0">
      <items>
        <item x="0"/>
        <item x="1"/>
        <item x="2"/>
        <item x="3"/>
        <item x="4"/>
        <item x="5"/>
        <item x="6"/>
        <item x="7"/>
        <item x="8"/>
        <item x="9"/>
        <item x="10"/>
        <item t="default"/>
      </items>
    </pivotField>
    <pivotField name="inherited Category" compact="0" outline="0" multipleItemSelectionAllowed="1" showAll="0">
      <items>
        <item x="0"/>
        <item x="1"/>
        <item x="2"/>
        <item x="3"/>
        <item x="4"/>
        <item t="default"/>
      </items>
    </pivotField>
    <pivotField name="inherited Subcategory" compact="0" outline="0" multipleItemSelectionAllowed="1" showAll="0">
      <items>
        <item x="0"/>
        <item x="1"/>
        <item x="2"/>
        <item x="3"/>
        <item x="4"/>
        <item x="5"/>
        <item x="6"/>
        <item x="7"/>
        <item x="8"/>
        <item x="9"/>
        <item x="10"/>
        <item x="11"/>
        <item x="12"/>
        <item x="13"/>
        <item x="14"/>
        <item t="default"/>
      </items>
    </pivotField>
    <pivotField name="evaluated Category" compact="0" outline="0" multipleItemSelectionAllowed="1" showAll="0">
      <items>
        <item x="0"/>
        <item x="1"/>
        <item x="2"/>
        <item x="3"/>
        <item x="4"/>
        <item t="default"/>
      </items>
    </pivotField>
    <pivotField name="evaluated Subcategory"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year" compact="0" numFmtId="3" outline="0" multipleItemSelectionAllowed="1" showAll="0">
      <items>
        <item x="0"/>
        <item x="1"/>
        <item x="2"/>
        <item t="default"/>
      </items>
    </pivotField>
    <pivotField name="month" compact="0" numFmtId="3" outline="0" multipleItemSelectionAllowed="1" showAll="0">
      <items>
        <item x="0"/>
        <item x="1"/>
        <item x="2"/>
        <item x="3"/>
        <item x="4"/>
        <item x="5"/>
        <item x="6"/>
        <item x="7"/>
        <item x="8"/>
        <item x="9"/>
        <item x="10"/>
        <item x="11"/>
        <item t="default"/>
      </items>
    </pivotField>
    <pivotField name="quarter" compact="0" numFmtId="3" outline="0" multipleItemSelectionAllowed="1" showAll="0">
      <items>
        <item x="0"/>
        <item x="1"/>
        <item x="2"/>
        <item x="3"/>
        <item x="4"/>
        <item x="5"/>
        <item x="6"/>
        <item x="7"/>
        <item x="8"/>
        <item x="9"/>
        <item t="default"/>
      </items>
    </pivotField>
    <pivotField name="year-month"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name="half-year" compact="0" outline="0" multipleItemSelectionAllowed="1" showAll="0">
      <items>
        <item x="0"/>
        <item x="1"/>
        <item x="2"/>
        <item x="3"/>
        <item x="4"/>
        <item x="5"/>
        <item t="default"/>
      </items>
    </pivotField>
    <pivotField name="bounty name" axis="axisRow" compact="0" outline="0" multipleItemSelectionAllowed="1" showAll="0" sortType="ascending">
      <items>
        <item x="15"/>
        <item x="0"/>
        <item x="18"/>
        <item x="19"/>
        <item x="16"/>
        <item x="2"/>
        <item x="11"/>
        <item x="17"/>
        <item x="7"/>
        <item x="14"/>
        <item x="5"/>
        <item x="10"/>
        <item x="6"/>
        <item x="9"/>
        <item x="3"/>
        <item x="12"/>
        <item x="1"/>
        <item x="13"/>
        <item x="8"/>
        <item x="4"/>
        <item t="default"/>
      </items>
    </pivotField>
    <pivotField name="hide from income statement" axis="axisPage" compact="0" outline="0" multipleItemSelectionAllowed="1" showAll="0">
      <items>
        <item x="0"/>
        <item h="1" x="1"/>
        <item t="default"/>
      </items>
    </pivotField>
  </pivotFields>
  <rowFields>
    <field x="1"/>
    <field x="21"/>
  </rowFields>
  <colFields>
    <field x="-2"/>
  </colFields>
  <pageFields>
    <pageField fld="2"/>
    <pageField fld="22"/>
  </pageFields>
  <dataFields>
    <dataField name="SUM of DOT" fld="4" baseField="0"/>
    <dataField name="SUM of USD latest" fld="9" baseField="0"/>
  </dataFields>
</pivotTableDefinition>
</file>

<file path=xl/pivotTables/pivotTable8.xml><?xml version="1.0" encoding="utf-8"?>
<pivotTableDefinition xmlns="http://schemas.openxmlformats.org/spreadsheetml/2006/main" name="Referenda Pivot" cacheId="3" dataCaption="" compact="0" compactData="0">
  <location ref="A5:C11" firstHeaderRow="0" firstDataRow="2" firstDataCol="0" rowPageCount="2" colPageCount="1"/>
  <pivotFields>
    <pivotField name="Ref"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t="default"/>
      </items>
    </pivotField>
    <pivotField name="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t="default"/>
      </items>
    </pivotField>
    <pivotField name="Status" axis="axisPage" compact="0" outline="0" multipleItemSelectionAllowed="1" showAll="0">
      <items>
        <item h="1" x="0"/>
        <item h="1" x="1"/>
        <item x="2"/>
        <item h="1" x="3"/>
        <item h="1" x="4"/>
        <item h="1" x="5"/>
        <item h="1" x="6"/>
        <item h="1" x="7"/>
        <item h="1" x="8"/>
        <item h="1" x="9"/>
        <item t="default"/>
      </items>
    </pivotField>
    <pivotField name="DO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t="default"/>
      </items>
    </pivotField>
    <pivotField name="USD Propose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t="default"/>
      </items>
    </pivotField>
    <pivotField name="Track" compact="0" outline="0" multipleItemSelectionAllowed="1" showAll="0">
      <items>
        <item x="0"/>
        <item x="1"/>
        <item x="2"/>
        <item x="3"/>
        <item x="4"/>
        <item x="5"/>
        <item x="6"/>
        <item x="7"/>
        <item x="8"/>
        <item x="9"/>
        <item x="10"/>
        <item x="11"/>
        <item x="12"/>
        <item x="13"/>
        <item x="14"/>
        <item x="15"/>
        <item t="default"/>
      </items>
    </pivotField>
    <pivotField name="AYE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t="default"/>
      </items>
    </pivotField>
    <pivotField name="NAY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t="default"/>
      </items>
    </pivotField>
    <pivotField name="Propose Date" compact="0" numFmtId="17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t="default"/>
      </items>
    </pivotField>
    <pivotField name="Last Update" compact="0" numFmtId="17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t="default"/>
      </items>
    </pivotField>
    <pivotField name="USD Last Update"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t="default"/>
      </items>
    </pivotField>
    <pivotField name="Category" compact="0" outline="0" multipleItemSelectionAllowed="1" showAll="0">
      <items>
        <item x="0"/>
        <item x="1"/>
        <item x="2"/>
        <item x="3"/>
        <item x="4"/>
        <item x="5"/>
        <item x="6"/>
        <item x="7"/>
        <item t="default"/>
      </items>
    </pivotField>
    <pivotField name="Sub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name="hide from income statement (represented via child bounties and/or via the balance sheet)" axis="axisPage" compact="0" outline="0" multipleItemSelectionAllowed="1" showAll="0">
      <items>
        <item x="0"/>
        <item h="1" x="1"/>
        <item t="default"/>
      </items>
    </pivotField>
    <pivotField name="bounty-related" compact="0" outline="0" multipleItemSelectionAllowed="1" showAll="0">
      <items>
        <item x="0"/>
        <item x="1"/>
        <item t="default"/>
      </items>
    </pivotField>
    <pivotField name="recurring" compact="0" outline="0" multipleItemSelectionAllowed="1" showAll="0">
      <items>
        <item x="0"/>
        <item x="1"/>
        <item t="default"/>
      </items>
    </pivotField>
    <pivotField name="Notes" compact="0" outline="0" multipleItemSelectionAllowed="1" showAll="0">
      <items>
        <item x="0"/>
        <item x="1"/>
        <item x="2"/>
        <item t="default"/>
      </items>
    </pivotField>
    <pivotField name="year" compact="0" numFmtId="3" outline="0" multipleItemSelectionAllowed="1" showAll="0">
      <items>
        <item x="0"/>
        <item x="1"/>
        <item t="default"/>
      </items>
    </pivotField>
    <pivotField name="month" compact="0" numFmtId="3" outline="0" multipleItemSelectionAllowed="1" showAll="0">
      <items>
        <item x="0"/>
        <item x="1"/>
        <item x="2"/>
        <item x="3"/>
        <item x="4"/>
        <item x="5"/>
        <item x="6"/>
        <item x="7"/>
        <item x="8"/>
        <item x="9"/>
        <item x="10"/>
        <item x="11"/>
        <item t="default"/>
      </items>
    </pivotField>
    <pivotField name="quarter" axis="axisRow" compact="0" numFmtId="3" outline="0" multipleItemSelectionAllowed="1" showAll="0" sortType="ascending">
      <items>
        <item h="1" x="0"/>
        <item x="2"/>
        <item x="3"/>
        <item x="4"/>
        <item x="5"/>
        <item x="1"/>
        <item t="default"/>
      </items>
    </pivotField>
    <pivotField name="year-month" compact="0" numFmtId="3" outline="0" multipleItemSelectionAllowed="1" showAll="0">
      <items>
        <item x="0"/>
        <item x="1"/>
        <item x="2"/>
        <item x="3"/>
        <item x="4"/>
        <item x="5"/>
        <item x="6"/>
        <item x="7"/>
        <item x="8"/>
        <item x="9"/>
        <item x="10"/>
        <item x="11"/>
        <item x="12"/>
        <item x="13"/>
        <item x="14"/>
        <item x="15"/>
        <item t="default"/>
      </items>
    </pivotField>
    <pivotField name="half-years" compact="0" outline="0" multipleItemSelectionAllowed="1" showAll="0">
      <items>
        <item x="0"/>
        <item x="1"/>
        <item x="2"/>
        <item x="3"/>
        <item t="default"/>
      </items>
    </pivotField>
  </pivotFields>
  <rowFields>
    <field x="19"/>
  </rowFields>
  <colFields>
    <field x="-2"/>
  </colFields>
  <pageFields>
    <pageField fld="2"/>
    <pageField fld="13"/>
  </pageFields>
  <dataFields>
    <dataField name="SUM of USD Last Update" fld="10" baseField="0"/>
    <dataField name="SUM of DOT" fld="3" baseField="0"/>
  </dataFields>
</pivotTableDefinition>
</file>

<file path=xl/pivotTables/pivotTable9.xml><?xml version="1.0" encoding="utf-8"?>
<pivotTableDefinition xmlns="http://schemas.openxmlformats.org/spreadsheetml/2006/main" name="Referenda Pivot 2" cacheId="3" dataCaption="" compact="0" compactData="0">
  <location ref="A13:C29" firstHeaderRow="0" firstDataRow="2" firstDataCol="0" rowPageCount="3" colPageCount="1"/>
  <pivotFields>
    <pivotField name="Ref"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t="default"/>
      </items>
    </pivotField>
    <pivotField name="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t="default"/>
      </items>
    </pivotField>
    <pivotField name="Status" axis="axisPage" compact="0" outline="0" multipleItemSelectionAllowed="1" showAll="0">
      <items>
        <item h="1" x="0"/>
        <item h="1" x="1"/>
        <item x="2"/>
        <item h="1" x="3"/>
        <item h="1" x="4"/>
        <item h="1" x="5"/>
        <item h="1" x="6"/>
        <item h="1" x="7"/>
        <item h="1" x="8"/>
        <item h="1" x="9"/>
        <item t="default"/>
      </items>
    </pivotField>
    <pivotField name="DO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t="default"/>
      </items>
    </pivotField>
    <pivotField name="USD Propose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t="default"/>
      </items>
    </pivotField>
    <pivotField name="Track" compact="0" outline="0" multipleItemSelectionAllowed="1" showAll="0">
      <items>
        <item x="0"/>
        <item x="1"/>
        <item x="2"/>
        <item x="3"/>
        <item x="4"/>
        <item x="5"/>
        <item x="6"/>
        <item x="7"/>
        <item x="8"/>
        <item x="9"/>
        <item x="10"/>
        <item x="11"/>
        <item x="12"/>
        <item x="13"/>
        <item x="14"/>
        <item x="15"/>
        <item t="default"/>
      </items>
    </pivotField>
    <pivotField name="AYE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t="default"/>
      </items>
    </pivotField>
    <pivotField name="NAY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t="default"/>
      </items>
    </pivotField>
    <pivotField name="Propose Date" compact="0" numFmtId="17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t="default"/>
      </items>
    </pivotField>
    <pivotField name="Last Update" compact="0" numFmtId="17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t="default"/>
      </items>
    </pivotField>
    <pivotField name="USD Last Update"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t="default"/>
      </items>
    </pivotField>
    <pivotField name="Category" compact="0" outline="0" multipleItemSelectionAllowed="1" showAll="0">
      <items>
        <item x="0"/>
        <item x="1"/>
        <item x="2"/>
        <item x="3"/>
        <item x="4"/>
        <item x="5"/>
        <item x="6"/>
        <item x="7"/>
        <item t="default"/>
      </items>
    </pivotField>
    <pivotField name="Sub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name="hide from income statement (represented via child bounties and/or via the balance sheet)" axis="axisPage" compact="0" outline="0" multipleItemSelectionAllowed="1" showAll="0">
      <items>
        <item x="0"/>
        <item h="1" x="1"/>
        <item t="default"/>
      </items>
    </pivotField>
    <pivotField name="bounty-related" compact="0" outline="0" multipleItemSelectionAllowed="1" showAll="0">
      <items>
        <item x="0"/>
        <item x="1"/>
        <item t="default"/>
      </items>
    </pivotField>
    <pivotField name="recurring" compact="0" outline="0" multipleItemSelectionAllowed="1" showAll="0">
      <items>
        <item x="0"/>
        <item x="1"/>
        <item t="default"/>
      </items>
    </pivotField>
    <pivotField name="Notes" compact="0" outline="0" multipleItemSelectionAllowed="1" showAll="0">
      <items>
        <item x="0"/>
        <item x="1"/>
        <item x="2"/>
        <item t="default"/>
      </items>
    </pivotField>
    <pivotField name="year" compact="0" numFmtId="3" outline="0" multipleItemSelectionAllowed="1" showAll="0">
      <items>
        <item x="0"/>
        <item x="1"/>
        <item t="default"/>
      </items>
    </pivotField>
    <pivotField name="month" compact="0" numFmtId="3" outline="0" multipleItemSelectionAllowed="1" showAll="0">
      <items>
        <item x="0"/>
        <item x="1"/>
        <item x="2"/>
        <item x="3"/>
        <item x="4"/>
        <item x="5"/>
        <item x="6"/>
        <item x="7"/>
        <item x="8"/>
        <item x="9"/>
        <item x="10"/>
        <item x="11"/>
        <item t="default"/>
      </items>
    </pivotField>
    <pivotField name="quarter" axis="axisPage" compact="0" numFmtId="3" outline="0" multipleItemSelectionAllowed="1" showAll="0">
      <items>
        <item h="1" x="0"/>
        <item x="1"/>
        <item x="2"/>
        <item x="3"/>
        <item x="4"/>
        <item x="5"/>
        <item t="default"/>
      </items>
    </pivotField>
    <pivotField name="year-month" axis="axisRow" compact="0" numFmtId="3" outline="0" multipleItemSelectionAllowed="1" showAll="0" sortType="ascending">
      <items>
        <item x="0"/>
        <item x="2"/>
        <item x="3"/>
        <item x="4"/>
        <item x="5"/>
        <item x="6"/>
        <item x="7"/>
        <item x="8"/>
        <item x="9"/>
        <item x="10"/>
        <item x="11"/>
        <item x="12"/>
        <item x="13"/>
        <item x="14"/>
        <item x="15"/>
        <item x="1"/>
        <item t="default"/>
      </items>
    </pivotField>
    <pivotField name="half-years" compact="0" outline="0" multipleItemSelectionAllowed="1" showAll="0">
      <items>
        <item x="0"/>
        <item x="1"/>
        <item x="2"/>
        <item x="3"/>
        <item t="default"/>
      </items>
    </pivotField>
  </pivotFields>
  <rowFields>
    <field x="20"/>
  </rowFields>
  <colFields>
    <field x="-2"/>
  </colFields>
  <pageFields>
    <pageField fld="2"/>
    <pageField fld="13"/>
    <pageField fld="19"/>
  </pageFields>
  <dataFields>
    <dataField name="SUM of USD Last Update" fld="10" baseField="0"/>
    <dataField name="SUM of DOT" fld="3" baseField="0"/>
  </dataFields>
</pivotTableDefinition>
</file>

<file path=xl/pivotTables/pivotTable10.xml><?xml version="1.0" encoding="utf-8"?>
<pivotTableDefinition xmlns="http://schemas.openxmlformats.org/spreadsheetml/2006/main" name="Referenda Pivot 3" cacheId="3" dataCaption="" compact="0" compactData="0">
  <location ref="E18:H88" firstHeaderRow="0" firstDataRow="3" firstDataCol="0" rowPageCount="3" colPageCount="1"/>
  <pivotFields>
    <pivotField name="Ref"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t="default"/>
      </items>
    </pivotField>
    <pivotField name="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t="default"/>
      </items>
    </pivotField>
    <pivotField name="Status" axis="axisPage" compact="0" outline="0" multipleItemSelectionAllowed="1" showAll="0">
      <items>
        <item h="1" x="0"/>
        <item h="1" x="1"/>
        <item x="2"/>
        <item h="1" x="3"/>
        <item h="1" x="4"/>
        <item h="1" x="5"/>
        <item h="1" x="6"/>
        <item h="1" x="7"/>
        <item h="1" x="8"/>
        <item h="1" x="9"/>
        <item t="default"/>
      </items>
    </pivotField>
    <pivotField name="DO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t="default"/>
      </items>
    </pivotField>
    <pivotField name="USD Propose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t="default"/>
      </items>
    </pivotField>
    <pivotField name="Track" compact="0" outline="0" multipleItemSelectionAllowed="1" showAll="0">
      <items>
        <item x="0"/>
        <item x="1"/>
        <item x="2"/>
        <item x="3"/>
        <item x="4"/>
        <item x="5"/>
        <item x="6"/>
        <item x="7"/>
        <item x="8"/>
        <item x="9"/>
        <item x="10"/>
        <item x="11"/>
        <item x="12"/>
        <item x="13"/>
        <item x="14"/>
        <item x="15"/>
        <item t="default"/>
      </items>
    </pivotField>
    <pivotField name="AYE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t="default"/>
      </items>
    </pivotField>
    <pivotField name="NAY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t="default"/>
      </items>
    </pivotField>
    <pivotField name="Propose Date" compact="0" numFmtId="17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t="default"/>
      </items>
    </pivotField>
    <pivotField name="Last Update" compact="0" numFmtId="17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t="default"/>
      </items>
    </pivotField>
    <pivotField name="USD Last Update"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t="default"/>
      </items>
    </pivotField>
    <pivotField name="Category" axis="axisRow" compact="0" outline="0" multipleItemSelectionAllowed="1" showAll="0" sortType="ascending">
      <items>
        <item x="1"/>
        <item x="0"/>
        <item x="3"/>
        <item x="7"/>
        <item x="4"/>
        <item x="2"/>
        <item x="6"/>
        <item x="5"/>
        <item t="default"/>
      </items>
    </pivotField>
    <pivotField name="Subcategory" axis="axisRow" compact="0" outline="0" multipleItemSelectionAllowed="1" showAll="0" sortType="ascending">
      <items>
        <item x="1"/>
        <item x="0"/>
        <item x="18"/>
        <item x="25"/>
        <item x="28"/>
        <item x="35"/>
        <item x="43"/>
        <item x="38"/>
        <item x="44"/>
        <item x="22"/>
        <item x="19"/>
        <item x="9"/>
        <item x="40"/>
        <item x="13"/>
        <item x="41"/>
        <item x="26"/>
        <item x="29"/>
        <item x="31"/>
        <item x="10"/>
        <item x="21"/>
        <item x="7"/>
        <item x="23"/>
        <item x="37"/>
        <item x="45"/>
        <item x="15"/>
        <item x="34"/>
        <item x="39"/>
        <item x="2"/>
        <item x="4"/>
        <item x="5"/>
        <item x="16"/>
        <item x="27"/>
        <item x="33"/>
        <item x="3"/>
        <item x="20"/>
        <item x="24"/>
        <item x="12"/>
        <item x="17"/>
        <item x="42"/>
        <item x="11"/>
        <item x="14"/>
        <item x="32"/>
        <item x="36"/>
        <item x="30"/>
        <item x="8"/>
        <item x="6"/>
        <item t="default"/>
      </items>
    </pivotField>
    <pivotField name="hide from income statement (represented via child bounties and/or via the balance sheet)" axis="axisPage" compact="0" outline="0" multipleItemSelectionAllowed="1" showAll="0">
      <items>
        <item x="0"/>
        <item h="1" x="1"/>
        <item t="default"/>
      </items>
    </pivotField>
    <pivotField name="bounty-related" compact="0" outline="0" multipleItemSelectionAllowed="1" showAll="0">
      <items>
        <item x="0"/>
        <item x="1"/>
        <item t="default"/>
      </items>
    </pivotField>
    <pivotField name="recurring" compact="0" outline="0" multipleItemSelectionAllowed="1" showAll="0">
      <items>
        <item x="0"/>
        <item x="1"/>
        <item t="default"/>
      </items>
    </pivotField>
    <pivotField name="Notes" compact="0" outline="0" multipleItemSelectionAllowed="1" showAll="0">
      <items>
        <item x="0"/>
        <item x="1"/>
        <item x="2"/>
        <item t="default"/>
      </items>
    </pivotField>
    <pivotField name="year" compact="0" numFmtId="3" outline="0" multipleItemSelectionAllowed="1" showAll="0">
      <items>
        <item x="0"/>
        <item x="1"/>
        <item t="default"/>
      </items>
    </pivotField>
    <pivotField name="month" compact="0" numFmtId="3" outline="0" multipleItemSelectionAllowed="1" showAll="0">
      <items>
        <item x="0"/>
        <item x="1"/>
        <item x="2"/>
        <item x="3"/>
        <item x="4"/>
        <item x="5"/>
        <item x="6"/>
        <item x="7"/>
        <item x="8"/>
        <item x="9"/>
        <item x="10"/>
        <item x="11"/>
        <item t="default"/>
      </items>
    </pivotField>
    <pivotField name="quarter" axis="axisPage" compact="0" numFmtId="3" outline="0" multipleItemSelectionAllowed="1" showAll="0">
      <items>
        <item h="1" x="0"/>
        <item x="1"/>
        <item x="2"/>
        <item x="3"/>
        <item x="4"/>
        <item x="5"/>
        <item t="default"/>
      </items>
    </pivotField>
    <pivotField name="year-month" compact="0" numFmtId="3" outline="0" multipleItemSelectionAllowed="1" showAll="0">
      <items>
        <item x="0"/>
        <item x="1"/>
        <item x="2"/>
        <item x="3"/>
        <item x="4"/>
        <item x="5"/>
        <item x="6"/>
        <item x="7"/>
        <item x="8"/>
        <item x="9"/>
        <item x="10"/>
        <item x="11"/>
        <item x="12"/>
        <item x="13"/>
        <item x="14"/>
        <item x="15"/>
        <item t="default"/>
      </items>
    </pivotField>
    <pivotField name="half-years" compact="0" outline="0" multipleItemSelectionAllowed="1" showAll="0">
      <items>
        <item x="0"/>
        <item x="1"/>
        <item x="2"/>
        <item x="3"/>
        <item t="default"/>
      </items>
    </pivotField>
  </pivotFields>
  <rowFields>
    <field x="11"/>
    <field x="12"/>
  </rowFields>
  <colFields>
    <field x="-2"/>
  </colFields>
  <pageFields>
    <pageField fld="2"/>
    <pageField fld="13"/>
    <pageField fld="19"/>
  </pageFields>
  <dataFields>
    <dataField name="SUM of USD Last Update" fld="10" baseField="0"/>
    <dataField name="SUM of DOT" fld="3" baseField="0"/>
  </dataFields>
</pivotTableDefinition>
</file>

<file path=xl/pivotTables/pivotTable11.xml><?xml version="1.0" encoding="utf-8"?>
<pivotTableDefinition xmlns="http://schemas.openxmlformats.org/spreadsheetml/2006/main" name="Referenda Pivot Statistics" cacheId="4" dataCaption="" compact="0" compactData="0">
  <location ref="B5:C22" firstHeaderRow="0" firstDataRow="1" firstDataCol="0"/>
  <pivotFields>
    <pivotField name="Ref"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t="default"/>
      </items>
    </pivotField>
    <pivotField name="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t="default"/>
      </items>
    </pivotField>
    <pivotField name="Status" compact="0" outline="0" multipleItemSelectionAllowed="1" showAll="0">
      <items>
        <item x="0"/>
        <item x="1"/>
        <item x="2"/>
        <item x="3"/>
        <item x="4"/>
        <item x="5"/>
        <item x="6"/>
        <item x="7"/>
        <item x="8"/>
        <item x="9"/>
        <item t="default"/>
      </items>
    </pivotField>
    <pivotField name="DOT"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t="default"/>
      </items>
    </pivotField>
    <pivotField name="USD Propose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t="default"/>
      </items>
    </pivotField>
    <pivotField name="Track" compact="0" outline="0" multipleItemSelectionAllowed="1" showAll="0">
      <items>
        <item x="0"/>
        <item x="1"/>
        <item x="2"/>
        <item x="3"/>
        <item x="4"/>
        <item x="5"/>
        <item x="6"/>
        <item x="7"/>
        <item x="8"/>
        <item x="9"/>
        <item x="10"/>
        <item x="11"/>
        <item x="12"/>
        <item x="13"/>
        <item x="14"/>
        <item x="15"/>
        <item t="default"/>
      </items>
    </pivotField>
    <pivotField name="AYE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t="default"/>
      </items>
    </pivotField>
    <pivotField name="NAY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t="default"/>
      </items>
    </pivotField>
    <pivotField name="Propose Date" compact="0" numFmtId="17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t="default"/>
      </items>
    </pivotField>
    <pivotField name="Last Update" compact="0" numFmtId="17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t="default"/>
      </items>
    </pivotField>
    <pivotField name="USD Last Up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t="default"/>
      </items>
    </pivotField>
    <pivotField name="Category" compact="0" outline="0" multipleItemSelectionAllowed="1" showAll="0">
      <items>
        <item x="0"/>
        <item x="1"/>
        <item x="2"/>
        <item x="3"/>
        <item x="4"/>
        <item x="5"/>
        <item x="6"/>
        <item x="7"/>
        <item t="default"/>
      </items>
    </pivotField>
    <pivotField name="Sub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name="hide from income statement (represented via child bounties and/or via the balance sheet)" compact="0" outline="0" multipleItemSelectionAllowed="1" showAll="0">
      <items>
        <item x="0"/>
        <item x="1"/>
        <item t="default"/>
      </items>
    </pivotField>
    <pivotField name="bounty-related" compact="0" outline="0" multipleItemSelectionAllowed="1" showAll="0">
      <items>
        <item x="0"/>
        <item x="1"/>
        <item t="default"/>
      </items>
    </pivotField>
    <pivotField name="recurring" compact="0" outline="0" multipleItemSelectionAllowed="1" showAll="0">
      <items>
        <item x="0"/>
        <item x="1"/>
        <item t="default"/>
      </items>
    </pivotField>
    <pivotField name="Notes" compact="0" outline="0" multipleItemSelectionAllowed="1" showAll="0">
      <items>
        <item x="0"/>
        <item x="1"/>
        <item x="2"/>
        <item t="default"/>
      </items>
    </pivotField>
    <pivotField name="year" compact="0" numFmtId="3" outline="0" multipleItemSelectionAllowed="1" showAll="0">
      <items>
        <item x="0"/>
        <item x="1"/>
        <item t="default"/>
      </items>
    </pivotField>
    <pivotField name="month" compact="0" numFmtId="3" outline="0" multipleItemSelectionAllowed="1" showAll="0">
      <items>
        <item x="0"/>
        <item x="1"/>
        <item x="2"/>
        <item x="3"/>
        <item x="4"/>
        <item x="5"/>
        <item x="6"/>
        <item x="7"/>
        <item x="8"/>
        <item x="9"/>
        <item x="10"/>
        <item x="11"/>
        <item t="default"/>
      </items>
    </pivotField>
    <pivotField name="quarter" compact="0" numFmtId="3" outline="0" multipleItemSelectionAllowed="1" showAll="0">
      <items>
        <item x="0"/>
        <item x="1"/>
        <item x="2"/>
        <item x="3"/>
        <item x="4"/>
        <item x="5"/>
        <item t="default"/>
      </items>
    </pivotField>
    <pivotField name="year-month" axis="axisRow" compact="0" numFmtId="3" outline="0" multipleItemSelectionAllowed="1" showAll="0" sortType="ascending">
      <items>
        <item x="0"/>
        <item x="2"/>
        <item x="3"/>
        <item x="4"/>
        <item x="5"/>
        <item x="6"/>
        <item x="7"/>
        <item x="8"/>
        <item x="9"/>
        <item x="10"/>
        <item x="11"/>
        <item x="12"/>
        <item x="13"/>
        <item x="14"/>
        <item x="15"/>
        <item x="1"/>
        <item t="default"/>
      </items>
    </pivotField>
    <pivotField name="half-years" compact="0" outline="0" multipleItemSelectionAllowed="1" showAll="0">
      <items>
        <item x="0"/>
        <item x="1"/>
        <item x="2"/>
        <item x="3"/>
        <item t="default"/>
      </items>
    </pivotField>
  </pivotFields>
  <rowFields>
    <field x="20"/>
  </rowFields>
  <dataFields>
    <dataField name="COUNTA of Ref" fld="0" subtotal="count" baseField="0"/>
  </dataFields>
</pivotTableDefinition>
</file>

<file path=xl/pivotTables/pivotTable12.xml><?xml version="1.0" encoding="utf-8"?>
<pivotTableDefinition xmlns="http://schemas.openxmlformats.org/spreadsheetml/2006/main" name="Referenda Pivot Statistics 2" cacheId="4" dataCaption="" compact="0" compactData="0">
  <location ref="G5:R23" firstHeaderRow="0" firstDataRow="1" firstDataCol="1"/>
  <pivotFields>
    <pivotField name="Ref"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t="default"/>
      </items>
    </pivotField>
    <pivotField name="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t="default"/>
      </items>
    </pivotField>
    <pivotField name="Status" axis="axisCol" compact="0" outline="0" multipleItemSelectionAllowed="1" showAll="0" sortType="ascending">
      <items>
        <item x="7"/>
        <item x="6"/>
        <item x="1"/>
        <item x="8"/>
        <item x="2"/>
        <item x="4"/>
        <item x="5"/>
        <item x="9"/>
        <item x="0"/>
        <item x="3"/>
        <item t="default"/>
      </items>
    </pivotField>
    <pivotField name="DOT"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t="default"/>
      </items>
    </pivotField>
    <pivotField name="USD Propose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t="default"/>
      </items>
    </pivotField>
    <pivotField name="Track" compact="0" outline="0" multipleItemSelectionAllowed="1" showAll="0">
      <items>
        <item x="0"/>
        <item x="1"/>
        <item x="2"/>
        <item x="3"/>
        <item x="4"/>
        <item x="5"/>
        <item x="6"/>
        <item x="7"/>
        <item x="8"/>
        <item x="9"/>
        <item x="10"/>
        <item x="11"/>
        <item x="12"/>
        <item x="13"/>
        <item x="14"/>
        <item x="15"/>
        <item t="default"/>
      </items>
    </pivotField>
    <pivotField name="AYE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t="default"/>
      </items>
    </pivotField>
    <pivotField name="NAY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t="default"/>
      </items>
    </pivotField>
    <pivotField name="Propose Date" compact="0" numFmtId="17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t="default"/>
      </items>
    </pivotField>
    <pivotField name="Last Update" compact="0" numFmtId="17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t="default"/>
      </items>
    </pivotField>
    <pivotField name="USD Last Up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t="default"/>
      </items>
    </pivotField>
    <pivotField name="Category" compact="0" outline="0" multipleItemSelectionAllowed="1" showAll="0">
      <items>
        <item x="0"/>
        <item x="1"/>
        <item x="2"/>
        <item x="3"/>
        <item x="4"/>
        <item x="5"/>
        <item x="6"/>
        <item x="7"/>
        <item t="default"/>
      </items>
    </pivotField>
    <pivotField name="Sub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name="hide from income statement (represented via child bounties and/or via the balance sheet)" compact="0" outline="0" multipleItemSelectionAllowed="1" showAll="0">
      <items>
        <item x="0"/>
        <item x="1"/>
        <item t="default"/>
      </items>
    </pivotField>
    <pivotField name="bounty-related" compact="0" outline="0" multipleItemSelectionAllowed="1" showAll="0">
      <items>
        <item x="0"/>
        <item x="1"/>
        <item t="default"/>
      </items>
    </pivotField>
    <pivotField name="recurring" compact="0" outline="0" multipleItemSelectionAllowed="1" showAll="0">
      <items>
        <item x="0"/>
        <item x="1"/>
        <item t="default"/>
      </items>
    </pivotField>
    <pivotField name="Notes" compact="0" outline="0" multipleItemSelectionAllowed="1" showAll="0">
      <items>
        <item x="0"/>
        <item x="1"/>
        <item x="2"/>
        <item t="default"/>
      </items>
    </pivotField>
    <pivotField name="year" compact="0" numFmtId="3" outline="0" multipleItemSelectionAllowed="1" showAll="0">
      <items>
        <item x="0"/>
        <item x="1"/>
        <item t="default"/>
      </items>
    </pivotField>
    <pivotField name="month" compact="0" numFmtId="3" outline="0" multipleItemSelectionAllowed="1" showAll="0">
      <items>
        <item x="0"/>
        <item x="1"/>
        <item x="2"/>
        <item x="3"/>
        <item x="4"/>
        <item x="5"/>
        <item x="6"/>
        <item x="7"/>
        <item x="8"/>
        <item x="9"/>
        <item x="10"/>
        <item x="11"/>
        <item t="default"/>
      </items>
    </pivotField>
    <pivotField name="quarter" compact="0" numFmtId="3" outline="0" multipleItemSelectionAllowed="1" showAll="0">
      <items>
        <item x="0"/>
        <item x="1"/>
        <item x="2"/>
        <item x="3"/>
        <item x="4"/>
        <item x="5"/>
        <item t="default"/>
      </items>
    </pivotField>
    <pivotField name="year-month" axis="axisRow" compact="0" numFmtId="3" outline="0" multipleItemSelectionAllowed="1" showAll="0" sortType="ascending">
      <items>
        <item x="0"/>
        <item x="2"/>
        <item x="3"/>
        <item x="4"/>
        <item x="5"/>
        <item x="6"/>
        <item x="7"/>
        <item x="8"/>
        <item x="9"/>
        <item x="10"/>
        <item x="11"/>
        <item x="12"/>
        <item x="13"/>
        <item x="14"/>
        <item x="15"/>
        <item x="1"/>
        <item t="default"/>
      </items>
    </pivotField>
    <pivotField name="half-years" compact="0" outline="0" multipleItemSelectionAllowed="1" showAll="0">
      <items>
        <item x="0"/>
        <item x="1"/>
        <item x="2"/>
        <item x="3"/>
        <item t="default"/>
      </items>
    </pivotField>
  </pivotFields>
  <rowFields>
    <field x="20"/>
  </rowFields>
  <colFields>
    <field x="2"/>
  </colFields>
  <dataFields>
    <dataField name="COUNTA of Ref" fld="0" subtotal="count" baseField="0"/>
  </dataFields>
</pivotTableDefinition>
</file>

<file path=xl/pivotTables/pivotTable13.xml><?xml version="1.0" encoding="utf-8"?>
<pivotTableDefinition xmlns="http://schemas.openxmlformats.org/spreadsheetml/2006/main" name="Referenda Pivot Statistics 3" cacheId="4" dataCaption="" compact="0" compactData="0">
  <location ref="B30:D106" firstHeaderRow="0" firstDataRow="2" firstDataCol="0"/>
  <pivotFields>
    <pivotField name="Ref"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t="default"/>
      </items>
    </pivotField>
    <pivotField name="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t="default"/>
      </items>
    </pivotField>
    <pivotField name="Status" compact="0" outline="0" multipleItemSelectionAllowed="1" showAll="0">
      <items>
        <item x="0"/>
        <item x="1"/>
        <item x="2"/>
        <item x="3"/>
        <item x="4"/>
        <item x="5"/>
        <item x="6"/>
        <item x="7"/>
        <item x="8"/>
        <item x="9"/>
        <item t="default"/>
      </items>
    </pivotField>
    <pivotField name="DOT"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t="default"/>
      </items>
    </pivotField>
    <pivotField name="USD Propose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t="default"/>
      </items>
    </pivotField>
    <pivotField name="Track" compact="0" outline="0" multipleItemSelectionAllowed="1" showAll="0">
      <items>
        <item x="0"/>
        <item x="1"/>
        <item x="2"/>
        <item x="3"/>
        <item x="4"/>
        <item x="5"/>
        <item x="6"/>
        <item x="7"/>
        <item x="8"/>
        <item x="9"/>
        <item x="10"/>
        <item x="11"/>
        <item x="12"/>
        <item x="13"/>
        <item x="14"/>
        <item x="15"/>
        <item t="default"/>
      </items>
    </pivotField>
    <pivotField name="AYE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t="default"/>
      </items>
    </pivotField>
    <pivotField name="NAY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t="default"/>
      </items>
    </pivotField>
    <pivotField name="Propose Date" compact="0" numFmtId="17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t="default"/>
      </items>
    </pivotField>
    <pivotField name="Last Update" compact="0" numFmtId="17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t="default"/>
      </items>
    </pivotField>
    <pivotField name="USD Last Up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t="default"/>
      </items>
    </pivotField>
    <pivotField name="Category" axis="axisRow" compact="0" outline="0" multipleItemSelectionAllowed="1" showAll="0" sortType="ascending">
      <items>
        <item x="1"/>
        <item x="0"/>
        <item x="3"/>
        <item x="7"/>
        <item x="4"/>
        <item x="2"/>
        <item x="6"/>
        <item x="5"/>
        <item t="default"/>
      </items>
    </pivotField>
    <pivotField name="Subcategory" axis="axisRow" compact="0" outline="0" multipleItemSelectionAllowed="1" showAll="0" sortType="ascending">
      <items>
        <item x="1"/>
        <item x="0"/>
        <item x="18"/>
        <item x="25"/>
        <item x="28"/>
        <item x="35"/>
        <item x="43"/>
        <item x="38"/>
        <item x="44"/>
        <item x="22"/>
        <item x="19"/>
        <item x="9"/>
        <item x="40"/>
        <item x="13"/>
        <item x="41"/>
        <item x="26"/>
        <item x="29"/>
        <item x="31"/>
        <item x="10"/>
        <item x="21"/>
        <item x="7"/>
        <item x="23"/>
        <item x="37"/>
        <item x="45"/>
        <item x="15"/>
        <item x="34"/>
        <item x="39"/>
        <item x="2"/>
        <item x="4"/>
        <item x="5"/>
        <item x="16"/>
        <item x="27"/>
        <item x="33"/>
        <item x="3"/>
        <item x="20"/>
        <item x="24"/>
        <item x="12"/>
        <item x="17"/>
        <item x="42"/>
        <item x="11"/>
        <item x="14"/>
        <item x="32"/>
        <item x="36"/>
        <item x="30"/>
        <item x="8"/>
        <item x="6"/>
        <item t="default"/>
      </items>
    </pivotField>
    <pivotField name="hide from income statement (represented via child bounties and/or via the balance sheet)" compact="0" outline="0" multipleItemSelectionAllowed="1" showAll="0">
      <items>
        <item x="0"/>
        <item x="1"/>
        <item t="default"/>
      </items>
    </pivotField>
    <pivotField name="bounty-related" compact="0" outline="0" multipleItemSelectionAllowed="1" showAll="0">
      <items>
        <item x="0"/>
        <item x="1"/>
        <item t="default"/>
      </items>
    </pivotField>
    <pivotField name="recurring" compact="0" outline="0" multipleItemSelectionAllowed="1" showAll="0">
      <items>
        <item x="0"/>
        <item x="1"/>
        <item t="default"/>
      </items>
    </pivotField>
    <pivotField name="Notes" compact="0" outline="0" multipleItemSelectionAllowed="1" showAll="0">
      <items>
        <item x="0"/>
        <item x="1"/>
        <item x="2"/>
        <item t="default"/>
      </items>
    </pivotField>
    <pivotField name="year" compact="0" numFmtId="3" outline="0" multipleItemSelectionAllowed="1" showAll="0">
      <items>
        <item x="0"/>
        <item x="1"/>
        <item t="default"/>
      </items>
    </pivotField>
    <pivotField name="month" compact="0" numFmtId="3" outline="0" multipleItemSelectionAllowed="1" showAll="0">
      <items>
        <item x="0"/>
        <item x="1"/>
        <item x="2"/>
        <item x="3"/>
        <item x="4"/>
        <item x="5"/>
        <item x="6"/>
        <item x="7"/>
        <item x="8"/>
        <item x="9"/>
        <item x="10"/>
        <item x="11"/>
        <item t="default"/>
      </items>
    </pivotField>
    <pivotField name="quarter" compact="0" numFmtId="3" outline="0" multipleItemSelectionAllowed="1" showAll="0">
      <items>
        <item x="0"/>
        <item x="1"/>
        <item x="2"/>
        <item x="3"/>
        <item x="4"/>
        <item x="5"/>
        <item t="default"/>
      </items>
    </pivotField>
    <pivotField name="year-month" compact="0" numFmtId="3" outline="0" multipleItemSelectionAllowed="1" showAll="0">
      <items>
        <item x="0"/>
        <item x="1"/>
        <item x="2"/>
        <item x="3"/>
        <item x="4"/>
        <item x="5"/>
        <item x="6"/>
        <item x="7"/>
        <item x="8"/>
        <item x="9"/>
        <item x="10"/>
        <item x="11"/>
        <item x="12"/>
        <item x="13"/>
        <item x="14"/>
        <item x="15"/>
        <item t="default"/>
      </items>
    </pivotField>
    <pivotField name="half-years" compact="0" outline="0" multipleItemSelectionAllowed="1" showAll="0">
      <items>
        <item x="0"/>
        <item x="1"/>
        <item x="2"/>
        <item x="3"/>
        <item t="default"/>
      </items>
    </pivotField>
  </pivotFields>
  <rowFields>
    <field x="11"/>
    <field x="12"/>
  </rowFields>
  <dataFields>
    <dataField name="COUNTA of Ref" fld="0" subtotal="count" baseField="0"/>
  </dataFields>
</pivotTableDefinition>
</file>

<file path=xl/pivotTables/pivotTable14.xml><?xml version="1.0" encoding="utf-8"?>
<pivotTableDefinition xmlns="http://schemas.openxmlformats.org/spreadsheetml/2006/main" name="Referenda Pivot Statistics 4" cacheId="4" dataCaption="" compact="0" compactData="0">
  <location ref="F30:G47" firstHeaderRow="0" firstDataRow="1" firstDataCol="0" rowPageCount="1" colPageCount="1"/>
  <pivotFields>
    <pivotField name="Ref"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t="default"/>
      </items>
    </pivotField>
    <pivotField name="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t="default"/>
      </items>
    </pivotField>
    <pivotField name="Status" compact="0" outline="0" multipleItemSelectionAllowed="1" showAll="0">
      <items>
        <item x="0"/>
        <item x="1"/>
        <item x="2"/>
        <item x="3"/>
        <item x="4"/>
        <item x="5"/>
        <item x="6"/>
        <item x="7"/>
        <item x="8"/>
        <item x="9"/>
        <item t="default"/>
      </items>
    </pivotField>
    <pivotField name="DOT" axis="axisPage" compact="0" numFmtId="165"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8"/>
        <item h="1" x="349"/>
        <item h="1" x="350"/>
        <item h="1" x="351"/>
        <item h="1" x="352"/>
        <item h="1" x="353"/>
        <item h="1" x="354"/>
        <item h="1" x="355"/>
        <item h="1" x="356"/>
        <item h="1" x="357"/>
        <item h="1" x="358"/>
        <item h="1" x="359"/>
        <item h="1" x="360"/>
        <item h="1" x="361"/>
        <item h="1" x="362"/>
        <item h="1" x="363"/>
        <item h="1" x="364"/>
        <item h="1" x="365"/>
        <item h="1" x="366"/>
        <item h="1" x="367"/>
        <item h="1" x="368"/>
        <item h="1" x="369"/>
        <item h="1" x="370"/>
        <item h="1" x="371"/>
        <item h="1" x="372"/>
        <item h="1" x="373"/>
        <item h="1" x="374"/>
        <item h="1" x="375"/>
        <item h="1" x="376"/>
        <item h="1" x="377"/>
        <item h="1" x="378"/>
        <item h="1" x="379"/>
        <item h="1" x="380"/>
        <item h="1" x="381"/>
        <item h="1" x="382"/>
        <item h="1" x="383"/>
        <item h="1" x="384"/>
        <item h="1" x="385"/>
        <item h="1" x="386"/>
        <item h="1" x="387"/>
        <item h="1" x="388"/>
        <item h="1" x="389"/>
        <item h="1" x="390"/>
        <item h="1" x="391"/>
        <item h="1" x="392"/>
        <item h="1" x="393"/>
        <item h="1" x="394"/>
        <item h="1" x="395"/>
        <item h="1" x="396"/>
        <item h="1" x="397"/>
        <item h="1" x="398"/>
        <item h="1" x="399"/>
        <item h="1" x="400"/>
        <item h="1" x="401"/>
        <item h="1" x="402"/>
        <item h="1" x="403"/>
        <item h="1" x="404"/>
        <item h="1" x="405"/>
        <item h="1" x="406"/>
        <item h="1" x="407"/>
        <item h="1" x="408"/>
        <item h="1" x="409"/>
        <item h="1" x="410"/>
        <item h="1" x="411"/>
        <item h="1" x="412"/>
        <item h="1" x="413"/>
        <item h="1" x="414"/>
        <item h="1" x="415"/>
        <item h="1" x="416"/>
        <item h="1" x="417"/>
        <item h="1" x="418"/>
        <item h="1" x="419"/>
        <item h="1" x="420"/>
        <item h="1" x="421"/>
        <item h="1" x="422"/>
        <item h="1" x="423"/>
        <item h="1" x="424"/>
        <item h="1" x="425"/>
        <item h="1" x="426"/>
        <item h="1" x="427"/>
        <item h="1" x="428"/>
        <item h="1" x="429"/>
        <item h="1" x="430"/>
        <item h="1" x="431"/>
        <item h="1" x="432"/>
        <item h="1" x="433"/>
        <item h="1" x="434"/>
        <item h="1" x="435"/>
        <item h="1" x="436"/>
        <item h="1" x="437"/>
        <item h="1" x="438"/>
        <item h="1" x="439"/>
        <item h="1" x="440"/>
        <item h="1" x="441"/>
        <item h="1" x="442"/>
        <item h="1" x="443"/>
        <item h="1" x="444"/>
        <item h="1" x="445"/>
        <item h="1" x="446"/>
        <item h="1" x="447"/>
        <item h="1" x="448"/>
        <item h="1" x="449"/>
        <item h="1" x="450"/>
        <item h="1" x="451"/>
        <item h="1" x="452"/>
        <item h="1" x="453"/>
        <item h="1" x="454"/>
        <item h="1" x="455"/>
        <item h="1" x="456"/>
        <item h="1" x="457"/>
        <item h="1" x="458"/>
        <item h="1" x="459"/>
        <item h="1" x="460"/>
        <item h="1" x="461"/>
        <item h="1" x="462"/>
        <item h="1" x="463"/>
        <item h="1" x="464"/>
        <item h="1" x="465"/>
        <item h="1" x="466"/>
        <item h="1" x="467"/>
        <item h="1" x="468"/>
        <item h="1" x="469"/>
        <item h="1" x="470"/>
        <item h="1" x="471"/>
        <item h="1" x="472"/>
        <item h="1" x="473"/>
        <item h="1" x="474"/>
        <item h="1" x="475"/>
        <item h="1" x="476"/>
        <item h="1" x="477"/>
        <item h="1" x="478"/>
        <item h="1" x="479"/>
        <item h="1" x="480"/>
        <item h="1" x="481"/>
        <item h="1" x="482"/>
        <item h="1" x="483"/>
        <item h="1" x="484"/>
        <item h="1" x="485"/>
        <item h="1" x="486"/>
        <item h="1" x="487"/>
        <item h="1" x="488"/>
        <item h="1" x="489"/>
        <item h="1" x="490"/>
        <item h="1" x="491"/>
        <item h="1" x="492"/>
        <item h="1" x="493"/>
        <item h="1" x="494"/>
        <item h="1" x="495"/>
        <item h="1" x="496"/>
        <item h="1" x="497"/>
        <item h="1" x="498"/>
        <item h="1" x="499"/>
        <item h="1" x="500"/>
        <item h="1" x="501"/>
        <item h="1" x="502"/>
        <item h="1" x="503"/>
        <item h="1" x="504"/>
        <item h="1" x="505"/>
        <item h="1" x="506"/>
        <item h="1" x="507"/>
        <item h="1" x="508"/>
        <item h="1" x="509"/>
        <item h="1" x="510"/>
        <item h="1" x="511"/>
        <item h="1" x="512"/>
        <item h="1" x="513"/>
        <item h="1" x="514"/>
        <item h="1" x="515"/>
        <item h="1" x="516"/>
        <item h="1" x="517"/>
        <item h="1" x="518"/>
        <item h="1" x="519"/>
        <item h="1" x="520"/>
        <item h="1" x="521"/>
        <item h="1" x="522"/>
        <item h="1" x="523"/>
        <item h="1" x="524"/>
        <item h="1" x="525"/>
        <item h="1" x="526"/>
        <item h="1" x="527"/>
        <item h="1" x="528"/>
        <item h="1" x="529"/>
        <item h="1" x="530"/>
        <item h="1" x="531"/>
        <item h="1" x="532"/>
        <item h="1" x="533"/>
        <item h="1" x="534"/>
        <item h="1" x="535"/>
        <item h="1" x="536"/>
        <item h="1" x="537"/>
        <item h="1" x="538"/>
        <item h="1" x="539"/>
        <item h="1" x="540"/>
        <item h="1" x="541"/>
        <item h="1" x="542"/>
        <item h="1" x="543"/>
        <item h="1" x="544"/>
        <item h="1" x="545"/>
        <item h="1" x="546"/>
        <item h="1" x="547"/>
        <item h="1" x="548"/>
        <item h="1" x="549"/>
        <item h="1" x="550"/>
        <item h="1" x="551"/>
        <item h="1" x="552"/>
        <item h="1" x="553"/>
        <item h="1" x="554"/>
        <item h="1" x="555"/>
        <item h="1" x="556"/>
        <item h="1" x="557"/>
        <item h="1" x="558"/>
        <item h="1" x="559"/>
        <item h="1" x="560"/>
        <item h="1" x="561"/>
        <item h="1" x="562"/>
        <item h="1" x="563"/>
        <item h="1" x="564"/>
        <item h="1" x="565"/>
        <item h="1" x="566"/>
        <item h="1" x="567"/>
        <item h="1" x="568"/>
        <item h="1" x="569"/>
        <item h="1" x="570"/>
        <item h="1" x="571"/>
        <item h="1" x="572"/>
        <item h="1" x="573"/>
        <item h="1" x="574"/>
        <item h="1" x="575"/>
        <item h="1" x="576"/>
        <item h="1" x="577"/>
        <item h="1" x="578"/>
        <item h="1" x="579"/>
        <item h="1" x="580"/>
        <item h="1" x="581"/>
        <item h="1" x="582"/>
        <item h="1" x="583"/>
        <item h="1" x="584"/>
        <item h="1" x="585"/>
        <item h="1" x="586"/>
        <item h="1" x="587"/>
        <item h="1" x="588"/>
        <item h="1" x="589"/>
        <item h="1" x="590"/>
        <item h="1" x="591"/>
        <item h="1" x="592"/>
        <item h="1" x="593"/>
        <item h="1" x="594"/>
        <item h="1" x="595"/>
        <item h="1" x="596"/>
        <item h="1" x="597"/>
        <item h="1" x="598"/>
        <item h="1" x="599"/>
        <item h="1" x="600"/>
        <item h="1" x="601"/>
        <item h="1" x="602"/>
        <item h="1" x="603"/>
        <item h="1" x="604"/>
        <item h="1" x="605"/>
        <item h="1" x="606"/>
        <item h="1" x="607"/>
        <item h="1" x="608"/>
        <item h="1" x="609"/>
        <item h="1" x="610"/>
        <item h="1" x="611"/>
        <item h="1" x="612"/>
        <item h="1" x="613"/>
        <item h="1" x="614"/>
        <item h="1" x="615"/>
        <item h="1" x="616"/>
        <item h="1" x="617"/>
        <item h="1" x="618"/>
        <item h="1" x="619"/>
        <item h="1" x="620"/>
        <item h="1" x="621"/>
        <item h="1" x="622"/>
        <item h="1" x="623"/>
        <item h="1" x="624"/>
        <item h="1" x="625"/>
        <item h="1" x="626"/>
        <item h="1" x="627"/>
        <item h="1" x="628"/>
        <item h="1" x="629"/>
        <item h="1" x="630"/>
        <item h="1" x="631"/>
        <item h="1" x="632"/>
        <item h="1" x="633"/>
        <item h="1" x="634"/>
        <item h="1" x="635"/>
        <item h="1" x="636"/>
        <item h="1" x="637"/>
        <item h="1" x="638"/>
        <item h="1" x="639"/>
        <item h="1" x="640"/>
        <item h="1" x="641"/>
        <item h="1" x="642"/>
        <item h="1" x="643"/>
        <item h="1" x="644"/>
        <item h="1" x="645"/>
        <item x="646"/>
        <item h="1" x="647"/>
        <item h="1" x="648"/>
        <item h="1" x="649"/>
        <item h="1" x="650"/>
        <item h="1" x="651"/>
        <item h="1" x="652"/>
        <item h="1" x="653"/>
        <item h="1" x="654"/>
        <item h="1" x="655"/>
        <item h="1" x="656"/>
        <item h="1" x="657"/>
        <item h="1" x="658"/>
        <item h="1" x="659"/>
        <item h="1" x="660"/>
        <item h="1" x="661"/>
        <item h="1" x="662"/>
        <item h="1" x="663"/>
        <item h="1" x="664"/>
        <item h="1" x="665"/>
        <item h="1" x="666"/>
        <item h="1" x="667"/>
        <item h="1" x="668"/>
        <item h="1" x="669"/>
        <item h="1" x="670"/>
        <item h="1" x="671"/>
        <item h="1" x="672"/>
        <item h="1" x="673"/>
        <item h="1" x="674"/>
        <item h="1" x="675"/>
        <item h="1" x="676"/>
        <item h="1" x="677"/>
        <item h="1" x="678"/>
        <item h="1" x="679"/>
        <item t="default"/>
      </items>
    </pivotField>
    <pivotField name="USD Propose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t="default"/>
      </items>
    </pivotField>
    <pivotField name="Track" axis="axisRow" compact="0" outline="0" multipleItemSelectionAllowed="1" showAll="0" sortType="ascending">
      <items>
        <item x="9"/>
        <item x="1"/>
        <item x="8"/>
        <item x="13"/>
        <item x="7"/>
        <item x="14"/>
        <item x="4"/>
        <item x="12"/>
        <item x="11"/>
        <item x="5"/>
        <item x="2"/>
        <item x="0"/>
        <item x="10"/>
        <item x="6"/>
        <item x="3"/>
        <item x="15"/>
        <item t="default"/>
      </items>
    </pivotField>
    <pivotField name="AYE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t="default"/>
      </items>
    </pivotField>
    <pivotField name="NAY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t="default"/>
      </items>
    </pivotField>
    <pivotField name="Propose Date" compact="0" numFmtId="17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t="default"/>
      </items>
    </pivotField>
    <pivotField name="Last Update" compact="0" numFmtId="17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t="default"/>
      </items>
    </pivotField>
    <pivotField name="USD Last Up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t="default"/>
      </items>
    </pivotField>
    <pivotField name="Category" compact="0" outline="0" multipleItemSelectionAllowed="1" showAll="0">
      <items>
        <item x="0"/>
        <item x="1"/>
        <item x="2"/>
        <item x="3"/>
        <item x="4"/>
        <item x="5"/>
        <item x="6"/>
        <item x="7"/>
        <item t="default"/>
      </items>
    </pivotField>
    <pivotField name="Sub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name="hide from income statement (represented via child bounties and/or via the balance sheet)" compact="0" outline="0" multipleItemSelectionAllowed="1" showAll="0">
      <items>
        <item x="0"/>
        <item x="1"/>
        <item t="default"/>
      </items>
    </pivotField>
    <pivotField name="bounty-related" compact="0" outline="0" multipleItemSelectionAllowed="1" showAll="0">
      <items>
        <item x="0"/>
        <item x="1"/>
        <item t="default"/>
      </items>
    </pivotField>
    <pivotField name="recurring" compact="0" outline="0" multipleItemSelectionAllowed="1" showAll="0">
      <items>
        <item x="0"/>
        <item x="1"/>
        <item t="default"/>
      </items>
    </pivotField>
    <pivotField name="Notes" compact="0" outline="0" multipleItemSelectionAllowed="1" showAll="0">
      <items>
        <item x="0"/>
        <item x="1"/>
        <item x="2"/>
        <item t="default"/>
      </items>
    </pivotField>
    <pivotField name="year" compact="0" numFmtId="3" outline="0" multipleItemSelectionAllowed="1" showAll="0">
      <items>
        <item x="0"/>
        <item x="1"/>
        <item t="default"/>
      </items>
    </pivotField>
    <pivotField name="month" compact="0" numFmtId="3" outline="0" multipleItemSelectionAllowed="1" showAll="0">
      <items>
        <item x="0"/>
        <item x="1"/>
        <item x="2"/>
        <item x="3"/>
        <item x="4"/>
        <item x="5"/>
        <item x="6"/>
        <item x="7"/>
        <item x="8"/>
        <item x="9"/>
        <item x="10"/>
        <item x="11"/>
        <item t="default"/>
      </items>
    </pivotField>
    <pivotField name="quarter" compact="0" numFmtId="3" outline="0" multipleItemSelectionAllowed="1" showAll="0">
      <items>
        <item x="0"/>
        <item x="1"/>
        <item x="2"/>
        <item x="3"/>
        <item x="4"/>
        <item x="5"/>
        <item t="default"/>
      </items>
    </pivotField>
    <pivotField name="year-month" compact="0" numFmtId="3" outline="0" multipleItemSelectionAllowed="1" showAll="0">
      <items>
        <item x="0"/>
        <item x="1"/>
        <item x="2"/>
        <item x="3"/>
        <item x="4"/>
        <item x="5"/>
        <item x="6"/>
        <item x="7"/>
        <item x="8"/>
        <item x="9"/>
        <item x="10"/>
        <item x="11"/>
        <item x="12"/>
        <item x="13"/>
        <item x="14"/>
        <item x="15"/>
        <item t="default"/>
      </items>
    </pivotField>
    <pivotField name="half-years" compact="0" outline="0" multipleItemSelectionAllowed="1" showAll="0">
      <items>
        <item x="0"/>
        <item x="1"/>
        <item x="2"/>
        <item x="3"/>
        <item t="default"/>
      </items>
    </pivotField>
  </pivotFields>
  <rowFields>
    <field x="5"/>
  </rowFields>
  <pageFields>
    <pageField fld="3"/>
  </pageFields>
  <dataFields>
    <dataField name="COUNTA of Ref" fld="0" subtotal="count" baseField="0"/>
  </dataFields>
</pivotTableDefinition>
</file>

<file path=xl/pivotTables/pivotTable15.xml><?xml version="1.0" encoding="utf-8"?>
<pivotTableDefinition xmlns="http://schemas.openxmlformats.org/spreadsheetml/2006/main" name="Referenda Pivot Statistics 5" cacheId="1" dataCaption="" compact="0" compactData="0">
  <location ref="F70:H87" firstHeaderRow="0" firstDataRow="2" firstDataCol="0"/>
  <pivotFields>
    <pivotField name="Ref"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t="default"/>
      </items>
    </pivotField>
    <pivotField name="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t="default"/>
      </items>
    </pivotField>
    <pivotField name="Status" compact="0" outline="0" multipleItemSelectionAllowed="1" showAll="0">
      <items>
        <item x="0"/>
        <item x="1"/>
        <item x="2"/>
        <item x="3"/>
        <item x="4"/>
        <item x="5"/>
        <item x="6"/>
        <item x="7"/>
        <item x="8"/>
        <item x="9"/>
        <item t="default"/>
      </items>
    </pivotField>
    <pivotField name="DOT"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t="default"/>
      </items>
    </pivotField>
    <pivotField name="USD Propose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t="default"/>
      </items>
    </pivotField>
    <pivotField name="Track" compact="0" outline="0" multipleItemSelectionAllowed="1" showAll="0">
      <items>
        <item x="0"/>
        <item x="1"/>
        <item x="2"/>
        <item x="3"/>
        <item x="4"/>
        <item x="5"/>
        <item x="6"/>
        <item x="7"/>
        <item x="8"/>
        <item x="9"/>
        <item x="10"/>
        <item x="11"/>
        <item x="12"/>
        <item x="13"/>
        <item x="14"/>
        <item x="15"/>
        <item t="default"/>
      </items>
    </pivotField>
    <pivotField name="AYE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t="default"/>
      </items>
    </pivotField>
    <pivotField name="NAY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t="default"/>
      </items>
    </pivotField>
    <pivotField name="Propose Date" compact="0" numFmtId="17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t="default"/>
      </items>
    </pivotField>
    <pivotField name="Last Update" compact="0" numFmtId="17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t="default"/>
      </items>
    </pivotField>
    <pivotField name="USD Last Up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t="default"/>
      </items>
    </pivotField>
    <pivotField name="Category" compact="0" outline="0" multipleItemSelectionAllowed="1" showAll="0">
      <items>
        <item x="0"/>
        <item x="1"/>
        <item x="2"/>
        <item x="3"/>
        <item x="4"/>
        <item x="5"/>
        <item x="6"/>
        <item x="7"/>
        <item t="default"/>
      </items>
    </pivotField>
    <pivotField name="Sub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name="hide from income statement (represented via child bounties and/or via the balance sheet)" compact="0" outline="0" multipleItemSelectionAllowed="1" showAll="0">
      <items>
        <item x="0"/>
        <item x="1"/>
        <item t="default"/>
      </items>
    </pivotField>
    <pivotField name="bounty-related" compact="0" outline="0" multipleItemSelectionAllowed="1" showAll="0">
      <items>
        <item x="0"/>
        <item x="1"/>
        <item t="default"/>
      </items>
    </pivotField>
    <pivotField name="recurring" compact="0" outline="0" multipleItemSelectionAllowed="1" showAll="0">
      <items>
        <item x="0"/>
        <item x="1"/>
        <item t="default"/>
      </items>
    </pivotField>
    <pivotField name="Notes" compact="0" outline="0" multipleItemSelectionAllowed="1" showAll="0">
      <items>
        <item x="0"/>
        <item x="1"/>
        <item x="2"/>
        <item t="default"/>
      </items>
    </pivotField>
    <pivotField name="year" compact="0" numFmtId="3" outline="0" multipleItemSelectionAllowed="1" showAll="0">
      <items>
        <item x="0"/>
        <item x="1"/>
        <item t="default"/>
      </items>
    </pivotField>
    <pivotField name="month" compact="0" numFmtId="3" outline="0" multipleItemSelectionAllowed="1" showAll="0">
      <items>
        <item x="0"/>
        <item x="1"/>
        <item x="2"/>
        <item x="3"/>
        <item x="4"/>
        <item x="5"/>
        <item x="6"/>
        <item x="7"/>
        <item x="8"/>
        <item x="9"/>
        <item x="10"/>
        <item x="11"/>
        <item t="default"/>
      </items>
    </pivotField>
    <pivotField name="quarter" compact="0" numFmtId="3" outline="0" multipleItemSelectionAllowed="1" showAll="0">
      <items>
        <item x="0"/>
        <item x="1"/>
        <item x="2"/>
        <item x="3"/>
        <item x="4"/>
        <item x="5"/>
        <item t="default"/>
      </items>
    </pivotField>
    <pivotField name="year-month" axis="axisRow" compact="0" numFmtId="3" outline="0" multipleItemSelectionAllowed="1" showAll="0" sortType="ascending">
      <items>
        <item x="0"/>
        <item x="2"/>
        <item x="3"/>
        <item x="4"/>
        <item x="5"/>
        <item x="6"/>
        <item x="7"/>
        <item x="8"/>
        <item x="9"/>
        <item x="10"/>
        <item x="11"/>
        <item x="12"/>
        <item x="13"/>
        <item x="14"/>
        <item x="15"/>
        <item x="1"/>
        <item t="default"/>
      </items>
    </pivotField>
    <pivotField name="half-years" compact="0" outline="0" multipleItemSelectionAllowed="1" showAll="0">
      <items>
        <item x="0"/>
        <item x="1"/>
        <item x="2"/>
        <item x="3"/>
        <item t="default"/>
      </items>
    </pivotField>
    <pivotField name="error - please vote nay" dataField="1" compact="0" outline="0" multipleItemSelectionAllowed="1" showAll="0">
      <items>
        <item x="0"/>
        <item x="1"/>
        <item t="default"/>
      </items>
    </pivotField>
  </pivotFields>
  <rowFields>
    <field x="20"/>
  </rowFields>
  <colFields>
    <field x="-2"/>
  </colFields>
  <dataFields>
    <dataField name="COUNTA of Ref" fld="0" subtotal="count" baseField="0"/>
    <dataField name="COUNTA of error - please vote nay" fld="22" subtotal="count" baseField="0"/>
  </dataFields>
</pivotTableDefinition>
</file>

<file path=xl/pivotTables/pivotTable16.xml><?xml version="1.0" encoding="utf-8"?>
<pivotTableDefinition xmlns="http://schemas.openxmlformats.org/spreadsheetml/2006/main" name="Referenda Pivot Statistics 6" cacheId="1" dataCaption="" compact="0" compactData="0">
  <location ref="F95:J113" firstHeaderRow="0" firstDataRow="1" firstDataCol="1"/>
  <pivotFields>
    <pivotField name="Ref"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t="default"/>
      </items>
    </pivotField>
    <pivotField name="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t="default"/>
      </items>
    </pivotField>
    <pivotField name="Status" axis="axisCol" compact="0" outline="0" multipleItemSelectionAllowed="1" showAll="0" sortType="ascending">
      <items>
        <item h="1" x="7"/>
        <item h="1" x="6"/>
        <item h="1" x="1"/>
        <item h="1" x="8"/>
        <item x="2"/>
        <item h="1" x="4"/>
        <item h="1" x="5"/>
        <item h="1" x="9"/>
        <item x="0"/>
        <item x="3"/>
        <item t="default"/>
      </items>
    </pivotField>
    <pivotField name="DOT"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t="default"/>
      </items>
    </pivotField>
    <pivotField name="USD Propose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t="default"/>
      </items>
    </pivotField>
    <pivotField name="Track" compact="0" outline="0" multipleItemSelectionAllowed="1" showAll="0">
      <items>
        <item x="0"/>
        <item x="1"/>
        <item x="2"/>
        <item x="3"/>
        <item x="4"/>
        <item x="5"/>
        <item x="6"/>
        <item x="7"/>
        <item x="8"/>
        <item x="9"/>
        <item x="10"/>
        <item x="11"/>
        <item x="12"/>
        <item x="13"/>
        <item x="14"/>
        <item x="15"/>
        <item t="default"/>
      </items>
    </pivotField>
    <pivotField name="AYE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t="default"/>
      </items>
    </pivotField>
    <pivotField name="NAY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t="default"/>
      </items>
    </pivotField>
    <pivotField name="Propose Date" compact="0" numFmtId="17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t="default"/>
      </items>
    </pivotField>
    <pivotField name="Last Update" compact="0" numFmtId="17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t="default"/>
      </items>
    </pivotField>
    <pivotField name="USD Last Up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t="default"/>
      </items>
    </pivotField>
    <pivotField name="Category" compact="0" outline="0" multipleItemSelectionAllowed="1" showAll="0">
      <items>
        <item x="0"/>
        <item x="1"/>
        <item x="2"/>
        <item x="3"/>
        <item x="4"/>
        <item x="5"/>
        <item x="6"/>
        <item x="7"/>
        <item t="default"/>
      </items>
    </pivotField>
    <pivotField name="Sub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name="hide from income statement (represented via child bounties and/or via the balance sheet)" compact="0" outline="0" multipleItemSelectionAllowed="1" showAll="0">
      <items>
        <item x="0"/>
        <item x="1"/>
        <item t="default"/>
      </items>
    </pivotField>
    <pivotField name="bounty-related" compact="0" outline="0" multipleItemSelectionAllowed="1" showAll="0">
      <items>
        <item x="0"/>
        <item x="1"/>
        <item t="default"/>
      </items>
    </pivotField>
    <pivotField name="recurring" compact="0" outline="0" multipleItemSelectionAllowed="1" showAll="0">
      <items>
        <item x="0"/>
        <item x="1"/>
        <item t="default"/>
      </items>
    </pivotField>
    <pivotField name="Notes" compact="0" outline="0" multipleItemSelectionAllowed="1" showAll="0">
      <items>
        <item x="0"/>
        <item x="1"/>
        <item x="2"/>
        <item t="default"/>
      </items>
    </pivotField>
    <pivotField name="year" compact="0" numFmtId="3" outline="0" multipleItemSelectionAllowed="1" showAll="0">
      <items>
        <item x="0"/>
        <item x="1"/>
        <item t="default"/>
      </items>
    </pivotField>
    <pivotField name="month" compact="0" numFmtId="3" outline="0" multipleItemSelectionAllowed="1" showAll="0">
      <items>
        <item x="0"/>
        <item x="1"/>
        <item x="2"/>
        <item x="3"/>
        <item x="4"/>
        <item x="5"/>
        <item x="6"/>
        <item x="7"/>
        <item x="8"/>
        <item x="9"/>
        <item x="10"/>
        <item x="11"/>
        <item t="default"/>
      </items>
    </pivotField>
    <pivotField name="quarter" compact="0" numFmtId="3" outline="0" multipleItemSelectionAllowed="1" showAll="0">
      <items>
        <item x="0"/>
        <item x="1"/>
        <item x="2"/>
        <item x="3"/>
        <item x="4"/>
        <item x="5"/>
        <item t="default"/>
      </items>
    </pivotField>
    <pivotField name="year-month" axis="axisRow" compact="0" numFmtId="3" outline="0" multipleItemSelectionAllowed="1" showAll="0" sortType="ascending">
      <items>
        <item x="0"/>
        <item x="2"/>
        <item x="3"/>
        <item x="4"/>
        <item x="5"/>
        <item x="6"/>
        <item x="7"/>
        <item x="8"/>
        <item x="9"/>
        <item x="10"/>
        <item x="11"/>
        <item x="12"/>
        <item x="13"/>
        <item x="14"/>
        <item x="15"/>
        <item x="1"/>
        <item t="default"/>
      </items>
    </pivotField>
    <pivotField name="half-years" compact="0" outline="0" multipleItemSelectionAllowed="1" showAll="0">
      <items>
        <item x="0"/>
        <item x="1"/>
        <item x="2"/>
        <item x="3"/>
        <item t="default"/>
      </items>
    </pivotField>
    <pivotField name="error - please vote nay" dataField="1" compact="0" outline="0" multipleItemSelectionAllowed="1" showAll="0">
      <items>
        <item x="0"/>
        <item x="1"/>
        <item t="default"/>
      </items>
    </pivotField>
  </pivotFields>
  <rowFields>
    <field x="20"/>
  </rowFields>
  <colFields>
    <field x="2"/>
  </colFields>
  <dataFields>
    <dataField name="COUNTA of error - please vote nay" fld="22" subtotal="count" baseField="0"/>
  </dataFields>
</pivotTableDefinition>
</file>

<file path=xl/pivotTables/pivotTable17.xml><?xml version="1.0" encoding="utf-8"?>
<pivotTableDefinition xmlns="http://schemas.openxmlformats.org/spreadsheetml/2006/main" name="Child Bounties Pivot" cacheId="5" dataCaption="" compact="0" compactData="0">
  <location ref="A3:E24" firstHeaderRow="0" firstDataRow="1" firstDataCol="1" rowPageCount="1" colPageCount="1"/>
  <pivotFields>
    <pivotField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t="default"/>
      </items>
    </pivotField>
    <pivotField name="parentBountyID"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status" axis="axisPage" compact="0" outline="0" multipleItemSelectionAllowed="1" showAll="0">
      <items>
        <item x="0"/>
        <item h="1" x="1"/>
        <item h="1" x="2"/>
        <item t="default"/>
      </items>
    </pivotField>
    <pivotField name="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t="default"/>
      </items>
    </pivotField>
    <pivotField name="DOT"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t="default"/>
      </items>
    </pivotField>
    <pivotField name="USD Proposal Tim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t="default"/>
      </items>
    </pivotField>
    <pivotField name="beneficia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t="default"/>
      </items>
    </pivotField>
    <pivotField name="proposal_time" compact="0" numFmtId="17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t="default"/>
      </items>
    </pivotField>
    <pivotField name="last_status_change" compact="0" numFmtId="17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t="default"/>
      </items>
    </pivotField>
    <pivotField name="USD latest"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t="default"/>
      </items>
    </pivotField>
    <pivotField name="Category" compact="0" outline="0" multipleItemSelectionAllowed="1" showAll="0">
      <items>
        <item x="0"/>
        <item x="1"/>
        <item x="2"/>
        <item t="default"/>
      </items>
    </pivotField>
    <pivotField name="Subcategory" compact="0" outline="0" multipleItemSelectionAllowed="1" showAll="0">
      <items>
        <item x="0"/>
        <item x="1"/>
        <item x="2"/>
        <item x="3"/>
        <item x="4"/>
        <item x="5"/>
        <item x="6"/>
        <item x="7"/>
        <item x="8"/>
        <item x="9"/>
        <item x="10"/>
        <item t="default"/>
      </items>
    </pivotField>
    <pivotField name="inherited Category" compact="0" outline="0" multipleItemSelectionAllowed="1" showAll="0">
      <items>
        <item x="0"/>
        <item x="1"/>
        <item x="2"/>
        <item x="3"/>
        <item x="4"/>
        <item t="default"/>
      </items>
    </pivotField>
    <pivotField name="inherited Subcategory" compact="0" outline="0" multipleItemSelectionAllowed="1" showAll="0">
      <items>
        <item x="0"/>
        <item x="1"/>
        <item x="2"/>
        <item x="3"/>
        <item x="4"/>
        <item x="5"/>
        <item x="6"/>
        <item x="7"/>
        <item x="8"/>
        <item x="9"/>
        <item x="10"/>
        <item x="11"/>
        <item x="12"/>
        <item x="13"/>
        <item x="14"/>
        <item t="default"/>
      </items>
    </pivotField>
    <pivotField name="evaluated Category" compact="0" outline="0" multipleItemSelectionAllowed="1" showAll="0">
      <items>
        <item x="0"/>
        <item x="1"/>
        <item x="2"/>
        <item x="3"/>
        <item x="4"/>
        <item t="default"/>
      </items>
    </pivotField>
    <pivotField name="evaluated Subcategory"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year" compact="0" numFmtId="3" outline="0" multipleItemSelectionAllowed="1" showAll="0">
      <items>
        <item x="0"/>
        <item x="1"/>
        <item x="2"/>
        <item t="default"/>
      </items>
    </pivotField>
    <pivotField name="month" compact="0" numFmtId="3" outline="0" multipleItemSelectionAllowed="1" showAll="0">
      <items>
        <item x="0"/>
        <item x="1"/>
        <item x="2"/>
        <item x="3"/>
        <item x="4"/>
        <item x="5"/>
        <item x="6"/>
        <item x="7"/>
        <item x="8"/>
        <item x="9"/>
        <item x="10"/>
        <item x="11"/>
        <item t="default"/>
      </items>
    </pivotField>
    <pivotField name="quarter" axis="axisCol" compact="0" numFmtId="3" outline="0" multipleItemSelectionAllowed="1" showAll="0" sortType="ascending">
      <items>
        <item h="1" x="0"/>
        <item h="1" x="2"/>
        <item h="1" x="3"/>
        <item h="1" x="1"/>
        <item h="1" x="4"/>
        <item h="1" x="5"/>
        <item h="1" x="6"/>
        <item x="7"/>
        <item x="9"/>
        <item x="8"/>
        <item t="default"/>
      </items>
    </pivotField>
    <pivotField name="year-month"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name="half-year" compact="0" outline="0" multipleItemSelectionAllowed="1" showAll="0">
      <items>
        <item x="0"/>
        <item x="1"/>
        <item x="2"/>
        <item x="3"/>
        <item x="4"/>
        <item x="5"/>
        <item t="default"/>
      </items>
    </pivotField>
    <pivotField name="bounty name" axis="axisRow" compact="0" outline="0" multipleItemSelectionAllowed="1" showAll="0" sortType="descending">
      <items>
        <item x="0"/>
        <item x="1"/>
        <item x="2"/>
        <item x="3"/>
        <item x="4"/>
        <item x="5"/>
        <item x="6"/>
        <item x="7"/>
        <item x="8"/>
        <item x="9"/>
        <item x="10"/>
        <item x="11"/>
        <item x="12"/>
        <item x="13"/>
        <item x="14"/>
        <item x="15"/>
        <item x="16"/>
        <item x="17"/>
        <item x="18"/>
        <item x="19"/>
        <item t="default"/>
      </items>
      <autoSortScope>
        <pivotArea>
          <references>
            <reference field="4294967294">
              <x v="0"/>
            </reference>
            <reference field="18">
              <x v="9"/>
            </reference>
          </references>
        </pivotArea>
      </autoSortScope>
    </pivotField>
    <pivotField name="hide from income statement" compact="0" outline="0" multipleItemSelectionAllowed="1" showAll="0">
      <items>
        <item x="0"/>
        <item x="1"/>
        <item t="default"/>
      </items>
    </pivotField>
    <pivotField name="NOTE" compact="0" outline="0" multipleItemSelectionAllowed="1" showAll="0">
      <items>
        <item x="0"/>
        <item x="1"/>
        <item t="default"/>
      </items>
    </pivotField>
  </pivotFields>
  <rowFields>
    <field x="21"/>
  </rowFields>
  <colFields>
    <field x="18"/>
  </colFields>
  <pageFields>
    <pageField fld="2"/>
  </pageFields>
  <dataFields>
    <dataField name="SUM of USD latest" fld="9"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polkadot.subsquare.io/referenda/432" TargetMode="External"/><Relationship Id="rId22" Type="http://schemas.openxmlformats.org/officeDocument/2006/relationships/hyperlink" Target="https://polkadot.subscan.io/account/13UVJyLnbVp9RBZYFwFGyDvVd1y27Tt8tkntv6Q7JVPhFsTB" TargetMode="External"/><Relationship Id="rId21" Type="http://schemas.openxmlformats.org/officeDocument/2006/relationships/hyperlink" Target="https://polkadot.subsquare.io/referenda/748" TargetMode="External"/><Relationship Id="rId24" Type="http://schemas.openxmlformats.org/officeDocument/2006/relationships/hyperlink" Target="https://assethub-polkadot.subscan.io/account/16VcQSRcMFy6ZHVjBvosKmo7FKqTb8ZATChDYo8ibutzLnos" TargetMode="External"/><Relationship Id="rId23" Type="http://schemas.openxmlformats.org/officeDocument/2006/relationships/hyperlink" Target="https://assethub-polkadot.subscan.io/account/14xmwinmCEz6oRrFdczHKqHgWNMiCysE2KrA4jXXAAM1Eogk?tab=transfer" TargetMode="External"/><Relationship Id="rId1" Type="http://schemas.openxmlformats.org/officeDocument/2006/relationships/hyperlink" Target="https://polkadot.subscan.io/account/13UVJyLnbVp9RBZYFwFGyDvVd1y27Tt8tkntv6Q7JVPhFsTB" TargetMode="External"/><Relationship Id="rId2" Type="http://schemas.openxmlformats.org/officeDocument/2006/relationships/hyperlink" Target="https://assethub-polkadot.subscan.io/account/14xmwinmCEz6oRrFdczHKqHgWNMiCysE2KrA4jXXAAM1Eogk?tab=transfer" TargetMode="External"/><Relationship Id="rId3" Type="http://schemas.openxmlformats.org/officeDocument/2006/relationships/hyperlink" Target="https://assethub-polkadot.subscan.io/account/14xmwinmCEz6oRrFdczHKqHgWNMiCysE2KrA4jXXAAM1Eogk?tab=transfer" TargetMode="External"/><Relationship Id="rId4" Type="http://schemas.openxmlformats.org/officeDocument/2006/relationships/hyperlink" Target="https://assethub-polkadot.subscan.io/account/14xmwinmCEz6oRrFdczHKqHgWNMiCysE2KrA4jXXAAM1Eogk?tab=transfer" TargetMode="External"/><Relationship Id="rId9" Type="http://schemas.openxmlformats.org/officeDocument/2006/relationships/hyperlink" Target="https://assethub-polkadot.subscan.io/account/16VcQSRcMFy6ZHVjBvosKmo7FKqTb8ZATChDYo8ibutzLnos" TargetMode="External"/><Relationship Id="rId26" Type="http://schemas.openxmlformats.org/officeDocument/2006/relationships/hyperlink" Target="https://assethub-polkadot.subscan.io/account/16hdUXXYjoBQBpdQ14z7qk372rwNHkdQJ9YyBuPaXiZcqnru" TargetMode="External"/><Relationship Id="rId25" Type="http://schemas.openxmlformats.org/officeDocument/2006/relationships/hyperlink" Target="https://app.hydration.net/liquidity/my-liquidity?account=7KQx4f7yU3hqZHfvDVnSfe6mpgAT8Pxyr67LXHV6nsbZo3Tm&amp;id=5" TargetMode="External"/><Relationship Id="rId28" Type="http://schemas.openxmlformats.org/officeDocument/2006/relationships/hyperlink" Target="https://assethub-polkadot.subscan.io/account/13w7NdvSR1Af8xsQTArDtZmVvjE8XhWNdL4yed3iFHrUNCnS?tab=transfer" TargetMode="External"/><Relationship Id="rId27" Type="http://schemas.openxmlformats.org/officeDocument/2006/relationships/hyperlink" Target="https://assethub-polkadot.subscan.io/account/15KHn88G2XELAMxbrkBYDmwdbgWYnrGBTPoLdV1NgHUPU6f4" TargetMode="External"/><Relationship Id="rId5" Type="http://schemas.openxmlformats.org/officeDocument/2006/relationships/hyperlink" Target="https://hydration.subscan.io/account/7KCp4eenFS4CowF9SpQE5BBCj5MtoBA3K811tNyRmhLfH1aV?tab=transfer" TargetMode="External"/><Relationship Id="rId6" Type="http://schemas.openxmlformats.org/officeDocument/2006/relationships/hyperlink" Target="https://polkadot.subsquare.io/referenda/1104" TargetMode="External"/><Relationship Id="rId29" Type="http://schemas.openxmlformats.org/officeDocument/2006/relationships/hyperlink" Target="https://assethub-polkadot.subscan.io/account/13gYFscwJFJFqFMNnttzuTtMrApUEmcUARtgFubbChU9g6mh" TargetMode="External"/><Relationship Id="rId7" Type="http://schemas.openxmlformats.org/officeDocument/2006/relationships/hyperlink" Target="https://hydration.subscan.io/account/7LcF8b5GSvajXkSChhoMFcGDxF9Yn9unRDceZj1Q6NYox8HY" TargetMode="External"/><Relationship Id="rId8" Type="http://schemas.openxmlformats.org/officeDocument/2006/relationships/hyperlink" Target="https://polkadot.subsquare.io/referenda/457" TargetMode="External"/><Relationship Id="rId30" Type="http://schemas.openxmlformats.org/officeDocument/2006/relationships/drawing" Target="../drawings/drawing1.xml"/><Relationship Id="rId11" Type="http://schemas.openxmlformats.org/officeDocument/2006/relationships/hyperlink" Target="https://hydration.subscan.io/account/7KQx4f7yU3hqZHfvDVnSfe6mpgAT8Pxyr67LXHV6nsbZo3Tm?tab=transfer" TargetMode="External"/><Relationship Id="rId10" Type="http://schemas.openxmlformats.org/officeDocument/2006/relationships/hyperlink" Target="https://assethub-polkadot.subscan.io/account/13w7NdvSR1Af8xsQTArDtZmVvjE8XhWNdL4yed3iFHrUNCnS?tab=transfer" TargetMode="External"/><Relationship Id="rId13" Type="http://schemas.openxmlformats.org/officeDocument/2006/relationships/hyperlink" Target="https://polkadot.subsquare.io/referenda/643" TargetMode="External"/><Relationship Id="rId12" Type="http://schemas.openxmlformats.org/officeDocument/2006/relationships/hyperlink" Target="https://assethub-polkadot.subscan.io/account/15KHn88G2XELAMxbrkBYDmwdbgWYnrGBTPoLdV1NgHUPU6f4" TargetMode="External"/><Relationship Id="rId15" Type="http://schemas.openxmlformats.org/officeDocument/2006/relationships/hyperlink" Target="https://www.coingecko.com/en/coins/mythos" TargetMode="External"/><Relationship Id="rId14" Type="http://schemas.openxmlformats.org/officeDocument/2006/relationships/hyperlink" Target="https://assethub-polkadot.subscan.io/account/13gYFscwJFJFqFMNnttzuTtMrApUEmcUARtgFubbChU9g6mh" TargetMode="External"/><Relationship Id="rId17" Type="http://schemas.openxmlformats.org/officeDocument/2006/relationships/hyperlink" Target="https://polkadot.subsquare.io/referenda/560" TargetMode="External"/><Relationship Id="rId16" Type="http://schemas.openxmlformats.org/officeDocument/2006/relationships/hyperlink" Target="https://app.hydration.net/liquidity/my-liquidity?account=7KQx4f7yU3hqZHfvDVnSfe6mpgAT8Pxyr67LXHV6nsbZo3Tm&amp;id=5" TargetMode="External"/><Relationship Id="rId19" Type="http://schemas.openxmlformats.org/officeDocument/2006/relationships/hyperlink" Target="https://polkadot.subsquare.io/referenda/1122" TargetMode="External"/><Relationship Id="rId18" Type="http://schemas.openxmlformats.org/officeDocument/2006/relationships/hyperlink" Target="https://assethub-polkadot.subscan.io/account/16hdUXXYjoBQBpdQ14z7qk372rwNHkdQJ9YyBuPaXiZcqnru"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pivotTable" Target="../pivotTables/pivotTable2.xml"/><Relationship Id="rId3" Type="http://schemas.openxmlformats.org/officeDocument/2006/relationships/pivotTable" Target="../pivotTables/pivotTable3.xm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92" Type="http://schemas.openxmlformats.org/officeDocument/2006/relationships/hyperlink" Target="https://polkadot.subsquare.io/referenda/848" TargetMode="External"/><Relationship Id="rId391" Type="http://schemas.openxmlformats.org/officeDocument/2006/relationships/hyperlink" Target="https://polkadot.subsquare.io/referenda/847" TargetMode="External"/><Relationship Id="rId390" Type="http://schemas.openxmlformats.org/officeDocument/2006/relationships/hyperlink" Target="https://polkadot.subsquare.io/referenda/846" TargetMode="External"/><Relationship Id="rId1" Type="http://schemas.openxmlformats.org/officeDocument/2006/relationships/pivotTable" Target="../pivotTables/pivotTable4.xml"/><Relationship Id="rId2" Type="http://schemas.openxmlformats.org/officeDocument/2006/relationships/pivotTable" Target="../pivotTables/pivotTable5.xml"/><Relationship Id="rId3" Type="http://schemas.openxmlformats.org/officeDocument/2006/relationships/hyperlink" Target="https://polkadot.subsquare.io/referenda/4" TargetMode="External"/><Relationship Id="rId4" Type="http://schemas.openxmlformats.org/officeDocument/2006/relationships/hyperlink" Target="https://polkadot.subsquare.io/referenda/5" TargetMode="External"/><Relationship Id="rId2180" Type="http://schemas.openxmlformats.org/officeDocument/2006/relationships/hyperlink" Target="https://polkadot.subsquare.io/treasury/child-bounties/1814" TargetMode="External"/><Relationship Id="rId2181" Type="http://schemas.openxmlformats.org/officeDocument/2006/relationships/hyperlink" Target="https://polkadot.subsquare.io/treasury/child-bounties/1815" TargetMode="External"/><Relationship Id="rId2182" Type="http://schemas.openxmlformats.org/officeDocument/2006/relationships/hyperlink" Target="https://polkadot.subsquare.io/treasury/child-bounties/1816" TargetMode="External"/><Relationship Id="rId2183" Type="http://schemas.openxmlformats.org/officeDocument/2006/relationships/hyperlink" Target="https://polkadot.subsquare.io/treasury/child-bounties/1817" TargetMode="External"/><Relationship Id="rId9" Type="http://schemas.openxmlformats.org/officeDocument/2006/relationships/hyperlink" Target="https://polkadot.subsquare.io/referenda/14" TargetMode="External"/><Relationship Id="rId385" Type="http://schemas.openxmlformats.org/officeDocument/2006/relationships/hyperlink" Target="https://polkadot.subsquare.io/referenda/838" TargetMode="External"/><Relationship Id="rId2184" Type="http://schemas.openxmlformats.org/officeDocument/2006/relationships/hyperlink" Target="https://polkadot.subsquare.io/treasury/child-bounties/1818" TargetMode="External"/><Relationship Id="rId384" Type="http://schemas.openxmlformats.org/officeDocument/2006/relationships/hyperlink" Target="https://polkadot.subsquare.io/referenda/837" TargetMode="External"/><Relationship Id="rId2185" Type="http://schemas.openxmlformats.org/officeDocument/2006/relationships/hyperlink" Target="https://polkadot.subsquare.io/treasury/child-bounties/1819" TargetMode="External"/><Relationship Id="rId383" Type="http://schemas.openxmlformats.org/officeDocument/2006/relationships/hyperlink" Target="https://polkadot.subsquare.io/referenda/835" TargetMode="External"/><Relationship Id="rId2186" Type="http://schemas.openxmlformats.org/officeDocument/2006/relationships/hyperlink" Target="https://polkadot.subsquare.io/treasury/child-bounties/1820" TargetMode="External"/><Relationship Id="rId382" Type="http://schemas.openxmlformats.org/officeDocument/2006/relationships/hyperlink" Target="https://polkadot.subsquare.io/referenda/833" TargetMode="External"/><Relationship Id="rId2187" Type="http://schemas.openxmlformats.org/officeDocument/2006/relationships/hyperlink" Target="https://polkadot.subsquare.io/treasury/child-bounties/1821" TargetMode="External"/><Relationship Id="rId5" Type="http://schemas.openxmlformats.org/officeDocument/2006/relationships/hyperlink" Target="https://polkadot.subsquare.io/referenda/6" TargetMode="External"/><Relationship Id="rId389" Type="http://schemas.openxmlformats.org/officeDocument/2006/relationships/hyperlink" Target="https://polkadot.subsquare.io/referenda/844" TargetMode="External"/><Relationship Id="rId2188" Type="http://schemas.openxmlformats.org/officeDocument/2006/relationships/hyperlink" Target="https://polkadot.subsquare.io/treasury/child-bounties/1822" TargetMode="External"/><Relationship Id="rId6" Type="http://schemas.openxmlformats.org/officeDocument/2006/relationships/hyperlink" Target="https://polkadot.subsquare.io/referenda/7" TargetMode="External"/><Relationship Id="rId388" Type="http://schemas.openxmlformats.org/officeDocument/2006/relationships/hyperlink" Target="https://polkadot.subsquare.io/referenda/843" TargetMode="External"/><Relationship Id="rId2189" Type="http://schemas.openxmlformats.org/officeDocument/2006/relationships/hyperlink" Target="https://polkadot.subsquare.io/treasury/child-bounties/1823" TargetMode="External"/><Relationship Id="rId7" Type="http://schemas.openxmlformats.org/officeDocument/2006/relationships/hyperlink" Target="https://polkadot.subsquare.io/referenda/8" TargetMode="External"/><Relationship Id="rId387" Type="http://schemas.openxmlformats.org/officeDocument/2006/relationships/hyperlink" Target="https://polkadot.subsquare.io/referenda/842" TargetMode="External"/><Relationship Id="rId8" Type="http://schemas.openxmlformats.org/officeDocument/2006/relationships/hyperlink" Target="https://polkadot.subsquare.io/referenda/13" TargetMode="External"/><Relationship Id="rId386" Type="http://schemas.openxmlformats.org/officeDocument/2006/relationships/hyperlink" Target="https://polkadot.subsquare.io/referenda/839" TargetMode="External"/><Relationship Id="rId381" Type="http://schemas.openxmlformats.org/officeDocument/2006/relationships/hyperlink" Target="https://polkadot.subsquare.io/referenda/831" TargetMode="External"/><Relationship Id="rId380" Type="http://schemas.openxmlformats.org/officeDocument/2006/relationships/hyperlink" Target="https://polkadot.subsquare.io/referenda/830" TargetMode="External"/><Relationship Id="rId379" Type="http://schemas.openxmlformats.org/officeDocument/2006/relationships/hyperlink" Target="https://polkadot.subsquare.io/referenda/827" TargetMode="External"/><Relationship Id="rId2170" Type="http://schemas.openxmlformats.org/officeDocument/2006/relationships/hyperlink" Target="https://polkadot.subsquare.io/treasury/child-bounties/1804" TargetMode="External"/><Relationship Id="rId2171" Type="http://schemas.openxmlformats.org/officeDocument/2006/relationships/hyperlink" Target="https://polkadot.subsquare.io/treasury/child-bounties/1805" TargetMode="External"/><Relationship Id="rId2172" Type="http://schemas.openxmlformats.org/officeDocument/2006/relationships/hyperlink" Target="https://polkadot.subsquare.io/treasury/child-bounties/1806" TargetMode="External"/><Relationship Id="rId374" Type="http://schemas.openxmlformats.org/officeDocument/2006/relationships/hyperlink" Target="https://polkadot.subsquare.io/referenda/809" TargetMode="External"/><Relationship Id="rId2173" Type="http://schemas.openxmlformats.org/officeDocument/2006/relationships/hyperlink" Target="https://polkadot.subsquare.io/treasury/child-bounties/1807" TargetMode="External"/><Relationship Id="rId373" Type="http://schemas.openxmlformats.org/officeDocument/2006/relationships/hyperlink" Target="https://polkadot.subsquare.io/referenda/803" TargetMode="External"/><Relationship Id="rId2174" Type="http://schemas.openxmlformats.org/officeDocument/2006/relationships/hyperlink" Target="https://polkadot.subsquare.io/treasury/child-bounties/1808" TargetMode="External"/><Relationship Id="rId372" Type="http://schemas.openxmlformats.org/officeDocument/2006/relationships/hyperlink" Target="https://polkadot.subsquare.io/referenda/799" TargetMode="External"/><Relationship Id="rId2175" Type="http://schemas.openxmlformats.org/officeDocument/2006/relationships/hyperlink" Target="https://polkadot.subsquare.io/treasury/child-bounties/1809" TargetMode="External"/><Relationship Id="rId371" Type="http://schemas.openxmlformats.org/officeDocument/2006/relationships/hyperlink" Target="https://polkadot.subsquare.io/referenda/798" TargetMode="External"/><Relationship Id="rId2176" Type="http://schemas.openxmlformats.org/officeDocument/2006/relationships/hyperlink" Target="https://polkadot.subsquare.io/treasury/child-bounties/1810" TargetMode="External"/><Relationship Id="rId378" Type="http://schemas.openxmlformats.org/officeDocument/2006/relationships/hyperlink" Target="https://polkadot.subsquare.io/referenda/821" TargetMode="External"/><Relationship Id="rId2177" Type="http://schemas.openxmlformats.org/officeDocument/2006/relationships/hyperlink" Target="https://polkadot.subsquare.io/treasury/child-bounties/1811" TargetMode="External"/><Relationship Id="rId377" Type="http://schemas.openxmlformats.org/officeDocument/2006/relationships/hyperlink" Target="https://polkadot.subsquare.io/referenda/818" TargetMode="External"/><Relationship Id="rId2178" Type="http://schemas.openxmlformats.org/officeDocument/2006/relationships/hyperlink" Target="https://polkadot.subsquare.io/treasury/child-bounties/1812" TargetMode="External"/><Relationship Id="rId376" Type="http://schemas.openxmlformats.org/officeDocument/2006/relationships/hyperlink" Target="https://polkadot.subsquare.io/referenda/816" TargetMode="External"/><Relationship Id="rId2179" Type="http://schemas.openxmlformats.org/officeDocument/2006/relationships/hyperlink" Target="https://polkadot.subsquare.io/treasury/child-bounties/1813" TargetMode="External"/><Relationship Id="rId375" Type="http://schemas.openxmlformats.org/officeDocument/2006/relationships/hyperlink" Target="https://polkadot.subsquare.io/referenda/812" TargetMode="External"/><Relationship Id="rId2190" Type="http://schemas.openxmlformats.org/officeDocument/2006/relationships/hyperlink" Target="https://polkadot.subsquare.io/treasury/child-bounties/1824" TargetMode="External"/><Relationship Id="rId2191" Type="http://schemas.openxmlformats.org/officeDocument/2006/relationships/hyperlink" Target="https://polkadot.subsquare.io/treasury/child-bounties/1825" TargetMode="External"/><Relationship Id="rId2192" Type="http://schemas.openxmlformats.org/officeDocument/2006/relationships/hyperlink" Target="https://polkadot.subsquare.io/treasury/child-bounties/1826" TargetMode="External"/><Relationship Id="rId2193" Type="http://schemas.openxmlformats.org/officeDocument/2006/relationships/hyperlink" Target="https://polkadot.subsquare.io/treasury/child-bounties/1827" TargetMode="External"/><Relationship Id="rId2194" Type="http://schemas.openxmlformats.org/officeDocument/2006/relationships/hyperlink" Target="https://polkadot.subsquare.io/treasury/child-bounties/1828" TargetMode="External"/><Relationship Id="rId396" Type="http://schemas.openxmlformats.org/officeDocument/2006/relationships/hyperlink" Target="https://polkadot.subsquare.io/referenda/865" TargetMode="External"/><Relationship Id="rId2195" Type="http://schemas.openxmlformats.org/officeDocument/2006/relationships/hyperlink" Target="https://polkadot.subsquare.io/treasury/child-bounties/1829" TargetMode="External"/><Relationship Id="rId395" Type="http://schemas.openxmlformats.org/officeDocument/2006/relationships/hyperlink" Target="https://polkadot.subsquare.io/referenda/856" TargetMode="External"/><Relationship Id="rId2196" Type="http://schemas.openxmlformats.org/officeDocument/2006/relationships/hyperlink" Target="https://polkadot.subsquare.io/treasury/child-bounties/1830" TargetMode="External"/><Relationship Id="rId394" Type="http://schemas.openxmlformats.org/officeDocument/2006/relationships/hyperlink" Target="https://polkadot.subsquare.io/referenda/855" TargetMode="External"/><Relationship Id="rId2197" Type="http://schemas.openxmlformats.org/officeDocument/2006/relationships/hyperlink" Target="https://polkadot.subsquare.io/treasury/child-bounties/1831" TargetMode="External"/><Relationship Id="rId393" Type="http://schemas.openxmlformats.org/officeDocument/2006/relationships/hyperlink" Target="https://polkadot.subsquare.io/referenda/849" TargetMode="External"/><Relationship Id="rId2198" Type="http://schemas.openxmlformats.org/officeDocument/2006/relationships/hyperlink" Target="https://polkadot.subsquare.io/treasury/child-bounties/1832" TargetMode="External"/><Relationship Id="rId2199" Type="http://schemas.openxmlformats.org/officeDocument/2006/relationships/hyperlink" Target="https://polkadot.subsquare.io/treasury/child-bounties/1833" TargetMode="External"/><Relationship Id="rId399" Type="http://schemas.openxmlformats.org/officeDocument/2006/relationships/hyperlink" Target="https://polkadot.subsquare.io/referenda/893" TargetMode="External"/><Relationship Id="rId398" Type="http://schemas.openxmlformats.org/officeDocument/2006/relationships/hyperlink" Target="https://polkadot.subsquare.io/referenda/892" TargetMode="External"/><Relationship Id="rId397" Type="http://schemas.openxmlformats.org/officeDocument/2006/relationships/hyperlink" Target="https://polkadot.subsquare.io/referenda/886" TargetMode="External"/><Relationship Id="rId1730" Type="http://schemas.openxmlformats.org/officeDocument/2006/relationships/hyperlink" Target="https://polkadot.subsquare.io/treasury/child-bounties/1306" TargetMode="External"/><Relationship Id="rId1731" Type="http://schemas.openxmlformats.org/officeDocument/2006/relationships/hyperlink" Target="https://polkadot.subsquare.io/treasury/child-bounties/1307" TargetMode="External"/><Relationship Id="rId1732" Type="http://schemas.openxmlformats.org/officeDocument/2006/relationships/hyperlink" Target="https://polkadot.subsquare.io/treasury/child-bounties/1308" TargetMode="External"/><Relationship Id="rId1733" Type="http://schemas.openxmlformats.org/officeDocument/2006/relationships/hyperlink" Target="https://polkadot.subsquare.io/treasury/child-bounties/1309" TargetMode="External"/><Relationship Id="rId1734" Type="http://schemas.openxmlformats.org/officeDocument/2006/relationships/hyperlink" Target="https://polkadot.subsquare.io/treasury/child-bounties/1310" TargetMode="External"/><Relationship Id="rId1735" Type="http://schemas.openxmlformats.org/officeDocument/2006/relationships/hyperlink" Target="https://polkadot.subsquare.io/treasury/child-bounties/1311" TargetMode="External"/><Relationship Id="rId1736" Type="http://schemas.openxmlformats.org/officeDocument/2006/relationships/hyperlink" Target="https://polkadot.subsquare.io/treasury/child-bounties/1312" TargetMode="External"/><Relationship Id="rId1737" Type="http://schemas.openxmlformats.org/officeDocument/2006/relationships/hyperlink" Target="https://polkadot.subsquare.io/treasury/child-bounties/1313" TargetMode="External"/><Relationship Id="rId1738" Type="http://schemas.openxmlformats.org/officeDocument/2006/relationships/hyperlink" Target="https://polkadot.subsquare.io/treasury/child-bounties/1314" TargetMode="External"/><Relationship Id="rId1739" Type="http://schemas.openxmlformats.org/officeDocument/2006/relationships/hyperlink" Target="https://polkadot.subsquare.io/treasury/child-bounties/1315" TargetMode="External"/><Relationship Id="rId1720" Type="http://schemas.openxmlformats.org/officeDocument/2006/relationships/hyperlink" Target="https://polkadot.subsquare.io/treasury/child-bounties/1296" TargetMode="External"/><Relationship Id="rId1721" Type="http://schemas.openxmlformats.org/officeDocument/2006/relationships/hyperlink" Target="https://polkadot.subsquare.io/treasury/child-bounties/1297" TargetMode="External"/><Relationship Id="rId1722" Type="http://schemas.openxmlformats.org/officeDocument/2006/relationships/hyperlink" Target="https://polkadot.subsquare.io/treasury/child-bounties/1298" TargetMode="External"/><Relationship Id="rId1723" Type="http://schemas.openxmlformats.org/officeDocument/2006/relationships/hyperlink" Target="https://polkadot.subsquare.io/treasury/child-bounties/1299" TargetMode="External"/><Relationship Id="rId1724" Type="http://schemas.openxmlformats.org/officeDocument/2006/relationships/hyperlink" Target="https://polkadot.subsquare.io/treasury/child-bounties/1300" TargetMode="External"/><Relationship Id="rId1725" Type="http://schemas.openxmlformats.org/officeDocument/2006/relationships/hyperlink" Target="https://polkadot.subsquare.io/treasury/child-bounties/1301" TargetMode="External"/><Relationship Id="rId1726" Type="http://schemas.openxmlformats.org/officeDocument/2006/relationships/hyperlink" Target="https://polkadot.subsquare.io/treasury/child-bounties/1302" TargetMode="External"/><Relationship Id="rId1727" Type="http://schemas.openxmlformats.org/officeDocument/2006/relationships/hyperlink" Target="https://polkadot.subsquare.io/treasury/child-bounties/1303" TargetMode="External"/><Relationship Id="rId1728" Type="http://schemas.openxmlformats.org/officeDocument/2006/relationships/hyperlink" Target="https://polkadot.subsquare.io/treasury/child-bounties/1304" TargetMode="External"/><Relationship Id="rId1729" Type="http://schemas.openxmlformats.org/officeDocument/2006/relationships/hyperlink" Target="https://polkadot.subsquare.io/treasury/child-bounties/1305" TargetMode="External"/><Relationship Id="rId1752" Type="http://schemas.openxmlformats.org/officeDocument/2006/relationships/hyperlink" Target="https://polkadot.subsquare.io/treasury/child-bounties/1328" TargetMode="External"/><Relationship Id="rId1753" Type="http://schemas.openxmlformats.org/officeDocument/2006/relationships/hyperlink" Target="https://polkadot.subsquare.io/treasury/child-bounties/1329" TargetMode="External"/><Relationship Id="rId1754" Type="http://schemas.openxmlformats.org/officeDocument/2006/relationships/hyperlink" Target="https://polkadot.subsquare.io/treasury/child-bounties/1330" TargetMode="External"/><Relationship Id="rId1755" Type="http://schemas.openxmlformats.org/officeDocument/2006/relationships/hyperlink" Target="https://polkadot.subsquare.io/treasury/child-bounties/1331" TargetMode="External"/><Relationship Id="rId1756" Type="http://schemas.openxmlformats.org/officeDocument/2006/relationships/hyperlink" Target="https://polkadot.subsquare.io/treasury/child-bounties/1332" TargetMode="External"/><Relationship Id="rId1757" Type="http://schemas.openxmlformats.org/officeDocument/2006/relationships/hyperlink" Target="https://polkadot.subsquare.io/treasury/child-bounties/1333" TargetMode="External"/><Relationship Id="rId1758" Type="http://schemas.openxmlformats.org/officeDocument/2006/relationships/hyperlink" Target="https://polkadot.subsquare.io/treasury/child-bounties/1334" TargetMode="External"/><Relationship Id="rId1759" Type="http://schemas.openxmlformats.org/officeDocument/2006/relationships/hyperlink" Target="https://polkadot.subsquare.io/treasury/child-bounties/1335" TargetMode="External"/><Relationship Id="rId808" Type="http://schemas.openxmlformats.org/officeDocument/2006/relationships/hyperlink" Target="https://polkadot.subsquare.io/treasury/child-bounties/349" TargetMode="External"/><Relationship Id="rId807" Type="http://schemas.openxmlformats.org/officeDocument/2006/relationships/hyperlink" Target="https://polkadot.subsquare.io/treasury/child-bounties/348" TargetMode="External"/><Relationship Id="rId806" Type="http://schemas.openxmlformats.org/officeDocument/2006/relationships/hyperlink" Target="https://polkadot.subsquare.io/treasury/child-bounties/347" TargetMode="External"/><Relationship Id="rId805" Type="http://schemas.openxmlformats.org/officeDocument/2006/relationships/hyperlink" Target="https://polkadot.subsquare.io/treasury/child-bounties/346" TargetMode="External"/><Relationship Id="rId809" Type="http://schemas.openxmlformats.org/officeDocument/2006/relationships/hyperlink" Target="https://polkadot.subsquare.io/treasury/child-bounties/350" TargetMode="External"/><Relationship Id="rId800" Type="http://schemas.openxmlformats.org/officeDocument/2006/relationships/hyperlink" Target="https://polkadot.subsquare.io/treasury/child-bounties/341" TargetMode="External"/><Relationship Id="rId804" Type="http://schemas.openxmlformats.org/officeDocument/2006/relationships/hyperlink" Target="https://polkadot.subsquare.io/treasury/child-bounties/345" TargetMode="External"/><Relationship Id="rId803" Type="http://schemas.openxmlformats.org/officeDocument/2006/relationships/hyperlink" Target="https://polkadot.subsquare.io/treasury/child-bounties/344" TargetMode="External"/><Relationship Id="rId802" Type="http://schemas.openxmlformats.org/officeDocument/2006/relationships/hyperlink" Target="https://polkadot.subsquare.io/treasury/child-bounties/343" TargetMode="External"/><Relationship Id="rId801" Type="http://schemas.openxmlformats.org/officeDocument/2006/relationships/hyperlink" Target="https://polkadot.subsquare.io/treasury/child-bounties/342" TargetMode="External"/><Relationship Id="rId1750" Type="http://schemas.openxmlformats.org/officeDocument/2006/relationships/hyperlink" Target="https://polkadot.subsquare.io/treasury/child-bounties/1326" TargetMode="External"/><Relationship Id="rId1751" Type="http://schemas.openxmlformats.org/officeDocument/2006/relationships/hyperlink" Target="https://polkadot.subsquare.io/treasury/child-bounties/1327" TargetMode="External"/><Relationship Id="rId1741" Type="http://schemas.openxmlformats.org/officeDocument/2006/relationships/hyperlink" Target="https://polkadot.subsquare.io/treasury/child-bounties/1317" TargetMode="External"/><Relationship Id="rId1742" Type="http://schemas.openxmlformats.org/officeDocument/2006/relationships/hyperlink" Target="https://polkadot.subsquare.io/treasury/child-bounties/1318" TargetMode="External"/><Relationship Id="rId1743" Type="http://schemas.openxmlformats.org/officeDocument/2006/relationships/hyperlink" Target="https://polkadot.subsquare.io/treasury/child-bounties/1319" TargetMode="External"/><Relationship Id="rId1744" Type="http://schemas.openxmlformats.org/officeDocument/2006/relationships/hyperlink" Target="https://polkadot.subsquare.io/treasury/child-bounties/1320" TargetMode="External"/><Relationship Id="rId1745" Type="http://schemas.openxmlformats.org/officeDocument/2006/relationships/hyperlink" Target="https://polkadot.subsquare.io/treasury/child-bounties/1321" TargetMode="External"/><Relationship Id="rId1746" Type="http://schemas.openxmlformats.org/officeDocument/2006/relationships/hyperlink" Target="https://polkadot.subsquare.io/treasury/child-bounties/1322" TargetMode="External"/><Relationship Id="rId1747" Type="http://schemas.openxmlformats.org/officeDocument/2006/relationships/hyperlink" Target="https://polkadot.subsquare.io/treasury/child-bounties/1323" TargetMode="External"/><Relationship Id="rId1748" Type="http://schemas.openxmlformats.org/officeDocument/2006/relationships/hyperlink" Target="https://polkadot.subsquare.io/treasury/child-bounties/1324" TargetMode="External"/><Relationship Id="rId1749" Type="http://schemas.openxmlformats.org/officeDocument/2006/relationships/hyperlink" Target="https://polkadot.subsquare.io/treasury/child-bounties/1325" TargetMode="External"/><Relationship Id="rId1740" Type="http://schemas.openxmlformats.org/officeDocument/2006/relationships/hyperlink" Target="https://polkadot.subsquare.io/treasury/child-bounties/1316" TargetMode="External"/><Relationship Id="rId1710" Type="http://schemas.openxmlformats.org/officeDocument/2006/relationships/hyperlink" Target="https://polkadot.subsquare.io/treasury/child-bounties/1282" TargetMode="External"/><Relationship Id="rId1711" Type="http://schemas.openxmlformats.org/officeDocument/2006/relationships/hyperlink" Target="https://polkadot.subsquare.io/treasury/child-bounties/1283" TargetMode="External"/><Relationship Id="rId1712" Type="http://schemas.openxmlformats.org/officeDocument/2006/relationships/hyperlink" Target="https://polkadot.subsquare.io/treasury/child-bounties/1284" TargetMode="External"/><Relationship Id="rId1713" Type="http://schemas.openxmlformats.org/officeDocument/2006/relationships/hyperlink" Target="https://polkadot.subsquare.io/treasury/child-bounties/1289" TargetMode="External"/><Relationship Id="rId1714" Type="http://schemas.openxmlformats.org/officeDocument/2006/relationships/hyperlink" Target="https://polkadot.subsquare.io/treasury/child-bounties/1290" TargetMode="External"/><Relationship Id="rId1715" Type="http://schemas.openxmlformats.org/officeDocument/2006/relationships/hyperlink" Target="https://polkadot.subsquare.io/treasury/child-bounties/1291" TargetMode="External"/><Relationship Id="rId1716" Type="http://schemas.openxmlformats.org/officeDocument/2006/relationships/hyperlink" Target="https://polkadot.subsquare.io/treasury/child-bounties/1292" TargetMode="External"/><Relationship Id="rId1717" Type="http://schemas.openxmlformats.org/officeDocument/2006/relationships/hyperlink" Target="https://polkadot.subsquare.io/treasury/child-bounties/1293" TargetMode="External"/><Relationship Id="rId1718" Type="http://schemas.openxmlformats.org/officeDocument/2006/relationships/hyperlink" Target="https://polkadot.subsquare.io/treasury/child-bounties/1294" TargetMode="External"/><Relationship Id="rId1719" Type="http://schemas.openxmlformats.org/officeDocument/2006/relationships/hyperlink" Target="https://polkadot.subsquare.io/treasury/child-bounties/1295" TargetMode="External"/><Relationship Id="rId1700" Type="http://schemas.openxmlformats.org/officeDocument/2006/relationships/hyperlink" Target="https://polkadot.subsquare.io/treasury/child-bounties/1272" TargetMode="External"/><Relationship Id="rId1701" Type="http://schemas.openxmlformats.org/officeDocument/2006/relationships/hyperlink" Target="https://polkadot.subsquare.io/treasury/child-bounties/1273" TargetMode="External"/><Relationship Id="rId1702" Type="http://schemas.openxmlformats.org/officeDocument/2006/relationships/hyperlink" Target="https://polkadot.subsquare.io/treasury/child-bounties/1274" TargetMode="External"/><Relationship Id="rId1703" Type="http://schemas.openxmlformats.org/officeDocument/2006/relationships/hyperlink" Target="https://polkadot.subsquare.io/treasury/child-bounties/1275" TargetMode="External"/><Relationship Id="rId1704" Type="http://schemas.openxmlformats.org/officeDocument/2006/relationships/hyperlink" Target="https://polkadot.subsquare.io/treasury/child-bounties/1276" TargetMode="External"/><Relationship Id="rId1705" Type="http://schemas.openxmlformats.org/officeDocument/2006/relationships/hyperlink" Target="https://polkadot.subsquare.io/treasury/child-bounties/1277" TargetMode="External"/><Relationship Id="rId1706" Type="http://schemas.openxmlformats.org/officeDocument/2006/relationships/hyperlink" Target="https://polkadot.subsquare.io/treasury/child-bounties/1278" TargetMode="External"/><Relationship Id="rId1707" Type="http://schemas.openxmlformats.org/officeDocument/2006/relationships/hyperlink" Target="https://polkadot.subsquare.io/treasury/child-bounties/1279" TargetMode="External"/><Relationship Id="rId1708" Type="http://schemas.openxmlformats.org/officeDocument/2006/relationships/hyperlink" Target="https://polkadot.subsquare.io/treasury/child-bounties/1280" TargetMode="External"/><Relationship Id="rId1709" Type="http://schemas.openxmlformats.org/officeDocument/2006/relationships/hyperlink" Target="https://polkadot.subsquare.io/treasury/child-bounties/1281" TargetMode="External"/><Relationship Id="rId40" Type="http://schemas.openxmlformats.org/officeDocument/2006/relationships/hyperlink" Target="https://polkadot.subsquare.io/referenda/90" TargetMode="External"/><Relationship Id="rId1334" Type="http://schemas.openxmlformats.org/officeDocument/2006/relationships/hyperlink" Target="https://polkadot.subsquare.io/treasury/child-bounties/899" TargetMode="External"/><Relationship Id="rId1335" Type="http://schemas.openxmlformats.org/officeDocument/2006/relationships/hyperlink" Target="https://polkadot.subsquare.io/treasury/child-bounties/900" TargetMode="External"/><Relationship Id="rId42" Type="http://schemas.openxmlformats.org/officeDocument/2006/relationships/hyperlink" Target="https://polkadot.subsquare.io/referenda/94" TargetMode="External"/><Relationship Id="rId1336" Type="http://schemas.openxmlformats.org/officeDocument/2006/relationships/hyperlink" Target="https://polkadot.subsquare.io/treasury/child-bounties/901" TargetMode="External"/><Relationship Id="rId41" Type="http://schemas.openxmlformats.org/officeDocument/2006/relationships/hyperlink" Target="https://polkadot.subsquare.io/referenda/93" TargetMode="External"/><Relationship Id="rId1337" Type="http://schemas.openxmlformats.org/officeDocument/2006/relationships/hyperlink" Target="https://polkadot.subsquare.io/treasury/child-bounties/902" TargetMode="External"/><Relationship Id="rId44" Type="http://schemas.openxmlformats.org/officeDocument/2006/relationships/hyperlink" Target="https://polkadot.subsquare.io/referenda/97" TargetMode="External"/><Relationship Id="rId1338" Type="http://schemas.openxmlformats.org/officeDocument/2006/relationships/hyperlink" Target="https://polkadot.subsquare.io/treasury/child-bounties/903" TargetMode="External"/><Relationship Id="rId43" Type="http://schemas.openxmlformats.org/officeDocument/2006/relationships/hyperlink" Target="https://polkadot.subsquare.io/referenda/95" TargetMode="External"/><Relationship Id="rId1339" Type="http://schemas.openxmlformats.org/officeDocument/2006/relationships/hyperlink" Target="https://polkadot.subsquare.io/treasury/child-bounties/904" TargetMode="External"/><Relationship Id="rId46" Type="http://schemas.openxmlformats.org/officeDocument/2006/relationships/hyperlink" Target="https://polkadot.subsquare.io/referenda/100" TargetMode="External"/><Relationship Id="rId45" Type="http://schemas.openxmlformats.org/officeDocument/2006/relationships/hyperlink" Target="https://polkadot.subsquare.io/referenda/98" TargetMode="External"/><Relationship Id="rId745" Type="http://schemas.openxmlformats.org/officeDocument/2006/relationships/hyperlink" Target="https://polkadot.subsquare.io/treasury/child-bounties/285" TargetMode="External"/><Relationship Id="rId744" Type="http://schemas.openxmlformats.org/officeDocument/2006/relationships/hyperlink" Target="https://polkadot.subsquare.io/treasury/child-bounties/284" TargetMode="External"/><Relationship Id="rId743" Type="http://schemas.openxmlformats.org/officeDocument/2006/relationships/hyperlink" Target="https://polkadot.subsquare.io/treasury/child-bounties/283" TargetMode="External"/><Relationship Id="rId742" Type="http://schemas.openxmlformats.org/officeDocument/2006/relationships/hyperlink" Target="https://polkadot.subsquare.io/treasury/child-bounties/282" TargetMode="External"/><Relationship Id="rId749" Type="http://schemas.openxmlformats.org/officeDocument/2006/relationships/hyperlink" Target="https://polkadot.subsquare.io/treasury/child-bounties/289" TargetMode="External"/><Relationship Id="rId748" Type="http://schemas.openxmlformats.org/officeDocument/2006/relationships/hyperlink" Target="https://polkadot.subsquare.io/treasury/child-bounties/288" TargetMode="External"/><Relationship Id="rId747" Type="http://schemas.openxmlformats.org/officeDocument/2006/relationships/hyperlink" Target="https://polkadot.subsquare.io/treasury/child-bounties/287" TargetMode="External"/><Relationship Id="rId746" Type="http://schemas.openxmlformats.org/officeDocument/2006/relationships/hyperlink" Target="https://polkadot.subsquare.io/treasury/child-bounties/286" TargetMode="External"/><Relationship Id="rId48" Type="http://schemas.openxmlformats.org/officeDocument/2006/relationships/hyperlink" Target="https://polkadot.subsquare.io/referenda/105" TargetMode="External"/><Relationship Id="rId47" Type="http://schemas.openxmlformats.org/officeDocument/2006/relationships/hyperlink" Target="https://polkadot.subsquare.io/referenda/103" TargetMode="External"/><Relationship Id="rId49" Type="http://schemas.openxmlformats.org/officeDocument/2006/relationships/hyperlink" Target="https://polkadot.subsquare.io/referenda/108" TargetMode="External"/><Relationship Id="rId741" Type="http://schemas.openxmlformats.org/officeDocument/2006/relationships/hyperlink" Target="https://polkadot.subsquare.io/treasury/child-bounties/281" TargetMode="External"/><Relationship Id="rId1330" Type="http://schemas.openxmlformats.org/officeDocument/2006/relationships/hyperlink" Target="https://polkadot.subsquare.io/treasury/child-bounties/895" TargetMode="External"/><Relationship Id="rId740" Type="http://schemas.openxmlformats.org/officeDocument/2006/relationships/hyperlink" Target="https://polkadot.subsquare.io/treasury/child-bounties/280" TargetMode="External"/><Relationship Id="rId1331" Type="http://schemas.openxmlformats.org/officeDocument/2006/relationships/hyperlink" Target="https://polkadot.subsquare.io/treasury/child-bounties/896" TargetMode="External"/><Relationship Id="rId1332" Type="http://schemas.openxmlformats.org/officeDocument/2006/relationships/hyperlink" Target="https://polkadot.subsquare.io/treasury/child-bounties/897" TargetMode="External"/><Relationship Id="rId1333" Type="http://schemas.openxmlformats.org/officeDocument/2006/relationships/hyperlink" Target="https://polkadot.subsquare.io/treasury/child-bounties/898" TargetMode="External"/><Relationship Id="rId1323" Type="http://schemas.openxmlformats.org/officeDocument/2006/relationships/hyperlink" Target="https://polkadot.subsquare.io/treasury/child-bounties/888" TargetMode="External"/><Relationship Id="rId1324" Type="http://schemas.openxmlformats.org/officeDocument/2006/relationships/hyperlink" Target="https://polkadot.subsquare.io/treasury/child-bounties/889" TargetMode="External"/><Relationship Id="rId31" Type="http://schemas.openxmlformats.org/officeDocument/2006/relationships/hyperlink" Target="https://polkadot.subsquare.io/referenda/62" TargetMode="External"/><Relationship Id="rId1325" Type="http://schemas.openxmlformats.org/officeDocument/2006/relationships/hyperlink" Target="https://polkadot.subsquare.io/treasury/child-bounties/890" TargetMode="External"/><Relationship Id="rId30" Type="http://schemas.openxmlformats.org/officeDocument/2006/relationships/hyperlink" Target="https://polkadot.subsquare.io/referenda/57" TargetMode="External"/><Relationship Id="rId1326" Type="http://schemas.openxmlformats.org/officeDocument/2006/relationships/hyperlink" Target="https://polkadot.subsquare.io/treasury/child-bounties/891" TargetMode="External"/><Relationship Id="rId33" Type="http://schemas.openxmlformats.org/officeDocument/2006/relationships/hyperlink" Target="https://polkadot.subsquare.io/referenda/72" TargetMode="External"/><Relationship Id="rId1327" Type="http://schemas.openxmlformats.org/officeDocument/2006/relationships/hyperlink" Target="https://polkadot.subsquare.io/treasury/child-bounties/892" TargetMode="External"/><Relationship Id="rId32" Type="http://schemas.openxmlformats.org/officeDocument/2006/relationships/hyperlink" Target="https://polkadot.subsquare.io/referenda/68" TargetMode="External"/><Relationship Id="rId1328" Type="http://schemas.openxmlformats.org/officeDocument/2006/relationships/hyperlink" Target="https://polkadot.subsquare.io/treasury/child-bounties/893" TargetMode="External"/><Relationship Id="rId35" Type="http://schemas.openxmlformats.org/officeDocument/2006/relationships/hyperlink" Target="https://polkadot.subsquare.io/referenda/77" TargetMode="External"/><Relationship Id="rId1329" Type="http://schemas.openxmlformats.org/officeDocument/2006/relationships/hyperlink" Target="https://polkadot.subsquare.io/treasury/child-bounties/894" TargetMode="External"/><Relationship Id="rId34" Type="http://schemas.openxmlformats.org/officeDocument/2006/relationships/hyperlink" Target="https://polkadot.subsquare.io/referenda/73" TargetMode="External"/><Relationship Id="rId739" Type="http://schemas.openxmlformats.org/officeDocument/2006/relationships/hyperlink" Target="https://polkadot.subsquare.io/treasury/child-bounties/279" TargetMode="External"/><Relationship Id="rId734" Type="http://schemas.openxmlformats.org/officeDocument/2006/relationships/hyperlink" Target="https://polkadot.subsquare.io/treasury/child-bounties/274" TargetMode="External"/><Relationship Id="rId733" Type="http://schemas.openxmlformats.org/officeDocument/2006/relationships/hyperlink" Target="https://polkadot.subsquare.io/treasury/child-bounties/273" TargetMode="External"/><Relationship Id="rId732" Type="http://schemas.openxmlformats.org/officeDocument/2006/relationships/hyperlink" Target="https://polkadot.subsquare.io/treasury/child-bounties/272" TargetMode="External"/><Relationship Id="rId731" Type="http://schemas.openxmlformats.org/officeDocument/2006/relationships/hyperlink" Target="https://polkadot.subsquare.io/treasury/child-bounties/271" TargetMode="External"/><Relationship Id="rId738" Type="http://schemas.openxmlformats.org/officeDocument/2006/relationships/hyperlink" Target="https://polkadot.subsquare.io/treasury/child-bounties/278" TargetMode="External"/><Relationship Id="rId737" Type="http://schemas.openxmlformats.org/officeDocument/2006/relationships/hyperlink" Target="https://polkadot.subsquare.io/treasury/child-bounties/277" TargetMode="External"/><Relationship Id="rId736" Type="http://schemas.openxmlformats.org/officeDocument/2006/relationships/hyperlink" Target="https://polkadot.subsquare.io/treasury/child-bounties/276" TargetMode="External"/><Relationship Id="rId735" Type="http://schemas.openxmlformats.org/officeDocument/2006/relationships/hyperlink" Target="https://polkadot.subsquare.io/treasury/child-bounties/275" TargetMode="External"/><Relationship Id="rId37" Type="http://schemas.openxmlformats.org/officeDocument/2006/relationships/hyperlink" Target="https://polkadot.subsquare.io/referenda/82" TargetMode="External"/><Relationship Id="rId36" Type="http://schemas.openxmlformats.org/officeDocument/2006/relationships/hyperlink" Target="https://polkadot.subsquare.io/referenda/79" TargetMode="External"/><Relationship Id="rId39" Type="http://schemas.openxmlformats.org/officeDocument/2006/relationships/hyperlink" Target="https://polkadot.subsquare.io/referenda/85" TargetMode="External"/><Relationship Id="rId38" Type="http://schemas.openxmlformats.org/officeDocument/2006/relationships/hyperlink" Target="https://polkadot.subsquare.io/referenda/83" TargetMode="External"/><Relationship Id="rId730" Type="http://schemas.openxmlformats.org/officeDocument/2006/relationships/hyperlink" Target="https://polkadot.subsquare.io/treasury/child-bounties/270" TargetMode="External"/><Relationship Id="rId1320" Type="http://schemas.openxmlformats.org/officeDocument/2006/relationships/hyperlink" Target="https://polkadot.subsquare.io/treasury/child-bounties/885" TargetMode="External"/><Relationship Id="rId1321" Type="http://schemas.openxmlformats.org/officeDocument/2006/relationships/hyperlink" Target="https://polkadot.subsquare.io/treasury/child-bounties/886" TargetMode="External"/><Relationship Id="rId1322" Type="http://schemas.openxmlformats.org/officeDocument/2006/relationships/hyperlink" Target="https://polkadot.subsquare.io/treasury/child-bounties/887" TargetMode="External"/><Relationship Id="rId1356" Type="http://schemas.openxmlformats.org/officeDocument/2006/relationships/hyperlink" Target="https://polkadot.subsquare.io/treasury/child-bounties/921" TargetMode="External"/><Relationship Id="rId2203" Type="http://schemas.openxmlformats.org/officeDocument/2006/relationships/hyperlink" Target="https://polkadot.subsquare.io/treasury/child-bounties/1838" TargetMode="External"/><Relationship Id="rId1357" Type="http://schemas.openxmlformats.org/officeDocument/2006/relationships/hyperlink" Target="https://polkadot.subsquare.io/treasury/child-bounties/922" TargetMode="External"/><Relationship Id="rId2204" Type="http://schemas.openxmlformats.org/officeDocument/2006/relationships/hyperlink" Target="https://polkadot.subsquare.io/treasury/child-bounties/1839" TargetMode="External"/><Relationship Id="rId20" Type="http://schemas.openxmlformats.org/officeDocument/2006/relationships/hyperlink" Target="https://polkadot.subsquare.io/referenda/32" TargetMode="External"/><Relationship Id="rId1358" Type="http://schemas.openxmlformats.org/officeDocument/2006/relationships/hyperlink" Target="https://polkadot.subsquare.io/treasury/child-bounties/923" TargetMode="External"/><Relationship Id="rId2205" Type="http://schemas.openxmlformats.org/officeDocument/2006/relationships/hyperlink" Target="https://polkadot.subsquare.io/treasury/child-bounties/1840" TargetMode="External"/><Relationship Id="rId1359" Type="http://schemas.openxmlformats.org/officeDocument/2006/relationships/hyperlink" Target="https://polkadot.subsquare.io/treasury/child-bounties/924" TargetMode="External"/><Relationship Id="rId2206" Type="http://schemas.openxmlformats.org/officeDocument/2006/relationships/hyperlink" Target="https://polkadot.subsquare.io/treasury/child-bounties/1841" TargetMode="External"/><Relationship Id="rId22" Type="http://schemas.openxmlformats.org/officeDocument/2006/relationships/hyperlink" Target="https://polkadot.subsquare.io/referenda/36" TargetMode="External"/><Relationship Id="rId2207" Type="http://schemas.openxmlformats.org/officeDocument/2006/relationships/hyperlink" Target="https://polkadot.subsquare.io/treasury/child-bounties/1842" TargetMode="External"/><Relationship Id="rId21" Type="http://schemas.openxmlformats.org/officeDocument/2006/relationships/hyperlink" Target="https://polkadot.subsquare.io/referenda/35" TargetMode="External"/><Relationship Id="rId2208" Type="http://schemas.openxmlformats.org/officeDocument/2006/relationships/hyperlink" Target="https://polkadot.subsquare.io/treasury/child-bounties/1843" TargetMode="External"/><Relationship Id="rId24" Type="http://schemas.openxmlformats.org/officeDocument/2006/relationships/hyperlink" Target="https://polkadot.subsquare.io/referenda/43" TargetMode="External"/><Relationship Id="rId2209" Type="http://schemas.openxmlformats.org/officeDocument/2006/relationships/hyperlink" Target="https://polkadot.subsquare.io/treasury/child-bounties/1844" TargetMode="External"/><Relationship Id="rId23" Type="http://schemas.openxmlformats.org/officeDocument/2006/relationships/hyperlink" Target="https://polkadot.subsquare.io/referenda/37" TargetMode="External"/><Relationship Id="rId767" Type="http://schemas.openxmlformats.org/officeDocument/2006/relationships/hyperlink" Target="https://polkadot.subsquare.io/treasury/child-bounties/308" TargetMode="External"/><Relationship Id="rId766" Type="http://schemas.openxmlformats.org/officeDocument/2006/relationships/hyperlink" Target="https://polkadot.subsquare.io/treasury/child-bounties/307" TargetMode="External"/><Relationship Id="rId765" Type="http://schemas.openxmlformats.org/officeDocument/2006/relationships/hyperlink" Target="https://polkadot.subsquare.io/treasury/child-bounties/306" TargetMode="External"/><Relationship Id="rId764" Type="http://schemas.openxmlformats.org/officeDocument/2006/relationships/hyperlink" Target="https://polkadot.subsquare.io/treasury/child-bounties/305" TargetMode="External"/><Relationship Id="rId769" Type="http://schemas.openxmlformats.org/officeDocument/2006/relationships/hyperlink" Target="https://polkadot.subsquare.io/treasury/child-bounties/310" TargetMode="External"/><Relationship Id="rId768" Type="http://schemas.openxmlformats.org/officeDocument/2006/relationships/hyperlink" Target="https://polkadot.subsquare.io/treasury/child-bounties/309" TargetMode="External"/><Relationship Id="rId26" Type="http://schemas.openxmlformats.org/officeDocument/2006/relationships/hyperlink" Target="https://polkadot.subsquare.io/referenda/45" TargetMode="External"/><Relationship Id="rId25" Type="http://schemas.openxmlformats.org/officeDocument/2006/relationships/hyperlink" Target="https://polkadot.subsquare.io/referenda/44" TargetMode="External"/><Relationship Id="rId28" Type="http://schemas.openxmlformats.org/officeDocument/2006/relationships/hyperlink" Target="https://polkadot.subsquare.io/referenda/49" TargetMode="External"/><Relationship Id="rId1350" Type="http://schemas.openxmlformats.org/officeDocument/2006/relationships/hyperlink" Target="https://polkadot.subsquare.io/treasury/child-bounties/915" TargetMode="External"/><Relationship Id="rId27" Type="http://schemas.openxmlformats.org/officeDocument/2006/relationships/hyperlink" Target="https://polkadot.subsquare.io/referenda/48" TargetMode="External"/><Relationship Id="rId1351" Type="http://schemas.openxmlformats.org/officeDocument/2006/relationships/hyperlink" Target="https://polkadot.subsquare.io/treasury/child-bounties/916" TargetMode="External"/><Relationship Id="rId763" Type="http://schemas.openxmlformats.org/officeDocument/2006/relationships/hyperlink" Target="https://polkadot.subsquare.io/treasury/child-bounties/304" TargetMode="External"/><Relationship Id="rId1352" Type="http://schemas.openxmlformats.org/officeDocument/2006/relationships/hyperlink" Target="https://polkadot.subsquare.io/treasury/child-bounties/917" TargetMode="External"/><Relationship Id="rId29" Type="http://schemas.openxmlformats.org/officeDocument/2006/relationships/hyperlink" Target="https://polkadot.subsquare.io/referenda/54" TargetMode="External"/><Relationship Id="rId762" Type="http://schemas.openxmlformats.org/officeDocument/2006/relationships/hyperlink" Target="https://polkadot.subsquare.io/treasury/child-bounties/303" TargetMode="External"/><Relationship Id="rId1353" Type="http://schemas.openxmlformats.org/officeDocument/2006/relationships/hyperlink" Target="https://polkadot.subsquare.io/treasury/child-bounties/918" TargetMode="External"/><Relationship Id="rId2200" Type="http://schemas.openxmlformats.org/officeDocument/2006/relationships/hyperlink" Target="https://polkadot.subsquare.io/treasury/child-bounties/1834" TargetMode="External"/><Relationship Id="rId761" Type="http://schemas.openxmlformats.org/officeDocument/2006/relationships/hyperlink" Target="https://polkadot.subsquare.io/treasury/child-bounties/302" TargetMode="External"/><Relationship Id="rId1354" Type="http://schemas.openxmlformats.org/officeDocument/2006/relationships/hyperlink" Target="https://polkadot.subsquare.io/treasury/child-bounties/919" TargetMode="External"/><Relationship Id="rId2201" Type="http://schemas.openxmlformats.org/officeDocument/2006/relationships/hyperlink" Target="https://polkadot.subsquare.io/treasury/child-bounties/1836" TargetMode="External"/><Relationship Id="rId760" Type="http://schemas.openxmlformats.org/officeDocument/2006/relationships/hyperlink" Target="https://polkadot.subsquare.io/treasury/child-bounties/301" TargetMode="External"/><Relationship Id="rId1355" Type="http://schemas.openxmlformats.org/officeDocument/2006/relationships/hyperlink" Target="https://polkadot.subsquare.io/treasury/child-bounties/920" TargetMode="External"/><Relationship Id="rId2202" Type="http://schemas.openxmlformats.org/officeDocument/2006/relationships/hyperlink" Target="https://polkadot.subsquare.io/treasury/child-bounties/1837" TargetMode="External"/><Relationship Id="rId1345" Type="http://schemas.openxmlformats.org/officeDocument/2006/relationships/hyperlink" Target="https://polkadot.subsquare.io/treasury/child-bounties/910" TargetMode="External"/><Relationship Id="rId1346" Type="http://schemas.openxmlformats.org/officeDocument/2006/relationships/hyperlink" Target="https://polkadot.subsquare.io/treasury/child-bounties/911" TargetMode="External"/><Relationship Id="rId1347" Type="http://schemas.openxmlformats.org/officeDocument/2006/relationships/hyperlink" Target="https://polkadot.subsquare.io/treasury/child-bounties/912" TargetMode="External"/><Relationship Id="rId1348" Type="http://schemas.openxmlformats.org/officeDocument/2006/relationships/hyperlink" Target="https://polkadot.subsquare.io/treasury/child-bounties/913" TargetMode="External"/><Relationship Id="rId11" Type="http://schemas.openxmlformats.org/officeDocument/2006/relationships/hyperlink" Target="https://polkadot.subsquare.io/referenda/20" TargetMode="External"/><Relationship Id="rId1349" Type="http://schemas.openxmlformats.org/officeDocument/2006/relationships/hyperlink" Target="https://polkadot.subsquare.io/treasury/child-bounties/914" TargetMode="External"/><Relationship Id="rId10" Type="http://schemas.openxmlformats.org/officeDocument/2006/relationships/hyperlink" Target="https://polkadot.subsquare.io/referenda/15" TargetMode="External"/><Relationship Id="rId13" Type="http://schemas.openxmlformats.org/officeDocument/2006/relationships/hyperlink" Target="https://polkadot.subsquare.io/referenda/22" TargetMode="External"/><Relationship Id="rId12" Type="http://schemas.openxmlformats.org/officeDocument/2006/relationships/hyperlink" Target="https://polkadot.subsquare.io/referenda/21" TargetMode="External"/><Relationship Id="rId756" Type="http://schemas.openxmlformats.org/officeDocument/2006/relationships/hyperlink" Target="https://polkadot.subsquare.io/treasury/child-bounties/297" TargetMode="External"/><Relationship Id="rId755" Type="http://schemas.openxmlformats.org/officeDocument/2006/relationships/hyperlink" Target="https://polkadot.subsquare.io/treasury/child-bounties/296" TargetMode="External"/><Relationship Id="rId754" Type="http://schemas.openxmlformats.org/officeDocument/2006/relationships/hyperlink" Target="https://polkadot.subsquare.io/treasury/child-bounties/295" TargetMode="External"/><Relationship Id="rId753" Type="http://schemas.openxmlformats.org/officeDocument/2006/relationships/hyperlink" Target="https://polkadot.subsquare.io/treasury/child-bounties/293" TargetMode="External"/><Relationship Id="rId759" Type="http://schemas.openxmlformats.org/officeDocument/2006/relationships/hyperlink" Target="https://polkadot.subsquare.io/treasury/child-bounties/300" TargetMode="External"/><Relationship Id="rId758" Type="http://schemas.openxmlformats.org/officeDocument/2006/relationships/hyperlink" Target="https://polkadot.subsquare.io/treasury/child-bounties/299" TargetMode="External"/><Relationship Id="rId757" Type="http://schemas.openxmlformats.org/officeDocument/2006/relationships/hyperlink" Target="https://polkadot.subsquare.io/treasury/child-bounties/298" TargetMode="External"/><Relationship Id="rId15" Type="http://schemas.openxmlformats.org/officeDocument/2006/relationships/hyperlink" Target="https://polkadot.subsquare.io/referenda/25" TargetMode="External"/><Relationship Id="rId14" Type="http://schemas.openxmlformats.org/officeDocument/2006/relationships/hyperlink" Target="https://polkadot.subsquare.io/referenda/24" TargetMode="External"/><Relationship Id="rId17" Type="http://schemas.openxmlformats.org/officeDocument/2006/relationships/hyperlink" Target="https://polkadot.subsquare.io/referenda/27" TargetMode="External"/><Relationship Id="rId16" Type="http://schemas.openxmlformats.org/officeDocument/2006/relationships/hyperlink" Target="https://polkadot.subsquare.io/referenda/26" TargetMode="External"/><Relationship Id="rId1340" Type="http://schemas.openxmlformats.org/officeDocument/2006/relationships/hyperlink" Target="https://polkadot.subsquare.io/treasury/child-bounties/905" TargetMode="External"/><Relationship Id="rId19" Type="http://schemas.openxmlformats.org/officeDocument/2006/relationships/hyperlink" Target="https://polkadot.subsquare.io/referenda/31" TargetMode="External"/><Relationship Id="rId752" Type="http://schemas.openxmlformats.org/officeDocument/2006/relationships/hyperlink" Target="https://polkadot.subsquare.io/treasury/child-bounties/292" TargetMode="External"/><Relationship Id="rId1341" Type="http://schemas.openxmlformats.org/officeDocument/2006/relationships/hyperlink" Target="https://polkadot.subsquare.io/treasury/child-bounties/906" TargetMode="External"/><Relationship Id="rId18" Type="http://schemas.openxmlformats.org/officeDocument/2006/relationships/hyperlink" Target="https://polkadot.subsquare.io/referenda/28" TargetMode="External"/><Relationship Id="rId751" Type="http://schemas.openxmlformats.org/officeDocument/2006/relationships/hyperlink" Target="https://polkadot.subsquare.io/treasury/child-bounties/291" TargetMode="External"/><Relationship Id="rId1342" Type="http://schemas.openxmlformats.org/officeDocument/2006/relationships/hyperlink" Target="https://polkadot.subsquare.io/treasury/child-bounties/907" TargetMode="External"/><Relationship Id="rId750" Type="http://schemas.openxmlformats.org/officeDocument/2006/relationships/hyperlink" Target="https://polkadot.subsquare.io/treasury/child-bounties/290" TargetMode="External"/><Relationship Id="rId1343" Type="http://schemas.openxmlformats.org/officeDocument/2006/relationships/hyperlink" Target="https://polkadot.subsquare.io/treasury/child-bounties/908" TargetMode="External"/><Relationship Id="rId1344" Type="http://schemas.openxmlformats.org/officeDocument/2006/relationships/hyperlink" Target="https://polkadot.subsquare.io/treasury/child-bounties/909" TargetMode="External"/><Relationship Id="rId84" Type="http://schemas.openxmlformats.org/officeDocument/2006/relationships/hyperlink" Target="https://polkadot.subsquare.io/referenda/178" TargetMode="External"/><Relationship Id="rId1774" Type="http://schemas.openxmlformats.org/officeDocument/2006/relationships/hyperlink" Target="https://polkadot.subsquare.io/treasury/child-bounties/1350" TargetMode="External"/><Relationship Id="rId83" Type="http://schemas.openxmlformats.org/officeDocument/2006/relationships/hyperlink" Target="https://polkadot.subsquare.io/referenda/177" TargetMode="External"/><Relationship Id="rId1775" Type="http://schemas.openxmlformats.org/officeDocument/2006/relationships/hyperlink" Target="https://polkadot.subsquare.io/treasury/child-bounties/1351" TargetMode="External"/><Relationship Id="rId86" Type="http://schemas.openxmlformats.org/officeDocument/2006/relationships/hyperlink" Target="https://polkadot.subsquare.io/referenda/181" TargetMode="External"/><Relationship Id="rId1776" Type="http://schemas.openxmlformats.org/officeDocument/2006/relationships/hyperlink" Target="https://polkadot.subsquare.io/treasury/child-bounties/1352" TargetMode="External"/><Relationship Id="rId85" Type="http://schemas.openxmlformats.org/officeDocument/2006/relationships/hyperlink" Target="https://polkadot.subsquare.io/referenda/179" TargetMode="External"/><Relationship Id="rId1777" Type="http://schemas.openxmlformats.org/officeDocument/2006/relationships/hyperlink" Target="https://polkadot.subsquare.io/treasury/child-bounties/1353" TargetMode="External"/><Relationship Id="rId88" Type="http://schemas.openxmlformats.org/officeDocument/2006/relationships/hyperlink" Target="https://polkadot.subsquare.io/referenda/184" TargetMode="External"/><Relationship Id="rId1778" Type="http://schemas.openxmlformats.org/officeDocument/2006/relationships/hyperlink" Target="https://polkadot.subsquare.io/treasury/child-bounties/1354" TargetMode="External"/><Relationship Id="rId87" Type="http://schemas.openxmlformats.org/officeDocument/2006/relationships/hyperlink" Target="https://polkadot.subsquare.io/referenda/183" TargetMode="External"/><Relationship Id="rId1779" Type="http://schemas.openxmlformats.org/officeDocument/2006/relationships/hyperlink" Target="https://polkadot.subsquare.io/treasury/child-bounties/1355" TargetMode="External"/><Relationship Id="rId89" Type="http://schemas.openxmlformats.org/officeDocument/2006/relationships/hyperlink" Target="https://polkadot.subsquare.io/referenda/185" TargetMode="External"/><Relationship Id="rId709" Type="http://schemas.openxmlformats.org/officeDocument/2006/relationships/hyperlink" Target="https://polkadot.subsquare.io/treasury/child-bounties/249" TargetMode="External"/><Relationship Id="rId708" Type="http://schemas.openxmlformats.org/officeDocument/2006/relationships/hyperlink" Target="https://polkadot.subsquare.io/treasury/child-bounties/248" TargetMode="External"/><Relationship Id="rId707" Type="http://schemas.openxmlformats.org/officeDocument/2006/relationships/hyperlink" Target="https://polkadot.subsquare.io/treasury/child-bounties/247" TargetMode="External"/><Relationship Id="rId706" Type="http://schemas.openxmlformats.org/officeDocument/2006/relationships/hyperlink" Target="https://polkadot.subsquare.io/treasury/child-bounties/246" TargetMode="External"/><Relationship Id="rId80" Type="http://schemas.openxmlformats.org/officeDocument/2006/relationships/hyperlink" Target="https://polkadot.subsquare.io/referenda/172" TargetMode="External"/><Relationship Id="rId82" Type="http://schemas.openxmlformats.org/officeDocument/2006/relationships/hyperlink" Target="https://polkadot.subsquare.io/referenda/176" TargetMode="External"/><Relationship Id="rId81" Type="http://schemas.openxmlformats.org/officeDocument/2006/relationships/hyperlink" Target="https://polkadot.subsquare.io/referenda/175" TargetMode="External"/><Relationship Id="rId701" Type="http://schemas.openxmlformats.org/officeDocument/2006/relationships/hyperlink" Target="https://polkadot.subsquare.io/treasury/child-bounties/239" TargetMode="External"/><Relationship Id="rId700" Type="http://schemas.openxmlformats.org/officeDocument/2006/relationships/hyperlink" Target="https://polkadot.subsquare.io/treasury/child-bounties/238" TargetMode="External"/><Relationship Id="rId705" Type="http://schemas.openxmlformats.org/officeDocument/2006/relationships/hyperlink" Target="https://polkadot.subsquare.io/treasury/child-bounties/245" TargetMode="External"/><Relationship Id="rId704" Type="http://schemas.openxmlformats.org/officeDocument/2006/relationships/hyperlink" Target="https://polkadot.subsquare.io/treasury/child-bounties/242" TargetMode="External"/><Relationship Id="rId703" Type="http://schemas.openxmlformats.org/officeDocument/2006/relationships/hyperlink" Target="https://polkadot.subsquare.io/treasury/child-bounties/241" TargetMode="External"/><Relationship Id="rId702" Type="http://schemas.openxmlformats.org/officeDocument/2006/relationships/hyperlink" Target="https://polkadot.subsquare.io/treasury/child-bounties/240" TargetMode="External"/><Relationship Id="rId1770" Type="http://schemas.openxmlformats.org/officeDocument/2006/relationships/hyperlink" Target="https://polkadot.subsquare.io/treasury/child-bounties/1346" TargetMode="External"/><Relationship Id="rId1771" Type="http://schemas.openxmlformats.org/officeDocument/2006/relationships/hyperlink" Target="https://polkadot.subsquare.io/treasury/child-bounties/1347" TargetMode="External"/><Relationship Id="rId1772" Type="http://schemas.openxmlformats.org/officeDocument/2006/relationships/hyperlink" Target="https://polkadot.subsquare.io/treasury/child-bounties/1348" TargetMode="External"/><Relationship Id="rId1773" Type="http://schemas.openxmlformats.org/officeDocument/2006/relationships/hyperlink" Target="https://polkadot.subsquare.io/treasury/child-bounties/1349" TargetMode="External"/><Relationship Id="rId73" Type="http://schemas.openxmlformats.org/officeDocument/2006/relationships/hyperlink" Target="https://polkadot.subsquare.io/referenda/162" TargetMode="External"/><Relationship Id="rId1763" Type="http://schemas.openxmlformats.org/officeDocument/2006/relationships/hyperlink" Target="https://polkadot.subsquare.io/treasury/child-bounties/1339" TargetMode="External"/><Relationship Id="rId72" Type="http://schemas.openxmlformats.org/officeDocument/2006/relationships/hyperlink" Target="https://polkadot.subsquare.io/referenda/161" TargetMode="External"/><Relationship Id="rId1764" Type="http://schemas.openxmlformats.org/officeDocument/2006/relationships/hyperlink" Target="https://polkadot.subsquare.io/treasury/child-bounties/1340" TargetMode="External"/><Relationship Id="rId75" Type="http://schemas.openxmlformats.org/officeDocument/2006/relationships/hyperlink" Target="https://polkadot.subsquare.io/referenda/165" TargetMode="External"/><Relationship Id="rId1765" Type="http://schemas.openxmlformats.org/officeDocument/2006/relationships/hyperlink" Target="https://polkadot.subsquare.io/treasury/child-bounties/1341" TargetMode="External"/><Relationship Id="rId74" Type="http://schemas.openxmlformats.org/officeDocument/2006/relationships/hyperlink" Target="https://polkadot.subsquare.io/referenda/164" TargetMode="External"/><Relationship Id="rId1766" Type="http://schemas.openxmlformats.org/officeDocument/2006/relationships/hyperlink" Target="https://polkadot.subsquare.io/treasury/child-bounties/1342" TargetMode="External"/><Relationship Id="rId77" Type="http://schemas.openxmlformats.org/officeDocument/2006/relationships/hyperlink" Target="https://polkadot.subsquare.io/referenda/168" TargetMode="External"/><Relationship Id="rId1767" Type="http://schemas.openxmlformats.org/officeDocument/2006/relationships/hyperlink" Target="https://polkadot.subsquare.io/treasury/child-bounties/1343" TargetMode="External"/><Relationship Id="rId76" Type="http://schemas.openxmlformats.org/officeDocument/2006/relationships/hyperlink" Target="https://polkadot.subsquare.io/referenda/167" TargetMode="External"/><Relationship Id="rId1768" Type="http://schemas.openxmlformats.org/officeDocument/2006/relationships/hyperlink" Target="https://polkadot.subsquare.io/treasury/child-bounties/1344" TargetMode="External"/><Relationship Id="rId79" Type="http://schemas.openxmlformats.org/officeDocument/2006/relationships/hyperlink" Target="https://polkadot.subsquare.io/referenda/171" TargetMode="External"/><Relationship Id="rId1769" Type="http://schemas.openxmlformats.org/officeDocument/2006/relationships/hyperlink" Target="https://polkadot.subsquare.io/treasury/child-bounties/1345" TargetMode="External"/><Relationship Id="rId78" Type="http://schemas.openxmlformats.org/officeDocument/2006/relationships/hyperlink" Target="https://polkadot.subsquare.io/referenda/170" TargetMode="External"/><Relationship Id="rId71" Type="http://schemas.openxmlformats.org/officeDocument/2006/relationships/hyperlink" Target="https://polkadot.subsquare.io/referenda/160" TargetMode="External"/><Relationship Id="rId70" Type="http://schemas.openxmlformats.org/officeDocument/2006/relationships/hyperlink" Target="https://polkadot.subsquare.io/referenda/158" TargetMode="External"/><Relationship Id="rId1760" Type="http://schemas.openxmlformats.org/officeDocument/2006/relationships/hyperlink" Target="https://polkadot.subsquare.io/treasury/child-bounties/1336" TargetMode="External"/><Relationship Id="rId1761" Type="http://schemas.openxmlformats.org/officeDocument/2006/relationships/hyperlink" Target="https://polkadot.subsquare.io/treasury/child-bounties/1337" TargetMode="External"/><Relationship Id="rId1762" Type="http://schemas.openxmlformats.org/officeDocument/2006/relationships/hyperlink" Target="https://polkadot.subsquare.io/treasury/child-bounties/1338" TargetMode="External"/><Relationship Id="rId62" Type="http://schemas.openxmlformats.org/officeDocument/2006/relationships/hyperlink" Target="https://polkadot.subsquare.io/referenda/137" TargetMode="External"/><Relationship Id="rId1312" Type="http://schemas.openxmlformats.org/officeDocument/2006/relationships/hyperlink" Target="https://polkadot.subsquare.io/treasury/child-bounties/877" TargetMode="External"/><Relationship Id="rId1796" Type="http://schemas.openxmlformats.org/officeDocument/2006/relationships/hyperlink" Target="https://polkadot.subsquare.io/treasury/child-bounties/1372" TargetMode="External"/><Relationship Id="rId61" Type="http://schemas.openxmlformats.org/officeDocument/2006/relationships/hyperlink" Target="https://polkadot.subsquare.io/referenda/136" TargetMode="External"/><Relationship Id="rId1313" Type="http://schemas.openxmlformats.org/officeDocument/2006/relationships/hyperlink" Target="https://polkadot.subsquare.io/treasury/child-bounties/878" TargetMode="External"/><Relationship Id="rId1797" Type="http://schemas.openxmlformats.org/officeDocument/2006/relationships/hyperlink" Target="https://polkadot.subsquare.io/treasury/child-bounties/1373" TargetMode="External"/><Relationship Id="rId64" Type="http://schemas.openxmlformats.org/officeDocument/2006/relationships/hyperlink" Target="https://polkadot.subsquare.io/referenda/141" TargetMode="External"/><Relationship Id="rId1314" Type="http://schemas.openxmlformats.org/officeDocument/2006/relationships/hyperlink" Target="https://polkadot.subsquare.io/treasury/child-bounties/879" TargetMode="External"/><Relationship Id="rId1798" Type="http://schemas.openxmlformats.org/officeDocument/2006/relationships/hyperlink" Target="https://polkadot.subsquare.io/treasury/child-bounties/1374" TargetMode="External"/><Relationship Id="rId63" Type="http://schemas.openxmlformats.org/officeDocument/2006/relationships/hyperlink" Target="https://polkadot.subsquare.io/referenda/140" TargetMode="External"/><Relationship Id="rId1315" Type="http://schemas.openxmlformats.org/officeDocument/2006/relationships/hyperlink" Target="https://polkadot.subsquare.io/treasury/child-bounties/880" TargetMode="External"/><Relationship Id="rId1799" Type="http://schemas.openxmlformats.org/officeDocument/2006/relationships/hyperlink" Target="https://polkadot.subsquare.io/treasury/child-bounties/1375" TargetMode="External"/><Relationship Id="rId66" Type="http://schemas.openxmlformats.org/officeDocument/2006/relationships/hyperlink" Target="https://polkadot.subsquare.io/referenda/152" TargetMode="External"/><Relationship Id="rId1316" Type="http://schemas.openxmlformats.org/officeDocument/2006/relationships/hyperlink" Target="https://polkadot.subsquare.io/treasury/child-bounties/881" TargetMode="External"/><Relationship Id="rId65" Type="http://schemas.openxmlformats.org/officeDocument/2006/relationships/hyperlink" Target="https://polkadot.subsquare.io/referenda/145" TargetMode="External"/><Relationship Id="rId1317" Type="http://schemas.openxmlformats.org/officeDocument/2006/relationships/hyperlink" Target="https://polkadot.subsquare.io/treasury/child-bounties/882" TargetMode="External"/><Relationship Id="rId68" Type="http://schemas.openxmlformats.org/officeDocument/2006/relationships/hyperlink" Target="https://polkadot.subsquare.io/referenda/155" TargetMode="External"/><Relationship Id="rId1318" Type="http://schemas.openxmlformats.org/officeDocument/2006/relationships/hyperlink" Target="https://polkadot.subsquare.io/treasury/child-bounties/883" TargetMode="External"/><Relationship Id="rId67" Type="http://schemas.openxmlformats.org/officeDocument/2006/relationships/hyperlink" Target="https://polkadot.subsquare.io/referenda/153" TargetMode="External"/><Relationship Id="rId1319" Type="http://schemas.openxmlformats.org/officeDocument/2006/relationships/hyperlink" Target="https://polkadot.subsquare.io/treasury/child-bounties/884" TargetMode="External"/><Relationship Id="rId729" Type="http://schemas.openxmlformats.org/officeDocument/2006/relationships/hyperlink" Target="https://polkadot.subsquare.io/treasury/child-bounties/269" TargetMode="External"/><Relationship Id="rId728" Type="http://schemas.openxmlformats.org/officeDocument/2006/relationships/hyperlink" Target="https://polkadot.subsquare.io/treasury/child-bounties/268" TargetMode="External"/><Relationship Id="rId60" Type="http://schemas.openxmlformats.org/officeDocument/2006/relationships/hyperlink" Target="https://polkadot.subsquare.io/referenda/134" TargetMode="External"/><Relationship Id="rId723" Type="http://schemas.openxmlformats.org/officeDocument/2006/relationships/hyperlink" Target="https://polkadot.subsquare.io/treasury/child-bounties/263" TargetMode="External"/><Relationship Id="rId722" Type="http://schemas.openxmlformats.org/officeDocument/2006/relationships/hyperlink" Target="https://polkadot.subsquare.io/treasury/child-bounties/262" TargetMode="External"/><Relationship Id="rId721" Type="http://schemas.openxmlformats.org/officeDocument/2006/relationships/hyperlink" Target="https://polkadot.subsquare.io/treasury/child-bounties/261" TargetMode="External"/><Relationship Id="rId720" Type="http://schemas.openxmlformats.org/officeDocument/2006/relationships/hyperlink" Target="https://polkadot.subsquare.io/treasury/child-bounties/260" TargetMode="External"/><Relationship Id="rId727" Type="http://schemas.openxmlformats.org/officeDocument/2006/relationships/hyperlink" Target="https://polkadot.subsquare.io/treasury/child-bounties/267" TargetMode="External"/><Relationship Id="rId726" Type="http://schemas.openxmlformats.org/officeDocument/2006/relationships/hyperlink" Target="https://polkadot.subsquare.io/treasury/child-bounties/266" TargetMode="External"/><Relationship Id="rId725" Type="http://schemas.openxmlformats.org/officeDocument/2006/relationships/hyperlink" Target="https://polkadot.subsquare.io/treasury/child-bounties/265" TargetMode="External"/><Relationship Id="rId724" Type="http://schemas.openxmlformats.org/officeDocument/2006/relationships/hyperlink" Target="https://polkadot.subsquare.io/treasury/child-bounties/264" TargetMode="External"/><Relationship Id="rId69" Type="http://schemas.openxmlformats.org/officeDocument/2006/relationships/hyperlink" Target="https://polkadot.subsquare.io/referenda/156" TargetMode="External"/><Relationship Id="rId1790" Type="http://schemas.openxmlformats.org/officeDocument/2006/relationships/hyperlink" Target="https://polkadot.subsquare.io/treasury/child-bounties/1366" TargetMode="External"/><Relationship Id="rId1791" Type="http://schemas.openxmlformats.org/officeDocument/2006/relationships/hyperlink" Target="https://polkadot.subsquare.io/treasury/child-bounties/1367" TargetMode="External"/><Relationship Id="rId1792" Type="http://schemas.openxmlformats.org/officeDocument/2006/relationships/hyperlink" Target="https://polkadot.subsquare.io/treasury/child-bounties/1368" TargetMode="External"/><Relationship Id="rId1793" Type="http://schemas.openxmlformats.org/officeDocument/2006/relationships/hyperlink" Target="https://polkadot.subsquare.io/treasury/child-bounties/1369" TargetMode="External"/><Relationship Id="rId1310" Type="http://schemas.openxmlformats.org/officeDocument/2006/relationships/hyperlink" Target="https://polkadot.subsquare.io/treasury/child-bounties/875" TargetMode="External"/><Relationship Id="rId1794" Type="http://schemas.openxmlformats.org/officeDocument/2006/relationships/hyperlink" Target="https://polkadot.subsquare.io/treasury/child-bounties/1370" TargetMode="External"/><Relationship Id="rId1311" Type="http://schemas.openxmlformats.org/officeDocument/2006/relationships/hyperlink" Target="https://polkadot.subsquare.io/treasury/child-bounties/876" TargetMode="External"/><Relationship Id="rId1795" Type="http://schemas.openxmlformats.org/officeDocument/2006/relationships/hyperlink" Target="https://polkadot.subsquare.io/treasury/child-bounties/1371" TargetMode="External"/><Relationship Id="rId51" Type="http://schemas.openxmlformats.org/officeDocument/2006/relationships/hyperlink" Target="https://polkadot.subsquare.io/referenda/113" TargetMode="External"/><Relationship Id="rId1301" Type="http://schemas.openxmlformats.org/officeDocument/2006/relationships/hyperlink" Target="https://polkadot.subsquare.io/treasury/child-bounties/866" TargetMode="External"/><Relationship Id="rId1785" Type="http://schemas.openxmlformats.org/officeDocument/2006/relationships/hyperlink" Target="https://polkadot.subsquare.io/treasury/child-bounties/1361" TargetMode="External"/><Relationship Id="rId50" Type="http://schemas.openxmlformats.org/officeDocument/2006/relationships/hyperlink" Target="https://polkadot.subsquare.io/referenda/112" TargetMode="External"/><Relationship Id="rId1302" Type="http://schemas.openxmlformats.org/officeDocument/2006/relationships/hyperlink" Target="https://polkadot.subsquare.io/treasury/child-bounties/867" TargetMode="External"/><Relationship Id="rId1786" Type="http://schemas.openxmlformats.org/officeDocument/2006/relationships/hyperlink" Target="https://polkadot.subsquare.io/treasury/child-bounties/1362" TargetMode="External"/><Relationship Id="rId53" Type="http://schemas.openxmlformats.org/officeDocument/2006/relationships/hyperlink" Target="https://polkadot.subsquare.io/referenda/115" TargetMode="External"/><Relationship Id="rId1303" Type="http://schemas.openxmlformats.org/officeDocument/2006/relationships/hyperlink" Target="https://polkadot.subsquare.io/treasury/child-bounties/868" TargetMode="External"/><Relationship Id="rId1787" Type="http://schemas.openxmlformats.org/officeDocument/2006/relationships/hyperlink" Target="https://polkadot.subsquare.io/treasury/child-bounties/1363" TargetMode="External"/><Relationship Id="rId52" Type="http://schemas.openxmlformats.org/officeDocument/2006/relationships/hyperlink" Target="https://polkadot.subsquare.io/referenda/114" TargetMode="External"/><Relationship Id="rId1304" Type="http://schemas.openxmlformats.org/officeDocument/2006/relationships/hyperlink" Target="https://polkadot.subsquare.io/treasury/child-bounties/869" TargetMode="External"/><Relationship Id="rId1788" Type="http://schemas.openxmlformats.org/officeDocument/2006/relationships/hyperlink" Target="https://polkadot.subsquare.io/treasury/child-bounties/1364" TargetMode="External"/><Relationship Id="rId55" Type="http://schemas.openxmlformats.org/officeDocument/2006/relationships/hyperlink" Target="https://polkadot.subsquare.io/referenda/119" TargetMode="External"/><Relationship Id="rId1305" Type="http://schemas.openxmlformats.org/officeDocument/2006/relationships/hyperlink" Target="https://polkadot.subsquare.io/treasury/child-bounties/870" TargetMode="External"/><Relationship Id="rId1789" Type="http://schemas.openxmlformats.org/officeDocument/2006/relationships/hyperlink" Target="https://polkadot.subsquare.io/treasury/child-bounties/1365" TargetMode="External"/><Relationship Id="rId54" Type="http://schemas.openxmlformats.org/officeDocument/2006/relationships/hyperlink" Target="https://polkadot.subsquare.io/referenda/118" TargetMode="External"/><Relationship Id="rId1306" Type="http://schemas.openxmlformats.org/officeDocument/2006/relationships/hyperlink" Target="https://polkadot.subsquare.io/treasury/child-bounties/871" TargetMode="External"/><Relationship Id="rId57" Type="http://schemas.openxmlformats.org/officeDocument/2006/relationships/hyperlink" Target="https://polkadot.subsquare.io/referenda/123" TargetMode="External"/><Relationship Id="rId1307" Type="http://schemas.openxmlformats.org/officeDocument/2006/relationships/hyperlink" Target="https://polkadot.subsquare.io/treasury/child-bounties/872" TargetMode="External"/><Relationship Id="rId56" Type="http://schemas.openxmlformats.org/officeDocument/2006/relationships/hyperlink" Target="https://polkadot.subsquare.io/referenda/120" TargetMode="External"/><Relationship Id="rId1308" Type="http://schemas.openxmlformats.org/officeDocument/2006/relationships/hyperlink" Target="https://polkadot.subsquare.io/treasury/child-bounties/873" TargetMode="External"/><Relationship Id="rId1309" Type="http://schemas.openxmlformats.org/officeDocument/2006/relationships/hyperlink" Target="https://polkadot.subsquare.io/treasury/child-bounties/874" TargetMode="External"/><Relationship Id="rId719" Type="http://schemas.openxmlformats.org/officeDocument/2006/relationships/hyperlink" Target="https://polkadot.subsquare.io/treasury/child-bounties/259" TargetMode="External"/><Relationship Id="rId718" Type="http://schemas.openxmlformats.org/officeDocument/2006/relationships/hyperlink" Target="https://polkadot.subsquare.io/treasury/child-bounties/258" TargetMode="External"/><Relationship Id="rId717" Type="http://schemas.openxmlformats.org/officeDocument/2006/relationships/hyperlink" Target="https://polkadot.subsquare.io/treasury/child-bounties/257" TargetMode="External"/><Relationship Id="rId712" Type="http://schemas.openxmlformats.org/officeDocument/2006/relationships/hyperlink" Target="https://polkadot.subsquare.io/treasury/child-bounties/252" TargetMode="External"/><Relationship Id="rId711" Type="http://schemas.openxmlformats.org/officeDocument/2006/relationships/hyperlink" Target="https://polkadot.subsquare.io/treasury/child-bounties/251" TargetMode="External"/><Relationship Id="rId710" Type="http://schemas.openxmlformats.org/officeDocument/2006/relationships/hyperlink" Target="https://polkadot.subsquare.io/treasury/child-bounties/250" TargetMode="External"/><Relationship Id="rId716" Type="http://schemas.openxmlformats.org/officeDocument/2006/relationships/hyperlink" Target="https://polkadot.subsquare.io/treasury/child-bounties/256" TargetMode="External"/><Relationship Id="rId715" Type="http://schemas.openxmlformats.org/officeDocument/2006/relationships/hyperlink" Target="https://polkadot.subsquare.io/treasury/child-bounties/255" TargetMode="External"/><Relationship Id="rId714" Type="http://schemas.openxmlformats.org/officeDocument/2006/relationships/hyperlink" Target="https://polkadot.subsquare.io/treasury/child-bounties/254" TargetMode="External"/><Relationship Id="rId713" Type="http://schemas.openxmlformats.org/officeDocument/2006/relationships/hyperlink" Target="https://polkadot.subsquare.io/treasury/child-bounties/253" TargetMode="External"/><Relationship Id="rId59" Type="http://schemas.openxmlformats.org/officeDocument/2006/relationships/hyperlink" Target="https://polkadot.subsquare.io/referenda/125" TargetMode="External"/><Relationship Id="rId58" Type="http://schemas.openxmlformats.org/officeDocument/2006/relationships/hyperlink" Target="https://polkadot.subsquare.io/referenda/124" TargetMode="External"/><Relationship Id="rId1780" Type="http://schemas.openxmlformats.org/officeDocument/2006/relationships/hyperlink" Target="https://polkadot.subsquare.io/treasury/child-bounties/1356" TargetMode="External"/><Relationship Id="rId1781" Type="http://schemas.openxmlformats.org/officeDocument/2006/relationships/hyperlink" Target="https://polkadot.subsquare.io/treasury/child-bounties/1357" TargetMode="External"/><Relationship Id="rId1782" Type="http://schemas.openxmlformats.org/officeDocument/2006/relationships/hyperlink" Target="https://polkadot.subsquare.io/treasury/child-bounties/1358" TargetMode="External"/><Relationship Id="rId1783" Type="http://schemas.openxmlformats.org/officeDocument/2006/relationships/hyperlink" Target="https://polkadot.subsquare.io/treasury/child-bounties/1359" TargetMode="External"/><Relationship Id="rId1300" Type="http://schemas.openxmlformats.org/officeDocument/2006/relationships/hyperlink" Target="https://polkadot.subsquare.io/treasury/child-bounties/865" TargetMode="External"/><Relationship Id="rId1784" Type="http://schemas.openxmlformats.org/officeDocument/2006/relationships/hyperlink" Target="https://polkadot.subsquare.io/treasury/child-bounties/1360" TargetMode="External"/><Relationship Id="rId2269" Type="http://schemas.openxmlformats.org/officeDocument/2006/relationships/hyperlink" Target="https://polkadot.subsquare.io/treasury/child-bounties/1921" TargetMode="External"/><Relationship Id="rId349" Type="http://schemas.openxmlformats.org/officeDocument/2006/relationships/hyperlink" Target="https://polkadot.subsquare.io/referenda/753" TargetMode="External"/><Relationship Id="rId348" Type="http://schemas.openxmlformats.org/officeDocument/2006/relationships/hyperlink" Target="https://polkadot.subsquare.io/referenda/751" TargetMode="External"/><Relationship Id="rId347" Type="http://schemas.openxmlformats.org/officeDocument/2006/relationships/hyperlink" Target="https://polkadot.subsquare.io/referenda/749" TargetMode="External"/><Relationship Id="rId346" Type="http://schemas.openxmlformats.org/officeDocument/2006/relationships/hyperlink" Target="https://polkadot.subsquare.io/referenda/742" TargetMode="External"/><Relationship Id="rId2260" Type="http://schemas.openxmlformats.org/officeDocument/2006/relationships/hyperlink" Target="https://polkadot.subsquare.io/treasury/child-bounties/1908" TargetMode="External"/><Relationship Id="rId341" Type="http://schemas.openxmlformats.org/officeDocument/2006/relationships/hyperlink" Target="https://polkadot.subsquare.io/referenda/730" TargetMode="External"/><Relationship Id="rId2261" Type="http://schemas.openxmlformats.org/officeDocument/2006/relationships/hyperlink" Target="https://polkadot.subsquare.io/treasury/child-bounties/1909" TargetMode="External"/><Relationship Id="rId340" Type="http://schemas.openxmlformats.org/officeDocument/2006/relationships/hyperlink" Target="https://polkadot.subsquare.io/referenda/729" TargetMode="External"/><Relationship Id="rId2262" Type="http://schemas.openxmlformats.org/officeDocument/2006/relationships/hyperlink" Target="https://polkadot.subsquare.io/treasury/child-bounties/1910" TargetMode="External"/><Relationship Id="rId2263" Type="http://schemas.openxmlformats.org/officeDocument/2006/relationships/hyperlink" Target="https://polkadot.subsquare.io/treasury/child-bounties/1912" TargetMode="External"/><Relationship Id="rId2264" Type="http://schemas.openxmlformats.org/officeDocument/2006/relationships/hyperlink" Target="https://polkadot.subsquare.io/treasury/child-bounties/1913" TargetMode="External"/><Relationship Id="rId345" Type="http://schemas.openxmlformats.org/officeDocument/2006/relationships/hyperlink" Target="https://polkadot.subsquare.io/referenda/738" TargetMode="External"/><Relationship Id="rId2265" Type="http://schemas.openxmlformats.org/officeDocument/2006/relationships/hyperlink" Target="https://polkadot.subsquare.io/treasury/child-bounties/1917" TargetMode="External"/><Relationship Id="rId344" Type="http://schemas.openxmlformats.org/officeDocument/2006/relationships/hyperlink" Target="https://polkadot.subsquare.io/referenda/737" TargetMode="External"/><Relationship Id="rId2266" Type="http://schemas.openxmlformats.org/officeDocument/2006/relationships/hyperlink" Target="https://polkadot.subsquare.io/treasury/child-bounties/1918" TargetMode="External"/><Relationship Id="rId343" Type="http://schemas.openxmlformats.org/officeDocument/2006/relationships/hyperlink" Target="https://polkadot.subsquare.io/referenda/735" TargetMode="External"/><Relationship Id="rId2267" Type="http://schemas.openxmlformats.org/officeDocument/2006/relationships/hyperlink" Target="https://polkadot.subsquare.io/treasury/child-bounties/1919" TargetMode="External"/><Relationship Id="rId342" Type="http://schemas.openxmlformats.org/officeDocument/2006/relationships/hyperlink" Target="https://polkadot.subsquare.io/referenda/733" TargetMode="External"/><Relationship Id="rId2268" Type="http://schemas.openxmlformats.org/officeDocument/2006/relationships/hyperlink" Target="https://polkadot.subsquare.io/treasury/child-bounties/1920" TargetMode="External"/><Relationship Id="rId2258" Type="http://schemas.openxmlformats.org/officeDocument/2006/relationships/hyperlink" Target="https://polkadot.subsquare.io/treasury/child-bounties/1904" TargetMode="External"/><Relationship Id="rId2259" Type="http://schemas.openxmlformats.org/officeDocument/2006/relationships/hyperlink" Target="https://polkadot.subsquare.io/treasury/child-bounties/1907" TargetMode="External"/><Relationship Id="rId338" Type="http://schemas.openxmlformats.org/officeDocument/2006/relationships/hyperlink" Target="https://polkadot.subsquare.io/referenda/725" TargetMode="External"/><Relationship Id="rId337" Type="http://schemas.openxmlformats.org/officeDocument/2006/relationships/hyperlink" Target="https://polkadot.subsquare.io/referenda/723" TargetMode="External"/><Relationship Id="rId336" Type="http://schemas.openxmlformats.org/officeDocument/2006/relationships/hyperlink" Target="https://polkadot.subsquare.io/referenda/721" TargetMode="External"/><Relationship Id="rId335" Type="http://schemas.openxmlformats.org/officeDocument/2006/relationships/hyperlink" Target="https://polkadot.subsquare.io/referenda/720" TargetMode="External"/><Relationship Id="rId339" Type="http://schemas.openxmlformats.org/officeDocument/2006/relationships/hyperlink" Target="https://polkadot.subsquare.io/referenda/728" TargetMode="External"/><Relationship Id="rId330" Type="http://schemas.openxmlformats.org/officeDocument/2006/relationships/hyperlink" Target="https://polkadot.subsquare.io/referenda/709" TargetMode="External"/><Relationship Id="rId2250" Type="http://schemas.openxmlformats.org/officeDocument/2006/relationships/hyperlink" Target="https://polkadot.subsquare.io/treasury/child-bounties/1894" TargetMode="External"/><Relationship Id="rId2251" Type="http://schemas.openxmlformats.org/officeDocument/2006/relationships/hyperlink" Target="https://polkadot.subsquare.io/treasury/child-bounties/1895" TargetMode="External"/><Relationship Id="rId2252" Type="http://schemas.openxmlformats.org/officeDocument/2006/relationships/hyperlink" Target="https://polkadot.subsquare.io/treasury/child-bounties/1897" TargetMode="External"/><Relationship Id="rId2253" Type="http://schemas.openxmlformats.org/officeDocument/2006/relationships/hyperlink" Target="https://polkadot.subsquare.io/treasury/child-bounties/1898" TargetMode="External"/><Relationship Id="rId334" Type="http://schemas.openxmlformats.org/officeDocument/2006/relationships/hyperlink" Target="https://polkadot.subsquare.io/referenda/719" TargetMode="External"/><Relationship Id="rId2254" Type="http://schemas.openxmlformats.org/officeDocument/2006/relationships/hyperlink" Target="https://polkadot.subsquare.io/treasury/child-bounties/1899" TargetMode="External"/><Relationship Id="rId333" Type="http://schemas.openxmlformats.org/officeDocument/2006/relationships/hyperlink" Target="https://polkadot.subsquare.io/referenda/717" TargetMode="External"/><Relationship Id="rId2255" Type="http://schemas.openxmlformats.org/officeDocument/2006/relationships/hyperlink" Target="https://polkadot.subsquare.io/treasury/child-bounties/1900" TargetMode="External"/><Relationship Id="rId332" Type="http://schemas.openxmlformats.org/officeDocument/2006/relationships/hyperlink" Target="https://polkadot.subsquare.io/referenda/715" TargetMode="External"/><Relationship Id="rId2256" Type="http://schemas.openxmlformats.org/officeDocument/2006/relationships/hyperlink" Target="https://polkadot.subsquare.io/treasury/child-bounties/1901" TargetMode="External"/><Relationship Id="rId331" Type="http://schemas.openxmlformats.org/officeDocument/2006/relationships/hyperlink" Target="https://polkadot.subsquare.io/referenda/711" TargetMode="External"/><Relationship Id="rId2257" Type="http://schemas.openxmlformats.org/officeDocument/2006/relationships/hyperlink" Target="https://polkadot.subsquare.io/treasury/child-bounties/1902" TargetMode="External"/><Relationship Id="rId370" Type="http://schemas.openxmlformats.org/officeDocument/2006/relationships/hyperlink" Target="https://polkadot.subsquare.io/referenda/797" TargetMode="External"/><Relationship Id="rId369" Type="http://schemas.openxmlformats.org/officeDocument/2006/relationships/hyperlink" Target="https://polkadot.subsquare.io/referenda/796" TargetMode="External"/><Relationship Id="rId368" Type="http://schemas.openxmlformats.org/officeDocument/2006/relationships/hyperlink" Target="https://polkadot.subsquare.io/referenda/793" TargetMode="External"/><Relationship Id="rId2280" Type="http://schemas.openxmlformats.org/officeDocument/2006/relationships/hyperlink" Target="https://polkadot.subsquare.io/treasury/child-bounties/1932" TargetMode="External"/><Relationship Id="rId2281" Type="http://schemas.openxmlformats.org/officeDocument/2006/relationships/hyperlink" Target="https://polkadot.subsquare.io/treasury/child-bounties/1933" TargetMode="External"/><Relationship Id="rId2282" Type="http://schemas.openxmlformats.org/officeDocument/2006/relationships/hyperlink" Target="https://polkadot.subsquare.io/treasury/child-bounties/1934" TargetMode="External"/><Relationship Id="rId363" Type="http://schemas.openxmlformats.org/officeDocument/2006/relationships/hyperlink" Target="https://polkadot.subsquare.io/referenda/778" TargetMode="External"/><Relationship Id="rId2283" Type="http://schemas.openxmlformats.org/officeDocument/2006/relationships/hyperlink" Target="https://polkadot.subsquare.io/treasury/child-bounties/1935" TargetMode="External"/><Relationship Id="rId362" Type="http://schemas.openxmlformats.org/officeDocument/2006/relationships/hyperlink" Target="https://polkadot.subsquare.io/referenda/776" TargetMode="External"/><Relationship Id="rId2284" Type="http://schemas.openxmlformats.org/officeDocument/2006/relationships/hyperlink" Target="https://polkadot.subsquare.io/treasury/child-bounties/1936" TargetMode="External"/><Relationship Id="rId361" Type="http://schemas.openxmlformats.org/officeDocument/2006/relationships/hyperlink" Target="https://polkadot.subsquare.io/referenda/773" TargetMode="External"/><Relationship Id="rId2285" Type="http://schemas.openxmlformats.org/officeDocument/2006/relationships/hyperlink" Target="https://polkadot.subsquare.io/treasury/child-bounties/1937" TargetMode="External"/><Relationship Id="rId360" Type="http://schemas.openxmlformats.org/officeDocument/2006/relationships/hyperlink" Target="https://polkadot.subsquare.io/referenda/772" TargetMode="External"/><Relationship Id="rId2286" Type="http://schemas.openxmlformats.org/officeDocument/2006/relationships/hyperlink" Target="https://polkadot.subsquare.io/treasury/child-bounties/1938" TargetMode="External"/><Relationship Id="rId367" Type="http://schemas.openxmlformats.org/officeDocument/2006/relationships/hyperlink" Target="https://polkadot.subsquare.io/referenda/792" TargetMode="External"/><Relationship Id="rId2287" Type="http://schemas.openxmlformats.org/officeDocument/2006/relationships/hyperlink" Target="https://polkadot.subsquare.io/treasury/child-bounties/1939" TargetMode="External"/><Relationship Id="rId366" Type="http://schemas.openxmlformats.org/officeDocument/2006/relationships/hyperlink" Target="https://polkadot.subsquare.io/referenda/789" TargetMode="External"/><Relationship Id="rId2288" Type="http://schemas.openxmlformats.org/officeDocument/2006/relationships/hyperlink" Target="https://polkadot.subsquare.io/treasury/child-bounties/1940" TargetMode="External"/><Relationship Id="rId365" Type="http://schemas.openxmlformats.org/officeDocument/2006/relationships/hyperlink" Target="https://polkadot.subsquare.io/referenda/783" TargetMode="External"/><Relationship Id="rId2289" Type="http://schemas.openxmlformats.org/officeDocument/2006/relationships/hyperlink" Target="https://polkadot.subsquare.io/treasury/child-bounties/1941" TargetMode="External"/><Relationship Id="rId364" Type="http://schemas.openxmlformats.org/officeDocument/2006/relationships/hyperlink" Target="https://polkadot.subsquare.io/referenda/779" TargetMode="External"/><Relationship Id="rId95" Type="http://schemas.openxmlformats.org/officeDocument/2006/relationships/hyperlink" Target="https://polkadot.subsquare.io/referenda/196" TargetMode="External"/><Relationship Id="rId94" Type="http://schemas.openxmlformats.org/officeDocument/2006/relationships/hyperlink" Target="https://polkadot.subsquare.io/referenda/194" TargetMode="External"/><Relationship Id="rId97" Type="http://schemas.openxmlformats.org/officeDocument/2006/relationships/hyperlink" Target="https://polkadot.subsquare.io/referenda/198" TargetMode="External"/><Relationship Id="rId96" Type="http://schemas.openxmlformats.org/officeDocument/2006/relationships/hyperlink" Target="https://polkadot.subsquare.io/referenda/197" TargetMode="External"/><Relationship Id="rId99" Type="http://schemas.openxmlformats.org/officeDocument/2006/relationships/hyperlink" Target="https://polkadot.subsquare.io/referenda/201" TargetMode="External"/><Relationship Id="rId98" Type="http://schemas.openxmlformats.org/officeDocument/2006/relationships/hyperlink" Target="https://polkadot.subsquare.io/referenda/200" TargetMode="External"/><Relationship Id="rId91" Type="http://schemas.openxmlformats.org/officeDocument/2006/relationships/hyperlink" Target="https://polkadot.subsquare.io/referenda/190" TargetMode="External"/><Relationship Id="rId90" Type="http://schemas.openxmlformats.org/officeDocument/2006/relationships/hyperlink" Target="https://polkadot.subsquare.io/referenda/187" TargetMode="External"/><Relationship Id="rId93" Type="http://schemas.openxmlformats.org/officeDocument/2006/relationships/hyperlink" Target="https://polkadot.subsquare.io/referenda/193" TargetMode="External"/><Relationship Id="rId92" Type="http://schemas.openxmlformats.org/officeDocument/2006/relationships/hyperlink" Target="https://polkadot.subsquare.io/referenda/191" TargetMode="External"/><Relationship Id="rId359" Type="http://schemas.openxmlformats.org/officeDocument/2006/relationships/hyperlink" Target="https://polkadot.subsquare.io/referenda/768" TargetMode="External"/><Relationship Id="rId358" Type="http://schemas.openxmlformats.org/officeDocument/2006/relationships/hyperlink" Target="https://polkadot.subsquare.io/referenda/767" TargetMode="External"/><Relationship Id="rId357" Type="http://schemas.openxmlformats.org/officeDocument/2006/relationships/hyperlink" Target="https://polkadot.subsquare.io/referenda/766" TargetMode="External"/><Relationship Id="rId2270" Type="http://schemas.openxmlformats.org/officeDocument/2006/relationships/hyperlink" Target="https://polkadot.subsquare.io/treasury/child-bounties/1922" TargetMode="External"/><Relationship Id="rId2271" Type="http://schemas.openxmlformats.org/officeDocument/2006/relationships/hyperlink" Target="https://polkadot.subsquare.io/treasury/child-bounties/1923" TargetMode="External"/><Relationship Id="rId352" Type="http://schemas.openxmlformats.org/officeDocument/2006/relationships/hyperlink" Target="https://polkadot.subsquare.io/referenda/760" TargetMode="External"/><Relationship Id="rId2272" Type="http://schemas.openxmlformats.org/officeDocument/2006/relationships/hyperlink" Target="https://polkadot.subsquare.io/treasury/child-bounties/1924" TargetMode="External"/><Relationship Id="rId351" Type="http://schemas.openxmlformats.org/officeDocument/2006/relationships/hyperlink" Target="https://polkadot.subsquare.io/referenda/759" TargetMode="External"/><Relationship Id="rId2273" Type="http://schemas.openxmlformats.org/officeDocument/2006/relationships/hyperlink" Target="https://polkadot.subsquare.io/treasury/child-bounties/1925" TargetMode="External"/><Relationship Id="rId350" Type="http://schemas.openxmlformats.org/officeDocument/2006/relationships/hyperlink" Target="https://polkadot.subsquare.io/referenda/756" TargetMode="External"/><Relationship Id="rId2274" Type="http://schemas.openxmlformats.org/officeDocument/2006/relationships/hyperlink" Target="https://polkadot.subsquare.io/treasury/child-bounties/1926" TargetMode="External"/><Relationship Id="rId2275" Type="http://schemas.openxmlformats.org/officeDocument/2006/relationships/hyperlink" Target="https://polkadot.subsquare.io/treasury/child-bounties/1927" TargetMode="External"/><Relationship Id="rId356" Type="http://schemas.openxmlformats.org/officeDocument/2006/relationships/hyperlink" Target="https://polkadot.subsquare.io/referenda/764" TargetMode="External"/><Relationship Id="rId2276" Type="http://schemas.openxmlformats.org/officeDocument/2006/relationships/hyperlink" Target="https://polkadot.subsquare.io/treasury/child-bounties/1928" TargetMode="External"/><Relationship Id="rId355" Type="http://schemas.openxmlformats.org/officeDocument/2006/relationships/hyperlink" Target="https://polkadot.subsquare.io/referenda/763" TargetMode="External"/><Relationship Id="rId2277" Type="http://schemas.openxmlformats.org/officeDocument/2006/relationships/hyperlink" Target="https://polkadot.subsquare.io/treasury/child-bounties/1929" TargetMode="External"/><Relationship Id="rId354" Type="http://schemas.openxmlformats.org/officeDocument/2006/relationships/hyperlink" Target="https://polkadot.subsquare.io/referenda/762" TargetMode="External"/><Relationship Id="rId2278" Type="http://schemas.openxmlformats.org/officeDocument/2006/relationships/hyperlink" Target="https://polkadot.subsquare.io/treasury/child-bounties/1930" TargetMode="External"/><Relationship Id="rId353" Type="http://schemas.openxmlformats.org/officeDocument/2006/relationships/hyperlink" Target="https://polkadot.subsquare.io/referenda/761" TargetMode="External"/><Relationship Id="rId2279" Type="http://schemas.openxmlformats.org/officeDocument/2006/relationships/hyperlink" Target="https://polkadot.subsquare.io/treasury/child-bounties/1931" TargetMode="External"/><Relationship Id="rId1378" Type="http://schemas.openxmlformats.org/officeDocument/2006/relationships/hyperlink" Target="https://polkadot.subsquare.io/treasury/child-bounties/943" TargetMode="External"/><Relationship Id="rId2225" Type="http://schemas.openxmlformats.org/officeDocument/2006/relationships/hyperlink" Target="https://polkadot.subsquare.io/treasury/child-bounties/1864" TargetMode="External"/><Relationship Id="rId1379" Type="http://schemas.openxmlformats.org/officeDocument/2006/relationships/hyperlink" Target="https://polkadot.subsquare.io/treasury/child-bounties/944" TargetMode="External"/><Relationship Id="rId2226" Type="http://schemas.openxmlformats.org/officeDocument/2006/relationships/hyperlink" Target="https://polkadot.subsquare.io/treasury/child-bounties/1865" TargetMode="External"/><Relationship Id="rId2227" Type="http://schemas.openxmlformats.org/officeDocument/2006/relationships/hyperlink" Target="https://polkadot.subsquare.io/treasury/child-bounties/1866" TargetMode="External"/><Relationship Id="rId2228" Type="http://schemas.openxmlformats.org/officeDocument/2006/relationships/hyperlink" Target="https://polkadot.subsquare.io/treasury/child-bounties/1868" TargetMode="External"/><Relationship Id="rId2229" Type="http://schemas.openxmlformats.org/officeDocument/2006/relationships/hyperlink" Target="https://polkadot.subsquare.io/treasury/child-bounties/1869" TargetMode="External"/><Relationship Id="rId305" Type="http://schemas.openxmlformats.org/officeDocument/2006/relationships/hyperlink" Target="https://polkadot.subsquare.io/referenda/659" TargetMode="External"/><Relationship Id="rId789" Type="http://schemas.openxmlformats.org/officeDocument/2006/relationships/hyperlink" Target="https://polkadot.subsquare.io/treasury/child-bounties/330" TargetMode="External"/><Relationship Id="rId304" Type="http://schemas.openxmlformats.org/officeDocument/2006/relationships/hyperlink" Target="https://polkadot.subsquare.io/referenda/657" TargetMode="External"/><Relationship Id="rId788" Type="http://schemas.openxmlformats.org/officeDocument/2006/relationships/hyperlink" Target="https://polkadot.subsquare.io/treasury/child-bounties/329" TargetMode="External"/><Relationship Id="rId303" Type="http://schemas.openxmlformats.org/officeDocument/2006/relationships/hyperlink" Target="https://polkadot.subsquare.io/referenda/656" TargetMode="External"/><Relationship Id="rId787" Type="http://schemas.openxmlformats.org/officeDocument/2006/relationships/hyperlink" Target="https://polkadot.subsquare.io/treasury/child-bounties/328" TargetMode="External"/><Relationship Id="rId302" Type="http://schemas.openxmlformats.org/officeDocument/2006/relationships/hyperlink" Target="https://polkadot.subsquare.io/referenda/654" TargetMode="External"/><Relationship Id="rId786" Type="http://schemas.openxmlformats.org/officeDocument/2006/relationships/hyperlink" Target="https://polkadot.subsquare.io/treasury/child-bounties/327" TargetMode="External"/><Relationship Id="rId309" Type="http://schemas.openxmlformats.org/officeDocument/2006/relationships/hyperlink" Target="https://polkadot.subsquare.io/referenda/666" TargetMode="External"/><Relationship Id="rId308" Type="http://schemas.openxmlformats.org/officeDocument/2006/relationships/hyperlink" Target="https://polkadot.subsquare.io/referenda/663" TargetMode="External"/><Relationship Id="rId307" Type="http://schemas.openxmlformats.org/officeDocument/2006/relationships/hyperlink" Target="https://polkadot.subsquare.io/referenda/662" TargetMode="External"/><Relationship Id="rId306" Type="http://schemas.openxmlformats.org/officeDocument/2006/relationships/hyperlink" Target="https://polkadot.subsquare.io/referenda/660" TargetMode="External"/><Relationship Id="rId781" Type="http://schemas.openxmlformats.org/officeDocument/2006/relationships/hyperlink" Target="https://polkadot.subsquare.io/treasury/child-bounties/322" TargetMode="External"/><Relationship Id="rId1370" Type="http://schemas.openxmlformats.org/officeDocument/2006/relationships/hyperlink" Target="https://polkadot.subsquare.io/treasury/child-bounties/935" TargetMode="External"/><Relationship Id="rId780" Type="http://schemas.openxmlformats.org/officeDocument/2006/relationships/hyperlink" Target="https://polkadot.subsquare.io/treasury/child-bounties/321" TargetMode="External"/><Relationship Id="rId1371" Type="http://schemas.openxmlformats.org/officeDocument/2006/relationships/hyperlink" Target="https://polkadot.subsquare.io/treasury/child-bounties/936" TargetMode="External"/><Relationship Id="rId1372" Type="http://schemas.openxmlformats.org/officeDocument/2006/relationships/hyperlink" Target="https://polkadot.subsquare.io/treasury/child-bounties/937" TargetMode="External"/><Relationship Id="rId1373" Type="http://schemas.openxmlformats.org/officeDocument/2006/relationships/hyperlink" Target="https://polkadot.subsquare.io/treasury/child-bounties/938" TargetMode="External"/><Relationship Id="rId2220" Type="http://schemas.openxmlformats.org/officeDocument/2006/relationships/hyperlink" Target="https://polkadot.subsquare.io/treasury/child-bounties/1858" TargetMode="External"/><Relationship Id="rId301" Type="http://schemas.openxmlformats.org/officeDocument/2006/relationships/hyperlink" Target="https://polkadot.subsquare.io/referenda/651" TargetMode="External"/><Relationship Id="rId785" Type="http://schemas.openxmlformats.org/officeDocument/2006/relationships/hyperlink" Target="https://polkadot.subsquare.io/treasury/child-bounties/326" TargetMode="External"/><Relationship Id="rId1374" Type="http://schemas.openxmlformats.org/officeDocument/2006/relationships/hyperlink" Target="https://polkadot.subsquare.io/treasury/child-bounties/939" TargetMode="External"/><Relationship Id="rId2221" Type="http://schemas.openxmlformats.org/officeDocument/2006/relationships/hyperlink" Target="https://polkadot.subsquare.io/treasury/child-bounties/1859" TargetMode="External"/><Relationship Id="rId300" Type="http://schemas.openxmlformats.org/officeDocument/2006/relationships/hyperlink" Target="https://polkadot.subsquare.io/referenda/644" TargetMode="External"/><Relationship Id="rId784" Type="http://schemas.openxmlformats.org/officeDocument/2006/relationships/hyperlink" Target="https://polkadot.subsquare.io/treasury/child-bounties/325" TargetMode="External"/><Relationship Id="rId1375" Type="http://schemas.openxmlformats.org/officeDocument/2006/relationships/hyperlink" Target="https://polkadot.subsquare.io/treasury/child-bounties/940" TargetMode="External"/><Relationship Id="rId2222" Type="http://schemas.openxmlformats.org/officeDocument/2006/relationships/hyperlink" Target="https://polkadot.subsquare.io/treasury/child-bounties/1861" TargetMode="External"/><Relationship Id="rId783" Type="http://schemas.openxmlformats.org/officeDocument/2006/relationships/hyperlink" Target="https://polkadot.subsquare.io/treasury/child-bounties/324" TargetMode="External"/><Relationship Id="rId1376" Type="http://schemas.openxmlformats.org/officeDocument/2006/relationships/hyperlink" Target="https://polkadot.subsquare.io/treasury/child-bounties/941" TargetMode="External"/><Relationship Id="rId2223" Type="http://schemas.openxmlformats.org/officeDocument/2006/relationships/hyperlink" Target="https://polkadot.subsquare.io/treasury/child-bounties/1862" TargetMode="External"/><Relationship Id="rId782" Type="http://schemas.openxmlformats.org/officeDocument/2006/relationships/hyperlink" Target="https://polkadot.subsquare.io/treasury/child-bounties/323" TargetMode="External"/><Relationship Id="rId1377" Type="http://schemas.openxmlformats.org/officeDocument/2006/relationships/hyperlink" Target="https://polkadot.subsquare.io/treasury/child-bounties/942" TargetMode="External"/><Relationship Id="rId2224" Type="http://schemas.openxmlformats.org/officeDocument/2006/relationships/hyperlink" Target="https://polkadot.subsquare.io/treasury/child-bounties/1863" TargetMode="External"/><Relationship Id="rId1367" Type="http://schemas.openxmlformats.org/officeDocument/2006/relationships/hyperlink" Target="https://polkadot.subsquare.io/treasury/child-bounties/932" TargetMode="External"/><Relationship Id="rId2214" Type="http://schemas.openxmlformats.org/officeDocument/2006/relationships/hyperlink" Target="https://polkadot.subsquare.io/treasury/child-bounties/1850" TargetMode="External"/><Relationship Id="rId1368" Type="http://schemas.openxmlformats.org/officeDocument/2006/relationships/hyperlink" Target="https://polkadot.subsquare.io/treasury/child-bounties/933" TargetMode="External"/><Relationship Id="rId2215" Type="http://schemas.openxmlformats.org/officeDocument/2006/relationships/hyperlink" Target="https://polkadot.subsquare.io/treasury/child-bounties/1852" TargetMode="External"/><Relationship Id="rId1369" Type="http://schemas.openxmlformats.org/officeDocument/2006/relationships/hyperlink" Target="https://polkadot.subsquare.io/treasury/child-bounties/934" TargetMode="External"/><Relationship Id="rId2216" Type="http://schemas.openxmlformats.org/officeDocument/2006/relationships/hyperlink" Target="https://polkadot.subsquare.io/treasury/child-bounties/1853" TargetMode="External"/><Relationship Id="rId2217" Type="http://schemas.openxmlformats.org/officeDocument/2006/relationships/hyperlink" Target="https://polkadot.subsquare.io/treasury/child-bounties/1854" TargetMode="External"/><Relationship Id="rId2218" Type="http://schemas.openxmlformats.org/officeDocument/2006/relationships/hyperlink" Target="https://polkadot.subsquare.io/treasury/child-bounties/1856" TargetMode="External"/><Relationship Id="rId2219" Type="http://schemas.openxmlformats.org/officeDocument/2006/relationships/hyperlink" Target="https://polkadot.subsquare.io/treasury/child-bounties/1857" TargetMode="External"/><Relationship Id="rId778" Type="http://schemas.openxmlformats.org/officeDocument/2006/relationships/hyperlink" Target="https://polkadot.subsquare.io/treasury/child-bounties/319" TargetMode="External"/><Relationship Id="rId777" Type="http://schemas.openxmlformats.org/officeDocument/2006/relationships/hyperlink" Target="https://polkadot.subsquare.io/treasury/child-bounties/318" TargetMode="External"/><Relationship Id="rId776" Type="http://schemas.openxmlformats.org/officeDocument/2006/relationships/hyperlink" Target="https://polkadot.subsquare.io/treasury/child-bounties/317" TargetMode="External"/><Relationship Id="rId775" Type="http://schemas.openxmlformats.org/officeDocument/2006/relationships/hyperlink" Target="https://polkadot.subsquare.io/treasury/child-bounties/316" TargetMode="External"/><Relationship Id="rId779" Type="http://schemas.openxmlformats.org/officeDocument/2006/relationships/hyperlink" Target="https://polkadot.subsquare.io/treasury/child-bounties/320" TargetMode="External"/><Relationship Id="rId770" Type="http://schemas.openxmlformats.org/officeDocument/2006/relationships/hyperlink" Target="https://polkadot.subsquare.io/treasury/child-bounties/311" TargetMode="External"/><Relationship Id="rId1360" Type="http://schemas.openxmlformats.org/officeDocument/2006/relationships/hyperlink" Target="https://polkadot.subsquare.io/treasury/child-bounties/925" TargetMode="External"/><Relationship Id="rId1361" Type="http://schemas.openxmlformats.org/officeDocument/2006/relationships/hyperlink" Target="https://polkadot.subsquare.io/treasury/child-bounties/926" TargetMode="External"/><Relationship Id="rId1362" Type="http://schemas.openxmlformats.org/officeDocument/2006/relationships/hyperlink" Target="https://polkadot.subsquare.io/treasury/child-bounties/927" TargetMode="External"/><Relationship Id="rId774" Type="http://schemas.openxmlformats.org/officeDocument/2006/relationships/hyperlink" Target="https://polkadot.subsquare.io/treasury/child-bounties/315" TargetMode="External"/><Relationship Id="rId1363" Type="http://schemas.openxmlformats.org/officeDocument/2006/relationships/hyperlink" Target="https://polkadot.subsquare.io/treasury/child-bounties/928" TargetMode="External"/><Relationship Id="rId2210" Type="http://schemas.openxmlformats.org/officeDocument/2006/relationships/hyperlink" Target="https://polkadot.subsquare.io/treasury/child-bounties/1846" TargetMode="External"/><Relationship Id="rId773" Type="http://schemas.openxmlformats.org/officeDocument/2006/relationships/hyperlink" Target="https://polkadot.subsquare.io/treasury/child-bounties/314" TargetMode="External"/><Relationship Id="rId1364" Type="http://schemas.openxmlformats.org/officeDocument/2006/relationships/hyperlink" Target="https://polkadot.subsquare.io/treasury/child-bounties/929" TargetMode="External"/><Relationship Id="rId2211" Type="http://schemas.openxmlformats.org/officeDocument/2006/relationships/hyperlink" Target="https://polkadot.subsquare.io/treasury/child-bounties/1847" TargetMode="External"/><Relationship Id="rId772" Type="http://schemas.openxmlformats.org/officeDocument/2006/relationships/hyperlink" Target="https://polkadot.subsquare.io/treasury/child-bounties/313" TargetMode="External"/><Relationship Id="rId1365" Type="http://schemas.openxmlformats.org/officeDocument/2006/relationships/hyperlink" Target="https://polkadot.subsquare.io/treasury/child-bounties/930" TargetMode="External"/><Relationship Id="rId2212" Type="http://schemas.openxmlformats.org/officeDocument/2006/relationships/hyperlink" Target="https://polkadot.subsquare.io/treasury/child-bounties/1848" TargetMode="External"/><Relationship Id="rId771" Type="http://schemas.openxmlformats.org/officeDocument/2006/relationships/hyperlink" Target="https://polkadot.subsquare.io/treasury/child-bounties/312" TargetMode="External"/><Relationship Id="rId1366" Type="http://schemas.openxmlformats.org/officeDocument/2006/relationships/hyperlink" Target="https://polkadot.subsquare.io/treasury/child-bounties/931" TargetMode="External"/><Relationship Id="rId2213" Type="http://schemas.openxmlformats.org/officeDocument/2006/relationships/hyperlink" Target="https://polkadot.subsquare.io/treasury/child-bounties/1849" TargetMode="External"/><Relationship Id="rId2247" Type="http://schemas.openxmlformats.org/officeDocument/2006/relationships/hyperlink" Target="https://polkadot.subsquare.io/treasury/child-bounties/1891" TargetMode="External"/><Relationship Id="rId2248" Type="http://schemas.openxmlformats.org/officeDocument/2006/relationships/hyperlink" Target="https://polkadot.subsquare.io/treasury/child-bounties/1892" TargetMode="External"/><Relationship Id="rId2249" Type="http://schemas.openxmlformats.org/officeDocument/2006/relationships/hyperlink" Target="https://polkadot.subsquare.io/treasury/child-bounties/1893" TargetMode="External"/><Relationship Id="rId327" Type="http://schemas.openxmlformats.org/officeDocument/2006/relationships/hyperlink" Target="https://polkadot.subsquare.io/referenda/699" TargetMode="External"/><Relationship Id="rId326" Type="http://schemas.openxmlformats.org/officeDocument/2006/relationships/hyperlink" Target="https://polkadot.subsquare.io/referenda/698" TargetMode="External"/><Relationship Id="rId325" Type="http://schemas.openxmlformats.org/officeDocument/2006/relationships/hyperlink" Target="https://polkadot.subsquare.io/referenda/695" TargetMode="External"/><Relationship Id="rId324" Type="http://schemas.openxmlformats.org/officeDocument/2006/relationships/hyperlink" Target="https://polkadot.subsquare.io/referenda/690" TargetMode="External"/><Relationship Id="rId329" Type="http://schemas.openxmlformats.org/officeDocument/2006/relationships/hyperlink" Target="https://polkadot.subsquare.io/referenda/703" TargetMode="External"/><Relationship Id="rId1390" Type="http://schemas.openxmlformats.org/officeDocument/2006/relationships/hyperlink" Target="https://polkadot.subsquare.io/treasury/child-bounties/955" TargetMode="External"/><Relationship Id="rId328" Type="http://schemas.openxmlformats.org/officeDocument/2006/relationships/hyperlink" Target="https://polkadot.subsquare.io/referenda/700" TargetMode="External"/><Relationship Id="rId1391" Type="http://schemas.openxmlformats.org/officeDocument/2006/relationships/hyperlink" Target="https://polkadot.subsquare.io/treasury/child-bounties/956" TargetMode="External"/><Relationship Id="rId1392" Type="http://schemas.openxmlformats.org/officeDocument/2006/relationships/hyperlink" Target="https://polkadot.subsquare.io/treasury/child-bounties/957" TargetMode="External"/><Relationship Id="rId1393" Type="http://schemas.openxmlformats.org/officeDocument/2006/relationships/hyperlink" Target="https://polkadot.subsquare.io/treasury/child-bounties/958" TargetMode="External"/><Relationship Id="rId2240" Type="http://schemas.openxmlformats.org/officeDocument/2006/relationships/hyperlink" Target="https://polkadot.subsquare.io/treasury/child-bounties/1884" TargetMode="External"/><Relationship Id="rId1394" Type="http://schemas.openxmlformats.org/officeDocument/2006/relationships/hyperlink" Target="https://polkadot.subsquare.io/treasury/child-bounties/959" TargetMode="External"/><Relationship Id="rId2241" Type="http://schemas.openxmlformats.org/officeDocument/2006/relationships/hyperlink" Target="https://polkadot.subsquare.io/treasury/child-bounties/1885" TargetMode="External"/><Relationship Id="rId1395" Type="http://schemas.openxmlformats.org/officeDocument/2006/relationships/hyperlink" Target="https://polkadot.subsquare.io/treasury/child-bounties/960" TargetMode="External"/><Relationship Id="rId2242" Type="http://schemas.openxmlformats.org/officeDocument/2006/relationships/hyperlink" Target="https://polkadot.subsquare.io/treasury/child-bounties/1886" TargetMode="External"/><Relationship Id="rId323" Type="http://schemas.openxmlformats.org/officeDocument/2006/relationships/hyperlink" Target="https://polkadot.subsquare.io/referenda/687" TargetMode="External"/><Relationship Id="rId1396" Type="http://schemas.openxmlformats.org/officeDocument/2006/relationships/hyperlink" Target="https://polkadot.subsquare.io/treasury/child-bounties/961" TargetMode="External"/><Relationship Id="rId2243" Type="http://schemas.openxmlformats.org/officeDocument/2006/relationships/hyperlink" Target="https://polkadot.subsquare.io/treasury/child-bounties/1887" TargetMode="External"/><Relationship Id="rId322" Type="http://schemas.openxmlformats.org/officeDocument/2006/relationships/hyperlink" Target="https://polkadot.subsquare.io/referenda/685" TargetMode="External"/><Relationship Id="rId1397" Type="http://schemas.openxmlformats.org/officeDocument/2006/relationships/hyperlink" Target="https://polkadot.subsquare.io/treasury/child-bounties/962" TargetMode="External"/><Relationship Id="rId2244" Type="http://schemas.openxmlformats.org/officeDocument/2006/relationships/hyperlink" Target="https://polkadot.subsquare.io/treasury/child-bounties/1888" TargetMode="External"/><Relationship Id="rId321" Type="http://schemas.openxmlformats.org/officeDocument/2006/relationships/hyperlink" Target="https://polkadot.subsquare.io/referenda/683" TargetMode="External"/><Relationship Id="rId1398" Type="http://schemas.openxmlformats.org/officeDocument/2006/relationships/hyperlink" Target="https://polkadot.subsquare.io/treasury/child-bounties/963" TargetMode="External"/><Relationship Id="rId2245" Type="http://schemas.openxmlformats.org/officeDocument/2006/relationships/hyperlink" Target="https://polkadot.subsquare.io/treasury/child-bounties/1889" TargetMode="External"/><Relationship Id="rId320" Type="http://schemas.openxmlformats.org/officeDocument/2006/relationships/hyperlink" Target="https://polkadot.subsquare.io/referenda/681" TargetMode="External"/><Relationship Id="rId1399" Type="http://schemas.openxmlformats.org/officeDocument/2006/relationships/hyperlink" Target="https://polkadot.subsquare.io/treasury/child-bounties/964" TargetMode="External"/><Relationship Id="rId2246" Type="http://schemas.openxmlformats.org/officeDocument/2006/relationships/hyperlink" Target="https://polkadot.subsquare.io/treasury/child-bounties/1890" TargetMode="External"/><Relationship Id="rId1389" Type="http://schemas.openxmlformats.org/officeDocument/2006/relationships/hyperlink" Target="https://polkadot.subsquare.io/treasury/child-bounties/954" TargetMode="External"/><Relationship Id="rId2236" Type="http://schemas.openxmlformats.org/officeDocument/2006/relationships/hyperlink" Target="https://polkadot.subsquare.io/treasury/child-bounties/1877" TargetMode="External"/><Relationship Id="rId2237" Type="http://schemas.openxmlformats.org/officeDocument/2006/relationships/hyperlink" Target="https://polkadot.subsquare.io/treasury/child-bounties/1878" TargetMode="External"/><Relationship Id="rId2238" Type="http://schemas.openxmlformats.org/officeDocument/2006/relationships/hyperlink" Target="https://polkadot.subsquare.io/treasury/child-bounties/1879" TargetMode="External"/><Relationship Id="rId2239" Type="http://schemas.openxmlformats.org/officeDocument/2006/relationships/hyperlink" Target="https://polkadot.subsquare.io/treasury/child-bounties/1883" TargetMode="External"/><Relationship Id="rId316" Type="http://schemas.openxmlformats.org/officeDocument/2006/relationships/hyperlink" Target="https://polkadot.subsquare.io/referenda/674" TargetMode="External"/><Relationship Id="rId315" Type="http://schemas.openxmlformats.org/officeDocument/2006/relationships/hyperlink" Target="https://polkadot.subsquare.io/referenda/673" TargetMode="External"/><Relationship Id="rId799" Type="http://schemas.openxmlformats.org/officeDocument/2006/relationships/hyperlink" Target="https://polkadot.subsquare.io/treasury/child-bounties/340" TargetMode="External"/><Relationship Id="rId314" Type="http://schemas.openxmlformats.org/officeDocument/2006/relationships/hyperlink" Target="https://polkadot.subsquare.io/referenda/672" TargetMode="External"/><Relationship Id="rId798" Type="http://schemas.openxmlformats.org/officeDocument/2006/relationships/hyperlink" Target="https://polkadot.subsquare.io/treasury/child-bounties/339" TargetMode="External"/><Relationship Id="rId313" Type="http://schemas.openxmlformats.org/officeDocument/2006/relationships/hyperlink" Target="https://polkadot.subsquare.io/referenda/671" TargetMode="External"/><Relationship Id="rId797" Type="http://schemas.openxmlformats.org/officeDocument/2006/relationships/hyperlink" Target="https://polkadot.subsquare.io/treasury/child-bounties/338" TargetMode="External"/><Relationship Id="rId319" Type="http://schemas.openxmlformats.org/officeDocument/2006/relationships/hyperlink" Target="https://polkadot.subsquare.io/referenda/677" TargetMode="External"/><Relationship Id="rId318" Type="http://schemas.openxmlformats.org/officeDocument/2006/relationships/hyperlink" Target="https://polkadot.subsquare.io/referenda/676" TargetMode="External"/><Relationship Id="rId317" Type="http://schemas.openxmlformats.org/officeDocument/2006/relationships/hyperlink" Target="https://polkadot.subsquare.io/referenda/675" TargetMode="External"/><Relationship Id="rId1380" Type="http://schemas.openxmlformats.org/officeDocument/2006/relationships/hyperlink" Target="https://polkadot.subsquare.io/treasury/child-bounties/945" TargetMode="External"/><Relationship Id="rId792" Type="http://schemas.openxmlformats.org/officeDocument/2006/relationships/hyperlink" Target="https://polkadot.subsquare.io/treasury/child-bounties/333" TargetMode="External"/><Relationship Id="rId1381" Type="http://schemas.openxmlformats.org/officeDocument/2006/relationships/hyperlink" Target="https://polkadot.subsquare.io/treasury/child-bounties/946" TargetMode="External"/><Relationship Id="rId791" Type="http://schemas.openxmlformats.org/officeDocument/2006/relationships/hyperlink" Target="https://polkadot.subsquare.io/treasury/child-bounties/332" TargetMode="External"/><Relationship Id="rId1382" Type="http://schemas.openxmlformats.org/officeDocument/2006/relationships/hyperlink" Target="https://polkadot.subsquare.io/treasury/child-bounties/947" TargetMode="External"/><Relationship Id="rId790" Type="http://schemas.openxmlformats.org/officeDocument/2006/relationships/hyperlink" Target="https://polkadot.subsquare.io/treasury/child-bounties/331" TargetMode="External"/><Relationship Id="rId1383" Type="http://schemas.openxmlformats.org/officeDocument/2006/relationships/hyperlink" Target="https://polkadot.subsquare.io/treasury/child-bounties/948" TargetMode="External"/><Relationship Id="rId2230" Type="http://schemas.openxmlformats.org/officeDocument/2006/relationships/hyperlink" Target="https://polkadot.subsquare.io/treasury/child-bounties/1870" TargetMode="External"/><Relationship Id="rId1384" Type="http://schemas.openxmlformats.org/officeDocument/2006/relationships/hyperlink" Target="https://polkadot.subsquare.io/treasury/child-bounties/949" TargetMode="External"/><Relationship Id="rId2231" Type="http://schemas.openxmlformats.org/officeDocument/2006/relationships/hyperlink" Target="https://polkadot.subsquare.io/treasury/child-bounties/1871" TargetMode="External"/><Relationship Id="rId312" Type="http://schemas.openxmlformats.org/officeDocument/2006/relationships/hyperlink" Target="https://polkadot.subsquare.io/referenda/670" TargetMode="External"/><Relationship Id="rId796" Type="http://schemas.openxmlformats.org/officeDocument/2006/relationships/hyperlink" Target="https://polkadot.subsquare.io/treasury/child-bounties/337" TargetMode="External"/><Relationship Id="rId1385" Type="http://schemas.openxmlformats.org/officeDocument/2006/relationships/hyperlink" Target="https://polkadot.subsquare.io/treasury/child-bounties/950" TargetMode="External"/><Relationship Id="rId2232" Type="http://schemas.openxmlformats.org/officeDocument/2006/relationships/hyperlink" Target="https://polkadot.subsquare.io/treasury/child-bounties/1872" TargetMode="External"/><Relationship Id="rId311" Type="http://schemas.openxmlformats.org/officeDocument/2006/relationships/hyperlink" Target="https://polkadot.subsquare.io/referenda/668" TargetMode="External"/><Relationship Id="rId795" Type="http://schemas.openxmlformats.org/officeDocument/2006/relationships/hyperlink" Target="https://polkadot.subsquare.io/treasury/child-bounties/336" TargetMode="External"/><Relationship Id="rId1386" Type="http://schemas.openxmlformats.org/officeDocument/2006/relationships/hyperlink" Target="https://polkadot.subsquare.io/treasury/child-bounties/951" TargetMode="External"/><Relationship Id="rId2233" Type="http://schemas.openxmlformats.org/officeDocument/2006/relationships/hyperlink" Target="https://polkadot.subsquare.io/treasury/child-bounties/1873" TargetMode="External"/><Relationship Id="rId310" Type="http://schemas.openxmlformats.org/officeDocument/2006/relationships/hyperlink" Target="https://polkadot.subsquare.io/referenda/667" TargetMode="External"/><Relationship Id="rId794" Type="http://schemas.openxmlformats.org/officeDocument/2006/relationships/hyperlink" Target="https://polkadot.subsquare.io/treasury/child-bounties/335" TargetMode="External"/><Relationship Id="rId1387" Type="http://schemas.openxmlformats.org/officeDocument/2006/relationships/hyperlink" Target="https://polkadot.subsquare.io/treasury/child-bounties/952" TargetMode="External"/><Relationship Id="rId2234" Type="http://schemas.openxmlformats.org/officeDocument/2006/relationships/hyperlink" Target="https://polkadot.subsquare.io/treasury/child-bounties/1875" TargetMode="External"/><Relationship Id="rId793" Type="http://schemas.openxmlformats.org/officeDocument/2006/relationships/hyperlink" Target="https://polkadot.subsquare.io/treasury/child-bounties/334" TargetMode="External"/><Relationship Id="rId1388" Type="http://schemas.openxmlformats.org/officeDocument/2006/relationships/hyperlink" Target="https://polkadot.subsquare.io/treasury/child-bounties/953" TargetMode="External"/><Relationship Id="rId2235" Type="http://schemas.openxmlformats.org/officeDocument/2006/relationships/hyperlink" Target="https://polkadot.subsquare.io/treasury/child-bounties/1876" TargetMode="External"/><Relationship Id="rId297" Type="http://schemas.openxmlformats.org/officeDocument/2006/relationships/hyperlink" Target="https://polkadot.subsquare.io/referenda/638" TargetMode="External"/><Relationship Id="rId296" Type="http://schemas.openxmlformats.org/officeDocument/2006/relationships/hyperlink" Target="https://polkadot.subsquare.io/referenda/634" TargetMode="External"/><Relationship Id="rId295" Type="http://schemas.openxmlformats.org/officeDocument/2006/relationships/hyperlink" Target="https://polkadot.subsquare.io/referenda/633" TargetMode="External"/><Relationship Id="rId294" Type="http://schemas.openxmlformats.org/officeDocument/2006/relationships/hyperlink" Target="https://polkadot.subsquare.io/referenda/632" TargetMode="External"/><Relationship Id="rId299" Type="http://schemas.openxmlformats.org/officeDocument/2006/relationships/hyperlink" Target="https://polkadot.subsquare.io/referenda/642" TargetMode="External"/><Relationship Id="rId298" Type="http://schemas.openxmlformats.org/officeDocument/2006/relationships/hyperlink" Target="https://polkadot.subsquare.io/referenda/641" TargetMode="External"/><Relationship Id="rId271" Type="http://schemas.openxmlformats.org/officeDocument/2006/relationships/hyperlink" Target="https://polkadot.subsquare.io/referenda/582" TargetMode="External"/><Relationship Id="rId270" Type="http://schemas.openxmlformats.org/officeDocument/2006/relationships/hyperlink" Target="https://polkadot.subsquare.io/referenda/580" TargetMode="External"/><Relationship Id="rId269" Type="http://schemas.openxmlformats.org/officeDocument/2006/relationships/hyperlink" Target="https://polkadot.subsquare.io/referenda/579" TargetMode="External"/><Relationship Id="rId264" Type="http://schemas.openxmlformats.org/officeDocument/2006/relationships/hyperlink" Target="https://polkadot.subsquare.io/referenda/569" TargetMode="External"/><Relationship Id="rId263" Type="http://schemas.openxmlformats.org/officeDocument/2006/relationships/hyperlink" Target="https://polkadot.subsquare.io/referenda/568" TargetMode="External"/><Relationship Id="rId262" Type="http://schemas.openxmlformats.org/officeDocument/2006/relationships/hyperlink" Target="https://polkadot.subsquare.io/referenda/567" TargetMode="External"/><Relationship Id="rId261" Type="http://schemas.openxmlformats.org/officeDocument/2006/relationships/hyperlink" Target="https://polkadot.subsquare.io/referenda/561" TargetMode="External"/><Relationship Id="rId268" Type="http://schemas.openxmlformats.org/officeDocument/2006/relationships/hyperlink" Target="https://polkadot.subsquare.io/referenda/578" TargetMode="External"/><Relationship Id="rId267" Type="http://schemas.openxmlformats.org/officeDocument/2006/relationships/hyperlink" Target="https://polkadot.subsquare.io/referenda/576" TargetMode="External"/><Relationship Id="rId266" Type="http://schemas.openxmlformats.org/officeDocument/2006/relationships/hyperlink" Target="https://polkadot.subsquare.io/referenda/573" TargetMode="External"/><Relationship Id="rId265" Type="http://schemas.openxmlformats.org/officeDocument/2006/relationships/hyperlink" Target="https://polkadot.subsquare.io/referenda/571" TargetMode="External"/><Relationship Id="rId260" Type="http://schemas.openxmlformats.org/officeDocument/2006/relationships/hyperlink" Target="https://polkadot.subsquare.io/referenda/559" TargetMode="External"/><Relationship Id="rId259" Type="http://schemas.openxmlformats.org/officeDocument/2006/relationships/hyperlink" Target="https://polkadot.subsquare.io/referenda/555" TargetMode="External"/><Relationship Id="rId258" Type="http://schemas.openxmlformats.org/officeDocument/2006/relationships/hyperlink" Target="https://polkadot.subsquare.io/referenda/554" TargetMode="External"/><Relationship Id="rId2290" Type="http://schemas.openxmlformats.org/officeDocument/2006/relationships/hyperlink" Target="https://polkadot.subsquare.io/treasury/child-bounties/1942" TargetMode="External"/><Relationship Id="rId2291" Type="http://schemas.openxmlformats.org/officeDocument/2006/relationships/hyperlink" Target="https://polkadot.subsquare.io/treasury/child-bounties/1943" TargetMode="External"/><Relationship Id="rId2292" Type="http://schemas.openxmlformats.org/officeDocument/2006/relationships/hyperlink" Target="https://polkadot.subsquare.io/treasury/child-bounties/1944" TargetMode="External"/><Relationship Id="rId2293" Type="http://schemas.openxmlformats.org/officeDocument/2006/relationships/hyperlink" Target="https://polkadot.subsquare.io/treasury/child-bounties/1945" TargetMode="External"/><Relationship Id="rId253" Type="http://schemas.openxmlformats.org/officeDocument/2006/relationships/hyperlink" Target="https://polkadot.subsquare.io/referenda/539" TargetMode="External"/><Relationship Id="rId2294" Type="http://schemas.openxmlformats.org/officeDocument/2006/relationships/hyperlink" Target="https://polkadot.subsquare.io/treasury/child-bounties/1946" TargetMode="External"/><Relationship Id="rId252" Type="http://schemas.openxmlformats.org/officeDocument/2006/relationships/hyperlink" Target="https://polkadot.subsquare.io/referenda/538" TargetMode="External"/><Relationship Id="rId2295" Type="http://schemas.openxmlformats.org/officeDocument/2006/relationships/hyperlink" Target="https://polkadot.subsquare.io/treasury/child-bounties/1947" TargetMode="External"/><Relationship Id="rId251" Type="http://schemas.openxmlformats.org/officeDocument/2006/relationships/hyperlink" Target="https://polkadot.subsquare.io/referenda/527" TargetMode="External"/><Relationship Id="rId2296" Type="http://schemas.openxmlformats.org/officeDocument/2006/relationships/hyperlink" Target="https://polkadot.subsquare.io/treasury/child-bounties/1948" TargetMode="External"/><Relationship Id="rId250" Type="http://schemas.openxmlformats.org/officeDocument/2006/relationships/hyperlink" Target="https://polkadot.subsquare.io/referenda/520" TargetMode="External"/><Relationship Id="rId2297" Type="http://schemas.openxmlformats.org/officeDocument/2006/relationships/hyperlink" Target="https://polkadot.subsquare.io/treasury/child-bounties/1949" TargetMode="External"/><Relationship Id="rId257" Type="http://schemas.openxmlformats.org/officeDocument/2006/relationships/hyperlink" Target="https://polkadot.subsquare.io/referenda/552" TargetMode="External"/><Relationship Id="rId2298" Type="http://schemas.openxmlformats.org/officeDocument/2006/relationships/hyperlink" Target="https://polkadot.subsquare.io/treasury/child-bounties/1950" TargetMode="External"/><Relationship Id="rId256" Type="http://schemas.openxmlformats.org/officeDocument/2006/relationships/hyperlink" Target="https://polkadot.subsquare.io/referenda/544" TargetMode="External"/><Relationship Id="rId2299" Type="http://schemas.openxmlformats.org/officeDocument/2006/relationships/hyperlink" Target="https://polkadot.subsquare.io/treasury/child-bounties/1951" TargetMode="External"/><Relationship Id="rId255" Type="http://schemas.openxmlformats.org/officeDocument/2006/relationships/hyperlink" Target="https://polkadot.subsquare.io/referenda/542" TargetMode="External"/><Relationship Id="rId254" Type="http://schemas.openxmlformats.org/officeDocument/2006/relationships/hyperlink" Target="https://polkadot.subsquare.io/referenda/541" TargetMode="External"/><Relationship Id="rId293" Type="http://schemas.openxmlformats.org/officeDocument/2006/relationships/hyperlink" Target="https://polkadot.subsquare.io/referenda/631" TargetMode="External"/><Relationship Id="rId292" Type="http://schemas.openxmlformats.org/officeDocument/2006/relationships/hyperlink" Target="https://polkadot.subsquare.io/referenda/629" TargetMode="External"/><Relationship Id="rId291" Type="http://schemas.openxmlformats.org/officeDocument/2006/relationships/hyperlink" Target="https://polkadot.subsquare.io/referenda/628" TargetMode="External"/><Relationship Id="rId290" Type="http://schemas.openxmlformats.org/officeDocument/2006/relationships/hyperlink" Target="https://polkadot.subsquare.io/referenda/627" TargetMode="External"/><Relationship Id="rId286" Type="http://schemas.openxmlformats.org/officeDocument/2006/relationships/hyperlink" Target="https://polkadot.subsquare.io/referenda/618" TargetMode="External"/><Relationship Id="rId285" Type="http://schemas.openxmlformats.org/officeDocument/2006/relationships/hyperlink" Target="https://polkadot.subsquare.io/referenda/617" TargetMode="External"/><Relationship Id="rId284" Type="http://schemas.openxmlformats.org/officeDocument/2006/relationships/hyperlink" Target="https://polkadot.subsquare.io/referenda/616" TargetMode="External"/><Relationship Id="rId283" Type="http://schemas.openxmlformats.org/officeDocument/2006/relationships/hyperlink" Target="https://polkadot.subsquare.io/referenda/613" TargetMode="External"/><Relationship Id="rId289" Type="http://schemas.openxmlformats.org/officeDocument/2006/relationships/hyperlink" Target="https://polkadot.subsquare.io/referenda/622" TargetMode="External"/><Relationship Id="rId288" Type="http://schemas.openxmlformats.org/officeDocument/2006/relationships/hyperlink" Target="https://polkadot.subsquare.io/referenda/621" TargetMode="External"/><Relationship Id="rId287" Type="http://schemas.openxmlformats.org/officeDocument/2006/relationships/hyperlink" Target="https://polkadot.subsquare.io/referenda/619" TargetMode="External"/><Relationship Id="rId282" Type="http://schemas.openxmlformats.org/officeDocument/2006/relationships/hyperlink" Target="https://polkadot.subsquare.io/referenda/611" TargetMode="External"/><Relationship Id="rId281" Type="http://schemas.openxmlformats.org/officeDocument/2006/relationships/hyperlink" Target="https://polkadot.subsquare.io/referenda/610" TargetMode="External"/><Relationship Id="rId280" Type="http://schemas.openxmlformats.org/officeDocument/2006/relationships/hyperlink" Target="https://polkadot.subsquare.io/referenda/601" TargetMode="External"/><Relationship Id="rId275" Type="http://schemas.openxmlformats.org/officeDocument/2006/relationships/hyperlink" Target="https://polkadot.subsquare.io/referenda/589" TargetMode="External"/><Relationship Id="rId274" Type="http://schemas.openxmlformats.org/officeDocument/2006/relationships/hyperlink" Target="https://polkadot.subsquare.io/referenda/588" TargetMode="External"/><Relationship Id="rId273" Type="http://schemas.openxmlformats.org/officeDocument/2006/relationships/hyperlink" Target="https://polkadot.subsquare.io/referenda/585" TargetMode="External"/><Relationship Id="rId272" Type="http://schemas.openxmlformats.org/officeDocument/2006/relationships/hyperlink" Target="https://polkadot.subsquare.io/referenda/584" TargetMode="External"/><Relationship Id="rId279" Type="http://schemas.openxmlformats.org/officeDocument/2006/relationships/hyperlink" Target="https://polkadot.subsquare.io/referenda/600" TargetMode="External"/><Relationship Id="rId278" Type="http://schemas.openxmlformats.org/officeDocument/2006/relationships/hyperlink" Target="https://polkadot.subsquare.io/referenda/599" TargetMode="External"/><Relationship Id="rId277" Type="http://schemas.openxmlformats.org/officeDocument/2006/relationships/hyperlink" Target="https://polkadot.subsquare.io/referenda/597" TargetMode="External"/><Relationship Id="rId276" Type="http://schemas.openxmlformats.org/officeDocument/2006/relationships/hyperlink" Target="https://polkadot.subsquare.io/referenda/591" TargetMode="External"/><Relationship Id="rId1851" Type="http://schemas.openxmlformats.org/officeDocument/2006/relationships/hyperlink" Target="https://polkadot.subsquare.io/treasury/child-bounties/1428" TargetMode="External"/><Relationship Id="rId1852" Type="http://schemas.openxmlformats.org/officeDocument/2006/relationships/hyperlink" Target="https://polkadot.subsquare.io/treasury/child-bounties/1429" TargetMode="External"/><Relationship Id="rId1853" Type="http://schemas.openxmlformats.org/officeDocument/2006/relationships/hyperlink" Target="https://polkadot.subsquare.io/treasury/child-bounties/1430" TargetMode="External"/><Relationship Id="rId1854" Type="http://schemas.openxmlformats.org/officeDocument/2006/relationships/hyperlink" Target="https://polkadot.subsquare.io/treasury/child-bounties/1432" TargetMode="External"/><Relationship Id="rId1855" Type="http://schemas.openxmlformats.org/officeDocument/2006/relationships/hyperlink" Target="https://polkadot.subsquare.io/treasury/child-bounties/1433" TargetMode="External"/><Relationship Id="rId1856" Type="http://schemas.openxmlformats.org/officeDocument/2006/relationships/hyperlink" Target="https://polkadot.subsquare.io/treasury/child-bounties/1434" TargetMode="External"/><Relationship Id="rId1857" Type="http://schemas.openxmlformats.org/officeDocument/2006/relationships/hyperlink" Target="https://polkadot.subsquare.io/treasury/child-bounties/1435" TargetMode="External"/><Relationship Id="rId1858" Type="http://schemas.openxmlformats.org/officeDocument/2006/relationships/hyperlink" Target="https://polkadot.subsquare.io/treasury/child-bounties/1436" TargetMode="External"/><Relationship Id="rId1859" Type="http://schemas.openxmlformats.org/officeDocument/2006/relationships/hyperlink" Target="https://polkadot.subsquare.io/treasury/child-bounties/1437" TargetMode="External"/><Relationship Id="rId1850" Type="http://schemas.openxmlformats.org/officeDocument/2006/relationships/hyperlink" Target="https://polkadot.subsquare.io/treasury/child-bounties/1427" TargetMode="External"/><Relationship Id="rId1840" Type="http://schemas.openxmlformats.org/officeDocument/2006/relationships/hyperlink" Target="https://polkadot.subsquare.io/treasury/child-bounties/1416" TargetMode="External"/><Relationship Id="rId1841" Type="http://schemas.openxmlformats.org/officeDocument/2006/relationships/hyperlink" Target="https://polkadot.subsquare.io/treasury/child-bounties/1417" TargetMode="External"/><Relationship Id="rId1842" Type="http://schemas.openxmlformats.org/officeDocument/2006/relationships/hyperlink" Target="https://polkadot.subsquare.io/treasury/child-bounties/1418" TargetMode="External"/><Relationship Id="rId1843" Type="http://schemas.openxmlformats.org/officeDocument/2006/relationships/hyperlink" Target="https://polkadot.subsquare.io/treasury/child-bounties/1419" TargetMode="External"/><Relationship Id="rId1844" Type="http://schemas.openxmlformats.org/officeDocument/2006/relationships/hyperlink" Target="https://polkadot.subsquare.io/treasury/child-bounties/1420" TargetMode="External"/><Relationship Id="rId1845" Type="http://schemas.openxmlformats.org/officeDocument/2006/relationships/hyperlink" Target="https://polkadot.subsquare.io/treasury/child-bounties/1421" TargetMode="External"/><Relationship Id="rId1846" Type="http://schemas.openxmlformats.org/officeDocument/2006/relationships/hyperlink" Target="https://polkadot.subsquare.io/treasury/child-bounties/1422" TargetMode="External"/><Relationship Id="rId1847" Type="http://schemas.openxmlformats.org/officeDocument/2006/relationships/hyperlink" Target="https://polkadot.subsquare.io/treasury/child-bounties/1423" TargetMode="External"/><Relationship Id="rId1848" Type="http://schemas.openxmlformats.org/officeDocument/2006/relationships/hyperlink" Target="https://polkadot.subsquare.io/treasury/child-bounties/1424" TargetMode="External"/><Relationship Id="rId1849" Type="http://schemas.openxmlformats.org/officeDocument/2006/relationships/hyperlink" Target="https://polkadot.subsquare.io/treasury/child-bounties/1425" TargetMode="External"/><Relationship Id="rId1873" Type="http://schemas.openxmlformats.org/officeDocument/2006/relationships/hyperlink" Target="https://polkadot.subsquare.io/treasury/child-bounties/1451" TargetMode="External"/><Relationship Id="rId1874" Type="http://schemas.openxmlformats.org/officeDocument/2006/relationships/hyperlink" Target="https://polkadot.subsquare.io/treasury/child-bounties/1452" TargetMode="External"/><Relationship Id="rId1875" Type="http://schemas.openxmlformats.org/officeDocument/2006/relationships/hyperlink" Target="https://polkadot.subsquare.io/treasury/child-bounties/1453" TargetMode="External"/><Relationship Id="rId1876" Type="http://schemas.openxmlformats.org/officeDocument/2006/relationships/hyperlink" Target="https://polkadot.subsquare.io/treasury/child-bounties/1454" TargetMode="External"/><Relationship Id="rId1877" Type="http://schemas.openxmlformats.org/officeDocument/2006/relationships/hyperlink" Target="https://polkadot.subsquare.io/treasury/child-bounties/1455" TargetMode="External"/><Relationship Id="rId1878" Type="http://schemas.openxmlformats.org/officeDocument/2006/relationships/hyperlink" Target="https://polkadot.subsquare.io/treasury/child-bounties/1456" TargetMode="External"/><Relationship Id="rId1879" Type="http://schemas.openxmlformats.org/officeDocument/2006/relationships/hyperlink" Target="https://polkadot.subsquare.io/treasury/child-bounties/1457" TargetMode="External"/><Relationship Id="rId1870" Type="http://schemas.openxmlformats.org/officeDocument/2006/relationships/hyperlink" Target="https://polkadot.subsquare.io/treasury/child-bounties/1448" TargetMode="External"/><Relationship Id="rId1871" Type="http://schemas.openxmlformats.org/officeDocument/2006/relationships/hyperlink" Target="https://polkadot.subsquare.io/treasury/child-bounties/1449" TargetMode="External"/><Relationship Id="rId1872" Type="http://schemas.openxmlformats.org/officeDocument/2006/relationships/hyperlink" Target="https://polkadot.subsquare.io/treasury/child-bounties/1450" TargetMode="External"/><Relationship Id="rId1862" Type="http://schemas.openxmlformats.org/officeDocument/2006/relationships/hyperlink" Target="https://polkadot.subsquare.io/treasury/child-bounties/1440" TargetMode="External"/><Relationship Id="rId1863" Type="http://schemas.openxmlformats.org/officeDocument/2006/relationships/hyperlink" Target="https://polkadot.subsquare.io/treasury/child-bounties/1441" TargetMode="External"/><Relationship Id="rId1864" Type="http://schemas.openxmlformats.org/officeDocument/2006/relationships/hyperlink" Target="https://polkadot.subsquare.io/treasury/child-bounties/1442" TargetMode="External"/><Relationship Id="rId1865" Type="http://schemas.openxmlformats.org/officeDocument/2006/relationships/hyperlink" Target="https://polkadot.subsquare.io/treasury/child-bounties/1443" TargetMode="External"/><Relationship Id="rId1866" Type="http://schemas.openxmlformats.org/officeDocument/2006/relationships/hyperlink" Target="https://polkadot.subsquare.io/treasury/child-bounties/1444" TargetMode="External"/><Relationship Id="rId1867" Type="http://schemas.openxmlformats.org/officeDocument/2006/relationships/hyperlink" Target="https://polkadot.subsquare.io/treasury/child-bounties/1445" TargetMode="External"/><Relationship Id="rId1868" Type="http://schemas.openxmlformats.org/officeDocument/2006/relationships/hyperlink" Target="https://polkadot.subsquare.io/treasury/child-bounties/1446" TargetMode="External"/><Relationship Id="rId1869" Type="http://schemas.openxmlformats.org/officeDocument/2006/relationships/hyperlink" Target="https://polkadot.subsquare.io/treasury/child-bounties/1447" TargetMode="External"/><Relationship Id="rId1860" Type="http://schemas.openxmlformats.org/officeDocument/2006/relationships/hyperlink" Target="https://polkadot.subsquare.io/treasury/child-bounties/1438" TargetMode="External"/><Relationship Id="rId1861" Type="http://schemas.openxmlformats.org/officeDocument/2006/relationships/hyperlink" Target="https://polkadot.subsquare.io/treasury/child-bounties/1439" TargetMode="External"/><Relationship Id="rId1810" Type="http://schemas.openxmlformats.org/officeDocument/2006/relationships/hyperlink" Target="https://polkadot.subsquare.io/treasury/child-bounties/1386" TargetMode="External"/><Relationship Id="rId1811" Type="http://schemas.openxmlformats.org/officeDocument/2006/relationships/hyperlink" Target="https://polkadot.subsquare.io/treasury/child-bounties/1387" TargetMode="External"/><Relationship Id="rId1812" Type="http://schemas.openxmlformats.org/officeDocument/2006/relationships/hyperlink" Target="https://polkadot.subsquare.io/treasury/child-bounties/1388" TargetMode="External"/><Relationship Id="rId1813" Type="http://schemas.openxmlformats.org/officeDocument/2006/relationships/hyperlink" Target="https://polkadot.subsquare.io/treasury/child-bounties/1389" TargetMode="External"/><Relationship Id="rId1814" Type="http://schemas.openxmlformats.org/officeDocument/2006/relationships/hyperlink" Target="https://polkadot.subsquare.io/treasury/child-bounties/1390" TargetMode="External"/><Relationship Id="rId1815" Type="http://schemas.openxmlformats.org/officeDocument/2006/relationships/hyperlink" Target="https://polkadot.subsquare.io/treasury/child-bounties/1391" TargetMode="External"/><Relationship Id="rId1816" Type="http://schemas.openxmlformats.org/officeDocument/2006/relationships/hyperlink" Target="https://polkadot.subsquare.io/treasury/child-bounties/1392" TargetMode="External"/><Relationship Id="rId1817" Type="http://schemas.openxmlformats.org/officeDocument/2006/relationships/hyperlink" Target="https://polkadot.subsquare.io/treasury/child-bounties/1393" TargetMode="External"/><Relationship Id="rId1818" Type="http://schemas.openxmlformats.org/officeDocument/2006/relationships/hyperlink" Target="https://polkadot.subsquare.io/treasury/child-bounties/1394" TargetMode="External"/><Relationship Id="rId1819" Type="http://schemas.openxmlformats.org/officeDocument/2006/relationships/hyperlink" Target="https://polkadot.subsquare.io/treasury/child-bounties/1395" TargetMode="External"/><Relationship Id="rId1800" Type="http://schemas.openxmlformats.org/officeDocument/2006/relationships/hyperlink" Target="https://polkadot.subsquare.io/treasury/child-bounties/1376" TargetMode="External"/><Relationship Id="rId1801" Type="http://schemas.openxmlformats.org/officeDocument/2006/relationships/hyperlink" Target="https://polkadot.subsquare.io/treasury/child-bounties/1377" TargetMode="External"/><Relationship Id="rId1802" Type="http://schemas.openxmlformats.org/officeDocument/2006/relationships/hyperlink" Target="https://polkadot.subsquare.io/treasury/child-bounties/1378" TargetMode="External"/><Relationship Id="rId1803" Type="http://schemas.openxmlformats.org/officeDocument/2006/relationships/hyperlink" Target="https://polkadot.subsquare.io/treasury/child-bounties/1379" TargetMode="External"/><Relationship Id="rId1804" Type="http://schemas.openxmlformats.org/officeDocument/2006/relationships/hyperlink" Target="https://polkadot.subsquare.io/treasury/child-bounties/1380" TargetMode="External"/><Relationship Id="rId1805" Type="http://schemas.openxmlformats.org/officeDocument/2006/relationships/hyperlink" Target="https://polkadot.subsquare.io/treasury/child-bounties/1381" TargetMode="External"/><Relationship Id="rId1806" Type="http://schemas.openxmlformats.org/officeDocument/2006/relationships/hyperlink" Target="https://polkadot.subsquare.io/treasury/child-bounties/1382" TargetMode="External"/><Relationship Id="rId1807" Type="http://schemas.openxmlformats.org/officeDocument/2006/relationships/hyperlink" Target="https://polkadot.subsquare.io/treasury/child-bounties/1383" TargetMode="External"/><Relationship Id="rId1808" Type="http://schemas.openxmlformats.org/officeDocument/2006/relationships/hyperlink" Target="https://polkadot.subsquare.io/treasury/child-bounties/1384" TargetMode="External"/><Relationship Id="rId1809" Type="http://schemas.openxmlformats.org/officeDocument/2006/relationships/hyperlink" Target="https://polkadot.subsquare.io/treasury/child-bounties/1385" TargetMode="External"/><Relationship Id="rId1830" Type="http://schemas.openxmlformats.org/officeDocument/2006/relationships/hyperlink" Target="https://polkadot.subsquare.io/treasury/child-bounties/1406" TargetMode="External"/><Relationship Id="rId1831" Type="http://schemas.openxmlformats.org/officeDocument/2006/relationships/hyperlink" Target="https://polkadot.subsquare.io/treasury/child-bounties/1407" TargetMode="External"/><Relationship Id="rId1832" Type="http://schemas.openxmlformats.org/officeDocument/2006/relationships/hyperlink" Target="https://polkadot.subsquare.io/treasury/child-bounties/1408" TargetMode="External"/><Relationship Id="rId1833" Type="http://schemas.openxmlformats.org/officeDocument/2006/relationships/hyperlink" Target="https://polkadot.subsquare.io/treasury/child-bounties/1409" TargetMode="External"/><Relationship Id="rId1834" Type="http://schemas.openxmlformats.org/officeDocument/2006/relationships/hyperlink" Target="https://polkadot.subsquare.io/treasury/child-bounties/1410" TargetMode="External"/><Relationship Id="rId1835" Type="http://schemas.openxmlformats.org/officeDocument/2006/relationships/hyperlink" Target="https://polkadot.subsquare.io/treasury/child-bounties/1411" TargetMode="External"/><Relationship Id="rId1836" Type="http://schemas.openxmlformats.org/officeDocument/2006/relationships/hyperlink" Target="https://polkadot.subsquare.io/treasury/child-bounties/1412" TargetMode="External"/><Relationship Id="rId1837" Type="http://schemas.openxmlformats.org/officeDocument/2006/relationships/hyperlink" Target="https://polkadot.subsquare.io/treasury/child-bounties/1413" TargetMode="External"/><Relationship Id="rId1838" Type="http://schemas.openxmlformats.org/officeDocument/2006/relationships/hyperlink" Target="https://polkadot.subsquare.io/treasury/child-bounties/1414" TargetMode="External"/><Relationship Id="rId1839" Type="http://schemas.openxmlformats.org/officeDocument/2006/relationships/hyperlink" Target="https://polkadot.subsquare.io/treasury/child-bounties/1415" TargetMode="External"/><Relationship Id="rId1820" Type="http://schemas.openxmlformats.org/officeDocument/2006/relationships/hyperlink" Target="https://polkadot.subsquare.io/treasury/child-bounties/1396" TargetMode="External"/><Relationship Id="rId1821" Type="http://schemas.openxmlformats.org/officeDocument/2006/relationships/hyperlink" Target="https://polkadot.subsquare.io/treasury/child-bounties/1397" TargetMode="External"/><Relationship Id="rId1822" Type="http://schemas.openxmlformats.org/officeDocument/2006/relationships/hyperlink" Target="https://polkadot.subsquare.io/treasury/child-bounties/1398" TargetMode="External"/><Relationship Id="rId1823" Type="http://schemas.openxmlformats.org/officeDocument/2006/relationships/hyperlink" Target="https://polkadot.subsquare.io/treasury/child-bounties/1399" TargetMode="External"/><Relationship Id="rId1824" Type="http://schemas.openxmlformats.org/officeDocument/2006/relationships/hyperlink" Target="https://polkadot.subsquare.io/treasury/child-bounties/1400" TargetMode="External"/><Relationship Id="rId1825" Type="http://schemas.openxmlformats.org/officeDocument/2006/relationships/hyperlink" Target="https://polkadot.subsquare.io/treasury/child-bounties/1401" TargetMode="External"/><Relationship Id="rId1826" Type="http://schemas.openxmlformats.org/officeDocument/2006/relationships/hyperlink" Target="https://polkadot.subsquare.io/treasury/child-bounties/1402" TargetMode="External"/><Relationship Id="rId1827" Type="http://schemas.openxmlformats.org/officeDocument/2006/relationships/hyperlink" Target="https://polkadot.subsquare.io/treasury/child-bounties/1403" TargetMode="External"/><Relationship Id="rId1828" Type="http://schemas.openxmlformats.org/officeDocument/2006/relationships/hyperlink" Target="https://polkadot.subsquare.io/treasury/child-bounties/1404" TargetMode="External"/><Relationship Id="rId1829" Type="http://schemas.openxmlformats.org/officeDocument/2006/relationships/hyperlink" Target="https://polkadot.subsquare.io/treasury/child-bounties/1405" TargetMode="External"/><Relationship Id="rId1455" Type="http://schemas.openxmlformats.org/officeDocument/2006/relationships/hyperlink" Target="https://polkadot.subsquare.io/treasury/child-bounties/1022" TargetMode="External"/><Relationship Id="rId2302" Type="http://schemas.openxmlformats.org/officeDocument/2006/relationships/hyperlink" Target="https://polkadot.subsquare.io/treasury/child-bounties/1954" TargetMode="External"/><Relationship Id="rId1456" Type="http://schemas.openxmlformats.org/officeDocument/2006/relationships/hyperlink" Target="https://polkadot.subsquare.io/treasury/child-bounties/1023" TargetMode="External"/><Relationship Id="rId2303" Type="http://schemas.openxmlformats.org/officeDocument/2006/relationships/hyperlink" Target="https://polkadot.subsquare.io/treasury/child-bounties/1955" TargetMode="External"/><Relationship Id="rId1457" Type="http://schemas.openxmlformats.org/officeDocument/2006/relationships/hyperlink" Target="https://polkadot.subsquare.io/treasury/child-bounties/1024" TargetMode="External"/><Relationship Id="rId2304" Type="http://schemas.openxmlformats.org/officeDocument/2006/relationships/hyperlink" Target="https://polkadot.subsquare.io/treasury/child-bounties/1956" TargetMode="External"/><Relationship Id="rId1458" Type="http://schemas.openxmlformats.org/officeDocument/2006/relationships/hyperlink" Target="https://polkadot.subsquare.io/treasury/child-bounties/1025" TargetMode="External"/><Relationship Id="rId2305" Type="http://schemas.openxmlformats.org/officeDocument/2006/relationships/hyperlink" Target="https://polkadot.subsquare.io/treasury/child-bounties/1957" TargetMode="External"/><Relationship Id="rId1459" Type="http://schemas.openxmlformats.org/officeDocument/2006/relationships/hyperlink" Target="https://polkadot.subsquare.io/treasury/child-bounties/1026" TargetMode="External"/><Relationship Id="rId2306" Type="http://schemas.openxmlformats.org/officeDocument/2006/relationships/hyperlink" Target="https://polkadot.subsquare.io/treasury/child-bounties/1958" TargetMode="External"/><Relationship Id="rId2307" Type="http://schemas.openxmlformats.org/officeDocument/2006/relationships/hyperlink" Target="https://polkadot.subsquare.io/treasury/child-bounties/1959" TargetMode="External"/><Relationship Id="rId2308" Type="http://schemas.openxmlformats.org/officeDocument/2006/relationships/hyperlink" Target="https://polkadot.subsquare.io/treasury/child-bounties/1960" TargetMode="External"/><Relationship Id="rId2309" Type="http://schemas.openxmlformats.org/officeDocument/2006/relationships/hyperlink" Target="https://polkadot.subsquare.io/treasury/child-bounties/1961" TargetMode="External"/><Relationship Id="rId629" Type="http://schemas.openxmlformats.org/officeDocument/2006/relationships/hyperlink" Target="https://polkadot.subsquare.io/treasury/child-bounties/164" TargetMode="External"/><Relationship Id="rId624" Type="http://schemas.openxmlformats.org/officeDocument/2006/relationships/hyperlink" Target="https://polkadot.subsquare.io/treasury/child-bounties/158" TargetMode="External"/><Relationship Id="rId623" Type="http://schemas.openxmlformats.org/officeDocument/2006/relationships/hyperlink" Target="https://polkadot.subsquare.io/treasury/child-bounties/157" TargetMode="External"/><Relationship Id="rId622" Type="http://schemas.openxmlformats.org/officeDocument/2006/relationships/hyperlink" Target="https://polkadot.subsquare.io/treasury/child-bounties/156" TargetMode="External"/><Relationship Id="rId621" Type="http://schemas.openxmlformats.org/officeDocument/2006/relationships/hyperlink" Target="https://polkadot.subsquare.io/treasury/child-bounties/155" TargetMode="External"/><Relationship Id="rId628" Type="http://schemas.openxmlformats.org/officeDocument/2006/relationships/hyperlink" Target="https://polkadot.subsquare.io/treasury/child-bounties/163" TargetMode="External"/><Relationship Id="rId627" Type="http://schemas.openxmlformats.org/officeDocument/2006/relationships/hyperlink" Target="https://polkadot.subsquare.io/treasury/child-bounties/162" TargetMode="External"/><Relationship Id="rId626" Type="http://schemas.openxmlformats.org/officeDocument/2006/relationships/hyperlink" Target="https://polkadot.subsquare.io/treasury/child-bounties/161" TargetMode="External"/><Relationship Id="rId625" Type="http://schemas.openxmlformats.org/officeDocument/2006/relationships/hyperlink" Target="https://polkadot.subsquare.io/treasury/child-bounties/160" TargetMode="External"/><Relationship Id="rId1450" Type="http://schemas.openxmlformats.org/officeDocument/2006/relationships/hyperlink" Target="https://polkadot.subsquare.io/treasury/child-bounties/1017" TargetMode="External"/><Relationship Id="rId620" Type="http://schemas.openxmlformats.org/officeDocument/2006/relationships/hyperlink" Target="https://polkadot.subsquare.io/treasury/child-bounties/154" TargetMode="External"/><Relationship Id="rId1451" Type="http://schemas.openxmlformats.org/officeDocument/2006/relationships/hyperlink" Target="https://polkadot.subsquare.io/treasury/child-bounties/1018" TargetMode="External"/><Relationship Id="rId1452" Type="http://schemas.openxmlformats.org/officeDocument/2006/relationships/hyperlink" Target="https://polkadot.subsquare.io/treasury/child-bounties/1019" TargetMode="External"/><Relationship Id="rId1453" Type="http://schemas.openxmlformats.org/officeDocument/2006/relationships/hyperlink" Target="https://polkadot.subsquare.io/treasury/child-bounties/1020" TargetMode="External"/><Relationship Id="rId2300" Type="http://schemas.openxmlformats.org/officeDocument/2006/relationships/hyperlink" Target="https://polkadot.subsquare.io/treasury/child-bounties/1952" TargetMode="External"/><Relationship Id="rId1454" Type="http://schemas.openxmlformats.org/officeDocument/2006/relationships/hyperlink" Target="https://polkadot.subsquare.io/treasury/child-bounties/1021" TargetMode="External"/><Relationship Id="rId2301" Type="http://schemas.openxmlformats.org/officeDocument/2006/relationships/hyperlink" Target="https://polkadot.subsquare.io/treasury/child-bounties/1953" TargetMode="External"/><Relationship Id="rId1444" Type="http://schemas.openxmlformats.org/officeDocument/2006/relationships/hyperlink" Target="https://polkadot.subsquare.io/treasury/child-bounties/1011" TargetMode="External"/><Relationship Id="rId1445" Type="http://schemas.openxmlformats.org/officeDocument/2006/relationships/hyperlink" Target="https://polkadot.subsquare.io/treasury/child-bounties/1012" TargetMode="External"/><Relationship Id="rId1446" Type="http://schemas.openxmlformats.org/officeDocument/2006/relationships/hyperlink" Target="https://polkadot.subsquare.io/treasury/child-bounties/1013" TargetMode="External"/><Relationship Id="rId1447" Type="http://schemas.openxmlformats.org/officeDocument/2006/relationships/hyperlink" Target="https://polkadot.subsquare.io/treasury/child-bounties/1014" TargetMode="External"/><Relationship Id="rId1448" Type="http://schemas.openxmlformats.org/officeDocument/2006/relationships/hyperlink" Target="https://polkadot.subsquare.io/treasury/child-bounties/1015" TargetMode="External"/><Relationship Id="rId1449" Type="http://schemas.openxmlformats.org/officeDocument/2006/relationships/hyperlink" Target="https://polkadot.subsquare.io/treasury/child-bounties/1016" TargetMode="External"/><Relationship Id="rId619" Type="http://schemas.openxmlformats.org/officeDocument/2006/relationships/hyperlink" Target="https://polkadot.subsquare.io/treasury/child-bounties/153" TargetMode="External"/><Relationship Id="rId618" Type="http://schemas.openxmlformats.org/officeDocument/2006/relationships/hyperlink" Target="https://polkadot.subsquare.io/treasury/child-bounties/152" TargetMode="External"/><Relationship Id="rId613" Type="http://schemas.openxmlformats.org/officeDocument/2006/relationships/hyperlink" Target="https://polkadot.subsquare.io/treasury/child-bounties/147" TargetMode="External"/><Relationship Id="rId612" Type="http://schemas.openxmlformats.org/officeDocument/2006/relationships/hyperlink" Target="https://polkadot.subsquare.io/treasury/child-bounties/146" TargetMode="External"/><Relationship Id="rId611" Type="http://schemas.openxmlformats.org/officeDocument/2006/relationships/hyperlink" Target="https://polkadot.subsquare.io/treasury/child-bounties/145" TargetMode="External"/><Relationship Id="rId610" Type="http://schemas.openxmlformats.org/officeDocument/2006/relationships/hyperlink" Target="https://polkadot.subsquare.io/treasury/child-bounties/144" TargetMode="External"/><Relationship Id="rId617" Type="http://schemas.openxmlformats.org/officeDocument/2006/relationships/hyperlink" Target="https://polkadot.subsquare.io/treasury/child-bounties/151" TargetMode="External"/><Relationship Id="rId616" Type="http://schemas.openxmlformats.org/officeDocument/2006/relationships/hyperlink" Target="https://polkadot.subsquare.io/treasury/child-bounties/150" TargetMode="External"/><Relationship Id="rId615" Type="http://schemas.openxmlformats.org/officeDocument/2006/relationships/hyperlink" Target="https://polkadot.subsquare.io/treasury/child-bounties/149" TargetMode="External"/><Relationship Id="rId614" Type="http://schemas.openxmlformats.org/officeDocument/2006/relationships/hyperlink" Target="https://polkadot.subsquare.io/treasury/child-bounties/148" TargetMode="External"/><Relationship Id="rId1440" Type="http://schemas.openxmlformats.org/officeDocument/2006/relationships/hyperlink" Target="https://polkadot.subsquare.io/treasury/child-bounties/1007" TargetMode="External"/><Relationship Id="rId1441" Type="http://schemas.openxmlformats.org/officeDocument/2006/relationships/hyperlink" Target="https://polkadot.subsquare.io/treasury/child-bounties/1008" TargetMode="External"/><Relationship Id="rId1442" Type="http://schemas.openxmlformats.org/officeDocument/2006/relationships/hyperlink" Target="https://polkadot.subsquare.io/treasury/child-bounties/1009" TargetMode="External"/><Relationship Id="rId1443" Type="http://schemas.openxmlformats.org/officeDocument/2006/relationships/hyperlink" Target="https://polkadot.subsquare.io/treasury/child-bounties/1010" TargetMode="External"/><Relationship Id="rId1477" Type="http://schemas.openxmlformats.org/officeDocument/2006/relationships/hyperlink" Target="https://polkadot.subsquare.io/treasury/child-bounties/1045" TargetMode="External"/><Relationship Id="rId2324" Type="http://schemas.openxmlformats.org/officeDocument/2006/relationships/hyperlink" Target="https://polkadot.subsquare.io/treasury/child-bounties/1979" TargetMode="External"/><Relationship Id="rId1478" Type="http://schemas.openxmlformats.org/officeDocument/2006/relationships/hyperlink" Target="https://polkadot.subsquare.io/treasury/child-bounties/1046" TargetMode="External"/><Relationship Id="rId2325" Type="http://schemas.openxmlformats.org/officeDocument/2006/relationships/hyperlink" Target="https://polkadot.subsquare.io/treasury/child-bounties/1980" TargetMode="External"/><Relationship Id="rId1479" Type="http://schemas.openxmlformats.org/officeDocument/2006/relationships/hyperlink" Target="https://polkadot.subsquare.io/treasury/child-bounties/1047" TargetMode="External"/><Relationship Id="rId2326" Type="http://schemas.openxmlformats.org/officeDocument/2006/relationships/hyperlink" Target="https://polkadot.subsquare.io/treasury/child-bounties/1981" TargetMode="External"/><Relationship Id="rId2327" Type="http://schemas.openxmlformats.org/officeDocument/2006/relationships/hyperlink" Target="https://polkadot.subsquare.io/treasury/child-bounties/1982" TargetMode="External"/><Relationship Id="rId2328" Type="http://schemas.openxmlformats.org/officeDocument/2006/relationships/hyperlink" Target="https://polkadot.subsquare.io/treasury/child-bounties/1983" TargetMode="External"/><Relationship Id="rId2329" Type="http://schemas.openxmlformats.org/officeDocument/2006/relationships/hyperlink" Target="https://polkadot.subsquare.io/treasury/child-bounties/1984" TargetMode="External"/><Relationship Id="rId646" Type="http://schemas.openxmlformats.org/officeDocument/2006/relationships/hyperlink" Target="https://polkadot.subsquare.io/treasury/child-bounties/185" TargetMode="External"/><Relationship Id="rId645" Type="http://schemas.openxmlformats.org/officeDocument/2006/relationships/hyperlink" Target="https://polkadot.subsquare.io/treasury/child-bounties/184" TargetMode="External"/><Relationship Id="rId644" Type="http://schemas.openxmlformats.org/officeDocument/2006/relationships/hyperlink" Target="https://polkadot.subsquare.io/treasury/child-bounties/183" TargetMode="External"/><Relationship Id="rId643" Type="http://schemas.openxmlformats.org/officeDocument/2006/relationships/hyperlink" Target="https://polkadot.subsquare.io/treasury/child-bounties/182" TargetMode="External"/><Relationship Id="rId649" Type="http://schemas.openxmlformats.org/officeDocument/2006/relationships/hyperlink" Target="https://polkadot.subsquare.io/treasury/child-bounties/188" TargetMode="External"/><Relationship Id="rId648" Type="http://schemas.openxmlformats.org/officeDocument/2006/relationships/hyperlink" Target="https://polkadot.subsquare.io/treasury/child-bounties/187" TargetMode="External"/><Relationship Id="rId647" Type="http://schemas.openxmlformats.org/officeDocument/2006/relationships/hyperlink" Target="https://polkadot.subsquare.io/treasury/child-bounties/186" TargetMode="External"/><Relationship Id="rId1470" Type="http://schemas.openxmlformats.org/officeDocument/2006/relationships/hyperlink" Target="https://polkadot.subsquare.io/treasury/child-bounties/1037" TargetMode="External"/><Relationship Id="rId1471" Type="http://schemas.openxmlformats.org/officeDocument/2006/relationships/hyperlink" Target="https://polkadot.subsquare.io/treasury/child-bounties/1038" TargetMode="External"/><Relationship Id="rId1472" Type="http://schemas.openxmlformats.org/officeDocument/2006/relationships/hyperlink" Target="https://polkadot.subsquare.io/treasury/child-bounties/1040" TargetMode="External"/><Relationship Id="rId642" Type="http://schemas.openxmlformats.org/officeDocument/2006/relationships/hyperlink" Target="https://polkadot.subsquare.io/treasury/child-bounties/181" TargetMode="External"/><Relationship Id="rId1473" Type="http://schemas.openxmlformats.org/officeDocument/2006/relationships/hyperlink" Target="https://polkadot.subsquare.io/treasury/child-bounties/1041" TargetMode="External"/><Relationship Id="rId2320" Type="http://schemas.openxmlformats.org/officeDocument/2006/relationships/hyperlink" Target="https://polkadot.subsquare.io/treasury/child-bounties/1975" TargetMode="External"/><Relationship Id="rId641" Type="http://schemas.openxmlformats.org/officeDocument/2006/relationships/hyperlink" Target="https://polkadot.subsquare.io/treasury/child-bounties/180" TargetMode="External"/><Relationship Id="rId1474" Type="http://schemas.openxmlformats.org/officeDocument/2006/relationships/hyperlink" Target="https://polkadot.subsquare.io/treasury/child-bounties/1042" TargetMode="External"/><Relationship Id="rId2321" Type="http://schemas.openxmlformats.org/officeDocument/2006/relationships/hyperlink" Target="https://polkadot.subsquare.io/treasury/child-bounties/1976" TargetMode="External"/><Relationship Id="rId640" Type="http://schemas.openxmlformats.org/officeDocument/2006/relationships/hyperlink" Target="https://polkadot.subsquare.io/treasury/child-bounties/179" TargetMode="External"/><Relationship Id="rId1475" Type="http://schemas.openxmlformats.org/officeDocument/2006/relationships/hyperlink" Target="https://polkadot.subsquare.io/treasury/child-bounties/1043" TargetMode="External"/><Relationship Id="rId2322" Type="http://schemas.openxmlformats.org/officeDocument/2006/relationships/hyperlink" Target="https://polkadot.subsquare.io/treasury/child-bounties/1977" TargetMode="External"/><Relationship Id="rId1476" Type="http://schemas.openxmlformats.org/officeDocument/2006/relationships/hyperlink" Target="https://polkadot.subsquare.io/treasury/child-bounties/1044" TargetMode="External"/><Relationship Id="rId2323" Type="http://schemas.openxmlformats.org/officeDocument/2006/relationships/hyperlink" Target="https://polkadot.subsquare.io/treasury/child-bounties/1978" TargetMode="External"/><Relationship Id="rId1466" Type="http://schemas.openxmlformats.org/officeDocument/2006/relationships/hyperlink" Target="https://polkadot.subsquare.io/treasury/child-bounties/1033" TargetMode="External"/><Relationship Id="rId2313" Type="http://schemas.openxmlformats.org/officeDocument/2006/relationships/hyperlink" Target="https://polkadot.subsquare.io/treasury/child-bounties/1965" TargetMode="External"/><Relationship Id="rId1467" Type="http://schemas.openxmlformats.org/officeDocument/2006/relationships/hyperlink" Target="https://polkadot.subsquare.io/treasury/child-bounties/1034" TargetMode="External"/><Relationship Id="rId2314" Type="http://schemas.openxmlformats.org/officeDocument/2006/relationships/hyperlink" Target="https://polkadot.subsquare.io/treasury/child-bounties/1967" TargetMode="External"/><Relationship Id="rId1468" Type="http://schemas.openxmlformats.org/officeDocument/2006/relationships/hyperlink" Target="https://polkadot.subsquare.io/treasury/child-bounties/1035" TargetMode="External"/><Relationship Id="rId2315" Type="http://schemas.openxmlformats.org/officeDocument/2006/relationships/hyperlink" Target="https://polkadot.subsquare.io/treasury/child-bounties/1968" TargetMode="External"/><Relationship Id="rId1469" Type="http://schemas.openxmlformats.org/officeDocument/2006/relationships/hyperlink" Target="https://polkadot.subsquare.io/treasury/child-bounties/1036" TargetMode="External"/><Relationship Id="rId2316" Type="http://schemas.openxmlformats.org/officeDocument/2006/relationships/hyperlink" Target="https://polkadot.subsquare.io/treasury/child-bounties/1969" TargetMode="External"/><Relationship Id="rId2317" Type="http://schemas.openxmlformats.org/officeDocument/2006/relationships/hyperlink" Target="https://polkadot.subsquare.io/treasury/child-bounties/1971" TargetMode="External"/><Relationship Id="rId2318" Type="http://schemas.openxmlformats.org/officeDocument/2006/relationships/hyperlink" Target="https://polkadot.subsquare.io/treasury/child-bounties/1973" TargetMode="External"/><Relationship Id="rId2319" Type="http://schemas.openxmlformats.org/officeDocument/2006/relationships/hyperlink" Target="https://polkadot.subsquare.io/treasury/child-bounties/1974" TargetMode="External"/><Relationship Id="rId635" Type="http://schemas.openxmlformats.org/officeDocument/2006/relationships/hyperlink" Target="https://polkadot.subsquare.io/treasury/child-bounties/170" TargetMode="External"/><Relationship Id="rId634" Type="http://schemas.openxmlformats.org/officeDocument/2006/relationships/hyperlink" Target="https://polkadot.subsquare.io/treasury/child-bounties/169" TargetMode="External"/><Relationship Id="rId633" Type="http://schemas.openxmlformats.org/officeDocument/2006/relationships/hyperlink" Target="https://polkadot.subsquare.io/treasury/child-bounties/168" TargetMode="External"/><Relationship Id="rId632" Type="http://schemas.openxmlformats.org/officeDocument/2006/relationships/hyperlink" Target="https://polkadot.subsquare.io/treasury/child-bounties/167" TargetMode="External"/><Relationship Id="rId639" Type="http://schemas.openxmlformats.org/officeDocument/2006/relationships/hyperlink" Target="https://polkadot.subsquare.io/treasury/child-bounties/178" TargetMode="External"/><Relationship Id="rId638" Type="http://schemas.openxmlformats.org/officeDocument/2006/relationships/hyperlink" Target="https://polkadot.subsquare.io/treasury/child-bounties/177" TargetMode="External"/><Relationship Id="rId637" Type="http://schemas.openxmlformats.org/officeDocument/2006/relationships/hyperlink" Target="https://polkadot.subsquare.io/treasury/child-bounties/172" TargetMode="External"/><Relationship Id="rId636" Type="http://schemas.openxmlformats.org/officeDocument/2006/relationships/hyperlink" Target="https://polkadot.subsquare.io/treasury/child-bounties/171" TargetMode="External"/><Relationship Id="rId1460" Type="http://schemas.openxmlformats.org/officeDocument/2006/relationships/hyperlink" Target="https://polkadot.subsquare.io/treasury/child-bounties/1027" TargetMode="External"/><Relationship Id="rId1461" Type="http://schemas.openxmlformats.org/officeDocument/2006/relationships/hyperlink" Target="https://polkadot.subsquare.io/treasury/child-bounties/1028" TargetMode="External"/><Relationship Id="rId631" Type="http://schemas.openxmlformats.org/officeDocument/2006/relationships/hyperlink" Target="https://polkadot.subsquare.io/treasury/child-bounties/166" TargetMode="External"/><Relationship Id="rId1462" Type="http://schemas.openxmlformats.org/officeDocument/2006/relationships/hyperlink" Target="https://polkadot.subsquare.io/treasury/child-bounties/1029" TargetMode="External"/><Relationship Id="rId630" Type="http://schemas.openxmlformats.org/officeDocument/2006/relationships/hyperlink" Target="https://polkadot.subsquare.io/treasury/child-bounties/165" TargetMode="External"/><Relationship Id="rId1463" Type="http://schemas.openxmlformats.org/officeDocument/2006/relationships/hyperlink" Target="https://polkadot.subsquare.io/treasury/child-bounties/1030" TargetMode="External"/><Relationship Id="rId2310" Type="http://schemas.openxmlformats.org/officeDocument/2006/relationships/hyperlink" Target="https://polkadot.subsquare.io/treasury/child-bounties/1962" TargetMode="External"/><Relationship Id="rId1464" Type="http://schemas.openxmlformats.org/officeDocument/2006/relationships/hyperlink" Target="https://polkadot.subsquare.io/treasury/child-bounties/1031" TargetMode="External"/><Relationship Id="rId2311" Type="http://schemas.openxmlformats.org/officeDocument/2006/relationships/hyperlink" Target="https://polkadot.subsquare.io/treasury/child-bounties/1963" TargetMode="External"/><Relationship Id="rId1465" Type="http://schemas.openxmlformats.org/officeDocument/2006/relationships/hyperlink" Target="https://polkadot.subsquare.io/treasury/child-bounties/1032" TargetMode="External"/><Relationship Id="rId2312" Type="http://schemas.openxmlformats.org/officeDocument/2006/relationships/hyperlink" Target="https://polkadot.subsquare.io/treasury/child-bounties/1964" TargetMode="External"/><Relationship Id="rId1411" Type="http://schemas.openxmlformats.org/officeDocument/2006/relationships/hyperlink" Target="https://polkadot.subsquare.io/treasury/child-bounties/976" TargetMode="External"/><Relationship Id="rId1895" Type="http://schemas.openxmlformats.org/officeDocument/2006/relationships/hyperlink" Target="https://polkadot.subsquare.io/treasury/child-bounties/1473" TargetMode="External"/><Relationship Id="rId1412" Type="http://schemas.openxmlformats.org/officeDocument/2006/relationships/hyperlink" Target="https://polkadot.subsquare.io/treasury/child-bounties/977" TargetMode="External"/><Relationship Id="rId1896" Type="http://schemas.openxmlformats.org/officeDocument/2006/relationships/hyperlink" Target="https://polkadot.subsquare.io/treasury/child-bounties/1474" TargetMode="External"/><Relationship Id="rId1413" Type="http://schemas.openxmlformats.org/officeDocument/2006/relationships/hyperlink" Target="https://polkadot.subsquare.io/treasury/child-bounties/978" TargetMode="External"/><Relationship Id="rId1897" Type="http://schemas.openxmlformats.org/officeDocument/2006/relationships/hyperlink" Target="https://polkadot.subsquare.io/treasury/child-bounties/1475" TargetMode="External"/><Relationship Id="rId1414" Type="http://schemas.openxmlformats.org/officeDocument/2006/relationships/hyperlink" Target="https://polkadot.subsquare.io/treasury/child-bounties/979" TargetMode="External"/><Relationship Id="rId1898" Type="http://schemas.openxmlformats.org/officeDocument/2006/relationships/hyperlink" Target="https://polkadot.subsquare.io/treasury/child-bounties/1476" TargetMode="External"/><Relationship Id="rId1415" Type="http://schemas.openxmlformats.org/officeDocument/2006/relationships/hyperlink" Target="https://polkadot.subsquare.io/treasury/child-bounties/980" TargetMode="External"/><Relationship Id="rId1899" Type="http://schemas.openxmlformats.org/officeDocument/2006/relationships/hyperlink" Target="https://polkadot.subsquare.io/treasury/child-bounties/1477" TargetMode="External"/><Relationship Id="rId1416" Type="http://schemas.openxmlformats.org/officeDocument/2006/relationships/hyperlink" Target="https://polkadot.subsquare.io/treasury/child-bounties/981" TargetMode="External"/><Relationship Id="rId1417" Type="http://schemas.openxmlformats.org/officeDocument/2006/relationships/hyperlink" Target="https://polkadot.subsquare.io/treasury/child-bounties/982" TargetMode="External"/><Relationship Id="rId1418" Type="http://schemas.openxmlformats.org/officeDocument/2006/relationships/hyperlink" Target="https://polkadot.subsquare.io/treasury/child-bounties/983" TargetMode="External"/><Relationship Id="rId1419" Type="http://schemas.openxmlformats.org/officeDocument/2006/relationships/hyperlink" Target="https://polkadot.subsquare.io/treasury/child-bounties/984" TargetMode="External"/><Relationship Id="rId1890" Type="http://schemas.openxmlformats.org/officeDocument/2006/relationships/hyperlink" Target="https://polkadot.subsquare.io/treasury/child-bounties/1468" TargetMode="External"/><Relationship Id="rId1891" Type="http://schemas.openxmlformats.org/officeDocument/2006/relationships/hyperlink" Target="https://polkadot.subsquare.io/treasury/child-bounties/1469" TargetMode="External"/><Relationship Id="rId1892" Type="http://schemas.openxmlformats.org/officeDocument/2006/relationships/hyperlink" Target="https://polkadot.subsquare.io/treasury/child-bounties/1470" TargetMode="External"/><Relationship Id="rId1893" Type="http://schemas.openxmlformats.org/officeDocument/2006/relationships/hyperlink" Target="https://polkadot.subsquare.io/treasury/child-bounties/1471" TargetMode="External"/><Relationship Id="rId1410" Type="http://schemas.openxmlformats.org/officeDocument/2006/relationships/hyperlink" Target="https://polkadot.subsquare.io/treasury/child-bounties/975" TargetMode="External"/><Relationship Id="rId1894" Type="http://schemas.openxmlformats.org/officeDocument/2006/relationships/hyperlink" Target="https://polkadot.subsquare.io/treasury/child-bounties/1472" TargetMode="External"/><Relationship Id="rId1400" Type="http://schemas.openxmlformats.org/officeDocument/2006/relationships/hyperlink" Target="https://polkadot.subsquare.io/treasury/child-bounties/965" TargetMode="External"/><Relationship Id="rId1884" Type="http://schemas.openxmlformats.org/officeDocument/2006/relationships/hyperlink" Target="https://polkadot.subsquare.io/treasury/child-bounties/1462" TargetMode="External"/><Relationship Id="rId1401" Type="http://schemas.openxmlformats.org/officeDocument/2006/relationships/hyperlink" Target="https://polkadot.subsquare.io/treasury/child-bounties/966" TargetMode="External"/><Relationship Id="rId1885" Type="http://schemas.openxmlformats.org/officeDocument/2006/relationships/hyperlink" Target="https://polkadot.subsquare.io/treasury/child-bounties/1463" TargetMode="External"/><Relationship Id="rId1402" Type="http://schemas.openxmlformats.org/officeDocument/2006/relationships/hyperlink" Target="https://polkadot.subsquare.io/treasury/child-bounties/967" TargetMode="External"/><Relationship Id="rId1886" Type="http://schemas.openxmlformats.org/officeDocument/2006/relationships/hyperlink" Target="https://polkadot.subsquare.io/treasury/child-bounties/1464" TargetMode="External"/><Relationship Id="rId1403" Type="http://schemas.openxmlformats.org/officeDocument/2006/relationships/hyperlink" Target="https://polkadot.subsquare.io/treasury/child-bounties/968" TargetMode="External"/><Relationship Id="rId1887" Type="http://schemas.openxmlformats.org/officeDocument/2006/relationships/hyperlink" Target="https://polkadot.subsquare.io/treasury/child-bounties/1465" TargetMode="External"/><Relationship Id="rId1404" Type="http://schemas.openxmlformats.org/officeDocument/2006/relationships/hyperlink" Target="https://polkadot.subsquare.io/treasury/child-bounties/969" TargetMode="External"/><Relationship Id="rId1888" Type="http://schemas.openxmlformats.org/officeDocument/2006/relationships/hyperlink" Target="https://polkadot.subsquare.io/treasury/child-bounties/1466" TargetMode="External"/><Relationship Id="rId1405" Type="http://schemas.openxmlformats.org/officeDocument/2006/relationships/hyperlink" Target="https://polkadot.subsquare.io/treasury/child-bounties/970" TargetMode="External"/><Relationship Id="rId1889" Type="http://schemas.openxmlformats.org/officeDocument/2006/relationships/hyperlink" Target="https://polkadot.subsquare.io/treasury/child-bounties/1467" TargetMode="External"/><Relationship Id="rId1406" Type="http://schemas.openxmlformats.org/officeDocument/2006/relationships/hyperlink" Target="https://polkadot.subsquare.io/treasury/child-bounties/971" TargetMode="External"/><Relationship Id="rId1407" Type="http://schemas.openxmlformats.org/officeDocument/2006/relationships/hyperlink" Target="https://polkadot.subsquare.io/treasury/child-bounties/972" TargetMode="External"/><Relationship Id="rId1408" Type="http://schemas.openxmlformats.org/officeDocument/2006/relationships/hyperlink" Target="https://polkadot.subsquare.io/treasury/child-bounties/973" TargetMode="External"/><Relationship Id="rId1409" Type="http://schemas.openxmlformats.org/officeDocument/2006/relationships/hyperlink" Target="https://polkadot.subsquare.io/treasury/child-bounties/974" TargetMode="External"/><Relationship Id="rId1880" Type="http://schemas.openxmlformats.org/officeDocument/2006/relationships/hyperlink" Target="https://polkadot.subsquare.io/treasury/child-bounties/1458" TargetMode="External"/><Relationship Id="rId1881" Type="http://schemas.openxmlformats.org/officeDocument/2006/relationships/hyperlink" Target="https://polkadot.subsquare.io/treasury/child-bounties/1459" TargetMode="External"/><Relationship Id="rId1882" Type="http://schemas.openxmlformats.org/officeDocument/2006/relationships/hyperlink" Target="https://polkadot.subsquare.io/treasury/child-bounties/1460" TargetMode="External"/><Relationship Id="rId1883" Type="http://schemas.openxmlformats.org/officeDocument/2006/relationships/hyperlink" Target="https://polkadot.subsquare.io/treasury/child-bounties/1461" TargetMode="External"/><Relationship Id="rId1433" Type="http://schemas.openxmlformats.org/officeDocument/2006/relationships/hyperlink" Target="https://polkadot.subsquare.io/treasury/child-bounties/998" TargetMode="External"/><Relationship Id="rId1434" Type="http://schemas.openxmlformats.org/officeDocument/2006/relationships/hyperlink" Target="https://polkadot.subsquare.io/treasury/child-bounties/999" TargetMode="External"/><Relationship Id="rId1435" Type="http://schemas.openxmlformats.org/officeDocument/2006/relationships/hyperlink" Target="https://polkadot.subsquare.io/treasury/child-bounties/1000" TargetMode="External"/><Relationship Id="rId1436" Type="http://schemas.openxmlformats.org/officeDocument/2006/relationships/hyperlink" Target="https://polkadot.subsquare.io/treasury/child-bounties/1002" TargetMode="External"/><Relationship Id="rId1437" Type="http://schemas.openxmlformats.org/officeDocument/2006/relationships/hyperlink" Target="https://polkadot.subsquare.io/treasury/child-bounties/1003" TargetMode="External"/><Relationship Id="rId1438" Type="http://schemas.openxmlformats.org/officeDocument/2006/relationships/hyperlink" Target="https://polkadot.subsquare.io/treasury/child-bounties/1004" TargetMode="External"/><Relationship Id="rId1439" Type="http://schemas.openxmlformats.org/officeDocument/2006/relationships/hyperlink" Target="https://polkadot.subsquare.io/treasury/child-bounties/1005" TargetMode="External"/><Relationship Id="rId609" Type="http://schemas.openxmlformats.org/officeDocument/2006/relationships/hyperlink" Target="https://polkadot.subsquare.io/treasury/child-bounties/143" TargetMode="External"/><Relationship Id="rId608" Type="http://schemas.openxmlformats.org/officeDocument/2006/relationships/hyperlink" Target="https://polkadot.subsquare.io/treasury/child-bounties/142" TargetMode="External"/><Relationship Id="rId607" Type="http://schemas.openxmlformats.org/officeDocument/2006/relationships/hyperlink" Target="https://polkadot.subsquare.io/treasury/child-bounties/141" TargetMode="External"/><Relationship Id="rId602" Type="http://schemas.openxmlformats.org/officeDocument/2006/relationships/hyperlink" Target="https://polkadot.subsquare.io/treasury/child-bounties/136" TargetMode="External"/><Relationship Id="rId601" Type="http://schemas.openxmlformats.org/officeDocument/2006/relationships/hyperlink" Target="https://polkadot.subsquare.io/treasury/child-bounties/135" TargetMode="External"/><Relationship Id="rId600" Type="http://schemas.openxmlformats.org/officeDocument/2006/relationships/hyperlink" Target="https://polkadot.subsquare.io/treasury/child-bounties/134" TargetMode="External"/><Relationship Id="rId606" Type="http://schemas.openxmlformats.org/officeDocument/2006/relationships/hyperlink" Target="https://polkadot.subsquare.io/treasury/child-bounties/140" TargetMode="External"/><Relationship Id="rId605" Type="http://schemas.openxmlformats.org/officeDocument/2006/relationships/hyperlink" Target="https://polkadot.subsquare.io/treasury/child-bounties/139" TargetMode="External"/><Relationship Id="rId604" Type="http://schemas.openxmlformats.org/officeDocument/2006/relationships/hyperlink" Target="https://polkadot.subsquare.io/treasury/child-bounties/138" TargetMode="External"/><Relationship Id="rId603" Type="http://schemas.openxmlformats.org/officeDocument/2006/relationships/hyperlink" Target="https://polkadot.subsquare.io/treasury/child-bounties/137" TargetMode="External"/><Relationship Id="rId1430" Type="http://schemas.openxmlformats.org/officeDocument/2006/relationships/hyperlink" Target="https://polkadot.subsquare.io/treasury/child-bounties/995" TargetMode="External"/><Relationship Id="rId1431" Type="http://schemas.openxmlformats.org/officeDocument/2006/relationships/hyperlink" Target="https://polkadot.subsquare.io/treasury/child-bounties/996" TargetMode="External"/><Relationship Id="rId1432" Type="http://schemas.openxmlformats.org/officeDocument/2006/relationships/hyperlink" Target="https://polkadot.subsquare.io/treasury/child-bounties/997" TargetMode="External"/><Relationship Id="rId1422" Type="http://schemas.openxmlformats.org/officeDocument/2006/relationships/hyperlink" Target="https://polkadot.subsquare.io/treasury/child-bounties/987" TargetMode="External"/><Relationship Id="rId1423" Type="http://schemas.openxmlformats.org/officeDocument/2006/relationships/hyperlink" Target="https://polkadot.subsquare.io/treasury/child-bounties/988" TargetMode="External"/><Relationship Id="rId1424" Type="http://schemas.openxmlformats.org/officeDocument/2006/relationships/hyperlink" Target="https://polkadot.subsquare.io/treasury/child-bounties/989" TargetMode="External"/><Relationship Id="rId1425" Type="http://schemas.openxmlformats.org/officeDocument/2006/relationships/hyperlink" Target="https://polkadot.subsquare.io/treasury/child-bounties/990" TargetMode="External"/><Relationship Id="rId1426" Type="http://schemas.openxmlformats.org/officeDocument/2006/relationships/hyperlink" Target="https://polkadot.subsquare.io/treasury/child-bounties/991" TargetMode="External"/><Relationship Id="rId1427" Type="http://schemas.openxmlformats.org/officeDocument/2006/relationships/hyperlink" Target="https://polkadot.subsquare.io/treasury/child-bounties/992" TargetMode="External"/><Relationship Id="rId1428" Type="http://schemas.openxmlformats.org/officeDocument/2006/relationships/hyperlink" Target="https://polkadot.subsquare.io/treasury/child-bounties/993" TargetMode="External"/><Relationship Id="rId1429" Type="http://schemas.openxmlformats.org/officeDocument/2006/relationships/hyperlink" Target="https://polkadot.subsquare.io/treasury/child-bounties/994" TargetMode="External"/><Relationship Id="rId1420" Type="http://schemas.openxmlformats.org/officeDocument/2006/relationships/hyperlink" Target="https://polkadot.subsquare.io/treasury/child-bounties/985" TargetMode="External"/><Relationship Id="rId1421" Type="http://schemas.openxmlformats.org/officeDocument/2006/relationships/hyperlink" Target="https://polkadot.subsquare.io/treasury/child-bounties/986" TargetMode="External"/><Relationship Id="rId1059" Type="http://schemas.openxmlformats.org/officeDocument/2006/relationships/hyperlink" Target="https://polkadot.subsquare.io/treasury/child-bounties/612" TargetMode="External"/><Relationship Id="rId228" Type="http://schemas.openxmlformats.org/officeDocument/2006/relationships/hyperlink" Target="https://polkadot.subsquare.io/referenda/473" TargetMode="External"/><Relationship Id="rId227" Type="http://schemas.openxmlformats.org/officeDocument/2006/relationships/hyperlink" Target="https://polkadot.subsquare.io/referenda/472" TargetMode="External"/><Relationship Id="rId226" Type="http://schemas.openxmlformats.org/officeDocument/2006/relationships/hyperlink" Target="https://polkadot.subsquare.io/referenda/469" TargetMode="External"/><Relationship Id="rId225" Type="http://schemas.openxmlformats.org/officeDocument/2006/relationships/hyperlink" Target="https://polkadot.subsquare.io/referenda/468" TargetMode="External"/><Relationship Id="rId2380" Type="http://schemas.openxmlformats.org/officeDocument/2006/relationships/hyperlink" Target="https://polkadot.subsquare.io/treasury/child-bounties/2042" TargetMode="External"/><Relationship Id="rId229" Type="http://schemas.openxmlformats.org/officeDocument/2006/relationships/hyperlink" Target="https://polkadot.subsquare.io/referenda/476" TargetMode="External"/><Relationship Id="rId1050" Type="http://schemas.openxmlformats.org/officeDocument/2006/relationships/hyperlink" Target="https://polkadot.subsquare.io/treasury/child-bounties/603" TargetMode="External"/><Relationship Id="rId2381" Type="http://schemas.openxmlformats.org/officeDocument/2006/relationships/hyperlink" Target="https://polkadot.subsquare.io/treasury/child-bounties/2043" TargetMode="External"/><Relationship Id="rId220" Type="http://schemas.openxmlformats.org/officeDocument/2006/relationships/hyperlink" Target="https://polkadot.subsquare.io/referenda/461" TargetMode="External"/><Relationship Id="rId1051" Type="http://schemas.openxmlformats.org/officeDocument/2006/relationships/hyperlink" Target="https://polkadot.subsquare.io/treasury/child-bounties/604" TargetMode="External"/><Relationship Id="rId2382" Type="http://schemas.openxmlformats.org/officeDocument/2006/relationships/hyperlink" Target="https://polkadot.subsquare.io/treasury/child-bounties/2044" TargetMode="External"/><Relationship Id="rId1052" Type="http://schemas.openxmlformats.org/officeDocument/2006/relationships/hyperlink" Target="https://polkadot.subsquare.io/treasury/child-bounties/605" TargetMode="External"/><Relationship Id="rId2383" Type="http://schemas.openxmlformats.org/officeDocument/2006/relationships/hyperlink" Target="https://polkadot.subsquare.io/treasury/child-bounties/2045" TargetMode="External"/><Relationship Id="rId1053" Type="http://schemas.openxmlformats.org/officeDocument/2006/relationships/hyperlink" Target="https://polkadot.subsquare.io/treasury/child-bounties/606" TargetMode="External"/><Relationship Id="rId2384" Type="http://schemas.openxmlformats.org/officeDocument/2006/relationships/hyperlink" Target="https://polkadot.subsquare.io/treasury/child-bounties/2046" TargetMode="External"/><Relationship Id="rId1054" Type="http://schemas.openxmlformats.org/officeDocument/2006/relationships/hyperlink" Target="https://polkadot.subsquare.io/treasury/child-bounties/607" TargetMode="External"/><Relationship Id="rId2385" Type="http://schemas.openxmlformats.org/officeDocument/2006/relationships/hyperlink" Target="https://polkadot.subsquare.io/treasury/child-bounties/2047" TargetMode="External"/><Relationship Id="rId224" Type="http://schemas.openxmlformats.org/officeDocument/2006/relationships/hyperlink" Target="https://polkadot.subsquare.io/referenda/467" TargetMode="External"/><Relationship Id="rId1055" Type="http://schemas.openxmlformats.org/officeDocument/2006/relationships/hyperlink" Target="https://polkadot.subsquare.io/treasury/child-bounties/608" TargetMode="External"/><Relationship Id="rId2386" Type="http://schemas.openxmlformats.org/officeDocument/2006/relationships/hyperlink" Target="https://polkadot.subsquare.io/treasury/child-bounties/2048" TargetMode="External"/><Relationship Id="rId223" Type="http://schemas.openxmlformats.org/officeDocument/2006/relationships/hyperlink" Target="https://polkadot.subsquare.io/referenda/465" TargetMode="External"/><Relationship Id="rId1056" Type="http://schemas.openxmlformats.org/officeDocument/2006/relationships/hyperlink" Target="https://polkadot.subsquare.io/treasury/child-bounties/609" TargetMode="External"/><Relationship Id="rId2387" Type="http://schemas.openxmlformats.org/officeDocument/2006/relationships/hyperlink" Target="https://polkadot.subsquare.io/treasury/child-bounties/2049" TargetMode="External"/><Relationship Id="rId222" Type="http://schemas.openxmlformats.org/officeDocument/2006/relationships/hyperlink" Target="https://polkadot.subsquare.io/referenda/463" TargetMode="External"/><Relationship Id="rId1057" Type="http://schemas.openxmlformats.org/officeDocument/2006/relationships/hyperlink" Target="https://polkadot.subsquare.io/treasury/child-bounties/610" TargetMode="External"/><Relationship Id="rId2388" Type="http://schemas.openxmlformats.org/officeDocument/2006/relationships/hyperlink" Target="https://polkadot.subsquare.io/treasury/child-bounties/2050" TargetMode="External"/><Relationship Id="rId221" Type="http://schemas.openxmlformats.org/officeDocument/2006/relationships/hyperlink" Target="https://polkadot.subsquare.io/referenda/462" TargetMode="External"/><Relationship Id="rId1058" Type="http://schemas.openxmlformats.org/officeDocument/2006/relationships/hyperlink" Target="https://polkadot.subsquare.io/treasury/child-bounties/611" TargetMode="External"/><Relationship Id="rId2389" Type="http://schemas.openxmlformats.org/officeDocument/2006/relationships/hyperlink" Target="https://polkadot.subsquare.io/treasury/child-bounties/2051" TargetMode="External"/><Relationship Id="rId1048" Type="http://schemas.openxmlformats.org/officeDocument/2006/relationships/hyperlink" Target="https://polkadot.subsquare.io/treasury/child-bounties/601" TargetMode="External"/><Relationship Id="rId2379" Type="http://schemas.openxmlformats.org/officeDocument/2006/relationships/hyperlink" Target="https://polkadot.subsquare.io/treasury/child-bounties/2041" TargetMode="External"/><Relationship Id="rId1049" Type="http://schemas.openxmlformats.org/officeDocument/2006/relationships/hyperlink" Target="https://polkadot.subsquare.io/treasury/child-bounties/602" TargetMode="External"/><Relationship Id="rId217" Type="http://schemas.openxmlformats.org/officeDocument/2006/relationships/hyperlink" Target="https://polkadot.subsquare.io/referenda/451" TargetMode="External"/><Relationship Id="rId216" Type="http://schemas.openxmlformats.org/officeDocument/2006/relationships/hyperlink" Target="https://polkadot.subsquare.io/referenda/450" TargetMode="External"/><Relationship Id="rId215" Type="http://schemas.openxmlformats.org/officeDocument/2006/relationships/hyperlink" Target="https://polkadot.subsquare.io/referenda/448" TargetMode="External"/><Relationship Id="rId699" Type="http://schemas.openxmlformats.org/officeDocument/2006/relationships/hyperlink" Target="https://polkadot.subsquare.io/treasury/child-bounties/237" TargetMode="External"/><Relationship Id="rId214" Type="http://schemas.openxmlformats.org/officeDocument/2006/relationships/hyperlink" Target="https://polkadot.subsquare.io/referenda/447" TargetMode="External"/><Relationship Id="rId698" Type="http://schemas.openxmlformats.org/officeDocument/2006/relationships/hyperlink" Target="https://polkadot.subsquare.io/treasury/child-bounties/236" TargetMode="External"/><Relationship Id="rId219" Type="http://schemas.openxmlformats.org/officeDocument/2006/relationships/hyperlink" Target="https://polkadot.subsquare.io/referenda/460" TargetMode="External"/><Relationship Id="rId218" Type="http://schemas.openxmlformats.org/officeDocument/2006/relationships/hyperlink" Target="https://polkadot.subsquare.io/referenda/459" TargetMode="External"/><Relationship Id="rId2370" Type="http://schemas.openxmlformats.org/officeDocument/2006/relationships/hyperlink" Target="https://polkadot.subsquare.io/treasury/child-bounties/2032" TargetMode="External"/><Relationship Id="rId693" Type="http://schemas.openxmlformats.org/officeDocument/2006/relationships/hyperlink" Target="https://polkadot.subsquare.io/treasury/child-bounties/231" TargetMode="External"/><Relationship Id="rId1040" Type="http://schemas.openxmlformats.org/officeDocument/2006/relationships/hyperlink" Target="https://polkadot.subsquare.io/treasury/child-bounties/593" TargetMode="External"/><Relationship Id="rId2371" Type="http://schemas.openxmlformats.org/officeDocument/2006/relationships/hyperlink" Target="https://polkadot.subsquare.io/treasury/child-bounties/2033" TargetMode="External"/><Relationship Id="rId692" Type="http://schemas.openxmlformats.org/officeDocument/2006/relationships/hyperlink" Target="https://polkadot.subsquare.io/treasury/child-bounties/230" TargetMode="External"/><Relationship Id="rId1041" Type="http://schemas.openxmlformats.org/officeDocument/2006/relationships/hyperlink" Target="https://polkadot.subsquare.io/treasury/child-bounties/594" TargetMode="External"/><Relationship Id="rId2372" Type="http://schemas.openxmlformats.org/officeDocument/2006/relationships/hyperlink" Target="https://polkadot.subsquare.io/treasury/child-bounties/2034" TargetMode="External"/><Relationship Id="rId691" Type="http://schemas.openxmlformats.org/officeDocument/2006/relationships/hyperlink" Target="https://polkadot.subsquare.io/treasury/child-bounties/229" TargetMode="External"/><Relationship Id="rId1042" Type="http://schemas.openxmlformats.org/officeDocument/2006/relationships/hyperlink" Target="https://polkadot.subsquare.io/treasury/child-bounties/595" TargetMode="External"/><Relationship Id="rId2373" Type="http://schemas.openxmlformats.org/officeDocument/2006/relationships/hyperlink" Target="https://polkadot.subsquare.io/treasury/child-bounties/2035" TargetMode="External"/><Relationship Id="rId690" Type="http://schemas.openxmlformats.org/officeDocument/2006/relationships/hyperlink" Target="https://polkadot.subsquare.io/treasury/child-bounties/228" TargetMode="External"/><Relationship Id="rId1043" Type="http://schemas.openxmlformats.org/officeDocument/2006/relationships/hyperlink" Target="https://polkadot.subsquare.io/treasury/child-bounties/596" TargetMode="External"/><Relationship Id="rId2374" Type="http://schemas.openxmlformats.org/officeDocument/2006/relationships/hyperlink" Target="https://polkadot.subsquare.io/treasury/child-bounties/2036" TargetMode="External"/><Relationship Id="rId213" Type="http://schemas.openxmlformats.org/officeDocument/2006/relationships/hyperlink" Target="https://polkadot.subsquare.io/referenda/446" TargetMode="External"/><Relationship Id="rId697" Type="http://schemas.openxmlformats.org/officeDocument/2006/relationships/hyperlink" Target="https://polkadot.subsquare.io/treasury/child-bounties/235" TargetMode="External"/><Relationship Id="rId1044" Type="http://schemas.openxmlformats.org/officeDocument/2006/relationships/hyperlink" Target="https://polkadot.subsquare.io/treasury/child-bounties/597" TargetMode="External"/><Relationship Id="rId2375" Type="http://schemas.openxmlformats.org/officeDocument/2006/relationships/hyperlink" Target="https://polkadot.subsquare.io/treasury/child-bounties/2037" TargetMode="External"/><Relationship Id="rId212" Type="http://schemas.openxmlformats.org/officeDocument/2006/relationships/hyperlink" Target="https://polkadot.subsquare.io/referenda/442" TargetMode="External"/><Relationship Id="rId696" Type="http://schemas.openxmlformats.org/officeDocument/2006/relationships/hyperlink" Target="https://polkadot.subsquare.io/treasury/child-bounties/234" TargetMode="External"/><Relationship Id="rId1045" Type="http://schemas.openxmlformats.org/officeDocument/2006/relationships/hyperlink" Target="https://polkadot.subsquare.io/treasury/child-bounties/598" TargetMode="External"/><Relationship Id="rId2376" Type="http://schemas.openxmlformats.org/officeDocument/2006/relationships/hyperlink" Target="https://polkadot.subsquare.io/treasury/child-bounties/2038" TargetMode="External"/><Relationship Id="rId211" Type="http://schemas.openxmlformats.org/officeDocument/2006/relationships/hyperlink" Target="https://polkadot.subsquare.io/referenda/441" TargetMode="External"/><Relationship Id="rId695" Type="http://schemas.openxmlformats.org/officeDocument/2006/relationships/hyperlink" Target="https://polkadot.subsquare.io/treasury/child-bounties/233" TargetMode="External"/><Relationship Id="rId1046" Type="http://schemas.openxmlformats.org/officeDocument/2006/relationships/hyperlink" Target="https://polkadot.subsquare.io/treasury/child-bounties/599" TargetMode="External"/><Relationship Id="rId2377" Type="http://schemas.openxmlformats.org/officeDocument/2006/relationships/hyperlink" Target="https://polkadot.subsquare.io/treasury/child-bounties/2039" TargetMode="External"/><Relationship Id="rId210" Type="http://schemas.openxmlformats.org/officeDocument/2006/relationships/hyperlink" Target="https://polkadot.subsquare.io/referenda/439" TargetMode="External"/><Relationship Id="rId694" Type="http://schemas.openxmlformats.org/officeDocument/2006/relationships/hyperlink" Target="https://polkadot.subsquare.io/treasury/child-bounties/232" TargetMode="External"/><Relationship Id="rId1047" Type="http://schemas.openxmlformats.org/officeDocument/2006/relationships/hyperlink" Target="https://polkadot.subsquare.io/treasury/child-bounties/600" TargetMode="External"/><Relationship Id="rId2378" Type="http://schemas.openxmlformats.org/officeDocument/2006/relationships/hyperlink" Target="https://polkadot.subsquare.io/treasury/child-bounties/2040" TargetMode="External"/><Relationship Id="rId249" Type="http://schemas.openxmlformats.org/officeDocument/2006/relationships/hyperlink" Target="https://polkadot.subsquare.io/referenda/518" TargetMode="External"/><Relationship Id="rId248" Type="http://schemas.openxmlformats.org/officeDocument/2006/relationships/hyperlink" Target="https://polkadot.subsquare.io/referenda/512" TargetMode="External"/><Relationship Id="rId247" Type="http://schemas.openxmlformats.org/officeDocument/2006/relationships/hyperlink" Target="https://polkadot.subsquare.io/referenda/508" TargetMode="External"/><Relationship Id="rId1070" Type="http://schemas.openxmlformats.org/officeDocument/2006/relationships/hyperlink" Target="https://polkadot.subsquare.io/treasury/child-bounties/626" TargetMode="External"/><Relationship Id="rId1071" Type="http://schemas.openxmlformats.org/officeDocument/2006/relationships/hyperlink" Target="https://polkadot.subsquare.io/treasury/child-bounties/627" TargetMode="External"/><Relationship Id="rId1072" Type="http://schemas.openxmlformats.org/officeDocument/2006/relationships/hyperlink" Target="https://polkadot.subsquare.io/treasury/child-bounties/628" TargetMode="External"/><Relationship Id="rId242" Type="http://schemas.openxmlformats.org/officeDocument/2006/relationships/hyperlink" Target="https://polkadot.subsquare.io/referenda/499" TargetMode="External"/><Relationship Id="rId1073" Type="http://schemas.openxmlformats.org/officeDocument/2006/relationships/hyperlink" Target="https://polkadot.subsquare.io/treasury/child-bounties/629" TargetMode="External"/><Relationship Id="rId241" Type="http://schemas.openxmlformats.org/officeDocument/2006/relationships/hyperlink" Target="https://polkadot.subsquare.io/referenda/496" TargetMode="External"/><Relationship Id="rId1074" Type="http://schemas.openxmlformats.org/officeDocument/2006/relationships/hyperlink" Target="https://polkadot.subsquare.io/treasury/child-bounties/630" TargetMode="External"/><Relationship Id="rId240" Type="http://schemas.openxmlformats.org/officeDocument/2006/relationships/hyperlink" Target="https://polkadot.subsquare.io/referenda/494" TargetMode="External"/><Relationship Id="rId1075" Type="http://schemas.openxmlformats.org/officeDocument/2006/relationships/hyperlink" Target="https://polkadot.subsquare.io/treasury/child-bounties/631" TargetMode="External"/><Relationship Id="rId1076" Type="http://schemas.openxmlformats.org/officeDocument/2006/relationships/hyperlink" Target="https://polkadot.subsquare.io/treasury/child-bounties/632" TargetMode="External"/><Relationship Id="rId246" Type="http://schemas.openxmlformats.org/officeDocument/2006/relationships/hyperlink" Target="https://polkadot.subsquare.io/referenda/506" TargetMode="External"/><Relationship Id="rId1077" Type="http://schemas.openxmlformats.org/officeDocument/2006/relationships/hyperlink" Target="https://polkadot.subsquare.io/treasury/child-bounties/633" TargetMode="External"/><Relationship Id="rId245" Type="http://schemas.openxmlformats.org/officeDocument/2006/relationships/hyperlink" Target="https://polkadot.subsquare.io/referenda/504" TargetMode="External"/><Relationship Id="rId1078" Type="http://schemas.openxmlformats.org/officeDocument/2006/relationships/hyperlink" Target="https://polkadot.subsquare.io/treasury/child-bounties/634" TargetMode="External"/><Relationship Id="rId244" Type="http://schemas.openxmlformats.org/officeDocument/2006/relationships/hyperlink" Target="https://polkadot.subsquare.io/referenda/503" TargetMode="External"/><Relationship Id="rId1079" Type="http://schemas.openxmlformats.org/officeDocument/2006/relationships/hyperlink" Target="https://polkadot.subsquare.io/treasury/child-bounties/635" TargetMode="External"/><Relationship Id="rId243" Type="http://schemas.openxmlformats.org/officeDocument/2006/relationships/hyperlink" Target="https://polkadot.subsquare.io/referenda/502" TargetMode="External"/><Relationship Id="rId239" Type="http://schemas.openxmlformats.org/officeDocument/2006/relationships/hyperlink" Target="https://polkadot.subsquare.io/referenda/493" TargetMode="External"/><Relationship Id="rId238" Type="http://schemas.openxmlformats.org/officeDocument/2006/relationships/hyperlink" Target="https://polkadot.subsquare.io/referenda/492" TargetMode="External"/><Relationship Id="rId237" Type="http://schemas.openxmlformats.org/officeDocument/2006/relationships/hyperlink" Target="https://polkadot.subsquare.io/referenda/491" TargetMode="External"/><Relationship Id="rId236" Type="http://schemas.openxmlformats.org/officeDocument/2006/relationships/hyperlink" Target="https://polkadot.subsquare.io/referenda/490" TargetMode="External"/><Relationship Id="rId2390" Type="http://schemas.openxmlformats.org/officeDocument/2006/relationships/hyperlink" Target="https://polkadot.subsquare.io/treasury/child-bounties/2052" TargetMode="External"/><Relationship Id="rId1060" Type="http://schemas.openxmlformats.org/officeDocument/2006/relationships/hyperlink" Target="https://polkadot.subsquare.io/treasury/child-bounties/613" TargetMode="External"/><Relationship Id="rId2391" Type="http://schemas.openxmlformats.org/officeDocument/2006/relationships/hyperlink" Target="https://polkadot.subsquare.io/treasury/child-bounties/2053" TargetMode="External"/><Relationship Id="rId1061" Type="http://schemas.openxmlformats.org/officeDocument/2006/relationships/hyperlink" Target="https://polkadot.subsquare.io/treasury/child-bounties/614" TargetMode="External"/><Relationship Id="rId2392" Type="http://schemas.openxmlformats.org/officeDocument/2006/relationships/hyperlink" Target="https://polkadot.subsquare.io/treasury/child-bounties/2054" TargetMode="External"/><Relationship Id="rId231" Type="http://schemas.openxmlformats.org/officeDocument/2006/relationships/hyperlink" Target="https://polkadot.subsquare.io/referenda/478" TargetMode="External"/><Relationship Id="rId1062" Type="http://schemas.openxmlformats.org/officeDocument/2006/relationships/hyperlink" Target="https://polkadot.subsquare.io/treasury/child-bounties/618" TargetMode="External"/><Relationship Id="rId2393" Type="http://schemas.openxmlformats.org/officeDocument/2006/relationships/hyperlink" Target="https://polkadot.subsquare.io/treasury/child-bounties/2055" TargetMode="External"/><Relationship Id="rId230" Type="http://schemas.openxmlformats.org/officeDocument/2006/relationships/hyperlink" Target="https://polkadot.subsquare.io/referenda/477" TargetMode="External"/><Relationship Id="rId1063" Type="http://schemas.openxmlformats.org/officeDocument/2006/relationships/hyperlink" Target="https://polkadot.subsquare.io/treasury/child-bounties/619" TargetMode="External"/><Relationship Id="rId2394" Type="http://schemas.openxmlformats.org/officeDocument/2006/relationships/hyperlink" Target="https://polkadot.subsquare.io/treasury/child-bounties/2056" TargetMode="External"/><Relationship Id="rId1064" Type="http://schemas.openxmlformats.org/officeDocument/2006/relationships/hyperlink" Target="https://polkadot.subsquare.io/treasury/child-bounties/620" TargetMode="External"/><Relationship Id="rId2395" Type="http://schemas.openxmlformats.org/officeDocument/2006/relationships/hyperlink" Target="https://polkadot.subsquare.io/treasury/child-bounties/2057" TargetMode="External"/><Relationship Id="rId1065" Type="http://schemas.openxmlformats.org/officeDocument/2006/relationships/hyperlink" Target="https://polkadot.subsquare.io/treasury/child-bounties/621" TargetMode="External"/><Relationship Id="rId2396" Type="http://schemas.openxmlformats.org/officeDocument/2006/relationships/hyperlink" Target="https://polkadot.subsquare.io/treasury/child-bounties/2058" TargetMode="External"/><Relationship Id="rId235" Type="http://schemas.openxmlformats.org/officeDocument/2006/relationships/hyperlink" Target="https://polkadot.subsquare.io/referenda/486" TargetMode="External"/><Relationship Id="rId1066" Type="http://schemas.openxmlformats.org/officeDocument/2006/relationships/hyperlink" Target="https://polkadot.subsquare.io/treasury/child-bounties/622" TargetMode="External"/><Relationship Id="rId2397" Type="http://schemas.openxmlformats.org/officeDocument/2006/relationships/hyperlink" Target="https://polkadot.subsquare.io/treasury/child-bounties/2059" TargetMode="External"/><Relationship Id="rId234" Type="http://schemas.openxmlformats.org/officeDocument/2006/relationships/hyperlink" Target="https://polkadot.subsquare.io/referenda/485" TargetMode="External"/><Relationship Id="rId1067" Type="http://schemas.openxmlformats.org/officeDocument/2006/relationships/hyperlink" Target="https://polkadot.subsquare.io/treasury/child-bounties/623" TargetMode="External"/><Relationship Id="rId2398" Type="http://schemas.openxmlformats.org/officeDocument/2006/relationships/hyperlink" Target="https://polkadot.subsquare.io/treasury/child-bounties/2060" TargetMode="External"/><Relationship Id="rId233" Type="http://schemas.openxmlformats.org/officeDocument/2006/relationships/hyperlink" Target="https://polkadot.subsquare.io/referenda/483" TargetMode="External"/><Relationship Id="rId1068" Type="http://schemas.openxmlformats.org/officeDocument/2006/relationships/hyperlink" Target="https://polkadot.subsquare.io/treasury/child-bounties/624" TargetMode="External"/><Relationship Id="rId2399" Type="http://schemas.openxmlformats.org/officeDocument/2006/relationships/hyperlink" Target="https://polkadot.subsquare.io/treasury/child-bounties/2061" TargetMode="External"/><Relationship Id="rId232" Type="http://schemas.openxmlformats.org/officeDocument/2006/relationships/hyperlink" Target="https://polkadot.subsquare.io/referenda/480" TargetMode="External"/><Relationship Id="rId1069" Type="http://schemas.openxmlformats.org/officeDocument/2006/relationships/hyperlink" Target="https://polkadot.subsquare.io/treasury/child-bounties/625" TargetMode="External"/><Relationship Id="rId1015" Type="http://schemas.openxmlformats.org/officeDocument/2006/relationships/hyperlink" Target="https://polkadot.subsquare.io/treasury/child-bounties/568" TargetMode="External"/><Relationship Id="rId1499" Type="http://schemas.openxmlformats.org/officeDocument/2006/relationships/hyperlink" Target="https://polkadot.subsquare.io/treasury/child-bounties/1067" TargetMode="External"/><Relationship Id="rId2346" Type="http://schemas.openxmlformats.org/officeDocument/2006/relationships/hyperlink" Target="https://polkadot.subsquare.io/treasury/child-bounties/2002" TargetMode="External"/><Relationship Id="rId1016" Type="http://schemas.openxmlformats.org/officeDocument/2006/relationships/hyperlink" Target="https://polkadot.subsquare.io/treasury/child-bounties/569" TargetMode="External"/><Relationship Id="rId2347" Type="http://schemas.openxmlformats.org/officeDocument/2006/relationships/hyperlink" Target="https://polkadot.subsquare.io/treasury/child-bounties/2003" TargetMode="External"/><Relationship Id="rId1017" Type="http://schemas.openxmlformats.org/officeDocument/2006/relationships/hyperlink" Target="https://polkadot.subsquare.io/treasury/child-bounties/570" TargetMode="External"/><Relationship Id="rId2348" Type="http://schemas.openxmlformats.org/officeDocument/2006/relationships/hyperlink" Target="https://polkadot.subsquare.io/treasury/child-bounties/2004" TargetMode="External"/><Relationship Id="rId1018" Type="http://schemas.openxmlformats.org/officeDocument/2006/relationships/hyperlink" Target="https://polkadot.subsquare.io/treasury/child-bounties/571" TargetMode="External"/><Relationship Id="rId2349" Type="http://schemas.openxmlformats.org/officeDocument/2006/relationships/hyperlink" Target="https://polkadot.subsquare.io/treasury/child-bounties/2005" TargetMode="External"/><Relationship Id="rId1019" Type="http://schemas.openxmlformats.org/officeDocument/2006/relationships/hyperlink" Target="https://polkadot.subsquare.io/treasury/child-bounties/572" TargetMode="External"/><Relationship Id="rId668" Type="http://schemas.openxmlformats.org/officeDocument/2006/relationships/hyperlink" Target="https://github.com/paritytech/frontier/security/advisories/GHSA-fcmm-54jp-7vf6" TargetMode="External"/><Relationship Id="rId667" Type="http://schemas.openxmlformats.org/officeDocument/2006/relationships/hyperlink" Target="https://polkadot.subsquare.io/treasury/child-bounties/206" TargetMode="External"/><Relationship Id="rId666" Type="http://schemas.openxmlformats.org/officeDocument/2006/relationships/hyperlink" Target="https://polkadot.subsquare.io/treasury/child-bounties/205" TargetMode="External"/><Relationship Id="rId665" Type="http://schemas.openxmlformats.org/officeDocument/2006/relationships/hyperlink" Target="https://polkadot.subsquare.io/treasury/child-bounties/204" TargetMode="External"/><Relationship Id="rId669" Type="http://schemas.openxmlformats.org/officeDocument/2006/relationships/hyperlink" Target="https://polkadot.subsquare.io/treasury/child-bounties/207" TargetMode="External"/><Relationship Id="rId1490" Type="http://schemas.openxmlformats.org/officeDocument/2006/relationships/hyperlink" Target="https://polkadot.subsquare.io/treasury/child-bounties/1058" TargetMode="External"/><Relationship Id="rId660" Type="http://schemas.openxmlformats.org/officeDocument/2006/relationships/hyperlink" Target="https://polkadot.subsquare.io/treasury/child-bounties/199" TargetMode="External"/><Relationship Id="rId1491" Type="http://schemas.openxmlformats.org/officeDocument/2006/relationships/hyperlink" Target="https://polkadot.subsquare.io/treasury/child-bounties/1059" TargetMode="External"/><Relationship Id="rId1492" Type="http://schemas.openxmlformats.org/officeDocument/2006/relationships/hyperlink" Target="https://polkadot.subsquare.io/treasury/child-bounties/1060" TargetMode="External"/><Relationship Id="rId1493" Type="http://schemas.openxmlformats.org/officeDocument/2006/relationships/hyperlink" Target="https://polkadot.subsquare.io/treasury/child-bounties/1061" TargetMode="External"/><Relationship Id="rId2340" Type="http://schemas.openxmlformats.org/officeDocument/2006/relationships/hyperlink" Target="https://polkadot.subsquare.io/treasury/child-bounties/1996" TargetMode="External"/><Relationship Id="rId1010" Type="http://schemas.openxmlformats.org/officeDocument/2006/relationships/hyperlink" Target="https://polkadot.subsquare.io/treasury/child-bounties/563" TargetMode="External"/><Relationship Id="rId1494" Type="http://schemas.openxmlformats.org/officeDocument/2006/relationships/hyperlink" Target="https://polkadot.subsquare.io/treasury/child-bounties/1062" TargetMode="External"/><Relationship Id="rId2341" Type="http://schemas.openxmlformats.org/officeDocument/2006/relationships/hyperlink" Target="https://polkadot.subsquare.io/treasury/child-bounties/1997" TargetMode="External"/><Relationship Id="rId664" Type="http://schemas.openxmlformats.org/officeDocument/2006/relationships/hyperlink" Target="https://polkadot.subsquare.io/treasury/child-bounties/203" TargetMode="External"/><Relationship Id="rId1011" Type="http://schemas.openxmlformats.org/officeDocument/2006/relationships/hyperlink" Target="https://polkadot.subsquare.io/treasury/child-bounties/564" TargetMode="External"/><Relationship Id="rId1495" Type="http://schemas.openxmlformats.org/officeDocument/2006/relationships/hyperlink" Target="https://polkadot.subsquare.io/treasury/child-bounties/1063" TargetMode="External"/><Relationship Id="rId2342" Type="http://schemas.openxmlformats.org/officeDocument/2006/relationships/hyperlink" Target="https://polkadot.subsquare.io/treasury/child-bounties/1998" TargetMode="External"/><Relationship Id="rId663" Type="http://schemas.openxmlformats.org/officeDocument/2006/relationships/hyperlink" Target="https://polkadot.subsquare.io/treasury/child-bounties/202" TargetMode="External"/><Relationship Id="rId1012" Type="http://schemas.openxmlformats.org/officeDocument/2006/relationships/hyperlink" Target="https://polkadot.subsquare.io/treasury/child-bounties/565" TargetMode="External"/><Relationship Id="rId1496" Type="http://schemas.openxmlformats.org/officeDocument/2006/relationships/hyperlink" Target="https://polkadot.subsquare.io/treasury/child-bounties/1064" TargetMode="External"/><Relationship Id="rId2343" Type="http://schemas.openxmlformats.org/officeDocument/2006/relationships/hyperlink" Target="https://polkadot.subsquare.io/treasury/child-bounties/1999" TargetMode="External"/><Relationship Id="rId662" Type="http://schemas.openxmlformats.org/officeDocument/2006/relationships/hyperlink" Target="https://polkadot.subsquare.io/treasury/child-bounties/201" TargetMode="External"/><Relationship Id="rId1013" Type="http://schemas.openxmlformats.org/officeDocument/2006/relationships/hyperlink" Target="https://polkadot.subsquare.io/treasury/child-bounties/566" TargetMode="External"/><Relationship Id="rId1497" Type="http://schemas.openxmlformats.org/officeDocument/2006/relationships/hyperlink" Target="https://polkadot.subsquare.io/treasury/child-bounties/1065" TargetMode="External"/><Relationship Id="rId2344" Type="http://schemas.openxmlformats.org/officeDocument/2006/relationships/hyperlink" Target="https://polkadot.subsquare.io/treasury/child-bounties/2000" TargetMode="External"/><Relationship Id="rId661" Type="http://schemas.openxmlformats.org/officeDocument/2006/relationships/hyperlink" Target="https://polkadot.subsquare.io/treasury/child-bounties/200" TargetMode="External"/><Relationship Id="rId1014" Type="http://schemas.openxmlformats.org/officeDocument/2006/relationships/hyperlink" Target="https://polkadot.subsquare.io/treasury/child-bounties/567" TargetMode="External"/><Relationship Id="rId1498" Type="http://schemas.openxmlformats.org/officeDocument/2006/relationships/hyperlink" Target="https://polkadot.subsquare.io/treasury/child-bounties/1066" TargetMode="External"/><Relationship Id="rId2345" Type="http://schemas.openxmlformats.org/officeDocument/2006/relationships/hyperlink" Target="https://polkadot.subsquare.io/treasury/child-bounties/2001" TargetMode="External"/><Relationship Id="rId1004" Type="http://schemas.openxmlformats.org/officeDocument/2006/relationships/hyperlink" Target="https://polkadot.subsquare.io/treasury/child-bounties/557" TargetMode="External"/><Relationship Id="rId1488" Type="http://schemas.openxmlformats.org/officeDocument/2006/relationships/hyperlink" Target="https://polkadot.subsquare.io/treasury/child-bounties/1056" TargetMode="External"/><Relationship Id="rId2335" Type="http://schemas.openxmlformats.org/officeDocument/2006/relationships/hyperlink" Target="https://polkadot.subsquare.io/treasury/child-bounties/1990" TargetMode="External"/><Relationship Id="rId1005" Type="http://schemas.openxmlformats.org/officeDocument/2006/relationships/hyperlink" Target="https://polkadot.subsquare.io/treasury/child-bounties/558" TargetMode="External"/><Relationship Id="rId1489" Type="http://schemas.openxmlformats.org/officeDocument/2006/relationships/hyperlink" Target="https://polkadot.subsquare.io/treasury/child-bounties/1057" TargetMode="External"/><Relationship Id="rId2336" Type="http://schemas.openxmlformats.org/officeDocument/2006/relationships/hyperlink" Target="https://polkadot.subsquare.io/treasury/child-bounties/1991" TargetMode="External"/><Relationship Id="rId1006" Type="http://schemas.openxmlformats.org/officeDocument/2006/relationships/hyperlink" Target="https://polkadot.subsquare.io/treasury/child-bounties/559" TargetMode="External"/><Relationship Id="rId2337" Type="http://schemas.openxmlformats.org/officeDocument/2006/relationships/hyperlink" Target="https://polkadot.subsquare.io/treasury/child-bounties/1992" TargetMode="External"/><Relationship Id="rId1007" Type="http://schemas.openxmlformats.org/officeDocument/2006/relationships/hyperlink" Target="https://polkadot.subsquare.io/treasury/child-bounties/560" TargetMode="External"/><Relationship Id="rId2338" Type="http://schemas.openxmlformats.org/officeDocument/2006/relationships/hyperlink" Target="https://polkadot.subsquare.io/treasury/child-bounties/1993" TargetMode="External"/><Relationship Id="rId1008" Type="http://schemas.openxmlformats.org/officeDocument/2006/relationships/hyperlink" Target="https://polkadot.subsquare.io/treasury/child-bounties/561" TargetMode="External"/><Relationship Id="rId2339" Type="http://schemas.openxmlformats.org/officeDocument/2006/relationships/hyperlink" Target="https://polkadot.subsquare.io/treasury/child-bounties/1994" TargetMode="External"/><Relationship Id="rId1009" Type="http://schemas.openxmlformats.org/officeDocument/2006/relationships/hyperlink" Target="https://polkadot.subsquare.io/treasury/child-bounties/562" TargetMode="External"/><Relationship Id="rId657" Type="http://schemas.openxmlformats.org/officeDocument/2006/relationships/hyperlink" Target="https://polkadot.subsquare.io/treasury/child-bounties/196" TargetMode="External"/><Relationship Id="rId656" Type="http://schemas.openxmlformats.org/officeDocument/2006/relationships/hyperlink" Target="https://polkadot.subsquare.io/treasury/child-bounties/195" TargetMode="External"/><Relationship Id="rId655" Type="http://schemas.openxmlformats.org/officeDocument/2006/relationships/hyperlink" Target="https://polkadot.subsquare.io/treasury/child-bounties/194" TargetMode="External"/><Relationship Id="rId654" Type="http://schemas.openxmlformats.org/officeDocument/2006/relationships/hyperlink" Target="https://polkadot.subsquare.io/treasury/child-bounties/193" TargetMode="External"/><Relationship Id="rId659" Type="http://schemas.openxmlformats.org/officeDocument/2006/relationships/hyperlink" Target="https://polkadot.subsquare.io/treasury/child-bounties/198" TargetMode="External"/><Relationship Id="rId658" Type="http://schemas.openxmlformats.org/officeDocument/2006/relationships/hyperlink" Target="https://polkadot.subsquare.io/treasury/child-bounties/197" TargetMode="External"/><Relationship Id="rId1480" Type="http://schemas.openxmlformats.org/officeDocument/2006/relationships/hyperlink" Target="https://polkadot.subsquare.io/treasury/child-bounties/1048" TargetMode="External"/><Relationship Id="rId1481" Type="http://schemas.openxmlformats.org/officeDocument/2006/relationships/hyperlink" Target="https://polkadot.subsquare.io/treasury/child-bounties/1049" TargetMode="External"/><Relationship Id="rId1482" Type="http://schemas.openxmlformats.org/officeDocument/2006/relationships/hyperlink" Target="https://polkadot.subsquare.io/treasury/child-bounties/1050" TargetMode="External"/><Relationship Id="rId1483" Type="http://schemas.openxmlformats.org/officeDocument/2006/relationships/hyperlink" Target="https://polkadot.subsquare.io/treasury/child-bounties/1051" TargetMode="External"/><Relationship Id="rId2330" Type="http://schemas.openxmlformats.org/officeDocument/2006/relationships/hyperlink" Target="https://polkadot.subsquare.io/treasury/child-bounties/1985" TargetMode="External"/><Relationship Id="rId653" Type="http://schemas.openxmlformats.org/officeDocument/2006/relationships/hyperlink" Target="https://polkadot.subsquare.io/treasury/child-bounties/192" TargetMode="External"/><Relationship Id="rId1000" Type="http://schemas.openxmlformats.org/officeDocument/2006/relationships/hyperlink" Target="https://polkadot.subsquare.io/treasury/child-bounties/553" TargetMode="External"/><Relationship Id="rId1484" Type="http://schemas.openxmlformats.org/officeDocument/2006/relationships/hyperlink" Target="https://polkadot.subsquare.io/treasury/child-bounties/1052" TargetMode="External"/><Relationship Id="rId2331" Type="http://schemas.openxmlformats.org/officeDocument/2006/relationships/hyperlink" Target="https://polkadot.subsquare.io/treasury/child-bounties/1986" TargetMode="External"/><Relationship Id="rId652" Type="http://schemas.openxmlformats.org/officeDocument/2006/relationships/hyperlink" Target="https://polkadot.subsquare.io/treasury/child-bounties/191" TargetMode="External"/><Relationship Id="rId1001" Type="http://schemas.openxmlformats.org/officeDocument/2006/relationships/hyperlink" Target="https://polkadot.subsquare.io/treasury/child-bounties/554" TargetMode="External"/><Relationship Id="rId1485" Type="http://schemas.openxmlformats.org/officeDocument/2006/relationships/hyperlink" Target="https://polkadot.subsquare.io/treasury/child-bounties/1053" TargetMode="External"/><Relationship Id="rId2332" Type="http://schemas.openxmlformats.org/officeDocument/2006/relationships/hyperlink" Target="https://polkadot.subsquare.io/treasury/child-bounties/1987" TargetMode="External"/><Relationship Id="rId651" Type="http://schemas.openxmlformats.org/officeDocument/2006/relationships/hyperlink" Target="https://polkadot.subsquare.io/treasury/child-bounties/190" TargetMode="External"/><Relationship Id="rId1002" Type="http://schemas.openxmlformats.org/officeDocument/2006/relationships/hyperlink" Target="https://polkadot.subsquare.io/treasury/child-bounties/555" TargetMode="External"/><Relationship Id="rId1486" Type="http://schemas.openxmlformats.org/officeDocument/2006/relationships/hyperlink" Target="https://polkadot.subsquare.io/treasury/child-bounties/1054" TargetMode="External"/><Relationship Id="rId2333" Type="http://schemas.openxmlformats.org/officeDocument/2006/relationships/hyperlink" Target="https://polkadot.subsquare.io/treasury/child-bounties/1988" TargetMode="External"/><Relationship Id="rId650" Type="http://schemas.openxmlformats.org/officeDocument/2006/relationships/hyperlink" Target="https://polkadot.subsquare.io/treasury/child-bounties/189" TargetMode="External"/><Relationship Id="rId1003" Type="http://schemas.openxmlformats.org/officeDocument/2006/relationships/hyperlink" Target="https://polkadot.subsquare.io/treasury/child-bounties/556" TargetMode="External"/><Relationship Id="rId1487" Type="http://schemas.openxmlformats.org/officeDocument/2006/relationships/hyperlink" Target="https://polkadot.subsquare.io/treasury/child-bounties/1055" TargetMode="External"/><Relationship Id="rId2334" Type="http://schemas.openxmlformats.org/officeDocument/2006/relationships/hyperlink" Target="https://polkadot.subsquare.io/treasury/child-bounties/1989" TargetMode="External"/><Relationship Id="rId1037" Type="http://schemas.openxmlformats.org/officeDocument/2006/relationships/hyperlink" Target="https://polkadot.subsquare.io/treasury/child-bounties/590" TargetMode="External"/><Relationship Id="rId2368" Type="http://schemas.openxmlformats.org/officeDocument/2006/relationships/hyperlink" Target="https://polkadot.subsquare.io/treasury/child-bounties/2030" TargetMode="External"/><Relationship Id="rId1038" Type="http://schemas.openxmlformats.org/officeDocument/2006/relationships/hyperlink" Target="https://polkadot.subsquare.io/treasury/child-bounties/591" TargetMode="External"/><Relationship Id="rId2369" Type="http://schemas.openxmlformats.org/officeDocument/2006/relationships/hyperlink" Target="https://polkadot.subsquare.io/treasury/child-bounties/2031" TargetMode="External"/><Relationship Id="rId1039" Type="http://schemas.openxmlformats.org/officeDocument/2006/relationships/hyperlink" Target="https://polkadot.subsquare.io/treasury/child-bounties/592" TargetMode="External"/><Relationship Id="rId206" Type="http://schemas.openxmlformats.org/officeDocument/2006/relationships/hyperlink" Target="https://polkadot.subsquare.io/referenda/426" TargetMode="External"/><Relationship Id="rId205" Type="http://schemas.openxmlformats.org/officeDocument/2006/relationships/hyperlink" Target="https://polkadot.subsquare.io/referenda/425" TargetMode="External"/><Relationship Id="rId689" Type="http://schemas.openxmlformats.org/officeDocument/2006/relationships/hyperlink" Target="https://polkadot.subsquare.io/treasury/child-bounties/227" TargetMode="External"/><Relationship Id="rId204" Type="http://schemas.openxmlformats.org/officeDocument/2006/relationships/hyperlink" Target="https://polkadot.subsquare.io/referenda/422" TargetMode="External"/><Relationship Id="rId688" Type="http://schemas.openxmlformats.org/officeDocument/2006/relationships/hyperlink" Target="https://polkadot.subsquare.io/treasury/child-bounties/226" TargetMode="External"/><Relationship Id="rId203" Type="http://schemas.openxmlformats.org/officeDocument/2006/relationships/hyperlink" Target="https://polkadot.subsquare.io/referenda/421" TargetMode="External"/><Relationship Id="rId687" Type="http://schemas.openxmlformats.org/officeDocument/2006/relationships/hyperlink" Target="https://polkadot.subsquare.io/treasury/child-bounties/225" TargetMode="External"/><Relationship Id="rId209" Type="http://schemas.openxmlformats.org/officeDocument/2006/relationships/hyperlink" Target="https://polkadot.subsquare.io/referenda/436" TargetMode="External"/><Relationship Id="rId208" Type="http://schemas.openxmlformats.org/officeDocument/2006/relationships/hyperlink" Target="https://polkadot.subsquare.io/referenda/433" TargetMode="External"/><Relationship Id="rId207" Type="http://schemas.openxmlformats.org/officeDocument/2006/relationships/hyperlink" Target="https://polkadot.subsquare.io/referenda/429" TargetMode="External"/><Relationship Id="rId682" Type="http://schemas.openxmlformats.org/officeDocument/2006/relationships/hyperlink" Target="https://polkadot.subsquare.io/treasury/child-bounties/220" TargetMode="External"/><Relationship Id="rId2360" Type="http://schemas.openxmlformats.org/officeDocument/2006/relationships/hyperlink" Target="https://polkadot.subsquare.io/treasury/child-bounties/2019" TargetMode="External"/><Relationship Id="rId681" Type="http://schemas.openxmlformats.org/officeDocument/2006/relationships/hyperlink" Target="https://polkadot.subsquare.io/treasury/child-bounties/219" TargetMode="External"/><Relationship Id="rId1030" Type="http://schemas.openxmlformats.org/officeDocument/2006/relationships/hyperlink" Target="https://polkadot.subsquare.io/treasury/child-bounties/583" TargetMode="External"/><Relationship Id="rId2361" Type="http://schemas.openxmlformats.org/officeDocument/2006/relationships/hyperlink" Target="https://polkadot.subsquare.io/treasury/child-bounties/2020" TargetMode="External"/><Relationship Id="rId680" Type="http://schemas.openxmlformats.org/officeDocument/2006/relationships/hyperlink" Target="https://polkadot.subsquare.io/treasury/child-bounties/218" TargetMode="External"/><Relationship Id="rId1031" Type="http://schemas.openxmlformats.org/officeDocument/2006/relationships/hyperlink" Target="https://polkadot.subsquare.io/treasury/child-bounties/584" TargetMode="External"/><Relationship Id="rId2362" Type="http://schemas.openxmlformats.org/officeDocument/2006/relationships/hyperlink" Target="https://polkadot.subsquare.io/treasury/child-bounties/2021" TargetMode="External"/><Relationship Id="rId1032" Type="http://schemas.openxmlformats.org/officeDocument/2006/relationships/hyperlink" Target="https://polkadot.subsquare.io/treasury/child-bounties/585" TargetMode="External"/><Relationship Id="rId2363" Type="http://schemas.openxmlformats.org/officeDocument/2006/relationships/hyperlink" Target="https://polkadot.subsquare.io/treasury/child-bounties/2022" TargetMode="External"/><Relationship Id="rId202" Type="http://schemas.openxmlformats.org/officeDocument/2006/relationships/hyperlink" Target="https://polkadot.subsquare.io/referenda/420" TargetMode="External"/><Relationship Id="rId686" Type="http://schemas.openxmlformats.org/officeDocument/2006/relationships/hyperlink" Target="https://polkadot.subsquare.io/treasury/child-bounties/224" TargetMode="External"/><Relationship Id="rId1033" Type="http://schemas.openxmlformats.org/officeDocument/2006/relationships/hyperlink" Target="https://polkadot.subsquare.io/treasury/child-bounties/586" TargetMode="External"/><Relationship Id="rId2364" Type="http://schemas.openxmlformats.org/officeDocument/2006/relationships/hyperlink" Target="https://polkadot.subsquare.io/treasury/child-bounties/2023" TargetMode="External"/><Relationship Id="rId201" Type="http://schemas.openxmlformats.org/officeDocument/2006/relationships/hyperlink" Target="https://polkadot.subsquare.io/referenda/418" TargetMode="External"/><Relationship Id="rId685" Type="http://schemas.openxmlformats.org/officeDocument/2006/relationships/hyperlink" Target="https://polkadot.subsquare.io/treasury/child-bounties/223" TargetMode="External"/><Relationship Id="rId1034" Type="http://schemas.openxmlformats.org/officeDocument/2006/relationships/hyperlink" Target="https://polkadot.subsquare.io/treasury/child-bounties/587" TargetMode="External"/><Relationship Id="rId2365" Type="http://schemas.openxmlformats.org/officeDocument/2006/relationships/hyperlink" Target="https://polkadot.subsquare.io/treasury/child-bounties/2027" TargetMode="External"/><Relationship Id="rId200" Type="http://schemas.openxmlformats.org/officeDocument/2006/relationships/hyperlink" Target="https://polkadot.subsquare.io/referenda/417" TargetMode="External"/><Relationship Id="rId684" Type="http://schemas.openxmlformats.org/officeDocument/2006/relationships/hyperlink" Target="https://polkadot.subsquare.io/treasury/child-bounties/222" TargetMode="External"/><Relationship Id="rId1035" Type="http://schemas.openxmlformats.org/officeDocument/2006/relationships/hyperlink" Target="https://polkadot.subsquare.io/treasury/child-bounties/588" TargetMode="External"/><Relationship Id="rId2366" Type="http://schemas.openxmlformats.org/officeDocument/2006/relationships/hyperlink" Target="https://polkadot.subsquare.io/treasury/child-bounties/2028" TargetMode="External"/><Relationship Id="rId683" Type="http://schemas.openxmlformats.org/officeDocument/2006/relationships/hyperlink" Target="https://polkadot.subsquare.io/treasury/child-bounties/221" TargetMode="External"/><Relationship Id="rId1036" Type="http://schemas.openxmlformats.org/officeDocument/2006/relationships/hyperlink" Target="https://polkadot.subsquare.io/treasury/child-bounties/589" TargetMode="External"/><Relationship Id="rId2367" Type="http://schemas.openxmlformats.org/officeDocument/2006/relationships/hyperlink" Target="https://polkadot.subsquare.io/treasury/child-bounties/2029" TargetMode="External"/><Relationship Id="rId1026" Type="http://schemas.openxmlformats.org/officeDocument/2006/relationships/hyperlink" Target="https://polkadot.subsquare.io/treasury/child-bounties/579" TargetMode="External"/><Relationship Id="rId2357" Type="http://schemas.openxmlformats.org/officeDocument/2006/relationships/hyperlink" Target="https://polkadot.subsquare.io/treasury/child-bounties/2016" TargetMode="External"/><Relationship Id="rId1027" Type="http://schemas.openxmlformats.org/officeDocument/2006/relationships/hyperlink" Target="https://polkadot.subsquare.io/treasury/child-bounties/580" TargetMode="External"/><Relationship Id="rId2358" Type="http://schemas.openxmlformats.org/officeDocument/2006/relationships/hyperlink" Target="https://polkadot.subsquare.io/treasury/child-bounties/2017" TargetMode="External"/><Relationship Id="rId1028" Type="http://schemas.openxmlformats.org/officeDocument/2006/relationships/hyperlink" Target="https://polkadot.subsquare.io/treasury/child-bounties/581" TargetMode="External"/><Relationship Id="rId2359" Type="http://schemas.openxmlformats.org/officeDocument/2006/relationships/hyperlink" Target="https://polkadot.subsquare.io/treasury/child-bounties/2018" TargetMode="External"/><Relationship Id="rId1029" Type="http://schemas.openxmlformats.org/officeDocument/2006/relationships/hyperlink" Target="https://polkadot.subsquare.io/treasury/child-bounties/582" TargetMode="External"/><Relationship Id="rId679" Type="http://schemas.openxmlformats.org/officeDocument/2006/relationships/hyperlink" Target="https://polkadot.subsquare.io/treasury/child-bounties/217" TargetMode="External"/><Relationship Id="rId678" Type="http://schemas.openxmlformats.org/officeDocument/2006/relationships/hyperlink" Target="https://polkadot.subsquare.io/treasury/child-bounties/216" TargetMode="External"/><Relationship Id="rId677" Type="http://schemas.openxmlformats.org/officeDocument/2006/relationships/hyperlink" Target="https://polkadot.subsquare.io/treasury/child-bounties/215" TargetMode="External"/><Relationship Id="rId676" Type="http://schemas.openxmlformats.org/officeDocument/2006/relationships/hyperlink" Target="https://polkadot.subsquare.io/treasury/child-bounties/214" TargetMode="External"/><Relationship Id="rId671" Type="http://schemas.openxmlformats.org/officeDocument/2006/relationships/hyperlink" Target="https://polkadot.subsquare.io/treasury/child-bounties/209" TargetMode="External"/><Relationship Id="rId670" Type="http://schemas.openxmlformats.org/officeDocument/2006/relationships/hyperlink" Target="https://polkadot.subsquare.io/treasury/child-bounties/208" TargetMode="External"/><Relationship Id="rId2350" Type="http://schemas.openxmlformats.org/officeDocument/2006/relationships/hyperlink" Target="https://polkadot.subsquare.io/treasury/child-bounties/2006" TargetMode="External"/><Relationship Id="rId1020" Type="http://schemas.openxmlformats.org/officeDocument/2006/relationships/hyperlink" Target="https://polkadot.subsquare.io/treasury/child-bounties/573" TargetMode="External"/><Relationship Id="rId2351" Type="http://schemas.openxmlformats.org/officeDocument/2006/relationships/hyperlink" Target="https://polkadot.subsquare.io/treasury/child-bounties/2008" TargetMode="External"/><Relationship Id="rId1021" Type="http://schemas.openxmlformats.org/officeDocument/2006/relationships/hyperlink" Target="https://polkadot.subsquare.io/treasury/child-bounties/574" TargetMode="External"/><Relationship Id="rId2352" Type="http://schemas.openxmlformats.org/officeDocument/2006/relationships/hyperlink" Target="https://polkadot.subsquare.io/treasury/child-bounties/2009" TargetMode="External"/><Relationship Id="rId675" Type="http://schemas.openxmlformats.org/officeDocument/2006/relationships/hyperlink" Target="https://polkadot.subsquare.io/treasury/child-bounties/213" TargetMode="External"/><Relationship Id="rId1022" Type="http://schemas.openxmlformats.org/officeDocument/2006/relationships/hyperlink" Target="https://polkadot.subsquare.io/treasury/child-bounties/575" TargetMode="External"/><Relationship Id="rId2353" Type="http://schemas.openxmlformats.org/officeDocument/2006/relationships/hyperlink" Target="https://polkadot.subsquare.io/treasury/child-bounties/2012" TargetMode="External"/><Relationship Id="rId674" Type="http://schemas.openxmlformats.org/officeDocument/2006/relationships/hyperlink" Target="https://polkadot.subsquare.io/treasury/child-bounties/212" TargetMode="External"/><Relationship Id="rId1023" Type="http://schemas.openxmlformats.org/officeDocument/2006/relationships/hyperlink" Target="https://polkadot.subsquare.io/treasury/child-bounties/576" TargetMode="External"/><Relationship Id="rId2354" Type="http://schemas.openxmlformats.org/officeDocument/2006/relationships/hyperlink" Target="https://polkadot.subsquare.io/treasury/child-bounties/2013" TargetMode="External"/><Relationship Id="rId673" Type="http://schemas.openxmlformats.org/officeDocument/2006/relationships/hyperlink" Target="https://polkadot.subsquare.io/treasury/child-bounties/211" TargetMode="External"/><Relationship Id="rId1024" Type="http://schemas.openxmlformats.org/officeDocument/2006/relationships/hyperlink" Target="https://polkadot.subsquare.io/treasury/child-bounties/577" TargetMode="External"/><Relationship Id="rId2355" Type="http://schemas.openxmlformats.org/officeDocument/2006/relationships/hyperlink" Target="https://polkadot.subsquare.io/treasury/child-bounties/2014" TargetMode="External"/><Relationship Id="rId672" Type="http://schemas.openxmlformats.org/officeDocument/2006/relationships/hyperlink" Target="https://polkadot.subsquare.io/treasury/child-bounties/210" TargetMode="External"/><Relationship Id="rId1025" Type="http://schemas.openxmlformats.org/officeDocument/2006/relationships/hyperlink" Target="https://polkadot.subsquare.io/treasury/child-bounties/578" TargetMode="External"/><Relationship Id="rId2356" Type="http://schemas.openxmlformats.org/officeDocument/2006/relationships/hyperlink" Target="https://polkadot.subsquare.io/treasury/child-bounties/2015" TargetMode="External"/><Relationship Id="rId190" Type="http://schemas.openxmlformats.org/officeDocument/2006/relationships/hyperlink" Target="https://polkadot.subsquare.io/referenda/391" TargetMode="External"/><Relationship Id="rId194" Type="http://schemas.openxmlformats.org/officeDocument/2006/relationships/hyperlink" Target="https://polkadot.subsquare.io/referenda/406" TargetMode="External"/><Relationship Id="rId193" Type="http://schemas.openxmlformats.org/officeDocument/2006/relationships/hyperlink" Target="https://polkadot.subsquare.io/referenda/397" TargetMode="External"/><Relationship Id="rId192" Type="http://schemas.openxmlformats.org/officeDocument/2006/relationships/hyperlink" Target="https://polkadot.subsquare.io/referenda/396" TargetMode="External"/><Relationship Id="rId191" Type="http://schemas.openxmlformats.org/officeDocument/2006/relationships/hyperlink" Target="https://polkadot.subsquare.io/referenda/393" TargetMode="External"/><Relationship Id="rId187" Type="http://schemas.openxmlformats.org/officeDocument/2006/relationships/hyperlink" Target="https://polkadot.subsquare.io/referenda/385" TargetMode="External"/><Relationship Id="rId186" Type="http://schemas.openxmlformats.org/officeDocument/2006/relationships/hyperlink" Target="https://polkadot.subsquare.io/referenda/382" TargetMode="External"/><Relationship Id="rId185" Type="http://schemas.openxmlformats.org/officeDocument/2006/relationships/hyperlink" Target="https://polkadot.subsquare.io/referenda/379" TargetMode="External"/><Relationship Id="rId184" Type="http://schemas.openxmlformats.org/officeDocument/2006/relationships/hyperlink" Target="https://polkadot.subsquare.io/referenda/378" TargetMode="External"/><Relationship Id="rId189" Type="http://schemas.openxmlformats.org/officeDocument/2006/relationships/hyperlink" Target="https://polkadot.subsquare.io/referenda/389" TargetMode="External"/><Relationship Id="rId188" Type="http://schemas.openxmlformats.org/officeDocument/2006/relationships/hyperlink" Target="https://polkadot.subsquare.io/referenda/387" TargetMode="External"/><Relationship Id="rId183" Type="http://schemas.openxmlformats.org/officeDocument/2006/relationships/hyperlink" Target="https://polkadot.subsquare.io/referenda/377" TargetMode="External"/><Relationship Id="rId182" Type="http://schemas.openxmlformats.org/officeDocument/2006/relationships/hyperlink" Target="https://polkadot.subsquare.io/referenda/376" TargetMode="External"/><Relationship Id="rId181" Type="http://schemas.openxmlformats.org/officeDocument/2006/relationships/hyperlink" Target="https://polkadot.subsquare.io/referenda/375" TargetMode="External"/><Relationship Id="rId180" Type="http://schemas.openxmlformats.org/officeDocument/2006/relationships/hyperlink" Target="https://polkadot.subsquare.io/referenda/374" TargetMode="External"/><Relationship Id="rId176" Type="http://schemas.openxmlformats.org/officeDocument/2006/relationships/hyperlink" Target="https://polkadot.subsquare.io/referenda/370" TargetMode="External"/><Relationship Id="rId175" Type="http://schemas.openxmlformats.org/officeDocument/2006/relationships/hyperlink" Target="https://polkadot.subsquare.io/referenda/369" TargetMode="External"/><Relationship Id="rId174" Type="http://schemas.openxmlformats.org/officeDocument/2006/relationships/hyperlink" Target="https://polkadot.subsquare.io/referenda/368" TargetMode="External"/><Relationship Id="rId173" Type="http://schemas.openxmlformats.org/officeDocument/2006/relationships/hyperlink" Target="https://polkadot.subsquare.io/referenda/366" TargetMode="External"/><Relationship Id="rId179" Type="http://schemas.openxmlformats.org/officeDocument/2006/relationships/hyperlink" Target="https://polkadot.subsquare.io/referenda/373" TargetMode="External"/><Relationship Id="rId178" Type="http://schemas.openxmlformats.org/officeDocument/2006/relationships/hyperlink" Target="https://polkadot.subsquare.io/referenda/372" TargetMode="External"/><Relationship Id="rId177" Type="http://schemas.openxmlformats.org/officeDocument/2006/relationships/hyperlink" Target="https://polkadot.subsquare.io/referenda/371" TargetMode="External"/><Relationship Id="rId1910" Type="http://schemas.openxmlformats.org/officeDocument/2006/relationships/hyperlink" Target="https://polkadot.subsquare.io/treasury/child-bounties/1488" TargetMode="External"/><Relationship Id="rId1911" Type="http://schemas.openxmlformats.org/officeDocument/2006/relationships/hyperlink" Target="https://polkadot.subsquare.io/treasury/child-bounties/1489" TargetMode="External"/><Relationship Id="rId1912" Type="http://schemas.openxmlformats.org/officeDocument/2006/relationships/hyperlink" Target="https://polkadot.subsquare.io/treasury/child-bounties/1490" TargetMode="External"/><Relationship Id="rId1913" Type="http://schemas.openxmlformats.org/officeDocument/2006/relationships/hyperlink" Target="https://polkadot.subsquare.io/treasury/child-bounties/1491" TargetMode="External"/><Relationship Id="rId1914" Type="http://schemas.openxmlformats.org/officeDocument/2006/relationships/hyperlink" Target="https://polkadot.subsquare.io/treasury/child-bounties/1492" TargetMode="External"/><Relationship Id="rId1915" Type="http://schemas.openxmlformats.org/officeDocument/2006/relationships/hyperlink" Target="https://polkadot.subsquare.io/treasury/child-bounties/1493" TargetMode="External"/><Relationship Id="rId1916" Type="http://schemas.openxmlformats.org/officeDocument/2006/relationships/hyperlink" Target="https://polkadot.subsquare.io/treasury/child-bounties/1494" TargetMode="External"/><Relationship Id="rId1917" Type="http://schemas.openxmlformats.org/officeDocument/2006/relationships/hyperlink" Target="https://polkadot.subsquare.io/treasury/child-bounties/1495" TargetMode="External"/><Relationship Id="rId1918" Type="http://schemas.openxmlformats.org/officeDocument/2006/relationships/hyperlink" Target="https://polkadot.subsquare.io/treasury/child-bounties/1496" TargetMode="External"/><Relationship Id="rId1919" Type="http://schemas.openxmlformats.org/officeDocument/2006/relationships/hyperlink" Target="https://polkadot.subsquare.io/treasury/child-bounties/1497" TargetMode="External"/><Relationship Id="rId1900" Type="http://schemas.openxmlformats.org/officeDocument/2006/relationships/hyperlink" Target="https://polkadot.subsquare.io/treasury/child-bounties/1478" TargetMode="External"/><Relationship Id="rId1901" Type="http://schemas.openxmlformats.org/officeDocument/2006/relationships/hyperlink" Target="https://polkadot.subsquare.io/treasury/child-bounties/1479" TargetMode="External"/><Relationship Id="rId1902" Type="http://schemas.openxmlformats.org/officeDocument/2006/relationships/hyperlink" Target="https://polkadot.subsquare.io/treasury/child-bounties/1480" TargetMode="External"/><Relationship Id="rId1903" Type="http://schemas.openxmlformats.org/officeDocument/2006/relationships/hyperlink" Target="https://polkadot.subsquare.io/treasury/child-bounties/1481" TargetMode="External"/><Relationship Id="rId1904" Type="http://schemas.openxmlformats.org/officeDocument/2006/relationships/hyperlink" Target="https://polkadot.subsquare.io/treasury/child-bounties/1482" TargetMode="External"/><Relationship Id="rId1905" Type="http://schemas.openxmlformats.org/officeDocument/2006/relationships/hyperlink" Target="https://polkadot.subsquare.io/treasury/child-bounties/1483" TargetMode="External"/><Relationship Id="rId1906" Type="http://schemas.openxmlformats.org/officeDocument/2006/relationships/hyperlink" Target="https://polkadot.subsquare.io/treasury/child-bounties/1484" TargetMode="External"/><Relationship Id="rId1907" Type="http://schemas.openxmlformats.org/officeDocument/2006/relationships/hyperlink" Target="https://polkadot.subsquare.io/treasury/child-bounties/1485" TargetMode="External"/><Relationship Id="rId1908" Type="http://schemas.openxmlformats.org/officeDocument/2006/relationships/hyperlink" Target="https://polkadot.subsquare.io/treasury/child-bounties/1486" TargetMode="External"/><Relationship Id="rId1909" Type="http://schemas.openxmlformats.org/officeDocument/2006/relationships/hyperlink" Target="https://polkadot.subsquare.io/treasury/child-bounties/1487" TargetMode="External"/><Relationship Id="rId198" Type="http://schemas.openxmlformats.org/officeDocument/2006/relationships/hyperlink" Target="https://polkadot.subsquare.io/referenda/412" TargetMode="External"/><Relationship Id="rId197" Type="http://schemas.openxmlformats.org/officeDocument/2006/relationships/hyperlink" Target="https://polkadot.subsquare.io/referenda/411" TargetMode="External"/><Relationship Id="rId196" Type="http://schemas.openxmlformats.org/officeDocument/2006/relationships/hyperlink" Target="https://polkadot.subsquare.io/referenda/409" TargetMode="External"/><Relationship Id="rId195" Type="http://schemas.openxmlformats.org/officeDocument/2006/relationships/hyperlink" Target="https://polkadot.subsquare.io/referenda/408" TargetMode="External"/><Relationship Id="rId199" Type="http://schemas.openxmlformats.org/officeDocument/2006/relationships/hyperlink" Target="https://polkadot.subsquare.io/referenda/415" TargetMode="External"/><Relationship Id="rId150" Type="http://schemas.openxmlformats.org/officeDocument/2006/relationships/hyperlink" Target="https://polkadot.subsquare.io/referenda/324" TargetMode="External"/><Relationship Id="rId149" Type="http://schemas.openxmlformats.org/officeDocument/2006/relationships/hyperlink" Target="https://github.com/paritytech/polkadot-api/pull/200" TargetMode="External"/><Relationship Id="rId148" Type="http://schemas.openxmlformats.org/officeDocument/2006/relationships/hyperlink" Target="https://polkadot.subsquare.io/referenda/320" TargetMode="External"/><Relationship Id="rId1090" Type="http://schemas.openxmlformats.org/officeDocument/2006/relationships/hyperlink" Target="https://polkadot.subsquare.io/treasury/child-bounties/649" TargetMode="External"/><Relationship Id="rId1091" Type="http://schemas.openxmlformats.org/officeDocument/2006/relationships/hyperlink" Target="https://polkadot.subsquare.io/treasury/child-bounties/650" TargetMode="External"/><Relationship Id="rId1092" Type="http://schemas.openxmlformats.org/officeDocument/2006/relationships/hyperlink" Target="https://polkadot.subsquare.io/treasury/child-bounties/651" TargetMode="External"/><Relationship Id="rId1093" Type="http://schemas.openxmlformats.org/officeDocument/2006/relationships/hyperlink" Target="https://polkadot.subsquare.io/treasury/child-bounties/652" TargetMode="External"/><Relationship Id="rId1094" Type="http://schemas.openxmlformats.org/officeDocument/2006/relationships/hyperlink" Target="https://polkadot.subsquare.io/treasury/child-bounties/653" TargetMode="External"/><Relationship Id="rId143" Type="http://schemas.openxmlformats.org/officeDocument/2006/relationships/hyperlink" Target="https://polkadot.subsquare.io/referenda/304" TargetMode="External"/><Relationship Id="rId1095" Type="http://schemas.openxmlformats.org/officeDocument/2006/relationships/hyperlink" Target="https://polkadot.subsquare.io/treasury/child-bounties/654" TargetMode="External"/><Relationship Id="rId142" Type="http://schemas.openxmlformats.org/officeDocument/2006/relationships/hyperlink" Target="https://polkadot.subsquare.io/referenda/302" TargetMode="External"/><Relationship Id="rId1096" Type="http://schemas.openxmlformats.org/officeDocument/2006/relationships/hyperlink" Target="https://polkadot.subsquare.io/treasury/child-bounties/655" TargetMode="External"/><Relationship Id="rId141" Type="http://schemas.openxmlformats.org/officeDocument/2006/relationships/hyperlink" Target="https://polkadot.subsquare.io/referenda/298" TargetMode="External"/><Relationship Id="rId1097" Type="http://schemas.openxmlformats.org/officeDocument/2006/relationships/hyperlink" Target="https://polkadot.subsquare.io/treasury/child-bounties/656" TargetMode="External"/><Relationship Id="rId140" Type="http://schemas.openxmlformats.org/officeDocument/2006/relationships/hyperlink" Target="https://polkadot.subsquare.io/referenda/290" TargetMode="External"/><Relationship Id="rId1098" Type="http://schemas.openxmlformats.org/officeDocument/2006/relationships/hyperlink" Target="https://polkadot.subsquare.io/treasury/child-bounties/657" TargetMode="External"/><Relationship Id="rId147" Type="http://schemas.openxmlformats.org/officeDocument/2006/relationships/hyperlink" Target="https://polkadot.subsquare.io/referenda/312" TargetMode="External"/><Relationship Id="rId1099" Type="http://schemas.openxmlformats.org/officeDocument/2006/relationships/hyperlink" Target="https://polkadot.subsquare.io/treasury/child-bounties/658" TargetMode="External"/><Relationship Id="rId146" Type="http://schemas.openxmlformats.org/officeDocument/2006/relationships/hyperlink" Target="https://polkadot.subsquare.io/referenda/311" TargetMode="External"/><Relationship Id="rId145" Type="http://schemas.openxmlformats.org/officeDocument/2006/relationships/hyperlink" Target="https://polkadot.subsquare.io/referenda/310" TargetMode="External"/><Relationship Id="rId144" Type="http://schemas.openxmlformats.org/officeDocument/2006/relationships/hyperlink" Target="https://polkadot.subsquare.io/referenda/307" TargetMode="External"/><Relationship Id="rId139" Type="http://schemas.openxmlformats.org/officeDocument/2006/relationships/hyperlink" Target="https://polkadot.subsquare.io/referenda/288" TargetMode="External"/><Relationship Id="rId138" Type="http://schemas.openxmlformats.org/officeDocument/2006/relationships/hyperlink" Target="https://polkadot.subsquare.io/referenda/279" TargetMode="External"/><Relationship Id="rId137" Type="http://schemas.openxmlformats.org/officeDocument/2006/relationships/hyperlink" Target="https://polkadot.subsquare.io/referenda/271" TargetMode="External"/><Relationship Id="rId1080" Type="http://schemas.openxmlformats.org/officeDocument/2006/relationships/hyperlink" Target="https://polkadot.subsquare.io/treasury/child-bounties/636" TargetMode="External"/><Relationship Id="rId1081" Type="http://schemas.openxmlformats.org/officeDocument/2006/relationships/hyperlink" Target="https://polkadot.subsquare.io/treasury/child-bounties/637" TargetMode="External"/><Relationship Id="rId1082" Type="http://schemas.openxmlformats.org/officeDocument/2006/relationships/hyperlink" Target="https://polkadot.subsquare.io/treasury/child-bounties/638" TargetMode="External"/><Relationship Id="rId1083" Type="http://schemas.openxmlformats.org/officeDocument/2006/relationships/hyperlink" Target="https://polkadot.subsquare.io/treasury/child-bounties/642" TargetMode="External"/><Relationship Id="rId132" Type="http://schemas.openxmlformats.org/officeDocument/2006/relationships/hyperlink" Target="https://polkadot.subsquare.io/referenda/261" TargetMode="External"/><Relationship Id="rId1084" Type="http://schemas.openxmlformats.org/officeDocument/2006/relationships/hyperlink" Target="https://polkadot.subsquare.io/treasury/child-bounties/643" TargetMode="External"/><Relationship Id="rId131" Type="http://schemas.openxmlformats.org/officeDocument/2006/relationships/hyperlink" Target="https://polkadot.subsquare.io/referenda/260" TargetMode="External"/><Relationship Id="rId1085" Type="http://schemas.openxmlformats.org/officeDocument/2006/relationships/hyperlink" Target="https://polkadot.subsquare.io/treasury/child-bounties/644" TargetMode="External"/><Relationship Id="rId130" Type="http://schemas.openxmlformats.org/officeDocument/2006/relationships/hyperlink" Target="https://polkadot.subsquare.io/referenda/259" TargetMode="External"/><Relationship Id="rId1086" Type="http://schemas.openxmlformats.org/officeDocument/2006/relationships/hyperlink" Target="https://polkadot.subsquare.io/treasury/child-bounties/645" TargetMode="External"/><Relationship Id="rId1087" Type="http://schemas.openxmlformats.org/officeDocument/2006/relationships/hyperlink" Target="https://polkadot.subsquare.io/treasury/child-bounties/646" TargetMode="External"/><Relationship Id="rId136" Type="http://schemas.openxmlformats.org/officeDocument/2006/relationships/hyperlink" Target="https://polkadot.subsquare.io/referenda/269" TargetMode="External"/><Relationship Id="rId1088" Type="http://schemas.openxmlformats.org/officeDocument/2006/relationships/hyperlink" Target="https://polkadot.subsquare.io/treasury/child-bounties/647" TargetMode="External"/><Relationship Id="rId135" Type="http://schemas.openxmlformats.org/officeDocument/2006/relationships/hyperlink" Target="https://polkadot.subsquare.io/referenda/267" TargetMode="External"/><Relationship Id="rId1089" Type="http://schemas.openxmlformats.org/officeDocument/2006/relationships/hyperlink" Target="https://polkadot.subsquare.io/treasury/child-bounties/648" TargetMode="External"/><Relationship Id="rId134" Type="http://schemas.openxmlformats.org/officeDocument/2006/relationships/hyperlink" Target="https://polkadot.subsquare.io/referenda/263" TargetMode="External"/><Relationship Id="rId133" Type="http://schemas.openxmlformats.org/officeDocument/2006/relationships/hyperlink" Target="https://polkadot.subsquare.io/referenda/262" TargetMode="External"/><Relationship Id="rId172" Type="http://schemas.openxmlformats.org/officeDocument/2006/relationships/hyperlink" Target="https://polkadot.subsquare.io/referenda/365" TargetMode="External"/><Relationship Id="rId171" Type="http://schemas.openxmlformats.org/officeDocument/2006/relationships/hyperlink" Target="https://polkadot.subsquare.io/referenda/364" TargetMode="External"/><Relationship Id="rId170" Type="http://schemas.openxmlformats.org/officeDocument/2006/relationships/hyperlink" Target="https://polkadot.subsquare.io/referenda/362" TargetMode="External"/><Relationship Id="rId165" Type="http://schemas.openxmlformats.org/officeDocument/2006/relationships/hyperlink" Target="https://polkadot.subsquare.io/referenda/357" TargetMode="External"/><Relationship Id="rId164" Type="http://schemas.openxmlformats.org/officeDocument/2006/relationships/hyperlink" Target="https://polkadot.subsquare.io/referenda/356" TargetMode="External"/><Relationship Id="rId163" Type="http://schemas.openxmlformats.org/officeDocument/2006/relationships/hyperlink" Target="https://polkadot.subsquare.io/referenda/355" TargetMode="External"/><Relationship Id="rId162" Type="http://schemas.openxmlformats.org/officeDocument/2006/relationships/hyperlink" Target="https://polkadot.subsquare.io/referenda/350" TargetMode="External"/><Relationship Id="rId169" Type="http://schemas.openxmlformats.org/officeDocument/2006/relationships/hyperlink" Target="https://polkadot.subsquare.io/referenda/361" TargetMode="External"/><Relationship Id="rId168" Type="http://schemas.openxmlformats.org/officeDocument/2006/relationships/hyperlink" Target="https://polkadot.subsquare.io/referenda/360" TargetMode="External"/><Relationship Id="rId167" Type="http://schemas.openxmlformats.org/officeDocument/2006/relationships/hyperlink" Target="https://polkadot.subsquare.io/referenda/359" TargetMode="External"/><Relationship Id="rId166" Type="http://schemas.openxmlformats.org/officeDocument/2006/relationships/hyperlink" Target="https://polkadot.subsquare.io/referenda/358" TargetMode="External"/><Relationship Id="rId161" Type="http://schemas.openxmlformats.org/officeDocument/2006/relationships/hyperlink" Target="https://polkadot.subsquare.io/referenda/349" TargetMode="External"/><Relationship Id="rId160" Type="http://schemas.openxmlformats.org/officeDocument/2006/relationships/hyperlink" Target="https://polkadot.subsquare.io/referenda/347" TargetMode="External"/><Relationship Id="rId159" Type="http://schemas.openxmlformats.org/officeDocument/2006/relationships/hyperlink" Target="https://polkadot.subsquare.io/referenda/344" TargetMode="External"/><Relationship Id="rId154" Type="http://schemas.openxmlformats.org/officeDocument/2006/relationships/hyperlink" Target="https://polkadot.subsquare.io/referenda/332" TargetMode="External"/><Relationship Id="rId153" Type="http://schemas.openxmlformats.org/officeDocument/2006/relationships/hyperlink" Target="https://polkadot.subsquare.io/referenda/331" TargetMode="External"/><Relationship Id="rId152" Type="http://schemas.openxmlformats.org/officeDocument/2006/relationships/hyperlink" Target="https://polkadot.subsquare.io/referenda/328" TargetMode="External"/><Relationship Id="rId151" Type="http://schemas.openxmlformats.org/officeDocument/2006/relationships/hyperlink" Target="https://polkadot.subsquare.io/referenda/325" TargetMode="External"/><Relationship Id="rId158" Type="http://schemas.openxmlformats.org/officeDocument/2006/relationships/hyperlink" Target="https://polkadot.subsquare.io/referenda/343" TargetMode="External"/><Relationship Id="rId157" Type="http://schemas.openxmlformats.org/officeDocument/2006/relationships/hyperlink" Target="https://polkadot.subsquare.io/referenda/342" TargetMode="External"/><Relationship Id="rId156" Type="http://schemas.openxmlformats.org/officeDocument/2006/relationships/hyperlink" Target="https://polkadot.subsquare.io/referenda/338" TargetMode="External"/><Relationship Id="rId155" Type="http://schemas.openxmlformats.org/officeDocument/2006/relationships/hyperlink" Target="https://polkadot.subsquare.io/referenda/334" TargetMode="External"/><Relationship Id="rId1972" Type="http://schemas.openxmlformats.org/officeDocument/2006/relationships/hyperlink" Target="https://polkadot.subsquare.io/treasury/child-bounties/1598" TargetMode="External"/><Relationship Id="rId1973" Type="http://schemas.openxmlformats.org/officeDocument/2006/relationships/hyperlink" Target="https://polkadot.subsquare.io/treasury/child-bounties/1599" TargetMode="External"/><Relationship Id="rId1974" Type="http://schemas.openxmlformats.org/officeDocument/2006/relationships/hyperlink" Target="https://polkadot.subsquare.io/treasury/child-bounties/1600" TargetMode="External"/><Relationship Id="rId1975" Type="http://schemas.openxmlformats.org/officeDocument/2006/relationships/hyperlink" Target="https://polkadot.subsquare.io/treasury/child-bounties/1601" TargetMode="External"/><Relationship Id="rId1976" Type="http://schemas.openxmlformats.org/officeDocument/2006/relationships/hyperlink" Target="https://polkadot.subsquare.io/treasury/child-bounties/1602" TargetMode="External"/><Relationship Id="rId1977" Type="http://schemas.openxmlformats.org/officeDocument/2006/relationships/hyperlink" Target="https://polkadot.subsquare.io/treasury/child-bounties/1603" TargetMode="External"/><Relationship Id="rId1978" Type="http://schemas.openxmlformats.org/officeDocument/2006/relationships/hyperlink" Target="https://polkadot.subsquare.io/treasury/child-bounties/1604" TargetMode="External"/><Relationship Id="rId1979" Type="http://schemas.openxmlformats.org/officeDocument/2006/relationships/hyperlink" Target="https://polkadot.subsquare.io/treasury/child-bounties/1605" TargetMode="External"/><Relationship Id="rId1970" Type="http://schemas.openxmlformats.org/officeDocument/2006/relationships/hyperlink" Target="https://polkadot.subsquare.io/treasury/child-bounties/1548" TargetMode="External"/><Relationship Id="rId1971" Type="http://schemas.openxmlformats.org/officeDocument/2006/relationships/hyperlink" Target="https://polkadot.subsquare.io/treasury/child-bounties/1597" TargetMode="External"/><Relationship Id="rId1961" Type="http://schemas.openxmlformats.org/officeDocument/2006/relationships/hyperlink" Target="https://polkadot.subsquare.io/treasury/child-bounties/1539" TargetMode="External"/><Relationship Id="rId1962" Type="http://schemas.openxmlformats.org/officeDocument/2006/relationships/hyperlink" Target="https://polkadot.subsquare.io/treasury/child-bounties/1540" TargetMode="External"/><Relationship Id="rId1963" Type="http://schemas.openxmlformats.org/officeDocument/2006/relationships/hyperlink" Target="https://polkadot.subsquare.io/treasury/child-bounties/1541" TargetMode="External"/><Relationship Id="rId1964" Type="http://schemas.openxmlformats.org/officeDocument/2006/relationships/hyperlink" Target="https://polkadot.subsquare.io/treasury/child-bounties/1542" TargetMode="External"/><Relationship Id="rId1965" Type="http://schemas.openxmlformats.org/officeDocument/2006/relationships/hyperlink" Target="https://polkadot.subsquare.io/treasury/child-bounties/1543" TargetMode="External"/><Relationship Id="rId1966" Type="http://schemas.openxmlformats.org/officeDocument/2006/relationships/hyperlink" Target="https://polkadot.subsquare.io/treasury/child-bounties/1544" TargetMode="External"/><Relationship Id="rId1967" Type="http://schemas.openxmlformats.org/officeDocument/2006/relationships/hyperlink" Target="https://polkadot.subsquare.io/treasury/child-bounties/1545" TargetMode="External"/><Relationship Id="rId1968" Type="http://schemas.openxmlformats.org/officeDocument/2006/relationships/hyperlink" Target="https://polkadot.subsquare.io/treasury/child-bounties/1546" TargetMode="External"/><Relationship Id="rId1969" Type="http://schemas.openxmlformats.org/officeDocument/2006/relationships/hyperlink" Target="https://polkadot.subsquare.io/treasury/child-bounties/1547" TargetMode="External"/><Relationship Id="rId1960" Type="http://schemas.openxmlformats.org/officeDocument/2006/relationships/hyperlink" Target="https://polkadot.subsquare.io/treasury/child-bounties/1538" TargetMode="External"/><Relationship Id="rId1510" Type="http://schemas.openxmlformats.org/officeDocument/2006/relationships/hyperlink" Target="https://polkadot.subsquare.io/treasury/child-bounties/1078" TargetMode="External"/><Relationship Id="rId1994" Type="http://schemas.openxmlformats.org/officeDocument/2006/relationships/hyperlink" Target="https://polkadot.subsquare.io/treasury/child-bounties/1620" TargetMode="External"/><Relationship Id="rId1511" Type="http://schemas.openxmlformats.org/officeDocument/2006/relationships/hyperlink" Target="https://polkadot.subsquare.io/treasury/child-bounties/1079" TargetMode="External"/><Relationship Id="rId1995" Type="http://schemas.openxmlformats.org/officeDocument/2006/relationships/hyperlink" Target="https://polkadot.subsquare.io/treasury/child-bounties/1621" TargetMode="External"/><Relationship Id="rId1512" Type="http://schemas.openxmlformats.org/officeDocument/2006/relationships/hyperlink" Target="https://polkadot.subsquare.io/treasury/child-bounties/1080" TargetMode="External"/><Relationship Id="rId1996" Type="http://schemas.openxmlformats.org/officeDocument/2006/relationships/hyperlink" Target="https://polkadot.subsquare.io/treasury/child-bounties/1622" TargetMode="External"/><Relationship Id="rId1513" Type="http://schemas.openxmlformats.org/officeDocument/2006/relationships/hyperlink" Target="https://polkadot.subsquare.io/treasury/child-bounties/1081" TargetMode="External"/><Relationship Id="rId1997" Type="http://schemas.openxmlformats.org/officeDocument/2006/relationships/hyperlink" Target="https://polkadot.subsquare.io/treasury/child-bounties/1623" TargetMode="External"/><Relationship Id="rId1514" Type="http://schemas.openxmlformats.org/officeDocument/2006/relationships/hyperlink" Target="https://polkadot.subsquare.io/treasury/child-bounties/1082" TargetMode="External"/><Relationship Id="rId1998" Type="http://schemas.openxmlformats.org/officeDocument/2006/relationships/hyperlink" Target="https://polkadot.subsquare.io/treasury/child-bounties/1624" TargetMode="External"/><Relationship Id="rId1515" Type="http://schemas.openxmlformats.org/officeDocument/2006/relationships/hyperlink" Target="https://polkadot.subsquare.io/treasury/child-bounties/1083" TargetMode="External"/><Relationship Id="rId1999" Type="http://schemas.openxmlformats.org/officeDocument/2006/relationships/hyperlink" Target="https://polkadot.subsquare.io/treasury/child-bounties/1625" TargetMode="External"/><Relationship Id="rId1516" Type="http://schemas.openxmlformats.org/officeDocument/2006/relationships/hyperlink" Target="https://polkadot.subsquare.io/treasury/child-bounties/1084" TargetMode="External"/><Relationship Id="rId1517" Type="http://schemas.openxmlformats.org/officeDocument/2006/relationships/hyperlink" Target="https://polkadot.subsquare.io/treasury/child-bounties/1085" TargetMode="External"/><Relationship Id="rId1518" Type="http://schemas.openxmlformats.org/officeDocument/2006/relationships/hyperlink" Target="https://polkadot.subsquare.io/treasury/child-bounties/1086" TargetMode="External"/><Relationship Id="rId1519" Type="http://schemas.openxmlformats.org/officeDocument/2006/relationships/hyperlink" Target="https://polkadot.subsquare.io/treasury/child-bounties/1087" TargetMode="External"/><Relationship Id="rId1990" Type="http://schemas.openxmlformats.org/officeDocument/2006/relationships/hyperlink" Target="https://polkadot.subsquare.io/treasury/child-bounties/1616" TargetMode="External"/><Relationship Id="rId1991" Type="http://schemas.openxmlformats.org/officeDocument/2006/relationships/hyperlink" Target="https://polkadot.subsquare.io/treasury/child-bounties/1617" TargetMode="External"/><Relationship Id="rId1992" Type="http://schemas.openxmlformats.org/officeDocument/2006/relationships/hyperlink" Target="https://polkadot.subsquare.io/treasury/child-bounties/1618" TargetMode="External"/><Relationship Id="rId1993" Type="http://schemas.openxmlformats.org/officeDocument/2006/relationships/hyperlink" Target="https://polkadot.subsquare.io/treasury/child-bounties/1619" TargetMode="External"/><Relationship Id="rId1983" Type="http://schemas.openxmlformats.org/officeDocument/2006/relationships/hyperlink" Target="https://polkadot.subsquare.io/treasury/child-bounties/1609" TargetMode="External"/><Relationship Id="rId1500" Type="http://schemas.openxmlformats.org/officeDocument/2006/relationships/hyperlink" Target="https://polkadot.subsquare.io/treasury/child-bounties/1068" TargetMode="External"/><Relationship Id="rId1984" Type="http://schemas.openxmlformats.org/officeDocument/2006/relationships/hyperlink" Target="https://polkadot.subsquare.io/treasury/child-bounties/1610" TargetMode="External"/><Relationship Id="rId1501" Type="http://schemas.openxmlformats.org/officeDocument/2006/relationships/hyperlink" Target="https://polkadot.subsquare.io/treasury/child-bounties/1069" TargetMode="External"/><Relationship Id="rId1985" Type="http://schemas.openxmlformats.org/officeDocument/2006/relationships/hyperlink" Target="https://polkadot.subsquare.io/treasury/child-bounties/1611" TargetMode="External"/><Relationship Id="rId1502" Type="http://schemas.openxmlformats.org/officeDocument/2006/relationships/hyperlink" Target="https://polkadot.subsquare.io/treasury/child-bounties/1070" TargetMode="External"/><Relationship Id="rId1986" Type="http://schemas.openxmlformats.org/officeDocument/2006/relationships/hyperlink" Target="https://polkadot.subsquare.io/treasury/child-bounties/1612" TargetMode="External"/><Relationship Id="rId1503" Type="http://schemas.openxmlformats.org/officeDocument/2006/relationships/hyperlink" Target="https://polkadot.subsquare.io/treasury/child-bounties/1071" TargetMode="External"/><Relationship Id="rId1987" Type="http://schemas.openxmlformats.org/officeDocument/2006/relationships/hyperlink" Target="https://polkadot.subsquare.io/treasury/child-bounties/1613" TargetMode="External"/><Relationship Id="rId1504" Type="http://schemas.openxmlformats.org/officeDocument/2006/relationships/hyperlink" Target="https://polkadot.subsquare.io/treasury/child-bounties/1072" TargetMode="External"/><Relationship Id="rId1988" Type="http://schemas.openxmlformats.org/officeDocument/2006/relationships/hyperlink" Target="https://polkadot.subsquare.io/treasury/child-bounties/1614" TargetMode="External"/><Relationship Id="rId1505" Type="http://schemas.openxmlformats.org/officeDocument/2006/relationships/hyperlink" Target="https://polkadot.subsquare.io/treasury/child-bounties/1073" TargetMode="External"/><Relationship Id="rId1989" Type="http://schemas.openxmlformats.org/officeDocument/2006/relationships/hyperlink" Target="https://polkadot.subsquare.io/treasury/child-bounties/1615" TargetMode="External"/><Relationship Id="rId1506" Type="http://schemas.openxmlformats.org/officeDocument/2006/relationships/hyperlink" Target="https://polkadot.subsquare.io/treasury/child-bounties/1074" TargetMode="External"/><Relationship Id="rId1507" Type="http://schemas.openxmlformats.org/officeDocument/2006/relationships/hyperlink" Target="https://polkadot.subsquare.io/treasury/child-bounties/1075" TargetMode="External"/><Relationship Id="rId1508" Type="http://schemas.openxmlformats.org/officeDocument/2006/relationships/hyperlink" Target="https://polkadot.subsquare.io/treasury/child-bounties/1076" TargetMode="External"/><Relationship Id="rId1509" Type="http://schemas.openxmlformats.org/officeDocument/2006/relationships/hyperlink" Target="https://polkadot.subsquare.io/treasury/child-bounties/1077" TargetMode="External"/><Relationship Id="rId1980" Type="http://schemas.openxmlformats.org/officeDocument/2006/relationships/hyperlink" Target="https://polkadot.subsquare.io/treasury/child-bounties/1606" TargetMode="External"/><Relationship Id="rId1981" Type="http://schemas.openxmlformats.org/officeDocument/2006/relationships/hyperlink" Target="https://polkadot.subsquare.io/treasury/child-bounties/1607" TargetMode="External"/><Relationship Id="rId1982" Type="http://schemas.openxmlformats.org/officeDocument/2006/relationships/hyperlink" Target="https://polkadot.subsquare.io/treasury/child-bounties/1608" TargetMode="External"/><Relationship Id="rId1930" Type="http://schemas.openxmlformats.org/officeDocument/2006/relationships/hyperlink" Target="https://polkadot.subsquare.io/treasury/child-bounties/1508" TargetMode="External"/><Relationship Id="rId1931" Type="http://schemas.openxmlformats.org/officeDocument/2006/relationships/hyperlink" Target="https://polkadot.subsquare.io/treasury/child-bounties/1509" TargetMode="External"/><Relationship Id="rId1932" Type="http://schemas.openxmlformats.org/officeDocument/2006/relationships/hyperlink" Target="https://polkadot.subsquare.io/treasury/child-bounties/1510" TargetMode="External"/><Relationship Id="rId1933" Type="http://schemas.openxmlformats.org/officeDocument/2006/relationships/hyperlink" Target="https://polkadot.subsquare.io/treasury/child-bounties/1511" TargetMode="External"/><Relationship Id="rId1934" Type="http://schemas.openxmlformats.org/officeDocument/2006/relationships/hyperlink" Target="https://polkadot.subsquare.io/treasury/child-bounties/1512" TargetMode="External"/><Relationship Id="rId1935" Type="http://schemas.openxmlformats.org/officeDocument/2006/relationships/hyperlink" Target="https://polkadot.subsquare.io/treasury/child-bounties/1513" TargetMode="External"/><Relationship Id="rId1936" Type="http://schemas.openxmlformats.org/officeDocument/2006/relationships/hyperlink" Target="https://polkadot.subsquare.io/treasury/child-bounties/1514" TargetMode="External"/><Relationship Id="rId1937" Type="http://schemas.openxmlformats.org/officeDocument/2006/relationships/hyperlink" Target="https://polkadot.subsquare.io/treasury/child-bounties/1515" TargetMode="External"/><Relationship Id="rId1938" Type="http://schemas.openxmlformats.org/officeDocument/2006/relationships/hyperlink" Target="https://polkadot.subsquare.io/treasury/child-bounties/1516" TargetMode="External"/><Relationship Id="rId1939" Type="http://schemas.openxmlformats.org/officeDocument/2006/relationships/hyperlink" Target="https://polkadot.subsquare.io/treasury/child-bounties/1517" TargetMode="External"/><Relationship Id="rId1920" Type="http://schemas.openxmlformats.org/officeDocument/2006/relationships/hyperlink" Target="https://polkadot.subsquare.io/treasury/child-bounties/1498" TargetMode="External"/><Relationship Id="rId1921" Type="http://schemas.openxmlformats.org/officeDocument/2006/relationships/hyperlink" Target="https://polkadot.subsquare.io/treasury/child-bounties/1499" TargetMode="External"/><Relationship Id="rId1922" Type="http://schemas.openxmlformats.org/officeDocument/2006/relationships/hyperlink" Target="https://polkadot.subsquare.io/treasury/child-bounties/1500" TargetMode="External"/><Relationship Id="rId1923" Type="http://schemas.openxmlformats.org/officeDocument/2006/relationships/hyperlink" Target="https://polkadot.subsquare.io/treasury/child-bounties/1501" TargetMode="External"/><Relationship Id="rId1924" Type="http://schemas.openxmlformats.org/officeDocument/2006/relationships/hyperlink" Target="https://polkadot.subsquare.io/treasury/child-bounties/1502" TargetMode="External"/><Relationship Id="rId1925" Type="http://schemas.openxmlformats.org/officeDocument/2006/relationships/hyperlink" Target="https://polkadot.subsquare.io/treasury/child-bounties/1503" TargetMode="External"/><Relationship Id="rId1926" Type="http://schemas.openxmlformats.org/officeDocument/2006/relationships/hyperlink" Target="https://polkadot.subsquare.io/treasury/child-bounties/1504" TargetMode="External"/><Relationship Id="rId1927" Type="http://schemas.openxmlformats.org/officeDocument/2006/relationships/hyperlink" Target="https://polkadot.subsquare.io/treasury/child-bounties/1505" TargetMode="External"/><Relationship Id="rId1928" Type="http://schemas.openxmlformats.org/officeDocument/2006/relationships/hyperlink" Target="https://polkadot.subsquare.io/treasury/child-bounties/1506" TargetMode="External"/><Relationship Id="rId1929" Type="http://schemas.openxmlformats.org/officeDocument/2006/relationships/hyperlink" Target="https://polkadot.subsquare.io/treasury/child-bounties/1507" TargetMode="External"/><Relationship Id="rId1950" Type="http://schemas.openxmlformats.org/officeDocument/2006/relationships/hyperlink" Target="https://polkadot.subsquare.io/treasury/child-bounties/1528" TargetMode="External"/><Relationship Id="rId1951" Type="http://schemas.openxmlformats.org/officeDocument/2006/relationships/hyperlink" Target="https://polkadot.subsquare.io/treasury/child-bounties/1529" TargetMode="External"/><Relationship Id="rId1952" Type="http://schemas.openxmlformats.org/officeDocument/2006/relationships/hyperlink" Target="https://polkadot.subsquare.io/treasury/child-bounties/1530" TargetMode="External"/><Relationship Id="rId1953" Type="http://schemas.openxmlformats.org/officeDocument/2006/relationships/hyperlink" Target="https://polkadot.subsquare.io/treasury/child-bounties/1531" TargetMode="External"/><Relationship Id="rId1954" Type="http://schemas.openxmlformats.org/officeDocument/2006/relationships/hyperlink" Target="https://polkadot.subsquare.io/treasury/child-bounties/1532" TargetMode="External"/><Relationship Id="rId1955" Type="http://schemas.openxmlformats.org/officeDocument/2006/relationships/hyperlink" Target="https://polkadot.subsquare.io/treasury/child-bounties/1533" TargetMode="External"/><Relationship Id="rId1956" Type="http://schemas.openxmlformats.org/officeDocument/2006/relationships/hyperlink" Target="https://polkadot.subsquare.io/treasury/child-bounties/1534" TargetMode="External"/><Relationship Id="rId1957" Type="http://schemas.openxmlformats.org/officeDocument/2006/relationships/hyperlink" Target="https://polkadot.subsquare.io/treasury/child-bounties/1535" TargetMode="External"/><Relationship Id="rId1958" Type="http://schemas.openxmlformats.org/officeDocument/2006/relationships/hyperlink" Target="https://polkadot.subsquare.io/treasury/child-bounties/1536" TargetMode="External"/><Relationship Id="rId1959" Type="http://schemas.openxmlformats.org/officeDocument/2006/relationships/hyperlink" Target="https://polkadot.subsquare.io/treasury/child-bounties/1537" TargetMode="External"/><Relationship Id="rId1940" Type="http://schemas.openxmlformats.org/officeDocument/2006/relationships/hyperlink" Target="https://polkadot.subsquare.io/treasury/child-bounties/1518" TargetMode="External"/><Relationship Id="rId1941" Type="http://schemas.openxmlformats.org/officeDocument/2006/relationships/hyperlink" Target="https://polkadot.subsquare.io/treasury/child-bounties/1519" TargetMode="External"/><Relationship Id="rId1942" Type="http://schemas.openxmlformats.org/officeDocument/2006/relationships/hyperlink" Target="https://polkadot.subsquare.io/treasury/child-bounties/1520" TargetMode="External"/><Relationship Id="rId1943" Type="http://schemas.openxmlformats.org/officeDocument/2006/relationships/hyperlink" Target="https://polkadot.subsquare.io/treasury/child-bounties/1521" TargetMode="External"/><Relationship Id="rId1944" Type="http://schemas.openxmlformats.org/officeDocument/2006/relationships/hyperlink" Target="https://polkadot.subsquare.io/treasury/child-bounties/1522" TargetMode="External"/><Relationship Id="rId1945" Type="http://schemas.openxmlformats.org/officeDocument/2006/relationships/hyperlink" Target="https://polkadot.subsquare.io/treasury/child-bounties/1523" TargetMode="External"/><Relationship Id="rId1946" Type="http://schemas.openxmlformats.org/officeDocument/2006/relationships/hyperlink" Target="https://polkadot.subsquare.io/treasury/child-bounties/1524" TargetMode="External"/><Relationship Id="rId1947" Type="http://schemas.openxmlformats.org/officeDocument/2006/relationships/hyperlink" Target="https://polkadot.subsquare.io/treasury/child-bounties/1525" TargetMode="External"/><Relationship Id="rId1948" Type="http://schemas.openxmlformats.org/officeDocument/2006/relationships/hyperlink" Target="https://polkadot.subsquare.io/treasury/child-bounties/1526" TargetMode="External"/><Relationship Id="rId1949" Type="http://schemas.openxmlformats.org/officeDocument/2006/relationships/hyperlink" Target="https://polkadot.subsquare.io/treasury/child-bounties/1527" TargetMode="External"/><Relationship Id="rId1576" Type="http://schemas.openxmlformats.org/officeDocument/2006/relationships/hyperlink" Target="https://polkadot.subsquare.io/treasury/child-bounties/1144" TargetMode="External"/><Relationship Id="rId2423" Type="http://schemas.openxmlformats.org/officeDocument/2006/relationships/hyperlink" Target="https://polkadot.subsquare.io/treasury/child-bounties/2089" TargetMode="External"/><Relationship Id="rId1577" Type="http://schemas.openxmlformats.org/officeDocument/2006/relationships/hyperlink" Target="https://polkadot.subsquare.io/treasury/child-bounties/1145" TargetMode="External"/><Relationship Id="rId2424" Type="http://schemas.openxmlformats.org/officeDocument/2006/relationships/hyperlink" Target="https://polkadot.subsquare.io/treasury/child-bounties/2090" TargetMode="External"/><Relationship Id="rId1578" Type="http://schemas.openxmlformats.org/officeDocument/2006/relationships/hyperlink" Target="https://polkadot.subsquare.io/treasury/child-bounties/1146" TargetMode="External"/><Relationship Id="rId2425" Type="http://schemas.openxmlformats.org/officeDocument/2006/relationships/hyperlink" Target="https://polkadot.subsquare.io/treasury/child-bounties/2092" TargetMode="External"/><Relationship Id="rId1579" Type="http://schemas.openxmlformats.org/officeDocument/2006/relationships/hyperlink" Target="https://polkadot.subsquare.io/treasury/child-bounties/1147" TargetMode="External"/><Relationship Id="rId2426" Type="http://schemas.openxmlformats.org/officeDocument/2006/relationships/hyperlink" Target="https://polkadot.subsquare.io/treasury/child-bounties/2093" TargetMode="External"/><Relationship Id="rId2427" Type="http://schemas.openxmlformats.org/officeDocument/2006/relationships/hyperlink" Target="https://polkadot.subsquare.io/treasury/child-bounties/2094" TargetMode="External"/><Relationship Id="rId2428" Type="http://schemas.openxmlformats.org/officeDocument/2006/relationships/hyperlink" Target="https://polkadot.subsquare.io/treasury/child-bounties/2095" TargetMode="External"/><Relationship Id="rId2429" Type="http://schemas.openxmlformats.org/officeDocument/2006/relationships/hyperlink" Target="https://polkadot.subsquare.io/treasury/child-bounties/2097" TargetMode="External"/><Relationship Id="rId509" Type="http://schemas.openxmlformats.org/officeDocument/2006/relationships/hyperlink" Target="https://polkadot.subsquare.io/treasury/child-bounties/39" TargetMode="External"/><Relationship Id="rId508" Type="http://schemas.openxmlformats.org/officeDocument/2006/relationships/hyperlink" Target="https://polkadot.subsquare.io/treasury/child-bounties/38" TargetMode="External"/><Relationship Id="rId503" Type="http://schemas.openxmlformats.org/officeDocument/2006/relationships/hyperlink" Target="https://polkadot.subsquare.io/treasury/child-bounties/33" TargetMode="External"/><Relationship Id="rId987" Type="http://schemas.openxmlformats.org/officeDocument/2006/relationships/hyperlink" Target="https://polkadot.subsquare.io/treasury/child-bounties/540" TargetMode="External"/><Relationship Id="rId502" Type="http://schemas.openxmlformats.org/officeDocument/2006/relationships/hyperlink" Target="https://github.com/paritytech/frontier/security/advisories/GHSA-hc8w-mx86-9fcj" TargetMode="External"/><Relationship Id="rId986" Type="http://schemas.openxmlformats.org/officeDocument/2006/relationships/hyperlink" Target="https://polkadot.subsquare.io/treasury/child-bounties/539" TargetMode="External"/><Relationship Id="rId501" Type="http://schemas.openxmlformats.org/officeDocument/2006/relationships/hyperlink" Target="https://polkadot.subsquare.io/treasury/child-bounties/32" TargetMode="External"/><Relationship Id="rId985" Type="http://schemas.openxmlformats.org/officeDocument/2006/relationships/hyperlink" Target="https://polkadot.subsquare.io/treasury/child-bounties/538" TargetMode="External"/><Relationship Id="rId500" Type="http://schemas.openxmlformats.org/officeDocument/2006/relationships/hyperlink" Target="https://polkadot.subsquare.io/treasury/child-bounties/31" TargetMode="External"/><Relationship Id="rId984" Type="http://schemas.openxmlformats.org/officeDocument/2006/relationships/hyperlink" Target="https://polkadot.subsquare.io/treasury/child-bounties/537" TargetMode="External"/><Relationship Id="rId507" Type="http://schemas.openxmlformats.org/officeDocument/2006/relationships/hyperlink" Target="https://polkadot.subsquare.io/treasury/child-bounties/37" TargetMode="External"/><Relationship Id="rId506" Type="http://schemas.openxmlformats.org/officeDocument/2006/relationships/hyperlink" Target="https://polkadot.subsquare.io/treasury/child-bounties/36" TargetMode="External"/><Relationship Id="rId505" Type="http://schemas.openxmlformats.org/officeDocument/2006/relationships/hyperlink" Target="https://polkadot.subsquare.io/treasury/child-bounties/35" TargetMode="External"/><Relationship Id="rId989" Type="http://schemas.openxmlformats.org/officeDocument/2006/relationships/hyperlink" Target="https://polkadot.subsquare.io/treasury/child-bounties/542" TargetMode="External"/><Relationship Id="rId504" Type="http://schemas.openxmlformats.org/officeDocument/2006/relationships/hyperlink" Target="https://polkadot.subsquare.io/treasury/child-bounties/34" TargetMode="External"/><Relationship Id="rId988" Type="http://schemas.openxmlformats.org/officeDocument/2006/relationships/hyperlink" Target="https://polkadot.subsquare.io/treasury/child-bounties/541" TargetMode="External"/><Relationship Id="rId1570" Type="http://schemas.openxmlformats.org/officeDocument/2006/relationships/hyperlink" Target="https://polkadot.subsquare.io/treasury/child-bounties/1138" TargetMode="External"/><Relationship Id="rId1571" Type="http://schemas.openxmlformats.org/officeDocument/2006/relationships/hyperlink" Target="https://polkadot.subsquare.io/treasury/child-bounties/1139" TargetMode="External"/><Relationship Id="rId983" Type="http://schemas.openxmlformats.org/officeDocument/2006/relationships/hyperlink" Target="https://polkadot.subsquare.io/treasury/child-bounties/536" TargetMode="External"/><Relationship Id="rId1572" Type="http://schemas.openxmlformats.org/officeDocument/2006/relationships/hyperlink" Target="https://polkadot.subsquare.io/treasury/child-bounties/1140" TargetMode="External"/><Relationship Id="rId982" Type="http://schemas.openxmlformats.org/officeDocument/2006/relationships/hyperlink" Target="https://polkadot.subsquare.io/treasury/child-bounties/535" TargetMode="External"/><Relationship Id="rId1573" Type="http://schemas.openxmlformats.org/officeDocument/2006/relationships/hyperlink" Target="https://polkadot.subsquare.io/treasury/child-bounties/1141" TargetMode="External"/><Relationship Id="rId2420" Type="http://schemas.openxmlformats.org/officeDocument/2006/relationships/hyperlink" Target="https://polkadot.subsquare.io/treasury/child-bounties/2086" TargetMode="External"/><Relationship Id="rId981" Type="http://schemas.openxmlformats.org/officeDocument/2006/relationships/hyperlink" Target="https://polkadot.subsquare.io/treasury/child-bounties/534" TargetMode="External"/><Relationship Id="rId1574" Type="http://schemas.openxmlformats.org/officeDocument/2006/relationships/hyperlink" Target="https://polkadot.subsquare.io/treasury/child-bounties/1142" TargetMode="External"/><Relationship Id="rId2421" Type="http://schemas.openxmlformats.org/officeDocument/2006/relationships/hyperlink" Target="https://polkadot.subsquare.io/treasury/child-bounties/2087" TargetMode="External"/><Relationship Id="rId980" Type="http://schemas.openxmlformats.org/officeDocument/2006/relationships/hyperlink" Target="https://polkadot.subsquare.io/treasury/child-bounties/533" TargetMode="External"/><Relationship Id="rId1575" Type="http://schemas.openxmlformats.org/officeDocument/2006/relationships/hyperlink" Target="https://polkadot.subsquare.io/treasury/child-bounties/1143" TargetMode="External"/><Relationship Id="rId2422" Type="http://schemas.openxmlformats.org/officeDocument/2006/relationships/hyperlink" Target="https://polkadot.subsquare.io/treasury/child-bounties/2088" TargetMode="External"/><Relationship Id="rId1565" Type="http://schemas.openxmlformats.org/officeDocument/2006/relationships/hyperlink" Target="https://polkadot.subsquare.io/treasury/child-bounties/1133" TargetMode="External"/><Relationship Id="rId2412" Type="http://schemas.openxmlformats.org/officeDocument/2006/relationships/hyperlink" Target="https://polkadot.subsquare.io/treasury/child-bounties/2076" TargetMode="External"/><Relationship Id="rId1566" Type="http://schemas.openxmlformats.org/officeDocument/2006/relationships/hyperlink" Target="https://polkadot.subsquare.io/treasury/child-bounties/1134" TargetMode="External"/><Relationship Id="rId2413" Type="http://schemas.openxmlformats.org/officeDocument/2006/relationships/hyperlink" Target="https://polkadot.subsquare.io/treasury/child-bounties/2077" TargetMode="External"/><Relationship Id="rId1567" Type="http://schemas.openxmlformats.org/officeDocument/2006/relationships/hyperlink" Target="https://polkadot.subsquare.io/treasury/child-bounties/1135" TargetMode="External"/><Relationship Id="rId2414" Type="http://schemas.openxmlformats.org/officeDocument/2006/relationships/hyperlink" Target="https://polkadot.subsquare.io/treasury/child-bounties/2078" TargetMode="External"/><Relationship Id="rId1568" Type="http://schemas.openxmlformats.org/officeDocument/2006/relationships/hyperlink" Target="https://polkadot.subsquare.io/treasury/child-bounties/1136" TargetMode="External"/><Relationship Id="rId2415" Type="http://schemas.openxmlformats.org/officeDocument/2006/relationships/hyperlink" Target="https://polkadot.subsquare.io/treasury/child-bounties/2079" TargetMode="External"/><Relationship Id="rId1569" Type="http://schemas.openxmlformats.org/officeDocument/2006/relationships/hyperlink" Target="https://polkadot.subsquare.io/treasury/child-bounties/1137" TargetMode="External"/><Relationship Id="rId2416" Type="http://schemas.openxmlformats.org/officeDocument/2006/relationships/hyperlink" Target="https://polkadot.subsquare.io/treasury/child-bounties/2080" TargetMode="External"/><Relationship Id="rId2417" Type="http://schemas.openxmlformats.org/officeDocument/2006/relationships/hyperlink" Target="https://polkadot.subsquare.io/treasury/child-bounties/2081" TargetMode="External"/><Relationship Id="rId2418" Type="http://schemas.openxmlformats.org/officeDocument/2006/relationships/hyperlink" Target="https://polkadot.subsquare.io/treasury/child-bounties/2084" TargetMode="External"/><Relationship Id="rId2419" Type="http://schemas.openxmlformats.org/officeDocument/2006/relationships/hyperlink" Target="https://polkadot.subsquare.io/treasury/child-bounties/2085" TargetMode="External"/><Relationship Id="rId976" Type="http://schemas.openxmlformats.org/officeDocument/2006/relationships/hyperlink" Target="https://polkadot.subsquare.io/treasury/child-bounties/529" TargetMode="External"/><Relationship Id="rId975" Type="http://schemas.openxmlformats.org/officeDocument/2006/relationships/hyperlink" Target="https://polkadot.subsquare.io/treasury/child-bounties/528" TargetMode="External"/><Relationship Id="rId974" Type="http://schemas.openxmlformats.org/officeDocument/2006/relationships/hyperlink" Target="https://polkadot.subsquare.io/treasury/child-bounties/527" TargetMode="External"/><Relationship Id="rId973" Type="http://schemas.openxmlformats.org/officeDocument/2006/relationships/hyperlink" Target="https://polkadot.subsquare.io/treasury/child-bounties/526" TargetMode="External"/><Relationship Id="rId979" Type="http://schemas.openxmlformats.org/officeDocument/2006/relationships/hyperlink" Target="https://polkadot.subsquare.io/treasury/child-bounties/532" TargetMode="External"/><Relationship Id="rId978" Type="http://schemas.openxmlformats.org/officeDocument/2006/relationships/hyperlink" Target="https://polkadot.subsquare.io/treasury/child-bounties/531" TargetMode="External"/><Relationship Id="rId977" Type="http://schemas.openxmlformats.org/officeDocument/2006/relationships/hyperlink" Target="https://polkadot.subsquare.io/treasury/child-bounties/530" TargetMode="External"/><Relationship Id="rId1560" Type="http://schemas.openxmlformats.org/officeDocument/2006/relationships/hyperlink" Target="https://polkadot.subsquare.io/treasury/child-bounties/1128" TargetMode="External"/><Relationship Id="rId972" Type="http://schemas.openxmlformats.org/officeDocument/2006/relationships/hyperlink" Target="https://polkadot.subsquare.io/treasury/child-bounties/525" TargetMode="External"/><Relationship Id="rId1561" Type="http://schemas.openxmlformats.org/officeDocument/2006/relationships/hyperlink" Target="https://polkadot.subsquare.io/treasury/child-bounties/1129" TargetMode="External"/><Relationship Id="rId971" Type="http://schemas.openxmlformats.org/officeDocument/2006/relationships/hyperlink" Target="https://polkadot.subsquare.io/treasury/child-bounties/524" TargetMode="External"/><Relationship Id="rId1562" Type="http://schemas.openxmlformats.org/officeDocument/2006/relationships/hyperlink" Target="https://polkadot.subsquare.io/treasury/child-bounties/1130" TargetMode="External"/><Relationship Id="rId970" Type="http://schemas.openxmlformats.org/officeDocument/2006/relationships/hyperlink" Target="https://polkadot.subsquare.io/treasury/child-bounties/523" TargetMode="External"/><Relationship Id="rId1563" Type="http://schemas.openxmlformats.org/officeDocument/2006/relationships/hyperlink" Target="https://polkadot.subsquare.io/treasury/child-bounties/1131" TargetMode="External"/><Relationship Id="rId2410" Type="http://schemas.openxmlformats.org/officeDocument/2006/relationships/hyperlink" Target="https://polkadot.subsquare.io/treasury/child-bounties/2073" TargetMode="External"/><Relationship Id="rId1564" Type="http://schemas.openxmlformats.org/officeDocument/2006/relationships/hyperlink" Target="https://polkadot.subsquare.io/treasury/child-bounties/1132" TargetMode="External"/><Relationship Id="rId2411" Type="http://schemas.openxmlformats.org/officeDocument/2006/relationships/hyperlink" Target="https://polkadot.subsquare.io/treasury/child-bounties/2075" TargetMode="External"/><Relationship Id="rId1114" Type="http://schemas.openxmlformats.org/officeDocument/2006/relationships/hyperlink" Target="https://polkadot.subsquare.io/treasury/child-bounties/673" TargetMode="External"/><Relationship Id="rId1598" Type="http://schemas.openxmlformats.org/officeDocument/2006/relationships/hyperlink" Target="https://polkadot.subsquare.io/treasury/child-bounties/1167" TargetMode="External"/><Relationship Id="rId2445" Type="http://schemas.openxmlformats.org/officeDocument/2006/relationships/hyperlink" Target="https://polkadot.subsquare.io/treasury/child-bounties/2120" TargetMode="External"/><Relationship Id="rId1115" Type="http://schemas.openxmlformats.org/officeDocument/2006/relationships/hyperlink" Target="https://polkadot.subsquare.io/treasury/child-bounties/674" TargetMode="External"/><Relationship Id="rId1599" Type="http://schemas.openxmlformats.org/officeDocument/2006/relationships/hyperlink" Target="https://polkadot.subsquare.io/treasury/child-bounties/1171" TargetMode="External"/><Relationship Id="rId2446" Type="http://schemas.openxmlformats.org/officeDocument/2006/relationships/hyperlink" Target="https://polkadot.subsquare.io/treasury/child-bounties/2121" TargetMode="External"/><Relationship Id="rId1116" Type="http://schemas.openxmlformats.org/officeDocument/2006/relationships/hyperlink" Target="https://polkadot.subsquare.io/treasury/child-bounties/675" TargetMode="External"/><Relationship Id="rId2447" Type="http://schemas.openxmlformats.org/officeDocument/2006/relationships/hyperlink" Target="https://polkadot.subsquare.io/treasury/child-bounties/2122" TargetMode="External"/><Relationship Id="rId1117" Type="http://schemas.openxmlformats.org/officeDocument/2006/relationships/hyperlink" Target="https://polkadot.subsquare.io/treasury/child-bounties/676" TargetMode="External"/><Relationship Id="rId2448" Type="http://schemas.openxmlformats.org/officeDocument/2006/relationships/hyperlink" Target="https://polkadot.subsquare.io/treasury/child-bounties/2123" TargetMode="External"/><Relationship Id="rId1118" Type="http://schemas.openxmlformats.org/officeDocument/2006/relationships/hyperlink" Target="https://polkadot.subsquare.io/treasury/child-bounties/677" TargetMode="External"/><Relationship Id="rId2449" Type="http://schemas.openxmlformats.org/officeDocument/2006/relationships/hyperlink" Target="https://polkadot.subsquare.io/treasury/child-bounties/2124" TargetMode="External"/><Relationship Id="rId1119" Type="http://schemas.openxmlformats.org/officeDocument/2006/relationships/hyperlink" Target="https://polkadot.subsquare.io/treasury/child-bounties/678" TargetMode="External"/><Relationship Id="rId525" Type="http://schemas.openxmlformats.org/officeDocument/2006/relationships/hyperlink" Target="https://polkadot.subsquare.io/treasury/child-bounties/55" TargetMode="External"/><Relationship Id="rId524" Type="http://schemas.openxmlformats.org/officeDocument/2006/relationships/hyperlink" Target="https://polkadot.subsquare.io/treasury/child-bounties/54" TargetMode="External"/><Relationship Id="rId523" Type="http://schemas.openxmlformats.org/officeDocument/2006/relationships/hyperlink" Target="https://polkadot.subsquare.io/treasury/child-bounties/53" TargetMode="External"/><Relationship Id="rId522" Type="http://schemas.openxmlformats.org/officeDocument/2006/relationships/hyperlink" Target="https://polkadot.subsquare.io/treasury/child-bounties/52" TargetMode="External"/><Relationship Id="rId529" Type="http://schemas.openxmlformats.org/officeDocument/2006/relationships/hyperlink" Target="https://polkadot.subsquare.io/treasury/child-bounties/59" TargetMode="External"/><Relationship Id="rId528" Type="http://schemas.openxmlformats.org/officeDocument/2006/relationships/hyperlink" Target="https://polkadot.subsquare.io/treasury/child-bounties/58" TargetMode="External"/><Relationship Id="rId527" Type="http://schemas.openxmlformats.org/officeDocument/2006/relationships/hyperlink" Target="https://polkadot.subsquare.io/treasury/child-bounties/57" TargetMode="External"/><Relationship Id="rId526" Type="http://schemas.openxmlformats.org/officeDocument/2006/relationships/hyperlink" Target="https://polkadot.subsquare.io/treasury/child-bounties/56" TargetMode="External"/><Relationship Id="rId1590" Type="http://schemas.openxmlformats.org/officeDocument/2006/relationships/hyperlink" Target="https://polkadot.subsquare.io/treasury/child-bounties/1159" TargetMode="External"/><Relationship Id="rId1591" Type="http://schemas.openxmlformats.org/officeDocument/2006/relationships/hyperlink" Target="https://polkadot.subsquare.io/treasury/child-bounties/1160" TargetMode="External"/><Relationship Id="rId1592" Type="http://schemas.openxmlformats.org/officeDocument/2006/relationships/hyperlink" Target="https://polkadot.subsquare.io/treasury/child-bounties/1161" TargetMode="External"/><Relationship Id="rId1593" Type="http://schemas.openxmlformats.org/officeDocument/2006/relationships/hyperlink" Target="https://polkadot.subsquare.io/treasury/child-bounties/1162" TargetMode="External"/><Relationship Id="rId2440" Type="http://schemas.openxmlformats.org/officeDocument/2006/relationships/hyperlink" Target="https://polkadot.subsquare.io/treasury/child-bounties/2111" TargetMode="External"/><Relationship Id="rId521" Type="http://schemas.openxmlformats.org/officeDocument/2006/relationships/hyperlink" Target="https://polkadot.subsquare.io/treasury/child-bounties/51" TargetMode="External"/><Relationship Id="rId1110" Type="http://schemas.openxmlformats.org/officeDocument/2006/relationships/hyperlink" Target="https://polkadot.subsquare.io/treasury/child-bounties/669" TargetMode="External"/><Relationship Id="rId1594" Type="http://schemas.openxmlformats.org/officeDocument/2006/relationships/hyperlink" Target="https://polkadot.subsquare.io/treasury/child-bounties/1163" TargetMode="External"/><Relationship Id="rId2441" Type="http://schemas.openxmlformats.org/officeDocument/2006/relationships/hyperlink" Target="https://polkadot.subsquare.io/treasury/child-bounties/2116" TargetMode="External"/><Relationship Id="rId520" Type="http://schemas.openxmlformats.org/officeDocument/2006/relationships/hyperlink" Target="https://polkadot.subsquare.io/treasury/child-bounties/50" TargetMode="External"/><Relationship Id="rId1111" Type="http://schemas.openxmlformats.org/officeDocument/2006/relationships/hyperlink" Target="https://polkadot.subsquare.io/treasury/child-bounties/670" TargetMode="External"/><Relationship Id="rId1595" Type="http://schemas.openxmlformats.org/officeDocument/2006/relationships/hyperlink" Target="https://polkadot.subsquare.io/treasury/child-bounties/1164" TargetMode="External"/><Relationship Id="rId2442" Type="http://schemas.openxmlformats.org/officeDocument/2006/relationships/hyperlink" Target="https://polkadot.subsquare.io/treasury/child-bounties/2117" TargetMode="External"/><Relationship Id="rId1112" Type="http://schemas.openxmlformats.org/officeDocument/2006/relationships/hyperlink" Target="https://polkadot.subsquare.io/treasury/child-bounties/671" TargetMode="External"/><Relationship Id="rId1596" Type="http://schemas.openxmlformats.org/officeDocument/2006/relationships/hyperlink" Target="https://polkadot.subsquare.io/treasury/child-bounties/1165" TargetMode="External"/><Relationship Id="rId2443" Type="http://schemas.openxmlformats.org/officeDocument/2006/relationships/hyperlink" Target="https://polkadot.subsquare.io/treasury/child-bounties/2118" TargetMode="External"/><Relationship Id="rId1113" Type="http://schemas.openxmlformats.org/officeDocument/2006/relationships/hyperlink" Target="https://polkadot.subsquare.io/treasury/child-bounties/672" TargetMode="External"/><Relationship Id="rId1597" Type="http://schemas.openxmlformats.org/officeDocument/2006/relationships/hyperlink" Target="https://polkadot.subsquare.io/treasury/child-bounties/1166" TargetMode="External"/><Relationship Id="rId2444" Type="http://schemas.openxmlformats.org/officeDocument/2006/relationships/hyperlink" Target="https://polkadot.subsquare.io/treasury/child-bounties/2119" TargetMode="External"/><Relationship Id="rId1103" Type="http://schemas.openxmlformats.org/officeDocument/2006/relationships/hyperlink" Target="https://polkadot.subsquare.io/treasury/child-bounties/662" TargetMode="External"/><Relationship Id="rId1587" Type="http://schemas.openxmlformats.org/officeDocument/2006/relationships/hyperlink" Target="https://polkadot.subsquare.io/treasury/child-bounties/1155" TargetMode="External"/><Relationship Id="rId2434" Type="http://schemas.openxmlformats.org/officeDocument/2006/relationships/hyperlink" Target="https://polkadot.subsquare.io/treasury/child-bounties/2104" TargetMode="External"/><Relationship Id="rId1104" Type="http://schemas.openxmlformats.org/officeDocument/2006/relationships/hyperlink" Target="https://polkadot.subsquare.io/treasury/child-bounties/663" TargetMode="External"/><Relationship Id="rId1588" Type="http://schemas.openxmlformats.org/officeDocument/2006/relationships/hyperlink" Target="https://polkadot.subsquare.io/treasury/child-bounties/1156" TargetMode="External"/><Relationship Id="rId2435" Type="http://schemas.openxmlformats.org/officeDocument/2006/relationships/hyperlink" Target="https://polkadot.subsquare.io/treasury/child-bounties/2105" TargetMode="External"/><Relationship Id="rId1105" Type="http://schemas.openxmlformats.org/officeDocument/2006/relationships/hyperlink" Target="https://polkadot.subsquare.io/treasury/child-bounties/664" TargetMode="External"/><Relationship Id="rId1589" Type="http://schemas.openxmlformats.org/officeDocument/2006/relationships/hyperlink" Target="https://polkadot.subsquare.io/treasury/child-bounties/1157" TargetMode="External"/><Relationship Id="rId2436" Type="http://schemas.openxmlformats.org/officeDocument/2006/relationships/hyperlink" Target="https://polkadot.subsquare.io/treasury/child-bounties/2106" TargetMode="External"/><Relationship Id="rId1106" Type="http://schemas.openxmlformats.org/officeDocument/2006/relationships/hyperlink" Target="https://polkadot.subsquare.io/treasury/child-bounties/665" TargetMode="External"/><Relationship Id="rId2437" Type="http://schemas.openxmlformats.org/officeDocument/2006/relationships/hyperlink" Target="https://polkadot.subsquare.io/treasury/child-bounties/2108" TargetMode="External"/><Relationship Id="rId1107" Type="http://schemas.openxmlformats.org/officeDocument/2006/relationships/hyperlink" Target="https://polkadot.subsquare.io/treasury/child-bounties/666" TargetMode="External"/><Relationship Id="rId2438" Type="http://schemas.openxmlformats.org/officeDocument/2006/relationships/hyperlink" Target="https://polkadot.subsquare.io/treasury/child-bounties/2109" TargetMode="External"/><Relationship Id="rId1108" Type="http://schemas.openxmlformats.org/officeDocument/2006/relationships/hyperlink" Target="https://polkadot.subsquare.io/treasury/child-bounties/667" TargetMode="External"/><Relationship Id="rId2439" Type="http://schemas.openxmlformats.org/officeDocument/2006/relationships/hyperlink" Target="https://polkadot.subsquare.io/treasury/child-bounties/2110" TargetMode="External"/><Relationship Id="rId1109" Type="http://schemas.openxmlformats.org/officeDocument/2006/relationships/hyperlink" Target="https://polkadot.subsquare.io/treasury/child-bounties/668" TargetMode="External"/><Relationship Id="rId519" Type="http://schemas.openxmlformats.org/officeDocument/2006/relationships/hyperlink" Target="https://polkadot.subsquare.io/treasury/child-bounties/49" TargetMode="External"/><Relationship Id="rId514" Type="http://schemas.openxmlformats.org/officeDocument/2006/relationships/hyperlink" Target="https://polkadot.subsquare.io/treasury/child-bounties/44" TargetMode="External"/><Relationship Id="rId998" Type="http://schemas.openxmlformats.org/officeDocument/2006/relationships/hyperlink" Target="https://polkadot.subsquare.io/treasury/child-bounties/551" TargetMode="External"/><Relationship Id="rId513" Type="http://schemas.openxmlformats.org/officeDocument/2006/relationships/hyperlink" Target="https://polkadot.subsquare.io/treasury/child-bounties/43" TargetMode="External"/><Relationship Id="rId997" Type="http://schemas.openxmlformats.org/officeDocument/2006/relationships/hyperlink" Target="https://polkadot.subsquare.io/treasury/child-bounties/550" TargetMode="External"/><Relationship Id="rId512" Type="http://schemas.openxmlformats.org/officeDocument/2006/relationships/hyperlink" Target="https://polkadot.subsquare.io/treasury/child-bounties/42" TargetMode="External"/><Relationship Id="rId996" Type="http://schemas.openxmlformats.org/officeDocument/2006/relationships/hyperlink" Target="https://polkadot.subsquare.io/treasury/child-bounties/549" TargetMode="External"/><Relationship Id="rId511" Type="http://schemas.openxmlformats.org/officeDocument/2006/relationships/hyperlink" Target="https://polkadot.subsquare.io/treasury/child-bounties/41" TargetMode="External"/><Relationship Id="rId995" Type="http://schemas.openxmlformats.org/officeDocument/2006/relationships/hyperlink" Target="https://polkadot.subsquare.io/treasury/child-bounties/548" TargetMode="External"/><Relationship Id="rId518" Type="http://schemas.openxmlformats.org/officeDocument/2006/relationships/hyperlink" Target="https://polkadot.subsquare.io/treasury/child-bounties/48" TargetMode="External"/><Relationship Id="rId517" Type="http://schemas.openxmlformats.org/officeDocument/2006/relationships/hyperlink" Target="https://polkadot.subsquare.io/treasury/child-bounties/47" TargetMode="External"/><Relationship Id="rId516" Type="http://schemas.openxmlformats.org/officeDocument/2006/relationships/hyperlink" Target="https://polkadot.subsquare.io/treasury/child-bounties/46" TargetMode="External"/><Relationship Id="rId515" Type="http://schemas.openxmlformats.org/officeDocument/2006/relationships/hyperlink" Target="https://polkadot.subsquare.io/treasury/child-bounties/45" TargetMode="External"/><Relationship Id="rId999" Type="http://schemas.openxmlformats.org/officeDocument/2006/relationships/hyperlink" Target="https://polkadot.subsquare.io/treasury/child-bounties/552" TargetMode="External"/><Relationship Id="rId990" Type="http://schemas.openxmlformats.org/officeDocument/2006/relationships/hyperlink" Target="https://polkadot.subsquare.io/treasury/child-bounties/543" TargetMode="External"/><Relationship Id="rId1580" Type="http://schemas.openxmlformats.org/officeDocument/2006/relationships/hyperlink" Target="https://polkadot.subsquare.io/treasury/child-bounties/1148" TargetMode="External"/><Relationship Id="rId1581" Type="http://schemas.openxmlformats.org/officeDocument/2006/relationships/hyperlink" Target="https://polkadot.subsquare.io/treasury/child-bounties/1149" TargetMode="External"/><Relationship Id="rId1582" Type="http://schemas.openxmlformats.org/officeDocument/2006/relationships/hyperlink" Target="https://polkadot.subsquare.io/treasury/child-bounties/1150" TargetMode="External"/><Relationship Id="rId510" Type="http://schemas.openxmlformats.org/officeDocument/2006/relationships/hyperlink" Target="https://polkadot.subsquare.io/treasury/child-bounties/40" TargetMode="External"/><Relationship Id="rId994" Type="http://schemas.openxmlformats.org/officeDocument/2006/relationships/hyperlink" Target="https://polkadot.subsquare.io/treasury/child-bounties/547" TargetMode="External"/><Relationship Id="rId1583" Type="http://schemas.openxmlformats.org/officeDocument/2006/relationships/hyperlink" Target="https://polkadot.subsquare.io/treasury/child-bounties/1151" TargetMode="External"/><Relationship Id="rId2430" Type="http://schemas.openxmlformats.org/officeDocument/2006/relationships/hyperlink" Target="https://polkadot.subsquare.io/treasury/child-bounties/2099" TargetMode="External"/><Relationship Id="rId993" Type="http://schemas.openxmlformats.org/officeDocument/2006/relationships/hyperlink" Target="https://polkadot.subsquare.io/treasury/child-bounties/546" TargetMode="External"/><Relationship Id="rId1100" Type="http://schemas.openxmlformats.org/officeDocument/2006/relationships/hyperlink" Target="https://polkadot.subsquare.io/treasury/child-bounties/659" TargetMode="External"/><Relationship Id="rId1584" Type="http://schemas.openxmlformats.org/officeDocument/2006/relationships/hyperlink" Target="https://polkadot.subsquare.io/treasury/child-bounties/1152" TargetMode="External"/><Relationship Id="rId2431" Type="http://schemas.openxmlformats.org/officeDocument/2006/relationships/hyperlink" Target="https://polkadot.subsquare.io/treasury/child-bounties/2100" TargetMode="External"/><Relationship Id="rId992" Type="http://schemas.openxmlformats.org/officeDocument/2006/relationships/hyperlink" Target="https://polkadot.subsquare.io/treasury/child-bounties/545" TargetMode="External"/><Relationship Id="rId1101" Type="http://schemas.openxmlformats.org/officeDocument/2006/relationships/hyperlink" Target="https://polkadot.subsquare.io/treasury/child-bounties/660" TargetMode="External"/><Relationship Id="rId1585" Type="http://schemas.openxmlformats.org/officeDocument/2006/relationships/hyperlink" Target="https://polkadot.subsquare.io/treasury/child-bounties/1153" TargetMode="External"/><Relationship Id="rId2432" Type="http://schemas.openxmlformats.org/officeDocument/2006/relationships/hyperlink" Target="https://polkadot.subsquare.io/treasury/child-bounties/2102" TargetMode="External"/><Relationship Id="rId991" Type="http://schemas.openxmlformats.org/officeDocument/2006/relationships/hyperlink" Target="https://polkadot.subsquare.io/treasury/child-bounties/544" TargetMode="External"/><Relationship Id="rId1102" Type="http://schemas.openxmlformats.org/officeDocument/2006/relationships/hyperlink" Target="https://polkadot.subsquare.io/treasury/child-bounties/661" TargetMode="External"/><Relationship Id="rId1586" Type="http://schemas.openxmlformats.org/officeDocument/2006/relationships/hyperlink" Target="https://polkadot.subsquare.io/treasury/child-bounties/1154" TargetMode="External"/><Relationship Id="rId2433" Type="http://schemas.openxmlformats.org/officeDocument/2006/relationships/hyperlink" Target="https://polkadot.subsquare.io/treasury/child-bounties/2103" TargetMode="External"/><Relationship Id="rId1532" Type="http://schemas.openxmlformats.org/officeDocument/2006/relationships/hyperlink" Target="https://polkadot.subsquare.io/treasury/child-bounties/1100" TargetMode="External"/><Relationship Id="rId1533" Type="http://schemas.openxmlformats.org/officeDocument/2006/relationships/hyperlink" Target="https://polkadot.subsquare.io/treasury/child-bounties/1101" TargetMode="External"/><Relationship Id="rId1534" Type="http://schemas.openxmlformats.org/officeDocument/2006/relationships/hyperlink" Target="https://polkadot.subsquare.io/treasury/child-bounties/1102" TargetMode="External"/><Relationship Id="rId1535" Type="http://schemas.openxmlformats.org/officeDocument/2006/relationships/hyperlink" Target="https://polkadot.subsquare.io/treasury/child-bounties/1103" TargetMode="External"/><Relationship Id="rId1536" Type="http://schemas.openxmlformats.org/officeDocument/2006/relationships/hyperlink" Target="https://polkadot.subsquare.io/treasury/child-bounties/1104" TargetMode="External"/><Relationship Id="rId1537" Type="http://schemas.openxmlformats.org/officeDocument/2006/relationships/hyperlink" Target="https://polkadot.subsquare.io/treasury/child-bounties/1105" TargetMode="External"/><Relationship Id="rId1538" Type="http://schemas.openxmlformats.org/officeDocument/2006/relationships/hyperlink" Target="https://polkadot.subsquare.io/treasury/child-bounties/1106" TargetMode="External"/><Relationship Id="rId1539" Type="http://schemas.openxmlformats.org/officeDocument/2006/relationships/hyperlink" Target="https://polkadot.subsquare.io/treasury/child-bounties/1107" TargetMode="External"/><Relationship Id="rId949" Type="http://schemas.openxmlformats.org/officeDocument/2006/relationships/hyperlink" Target="https://polkadot.subsquare.io/treasury/child-bounties/502" TargetMode="External"/><Relationship Id="rId948" Type="http://schemas.openxmlformats.org/officeDocument/2006/relationships/hyperlink" Target="https://polkadot.subsquare.io/treasury/child-bounties/501" TargetMode="External"/><Relationship Id="rId943" Type="http://schemas.openxmlformats.org/officeDocument/2006/relationships/hyperlink" Target="https://polkadot.subsquare.io/treasury/child-bounties/496" TargetMode="External"/><Relationship Id="rId942" Type="http://schemas.openxmlformats.org/officeDocument/2006/relationships/hyperlink" Target="https://polkadot.subsquare.io/treasury/child-bounties/495" TargetMode="External"/><Relationship Id="rId941" Type="http://schemas.openxmlformats.org/officeDocument/2006/relationships/hyperlink" Target="https://polkadot.subsquare.io/treasury/child-bounties/494" TargetMode="External"/><Relationship Id="rId940" Type="http://schemas.openxmlformats.org/officeDocument/2006/relationships/hyperlink" Target="https://polkadot.subsquare.io/treasury/child-bounties/493" TargetMode="External"/><Relationship Id="rId947" Type="http://schemas.openxmlformats.org/officeDocument/2006/relationships/hyperlink" Target="https://polkadot.subsquare.io/treasury/child-bounties/500" TargetMode="External"/><Relationship Id="rId946" Type="http://schemas.openxmlformats.org/officeDocument/2006/relationships/hyperlink" Target="https://polkadot.subsquare.io/treasury/child-bounties/499" TargetMode="External"/><Relationship Id="rId945" Type="http://schemas.openxmlformats.org/officeDocument/2006/relationships/hyperlink" Target="https://polkadot.subsquare.io/treasury/child-bounties/498" TargetMode="External"/><Relationship Id="rId944" Type="http://schemas.openxmlformats.org/officeDocument/2006/relationships/hyperlink" Target="https://polkadot.subsquare.io/treasury/child-bounties/497" TargetMode="External"/><Relationship Id="rId1530" Type="http://schemas.openxmlformats.org/officeDocument/2006/relationships/hyperlink" Target="https://polkadot.subsquare.io/treasury/child-bounties/1098" TargetMode="External"/><Relationship Id="rId1531" Type="http://schemas.openxmlformats.org/officeDocument/2006/relationships/hyperlink" Target="https://polkadot.subsquare.io/treasury/child-bounties/1099" TargetMode="External"/><Relationship Id="rId1521" Type="http://schemas.openxmlformats.org/officeDocument/2006/relationships/hyperlink" Target="https://polkadot.subsquare.io/treasury/child-bounties/1089" TargetMode="External"/><Relationship Id="rId1522" Type="http://schemas.openxmlformats.org/officeDocument/2006/relationships/hyperlink" Target="https://polkadot.subsquare.io/treasury/child-bounties/1090" TargetMode="External"/><Relationship Id="rId1523" Type="http://schemas.openxmlformats.org/officeDocument/2006/relationships/hyperlink" Target="https://polkadot.subsquare.io/treasury/child-bounties/1091" TargetMode="External"/><Relationship Id="rId1524" Type="http://schemas.openxmlformats.org/officeDocument/2006/relationships/hyperlink" Target="https://polkadot.subsquare.io/treasury/child-bounties/1092" TargetMode="External"/><Relationship Id="rId1525" Type="http://schemas.openxmlformats.org/officeDocument/2006/relationships/hyperlink" Target="https://polkadot.subsquare.io/treasury/child-bounties/1093" TargetMode="External"/><Relationship Id="rId1526" Type="http://schemas.openxmlformats.org/officeDocument/2006/relationships/hyperlink" Target="https://polkadot.subsquare.io/treasury/child-bounties/1094" TargetMode="External"/><Relationship Id="rId1527" Type="http://schemas.openxmlformats.org/officeDocument/2006/relationships/hyperlink" Target="https://polkadot.subsquare.io/treasury/child-bounties/1095" TargetMode="External"/><Relationship Id="rId1528" Type="http://schemas.openxmlformats.org/officeDocument/2006/relationships/hyperlink" Target="https://polkadot.subsquare.io/treasury/child-bounties/1096" TargetMode="External"/><Relationship Id="rId1529" Type="http://schemas.openxmlformats.org/officeDocument/2006/relationships/hyperlink" Target="https://polkadot.subsquare.io/treasury/child-bounties/1097" TargetMode="External"/><Relationship Id="rId939" Type="http://schemas.openxmlformats.org/officeDocument/2006/relationships/hyperlink" Target="https://polkadot.subsquare.io/treasury/child-bounties/492" TargetMode="External"/><Relationship Id="rId938" Type="http://schemas.openxmlformats.org/officeDocument/2006/relationships/hyperlink" Target="https://polkadot.subsquare.io/treasury/child-bounties/491" TargetMode="External"/><Relationship Id="rId937" Type="http://schemas.openxmlformats.org/officeDocument/2006/relationships/hyperlink" Target="https://polkadot.subsquare.io/treasury/child-bounties/490" TargetMode="External"/><Relationship Id="rId932" Type="http://schemas.openxmlformats.org/officeDocument/2006/relationships/hyperlink" Target="https://polkadot.subsquare.io/treasury/child-bounties/485" TargetMode="External"/><Relationship Id="rId931" Type="http://schemas.openxmlformats.org/officeDocument/2006/relationships/hyperlink" Target="https://polkadot.subsquare.io/treasury/child-bounties/484" TargetMode="External"/><Relationship Id="rId930" Type="http://schemas.openxmlformats.org/officeDocument/2006/relationships/hyperlink" Target="https://polkadot.subsquare.io/treasury/child-bounties/483" TargetMode="External"/><Relationship Id="rId936" Type="http://schemas.openxmlformats.org/officeDocument/2006/relationships/hyperlink" Target="https://polkadot.subsquare.io/treasury/child-bounties/489" TargetMode="External"/><Relationship Id="rId935" Type="http://schemas.openxmlformats.org/officeDocument/2006/relationships/hyperlink" Target="https://polkadot.subsquare.io/treasury/child-bounties/488" TargetMode="External"/><Relationship Id="rId934" Type="http://schemas.openxmlformats.org/officeDocument/2006/relationships/hyperlink" Target="https://polkadot.subsquare.io/treasury/child-bounties/487" TargetMode="External"/><Relationship Id="rId933" Type="http://schemas.openxmlformats.org/officeDocument/2006/relationships/hyperlink" Target="https://polkadot.subsquare.io/treasury/child-bounties/486" TargetMode="External"/><Relationship Id="rId1520" Type="http://schemas.openxmlformats.org/officeDocument/2006/relationships/hyperlink" Target="https://polkadot.subsquare.io/treasury/child-bounties/1088" TargetMode="External"/><Relationship Id="rId1554" Type="http://schemas.openxmlformats.org/officeDocument/2006/relationships/hyperlink" Target="https://polkadot.subsquare.io/treasury/child-bounties/1122" TargetMode="External"/><Relationship Id="rId2401" Type="http://schemas.openxmlformats.org/officeDocument/2006/relationships/hyperlink" Target="https://polkadot.subsquare.io/treasury/child-bounties/2063" TargetMode="External"/><Relationship Id="rId1555" Type="http://schemas.openxmlformats.org/officeDocument/2006/relationships/hyperlink" Target="https://polkadot.subsquare.io/treasury/child-bounties/1123" TargetMode="External"/><Relationship Id="rId2402" Type="http://schemas.openxmlformats.org/officeDocument/2006/relationships/hyperlink" Target="https://polkadot.subsquare.io/treasury/child-bounties/2064" TargetMode="External"/><Relationship Id="rId1556" Type="http://schemas.openxmlformats.org/officeDocument/2006/relationships/hyperlink" Target="https://polkadot.subsquare.io/treasury/child-bounties/1124" TargetMode="External"/><Relationship Id="rId2403" Type="http://schemas.openxmlformats.org/officeDocument/2006/relationships/hyperlink" Target="https://polkadot.subsquare.io/treasury/child-bounties/2065" TargetMode="External"/><Relationship Id="rId1557" Type="http://schemas.openxmlformats.org/officeDocument/2006/relationships/hyperlink" Target="https://polkadot.subsquare.io/treasury/child-bounties/1125" TargetMode="External"/><Relationship Id="rId2404" Type="http://schemas.openxmlformats.org/officeDocument/2006/relationships/hyperlink" Target="https://polkadot.subsquare.io/treasury/child-bounties/2066" TargetMode="External"/><Relationship Id="rId1558" Type="http://schemas.openxmlformats.org/officeDocument/2006/relationships/hyperlink" Target="https://polkadot.subsquare.io/treasury/child-bounties/1126" TargetMode="External"/><Relationship Id="rId2405" Type="http://schemas.openxmlformats.org/officeDocument/2006/relationships/hyperlink" Target="https://polkadot.subsquare.io/treasury/child-bounties/2067" TargetMode="External"/><Relationship Id="rId1559" Type="http://schemas.openxmlformats.org/officeDocument/2006/relationships/hyperlink" Target="https://polkadot.subsquare.io/treasury/child-bounties/1127" TargetMode="External"/><Relationship Id="rId2406" Type="http://schemas.openxmlformats.org/officeDocument/2006/relationships/hyperlink" Target="https://polkadot.subsquare.io/treasury/child-bounties/2068" TargetMode="External"/><Relationship Id="rId2407" Type="http://schemas.openxmlformats.org/officeDocument/2006/relationships/hyperlink" Target="https://polkadot.subsquare.io/treasury/child-bounties/2069" TargetMode="External"/><Relationship Id="rId2408" Type="http://schemas.openxmlformats.org/officeDocument/2006/relationships/hyperlink" Target="https://polkadot.subsquare.io/treasury/child-bounties/2070" TargetMode="External"/><Relationship Id="rId2409" Type="http://schemas.openxmlformats.org/officeDocument/2006/relationships/hyperlink" Target="https://polkadot.subsquare.io/treasury/child-bounties/2071" TargetMode="External"/><Relationship Id="rId965" Type="http://schemas.openxmlformats.org/officeDocument/2006/relationships/hyperlink" Target="https://polkadot.subsquare.io/treasury/child-bounties/518" TargetMode="External"/><Relationship Id="rId964" Type="http://schemas.openxmlformats.org/officeDocument/2006/relationships/hyperlink" Target="https://polkadot.subsquare.io/treasury/child-bounties/517" TargetMode="External"/><Relationship Id="rId963" Type="http://schemas.openxmlformats.org/officeDocument/2006/relationships/hyperlink" Target="https://polkadot.subsquare.io/treasury/child-bounties/516" TargetMode="External"/><Relationship Id="rId962" Type="http://schemas.openxmlformats.org/officeDocument/2006/relationships/hyperlink" Target="https://polkadot.subsquare.io/treasury/child-bounties/515" TargetMode="External"/><Relationship Id="rId969" Type="http://schemas.openxmlformats.org/officeDocument/2006/relationships/hyperlink" Target="https://polkadot.subsquare.io/treasury/child-bounties/522" TargetMode="External"/><Relationship Id="rId968" Type="http://schemas.openxmlformats.org/officeDocument/2006/relationships/hyperlink" Target="https://polkadot.subsquare.io/treasury/child-bounties/521" TargetMode="External"/><Relationship Id="rId967" Type="http://schemas.openxmlformats.org/officeDocument/2006/relationships/hyperlink" Target="https://polkadot.subsquare.io/treasury/child-bounties/520" TargetMode="External"/><Relationship Id="rId966" Type="http://schemas.openxmlformats.org/officeDocument/2006/relationships/hyperlink" Target="https://polkadot.subsquare.io/treasury/child-bounties/519" TargetMode="External"/><Relationship Id="rId961" Type="http://schemas.openxmlformats.org/officeDocument/2006/relationships/hyperlink" Target="https://polkadot.subsquare.io/treasury/child-bounties/514" TargetMode="External"/><Relationship Id="rId1550" Type="http://schemas.openxmlformats.org/officeDocument/2006/relationships/hyperlink" Target="https://polkadot.subsquare.io/treasury/child-bounties/1118" TargetMode="External"/><Relationship Id="rId960" Type="http://schemas.openxmlformats.org/officeDocument/2006/relationships/hyperlink" Target="https://polkadot.subsquare.io/treasury/child-bounties/513" TargetMode="External"/><Relationship Id="rId1551" Type="http://schemas.openxmlformats.org/officeDocument/2006/relationships/hyperlink" Target="https://polkadot.subsquare.io/treasury/child-bounties/1119" TargetMode="External"/><Relationship Id="rId1552" Type="http://schemas.openxmlformats.org/officeDocument/2006/relationships/hyperlink" Target="https://polkadot.subsquare.io/treasury/child-bounties/1120" TargetMode="External"/><Relationship Id="rId1553" Type="http://schemas.openxmlformats.org/officeDocument/2006/relationships/hyperlink" Target="https://polkadot.subsquare.io/treasury/child-bounties/1121" TargetMode="External"/><Relationship Id="rId2400" Type="http://schemas.openxmlformats.org/officeDocument/2006/relationships/hyperlink" Target="https://polkadot.subsquare.io/treasury/child-bounties/2062" TargetMode="External"/><Relationship Id="rId1543" Type="http://schemas.openxmlformats.org/officeDocument/2006/relationships/hyperlink" Target="https://polkadot.subsquare.io/treasury/child-bounties/1111" TargetMode="External"/><Relationship Id="rId1544" Type="http://schemas.openxmlformats.org/officeDocument/2006/relationships/hyperlink" Target="https://polkadot.subsquare.io/treasury/child-bounties/1112" TargetMode="External"/><Relationship Id="rId1545" Type="http://schemas.openxmlformats.org/officeDocument/2006/relationships/hyperlink" Target="https://polkadot.subsquare.io/treasury/child-bounties/1113" TargetMode="External"/><Relationship Id="rId1546" Type="http://schemas.openxmlformats.org/officeDocument/2006/relationships/hyperlink" Target="https://polkadot.subsquare.io/treasury/child-bounties/1114" TargetMode="External"/><Relationship Id="rId1547" Type="http://schemas.openxmlformats.org/officeDocument/2006/relationships/hyperlink" Target="https://polkadot.subsquare.io/treasury/child-bounties/1115" TargetMode="External"/><Relationship Id="rId1548" Type="http://schemas.openxmlformats.org/officeDocument/2006/relationships/hyperlink" Target="https://polkadot.subsquare.io/treasury/child-bounties/1116" TargetMode="External"/><Relationship Id="rId1549" Type="http://schemas.openxmlformats.org/officeDocument/2006/relationships/hyperlink" Target="https://polkadot.subsquare.io/treasury/child-bounties/1117" TargetMode="External"/><Relationship Id="rId959" Type="http://schemas.openxmlformats.org/officeDocument/2006/relationships/hyperlink" Target="https://polkadot.subsquare.io/treasury/child-bounties/512" TargetMode="External"/><Relationship Id="rId954" Type="http://schemas.openxmlformats.org/officeDocument/2006/relationships/hyperlink" Target="https://polkadot.subsquare.io/treasury/child-bounties/507" TargetMode="External"/><Relationship Id="rId953" Type="http://schemas.openxmlformats.org/officeDocument/2006/relationships/hyperlink" Target="https://polkadot.subsquare.io/treasury/child-bounties/506" TargetMode="External"/><Relationship Id="rId952" Type="http://schemas.openxmlformats.org/officeDocument/2006/relationships/hyperlink" Target="https://polkadot.subsquare.io/treasury/child-bounties/505" TargetMode="External"/><Relationship Id="rId951" Type="http://schemas.openxmlformats.org/officeDocument/2006/relationships/hyperlink" Target="https://polkadot.subsquare.io/treasury/child-bounties/504" TargetMode="External"/><Relationship Id="rId958" Type="http://schemas.openxmlformats.org/officeDocument/2006/relationships/hyperlink" Target="https://polkadot.subsquare.io/treasury/child-bounties/511" TargetMode="External"/><Relationship Id="rId957" Type="http://schemas.openxmlformats.org/officeDocument/2006/relationships/hyperlink" Target="https://polkadot.subsquare.io/treasury/child-bounties/510" TargetMode="External"/><Relationship Id="rId956" Type="http://schemas.openxmlformats.org/officeDocument/2006/relationships/hyperlink" Target="https://polkadot.subsquare.io/treasury/child-bounties/509" TargetMode="External"/><Relationship Id="rId955" Type="http://schemas.openxmlformats.org/officeDocument/2006/relationships/hyperlink" Target="https://polkadot.subsquare.io/treasury/child-bounties/508" TargetMode="External"/><Relationship Id="rId950" Type="http://schemas.openxmlformats.org/officeDocument/2006/relationships/hyperlink" Target="https://polkadot.subsquare.io/treasury/child-bounties/503" TargetMode="External"/><Relationship Id="rId1540" Type="http://schemas.openxmlformats.org/officeDocument/2006/relationships/hyperlink" Target="https://polkadot.subsquare.io/treasury/child-bounties/1108" TargetMode="External"/><Relationship Id="rId1541" Type="http://schemas.openxmlformats.org/officeDocument/2006/relationships/hyperlink" Target="https://polkadot.subsquare.io/treasury/child-bounties/1109" TargetMode="External"/><Relationship Id="rId1542" Type="http://schemas.openxmlformats.org/officeDocument/2006/relationships/hyperlink" Target="https://polkadot.subsquare.io/treasury/child-bounties/1110" TargetMode="External"/><Relationship Id="rId2027" Type="http://schemas.openxmlformats.org/officeDocument/2006/relationships/hyperlink" Target="https://polkadot.subsquare.io/treasury/child-bounties/1654" TargetMode="External"/><Relationship Id="rId2028" Type="http://schemas.openxmlformats.org/officeDocument/2006/relationships/hyperlink" Target="https://polkadot.subsquare.io/treasury/child-bounties/1655" TargetMode="External"/><Relationship Id="rId2029" Type="http://schemas.openxmlformats.org/officeDocument/2006/relationships/hyperlink" Target="https://polkadot.subsquare.io/treasury/child-bounties/1656" TargetMode="External"/><Relationship Id="rId590" Type="http://schemas.openxmlformats.org/officeDocument/2006/relationships/hyperlink" Target="https://polkadot.subsquare.io/treasury/child-bounties/124" TargetMode="External"/><Relationship Id="rId107" Type="http://schemas.openxmlformats.org/officeDocument/2006/relationships/hyperlink" Target="https://polkadot.subsquare.io/referenda/217" TargetMode="External"/><Relationship Id="rId106" Type="http://schemas.openxmlformats.org/officeDocument/2006/relationships/hyperlink" Target="https://polkadot.subsquare.io/referenda/216" TargetMode="External"/><Relationship Id="rId105" Type="http://schemas.openxmlformats.org/officeDocument/2006/relationships/hyperlink" Target="https://polkadot.subsquare.io/referenda/215" TargetMode="External"/><Relationship Id="rId589" Type="http://schemas.openxmlformats.org/officeDocument/2006/relationships/hyperlink" Target="https://polkadot.subsquare.io/treasury/child-bounties/123" TargetMode="External"/><Relationship Id="rId104" Type="http://schemas.openxmlformats.org/officeDocument/2006/relationships/hyperlink" Target="https://polkadot.subsquare.io/referenda/214" TargetMode="External"/><Relationship Id="rId588" Type="http://schemas.openxmlformats.org/officeDocument/2006/relationships/hyperlink" Target="https://polkadot.subsquare.io/treasury/child-bounties/120" TargetMode="External"/><Relationship Id="rId109" Type="http://schemas.openxmlformats.org/officeDocument/2006/relationships/hyperlink" Target="https://polkadot.subsquare.io/referenda/219" TargetMode="External"/><Relationship Id="rId1170" Type="http://schemas.openxmlformats.org/officeDocument/2006/relationships/hyperlink" Target="https://polkadot.subsquare.io/treasury/child-bounties/730" TargetMode="External"/><Relationship Id="rId108" Type="http://schemas.openxmlformats.org/officeDocument/2006/relationships/hyperlink" Target="https://polkadot.subsquare.io/referenda/218" TargetMode="External"/><Relationship Id="rId1171" Type="http://schemas.openxmlformats.org/officeDocument/2006/relationships/hyperlink" Target="https://polkadot.subsquare.io/treasury/child-bounties/731" TargetMode="External"/><Relationship Id="rId583" Type="http://schemas.openxmlformats.org/officeDocument/2006/relationships/hyperlink" Target="https://polkadot.subsquare.io/treasury/child-bounties/115" TargetMode="External"/><Relationship Id="rId1172" Type="http://schemas.openxmlformats.org/officeDocument/2006/relationships/hyperlink" Target="https://polkadot.subsquare.io/treasury/child-bounties/732" TargetMode="External"/><Relationship Id="rId582" Type="http://schemas.openxmlformats.org/officeDocument/2006/relationships/hyperlink" Target="https://polkadot.subsquare.io/treasury/child-bounties/114" TargetMode="External"/><Relationship Id="rId1173" Type="http://schemas.openxmlformats.org/officeDocument/2006/relationships/hyperlink" Target="https://polkadot.subsquare.io/treasury/child-bounties/733" TargetMode="External"/><Relationship Id="rId2020" Type="http://schemas.openxmlformats.org/officeDocument/2006/relationships/hyperlink" Target="https://polkadot.subsquare.io/treasury/child-bounties/1646" TargetMode="External"/><Relationship Id="rId581" Type="http://schemas.openxmlformats.org/officeDocument/2006/relationships/hyperlink" Target="https://polkadot.subsquare.io/treasury/child-bounties/113" TargetMode="External"/><Relationship Id="rId1174" Type="http://schemas.openxmlformats.org/officeDocument/2006/relationships/hyperlink" Target="https://polkadot.subsquare.io/treasury/child-bounties/734" TargetMode="External"/><Relationship Id="rId2021" Type="http://schemas.openxmlformats.org/officeDocument/2006/relationships/hyperlink" Target="https://polkadot.subsquare.io/treasury/child-bounties/1647" TargetMode="External"/><Relationship Id="rId580" Type="http://schemas.openxmlformats.org/officeDocument/2006/relationships/hyperlink" Target="https://polkadot.subsquare.io/treasury/child-bounties/112" TargetMode="External"/><Relationship Id="rId1175" Type="http://schemas.openxmlformats.org/officeDocument/2006/relationships/hyperlink" Target="https://polkadot.subsquare.io/treasury/child-bounties/735" TargetMode="External"/><Relationship Id="rId2022" Type="http://schemas.openxmlformats.org/officeDocument/2006/relationships/hyperlink" Target="https://polkadot.subsquare.io/treasury/child-bounties/1648" TargetMode="External"/><Relationship Id="rId103" Type="http://schemas.openxmlformats.org/officeDocument/2006/relationships/hyperlink" Target="https://polkadot.subsquare.io/referenda/210" TargetMode="External"/><Relationship Id="rId587" Type="http://schemas.openxmlformats.org/officeDocument/2006/relationships/hyperlink" Target="https://polkadot.subsquare.io/treasury/child-bounties/119" TargetMode="External"/><Relationship Id="rId1176" Type="http://schemas.openxmlformats.org/officeDocument/2006/relationships/hyperlink" Target="https://polkadot.subsquare.io/treasury/child-bounties/736" TargetMode="External"/><Relationship Id="rId2023" Type="http://schemas.openxmlformats.org/officeDocument/2006/relationships/hyperlink" Target="https://polkadot.subsquare.io/treasury/child-bounties/1649" TargetMode="External"/><Relationship Id="rId102" Type="http://schemas.openxmlformats.org/officeDocument/2006/relationships/hyperlink" Target="https://polkadot.subsquare.io/referenda/209" TargetMode="External"/><Relationship Id="rId586" Type="http://schemas.openxmlformats.org/officeDocument/2006/relationships/hyperlink" Target="https://polkadot.subsquare.io/treasury/child-bounties/118" TargetMode="External"/><Relationship Id="rId1177" Type="http://schemas.openxmlformats.org/officeDocument/2006/relationships/hyperlink" Target="https://polkadot.subsquare.io/treasury/child-bounties/737" TargetMode="External"/><Relationship Id="rId2024" Type="http://schemas.openxmlformats.org/officeDocument/2006/relationships/hyperlink" Target="https://polkadot.subsquare.io/treasury/child-bounties/1650" TargetMode="External"/><Relationship Id="rId101" Type="http://schemas.openxmlformats.org/officeDocument/2006/relationships/hyperlink" Target="https://polkadot.subsquare.io/referenda/207" TargetMode="External"/><Relationship Id="rId585" Type="http://schemas.openxmlformats.org/officeDocument/2006/relationships/hyperlink" Target="https://polkadot.subsquare.io/treasury/child-bounties/117" TargetMode="External"/><Relationship Id="rId1178" Type="http://schemas.openxmlformats.org/officeDocument/2006/relationships/hyperlink" Target="https://polkadot.subsquare.io/treasury/child-bounties/738" TargetMode="External"/><Relationship Id="rId2025" Type="http://schemas.openxmlformats.org/officeDocument/2006/relationships/hyperlink" Target="https://polkadot.subsquare.io/treasury/child-bounties/1651" TargetMode="External"/><Relationship Id="rId100" Type="http://schemas.openxmlformats.org/officeDocument/2006/relationships/hyperlink" Target="https://polkadot.subsquare.io/referenda/202" TargetMode="External"/><Relationship Id="rId584" Type="http://schemas.openxmlformats.org/officeDocument/2006/relationships/hyperlink" Target="https://polkadot.subsquare.io/treasury/child-bounties/116" TargetMode="External"/><Relationship Id="rId1179" Type="http://schemas.openxmlformats.org/officeDocument/2006/relationships/hyperlink" Target="https://polkadot.subsquare.io/treasury/child-bounties/739" TargetMode="External"/><Relationship Id="rId2026" Type="http://schemas.openxmlformats.org/officeDocument/2006/relationships/hyperlink" Target="https://polkadot.subsquare.io/treasury/child-bounties/1653" TargetMode="External"/><Relationship Id="rId1169" Type="http://schemas.openxmlformats.org/officeDocument/2006/relationships/hyperlink" Target="https://polkadot.subsquare.io/treasury/child-bounties/729" TargetMode="External"/><Relationship Id="rId2016" Type="http://schemas.openxmlformats.org/officeDocument/2006/relationships/hyperlink" Target="https://polkadot.subsquare.io/treasury/child-bounties/1642" TargetMode="External"/><Relationship Id="rId2017" Type="http://schemas.openxmlformats.org/officeDocument/2006/relationships/hyperlink" Target="https://polkadot.subsquare.io/treasury/child-bounties/1643" TargetMode="External"/><Relationship Id="rId2018" Type="http://schemas.openxmlformats.org/officeDocument/2006/relationships/hyperlink" Target="https://polkadot.subsquare.io/treasury/child-bounties/1644" TargetMode="External"/><Relationship Id="rId2019" Type="http://schemas.openxmlformats.org/officeDocument/2006/relationships/hyperlink" Target="https://polkadot.subsquare.io/treasury/child-bounties/1645" TargetMode="External"/><Relationship Id="rId579" Type="http://schemas.openxmlformats.org/officeDocument/2006/relationships/hyperlink" Target="https://polkadot.subsquare.io/treasury/child-bounties/111" TargetMode="External"/><Relationship Id="rId578" Type="http://schemas.openxmlformats.org/officeDocument/2006/relationships/hyperlink" Target="https://polkadot.subsquare.io/treasury/child-bounties/110" TargetMode="External"/><Relationship Id="rId577" Type="http://schemas.openxmlformats.org/officeDocument/2006/relationships/hyperlink" Target="https://polkadot.subsquare.io/treasury/child-bounties/109" TargetMode="External"/><Relationship Id="rId2490" Type="http://schemas.openxmlformats.org/officeDocument/2006/relationships/hyperlink" Target="https://polkadot.subsquare.io/treasury/child-bounties/2170" TargetMode="External"/><Relationship Id="rId1160" Type="http://schemas.openxmlformats.org/officeDocument/2006/relationships/hyperlink" Target="https://polkadot.subsquare.io/treasury/child-bounties/719" TargetMode="External"/><Relationship Id="rId2491" Type="http://schemas.openxmlformats.org/officeDocument/2006/relationships/hyperlink" Target="https://polkadot.subsquare.io/treasury/child-bounties/2171" TargetMode="External"/><Relationship Id="rId572" Type="http://schemas.openxmlformats.org/officeDocument/2006/relationships/hyperlink" Target="https://polkadot.subsquare.io/treasury/child-bounties/104" TargetMode="External"/><Relationship Id="rId1161" Type="http://schemas.openxmlformats.org/officeDocument/2006/relationships/hyperlink" Target="https://polkadot.subsquare.io/treasury/child-bounties/720" TargetMode="External"/><Relationship Id="rId2492" Type="http://schemas.openxmlformats.org/officeDocument/2006/relationships/hyperlink" Target="https://polkadot.subsquare.io/treasury/child-bounties/2172" TargetMode="External"/><Relationship Id="rId571" Type="http://schemas.openxmlformats.org/officeDocument/2006/relationships/hyperlink" Target="https://polkadot.subsquare.io/treasury/child-bounties/103" TargetMode="External"/><Relationship Id="rId1162" Type="http://schemas.openxmlformats.org/officeDocument/2006/relationships/hyperlink" Target="https://polkadot.subsquare.io/treasury/child-bounties/721" TargetMode="External"/><Relationship Id="rId2493" Type="http://schemas.openxmlformats.org/officeDocument/2006/relationships/hyperlink" Target="https://polkadot.subsquare.io/treasury/child-bounties/2173" TargetMode="External"/><Relationship Id="rId570" Type="http://schemas.openxmlformats.org/officeDocument/2006/relationships/hyperlink" Target="https://polkadot.subsquare.io/treasury/child-bounties/102" TargetMode="External"/><Relationship Id="rId1163" Type="http://schemas.openxmlformats.org/officeDocument/2006/relationships/hyperlink" Target="https://polkadot.subsquare.io/treasury/child-bounties/722" TargetMode="External"/><Relationship Id="rId2010" Type="http://schemas.openxmlformats.org/officeDocument/2006/relationships/hyperlink" Target="https://polkadot.subsquare.io/treasury/child-bounties/1636" TargetMode="External"/><Relationship Id="rId2494" Type="http://schemas.openxmlformats.org/officeDocument/2006/relationships/hyperlink" Target="https://polkadot.subsquare.io/treasury/child-bounties/2174" TargetMode="External"/><Relationship Id="rId1164" Type="http://schemas.openxmlformats.org/officeDocument/2006/relationships/hyperlink" Target="https://polkadot.subsquare.io/treasury/child-bounties/723" TargetMode="External"/><Relationship Id="rId2011" Type="http://schemas.openxmlformats.org/officeDocument/2006/relationships/hyperlink" Target="https://polkadot.subsquare.io/treasury/child-bounties/1637" TargetMode="External"/><Relationship Id="rId2495" Type="http://schemas.openxmlformats.org/officeDocument/2006/relationships/hyperlink" Target="https://polkadot.subsquare.io/treasury/child-bounties/2175" TargetMode="External"/><Relationship Id="rId576" Type="http://schemas.openxmlformats.org/officeDocument/2006/relationships/hyperlink" Target="https://polkadot.subsquare.io/treasury/child-bounties/108" TargetMode="External"/><Relationship Id="rId1165" Type="http://schemas.openxmlformats.org/officeDocument/2006/relationships/hyperlink" Target="https://polkadot.subsquare.io/treasury/child-bounties/724" TargetMode="External"/><Relationship Id="rId2012" Type="http://schemas.openxmlformats.org/officeDocument/2006/relationships/hyperlink" Target="https://polkadot.subsquare.io/treasury/child-bounties/1638" TargetMode="External"/><Relationship Id="rId2496" Type="http://schemas.openxmlformats.org/officeDocument/2006/relationships/hyperlink" Target="https://polkadot.subsquare.io/treasury/child-bounties/2176" TargetMode="External"/><Relationship Id="rId575" Type="http://schemas.openxmlformats.org/officeDocument/2006/relationships/hyperlink" Target="https://polkadot.subsquare.io/treasury/child-bounties/107" TargetMode="External"/><Relationship Id="rId1166" Type="http://schemas.openxmlformats.org/officeDocument/2006/relationships/hyperlink" Target="https://polkadot.subsquare.io/treasury/child-bounties/725" TargetMode="External"/><Relationship Id="rId2013" Type="http://schemas.openxmlformats.org/officeDocument/2006/relationships/hyperlink" Target="https://polkadot.subsquare.io/treasury/child-bounties/1639" TargetMode="External"/><Relationship Id="rId2497" Type="http://schemas.openxmlformats.org/officeDocument/2006/relationships/hyperlink" Target="https://polkadot.subsquare.io/treasury/child-bounties/2177" TargetMode="External"/><Relationship Id="rId574" Type="http://schemas.openxmlformats.org/officeDocument/2006/relationships/hyperlink" Target="https://polkadot.subsquare.io/treasury/child-bounties/106" TargetMode="External"/><Relationship Id="rId1167" Type="http://schemas.openxmlformats.org/officeDocument/2006/relationships/hyperlink" Target="https://polkadot.subsquare.io/treasury/child-bounties/726" TargetMode="External"/><Relationship Id="rId2014" Type="http://schemas.openxmlformats.org/officeDocument/2006/relationships/hyperlink" Target="https://polkadot.subsquare.io/treasury/child-bounties/1640" TargetMode="External"/><Relationship Id="rId2498" Type="http://schemas.openxmlformats.org/officeDocument/2006/relationships/hyperlink" Target="https://polkadot.subsquare.io/treasury/child-bounties/2178" TargetMode="External"/><Relationship Id="rId573" Type="http://schemas.openxmlformats.org/officeDocument/2006/relationships/hyperlink" Target="https://polkadot.subsquare.io/treasury/child-bounties/105" TargetMode="External"/><Relationship Id="rId1168" Type="http://schemas.openxmlformats.org/officeDocument/2006/relationships/hyperlink" Target="https://polkadot.subsquare.io/treasury/child-bounties/727" TargetMode="External"/><Relationship Id="rId2015" Type="http://schemas.openxmlformats.org/officeDocument/2006/relationships/hyperlink" Target="https://polkadot.subsquare.io/treasury/child-bounties/1641" TargetMode="External"/><Relationship Id="rId2499" Type="http://schemas.openxmlformats.org/officeDocument/2006/relationships/hyperlink" Target="https://polkadot.subsquare.io/treasury/child-bounties/2179" TargetMode="External"/><Relationship Id="rId2049" Type="http://schemas.openxmlformats.org/officeDocument/2006/relationships/hyperlink" Target="https://polkadot.subsquare.io/treasury/child-bounties/1679" TargetMode="External"/><Relationship Id="rId129" Type="http://schemas.openxmlformats.org/officeDocument/2006/relationships/hyperlink" Target="https://polkadot.subsquare.io/referenda/258" TargetMode="External"/><Relationship Id="rId128" Type="http://schemas.openxmlformats.org/officeDocument/2006/relationships/hyperlink" Target="https://polkadot.subsquare.io/referenda/255" TargetMode="External"/><Relationship Id="rId127" Type="http://schemas.openxmlformats.org/officeDocument/2006/relationships/hyperlink" Target="https://polkadot.subsquare.io/referenda/249" TargetMode="External"/><Relationship Id="rId126" Type="http://schemas.openxmlformats.org/officeDocument/2006/relationships/hyperlink" Target="https://polkadot.subsquare.io/referenda/248" TargetMode="External"/><Relationship Id="rId1190" Type="http://schemas.openxmlformats.org/officeDocument/2006/relationships/hyperlink" Target="https://polkadot.subsquare.io/treasury/child-bounties/750" TargetMode="External"/><Relationship Id="rId1191" Type="http://schemas.openxmlformats.org/officeDocument/2006/relationships/hyperlink" Target="https://polkadot.subsquare.io/treasury/child-bounties/751" TargetMode="External"/><Relationship Id="rId1192" Type="http://schemas.openxmlformats.org/officeDocument/2006/relationships/hyperlink" Target="https://polkadot.subsquare.io/treasury/child-bounties/752" TargetMode="External"/><Relationship Id="rId1193" Type="http://schemas.openxmlformats.org/officeDocument/2006/relationships/hyperlink" Target="https://polkadot.subsquare.io/treasury/child-bounties/753" TargetMode="External"/><Relationship Id="rId2040" Type="http://schemas.openxmlformats.org/officeDocument/2006/relationships/hyperlink" Target="https://polkadot.subsquare.io/treasury/child-bounties/1669" TargetMode="External"/><Relationship Id="rId121" Type="http://schemas.openxmlformats.org/officeDocument/2006/relationships/hyperlink" Target="https://polkadot.subsquare.io/referenda/242" TargetMode="External"/><Relationship Id="rId1194" Type="http://schemas.openxmlformats.org/officeDocument/2006/relationships/hyperlink" Target="https://polkadot.subsquare.io/treasury/child-bounties/754" TargetMode="External"/><Relationship Id="rId2041" Type="http://schemas.openxmlformats.org/officeDocument/2006/relationships/hyperlink" Target="https://polkadot.subsquare.io/treasury/child-bounties/1670" TargetMode="External"/><Relationship Id="rId120" Type="http://schemas.openxmlformats.org/officeDocument/2006/relationships/hyperlink" Target="https://polkadot.subsquare.io/referenda/240" TargetMode="External"/><Relationship Id="rId1195" Type="http://schemas.openxmlformats.org/officeDocument/2006/relationships/hyperlink" Target="https://polkadot.subsquare.io/treasury/child-bounties/755" TargetMode="External"/><Relationship Id="rId2042" Type="http://schemas.openxmlformats.org/officeDocument/2006/relationships/hyperlink" Target="https://polkadot.subsquare.io/treasury/child-bounties/1671" TargetMode="External"/><Relationship Id="rId1196" Type="http://schemas.openxmlformats.org/officeDocument/2006/relationships/hyperlink" Target="https://polkadot.subsquare.io/treasury/child-bounties/756" TargetMode="External"/><Relationship Id="rId2043" Type="http://schemas.openxmlformats.org/officeDocument/2006/relationships/hyperlink" Target="https://polkadot.subsquare.io/treasury/child-bounties/1672" TargetMode="External"/><Relationship Id="rId1197" Type="http://schemas.openxmlformats.org/officeDocument/2006/relationships/hyperlink" Target="https://polkadot.subsquare.io/treasury/child-bounties/757" TargetMode="External"/><Relationship Id="rId2044" Type="http://schemas.openxmlformats.org/officeDocument/2006/relationships/hyperlink" Target="https://polkadot.subsquare.io/treasury/child-bounties/1673" TargetMode="External"/><Relationship Id="rId125" Type="http://schemas.openxmlformats.org/officeDocument/2006/relationships/hyperlink" Target="https://polkadot.subsquare.io/referenda/247" TargetMode="External"/><Relationship Id="rId1198" Type="http://schemas.openxmlformats.org/officeDocument/2006/relationships/hyperlink" Target="https://polkadot.subsquare.io/treasury/child-bounties/758" TargetMode="External"/><Relationship Id="rId2045" Type="http://schemas.openxmlformats.org/officeDocument/2006/relationships/hyperlink" Target="https://polkadot.subsquare.io/treasury/child-bounties/1674" TargetMode="External"/><Relationship Id="rId124" Type="http://schemas.openxmlformats.org/officeDocument/2006/relationships/hyperlink" Target="https://polkadot.subsquare.io/referenda/245" TargetMode="External"/><Relationship Id="rId1199" Type="http://schemas.openxmlformats.org/officeDocument/2006/relationships/hyperlink" Target="https://polkadot.subsquare.io/treasury/child-bounties/759" TargetMode="External"/><Relationship Id="rId2046" Type="http://schemas.openxmlformats.org/officeDocument/2006/relationships/hyperlink" Target="https://polkadot.subsquare.io/treasury/child-bounties/1675" TargetMode="External"/><Relationship Id="rId123" Type="http://schemas.openxmlformats.org/officeDocument/2006/relationships/hyperlink" Target="https://polkadot.subsquare.io/referenda/244" TargetMode="External"/><Relationship Id="rId2047" Type="http://schemas.openxmlformats.org/officeDocument/2006/relationships/hyperlink" Target="https://polkadot.subsquare.io/treasury/child-bounties/1676" TargetMode="External"/><Relationship Id="rId122" Type="http://schemas.openxmlformats.org/officeDocument/2006/relationships/hyperlink" Target="https://polkadot.subsquare.io/referenda/243" TargetMode="External"/><Relationship Id="rId2048" Type="http://schemas.openxmlformats.org/officeDocument/2006/relationships/hyperlink" Target="https://polkadot.subsquare.io/treasury/child-bounties/1678" TargetMode="External"/><Relationship Id="rId2038" Type="http://schemas.openxmlformats.org/officeDocument/2006/relationships/hyperlink" Target="https://polkadot.subsquare.io/treasury/child-bounties/1667" TargetMode="External"/><Relationship Id="rId2039" Type="http://schemas.openxmlformats.org/officeDocument/2006/relationships/hyperlink" Target="https://polkadot.subsquare.io/treasury/child-bounties/1668" TargetMode="External"/><Relationship Id="rId118" Type="http://schemas.openxmlformats.org/officeDocument/2006/relationships/hyperlink" Target="https://polkadot.subsquare.io/referenda/234" TargetMode="External"/><Relationship Id="rId117" Type="http://schemas.openxmlformats.org/officeDocument/2006/relationships/hyperlink" Target="https://polkadot.subsquare.io/referenda/232" TargetMode="External"/><Relationship Id="rId116" Type="http://schemas.openxmlformats.org/officeDocument/2006/relationships/hyperlink" Target="https://polkadot.subsquare.io/referenda/230" TargetMode="External"/><Relationship Id="rId115" Type="http://schemas.openxmlformats.org/officeDocument/2006/relationships/hyperlink" Target="https://polkadot.subsquare.io/referenda/227" TargetMode="External"/><Relationship Id="rId599" Type="http://schemas.openxmlformats.org/officeDocument/2006/relationships/hyperlink" Target="https://polkadot.subsquare.io/treasury/child-bounties/133" TargetMode="External"/><Relationship Id="rId1180" Type="http://schemas.openxmlformats.org/officeDocument/2006/relationships/hyperlink" Target="https://polkadot.subsquare.io/treasury/child-bounties/740" TargetMode="External"/><Relationship Id="rId1181" Type="http://schemas.openxmlformats.org/officeDocument/2006/relationships/hyperlink" Target="https://polkadot.subsquare.io/treasury/child-bounties/741" TargetMode="External"/><Relationship Id="rId119" Type="http://schemas.openxmlformats.org/officeDocument/2006/relationships/hyperlink" Target="https://polkadot.subsquare.io/referenda/237" TargetMode="External"/><Relationship Id="rId1182" Type="http://schemas.openxmlformats.org/officeDocument/2006/relationships/hyperlink" Target="https://polkadot.subsquare.io/treasury/child-bounties/742" TargetMode="External"/><Relationship Id="rId110" Type="http://schemas.openxmlformats.org/officeDocument/2006/relationships/hyperlink" Target="https://polkadot.subsquare.io/referenda/221" TargetMode="External"/><Relationship Id="rId594" Type="http://schemas.openxmlformats.org/officeDocument/2006/relationships/hyperlink" Target="https://polkadot.subsquare.io/treasury/child-bounties/128" TargetMode="External"/><Relationship Id="rId1183" Type="http://schemas.openxmlformats.org/officeDocument/2006/relationships/hyperlink" Target="https://polkadot.subsquare.io/treasury/child-bounties/743" TargetMode="External"/><Relationship Id="rId2030" Type="http://schemas.openxmlformats.org/officeDocument/2006/relationships/hyperlink" Target="https://polkadot.subsquare.io/treasury/child-bounties/1658" TargetMode="External"/><Relationship Id="rId593" Type="http://schemas.openxmlformats.org/officeDocument/2006/relationships/hyperlink" Target="https://polkadot.subsquare.io/treasury/child-bounties/127" TargetMode="External"/><Relationship Id="rId1184" Type="http://schemas.openxmlformats.org/officeDocument/2006/relationships/hyperlink" Target="https://polkadot.subsquare.io/treasury/child-bounties/744" TargetMode="External"/><Relationship Id="rId2031" Type="http://schemas.openxmlformats.org/officeDocument/2006/relationships/hyperlink" Target="https://polkadot.subsquare.io/treasury/child-bounties/1659" TargetMode="External"/><Relationship Id="rId592" Type="http://schemas.openxmlformats.org/officeDocument/2006/relationships/hyperlink" Target="https://polkadot.subsquare.io/treasury/child-bounties/126" TargetMode="External"/><Relationship Id="rId1185" Type="http://schemas.openxmlformats.org/officeDocument/2006/relationships/hyperlink" Target="https://polkadot.subsquare.io/treasury/child-bounties/745" TargetMode="External"/><Relationship Id="rId2032" Type="http://schemas.openxmlformats.org/officeDocument/2006/relationships/hyperlink" Target="https://polkadot.subsquare.io/treasury/child-bounties/1660" TargetMode="External"/><Relationship Id="rId591" Type="http://schemas.openxmlformats.org/officeDocument/2006/relationships/hyperlink" Target="https://polkadot.subsquare.io/treasury/child-bounties/125" TargetMode="External"/><Relationship Id="rId1186" Type="http://schemas.openxmlformats.org/officeDocument/2006/relationships/hyperlink" Target="https://polkadot.subsquare.io/treasury/child-bounties/746" TargetMode="External"/><Relationship Id="rId2033" Type="http://schemas.openxmlformats.org/officeDocument/2006/relationships/hyperlink" Target="https://polkadot.subsquare.io/treasury/child-bounties/1661" TargetMode="External"/><Relationship Id="rId114" Type="http://schemas.openxmlformats.org/officeDocument/2006/relationships/hyperlink" Target="https://polkadot.subsquare.io/referenda/226" TargetMode="External"/><Relationship Id="rId598" Type="http://schemas.openxmlformats.org/officeDocument/2006/relationships/hyperlink" Target="https://polkadot.subsquare.io/treasury/child-bounties/132" TargetMode="External"/><Relationship Id="rId1187" Type="http://schemas.openxmlformats.org/officeDocument/2006/relationships/hyperlink" Target="https://polkadot.subsquare.io/treasury/child-bounties/747" TargetMode="External"/><Relationship Id="rId2034" Type="http://schemas.openxmlformats.org/officeDocument/2006/relationships/hyperlink" Target="https://polkadot.subsquare.io/treasury/child-bounties/1663" TargetMode="External"/><Relationship Id="rId113" Type="http://schemas.openxmlformats.org/officeDocument/2006/relationships/hyperlink" Target="https://polkadot.subsquare.io/referenda/225" TargetMode="External"/><Relationship Id="rId597" Type="http://schemas.openxmlformats.org/officeDocument/2006/relationships/hyperlink" Target="https://polkadot.subsquare.io/treasury/child-bounties/131" TargetMode="External"/><Relationship Id="rId1188" Type="http://schemas.openxmlformats.org/officeDocument/2006/relationships/hyperlink" Target="https://polkadot.subsquare.io/treasury/child-bounties/748" TargetMode="External"/><Relationship Id="rId2035" Type="http://schemas.openxmlformats.org/officeDocument/2006/relationships/hyperlink" Target="https://polkadot.subsquare.io/treasury/child-bounties/1664" TargetMode="External"/><Relationship Id="rId112" Type="http://schemas.openxmlformats.org/officeDocument/2006/relationships/hyperlink" Target="https://polkadot.subsquare.io/referenda/223" TargetMode="External"/><Relationship Id="rId596" Type="http://schemas.openxmlformats.org/officeDocument/2006/relationships/hyperlink" Target="https://polkadot.subsquare.io/treasury/child-bounties/130" TargetMode="External"/><Relationship Id="rId1189" Type="http://schemas.openxmlformats.org/officeDocument/2006/relationships/hyperlink" Target="https://polkadot.subsquare.io/treasury/child-bounties/749" TargetMode="External"/><Relationship Id="rId2036" Type="http://schemas.openxmlformats.org/officeDocument/2006/relationships/hyperlink" Target="https://polkadot.subsquare.io/treasury/child-bounties/1665" TargetMode="External"/><Relationship Id="rId111" Type="http://schemas.openxmlformats.org/officeDocument/2006/relationships/hyperlink" Target="https://polkadot.subsquare.io/referenda/222" TargetMode="External"/><Relationship Id="rId595" Type="http://schemas.openxmlformats.org/officeDocument/2006/relationships/hyperlink" Target="https://polkadot.subsquare.io/treasury/child-bounties/129" TargetMode="External"/><Relationship Id="rId2037" Type="http://schemas.openxmlformats.org/officeDocument/2006/relationships/hyperlink" Target="https://polkadot.subsquare.io/treasury/child-bounties/1666" TargetMode="External"/><Relationship Id="rId1136" Type="http://schemas.openxmlformats.org/officeDocument/2006/relationships/hyperlink" Target="https://polkadot.subsquare.io/treasury/child-bounties/695" TargetMode="External"/><Relationship Id="rId2467" Type="http://schemas.openxmlformats.org/officeDocument/2006/relationships/hyperlink" Target="https://polkadot.subsquare.io/treasury/child-bounties/2146" TargetMode="External"/><Relationship Id="rId1137" Type="http://schemas.openxmlformats.org/officeDocument/2006/relationships/hyperlink" Target="https://polkadot.subsquare.io/treasury/child-bounties/696" TargetMode="External"/><Relationship Id="rId2468" Type="http://schemas.openxmlformats.org/officeDocument/2006/relationships/hyperlink" Target="https://polkadot.subsquare.io/treasury/child-bounties/2147" TargetMode="External"/><Relationship Id="rId1138" Type="http://schemas.openxmlformats.org/officeDocument/2006/relationships/hyperlink" Target="https://polkadot.subsquare.io/treasury/child-bounties/697" TargetMode="External"/><Relationship Id="rId2469" Type="http://schemas.openxmlformats.org/officeDocument/2006/relationships/hyperlink" Target="https://polkadot.subsquare.io/treasury/child-bounties/2148" TargetMode="External"/><Relationship Id="rId1139" Type="http://schemas.openxmlformats.org/officeDocument/2006/relationships/hyperlink" Target="https://polkadot.subsquare.io/treasury/child-bounties/698" TargetMode="External"/><Relationship Id="rId547" Type="http://schemas.openxmlformats.org/officeDocument/2006/relationships/hyperlink" Target="https://polkadot.subsquare.io/treasury/child-bounties/77" TargetMode="External"/><Relationship Id="rId546" Type="http://schemas.openxmlformats.org/officeDocument/2006/relationships/hyperlink" Target="https://polkadot.subsquare.io/treasury/child-bounties/76" TargetMode="External"/><Relationship Id="rId545" Type="http://schemas.openxmlformats.org/officeDocument/2006/relationships/hyperlink" Target="https://polkadot.subsquare.io/treasury/child-bounties/75" TargetMode="External"/><Relationship Id="rId544" Type="http://schemas.openxmlformats.org/officeDocument/2006/relationships/hyperlink" Target="https://polkadot.subsquare.io/treasury/child-bounties/74" TargetMode="External"/><Relationship Id="rId549" Type="http://schemas.openxmlformats.org/officeDocument/2006/relationships/hyperlink" Target="https://polkadot.subsquare.io/treasury/child-bounties/79" TargetMode="External"/><Relationship Id="rId548" Type="http://schemas.openxmlformats.org/officeDocument/2006/relationships/hyperlink" Target="https://polkadot.subsquare.io/treasury/child-bounties/78" TargetMode="External"/><Relationship Id="rId2460" Type="http://schemas.openxmlformats.org/officeDocument/2006/relationships/hyperlink" Target="https://polkadot.subsquare.io/treasury/child-bounties/2138" TargetMode="External"/><Relationship Id="rId1130" Type="http://schemas.openxmlformats.org/officeDocument/2006/relationships/hyperlink" Target="https://polkadot.subsquare.io/treasury/child-bounties/689" TargetMode="External"/><Relationship Id="rId2461" Type="http://schemas.openxmlformats.org/officeDocument/2006/relationships/hyperlink" Target="https://polkadot.subsquare.io/treasury/child-bounties/2139" TargetMode="External"/><Relationship Id="rId1131" Type="http://schemas.openxmlformats.org/officeDocument/2006/relationships/hyperlink" Target="https://polkadot.subsquare.io/treasury/child-bounties/690" TargetMode="External"/><Relationship Id="rId2462" Type="http://schemas.openxmlformats.org/officeDocument/2006/relationships/hyperlink" Target="https://polkadot.subsquare.io/treasury/child-bounties/2140" TargetMode="External"/><Relationship Id="rId543" Type="http://schemas.openxmlformats.org/officeDocument/2006/relationships/hyperlink" Target="https://polkadot.subsquare.io/treasury/child-bounties/73" TargetMode="External"/><Relationship Id="rId1132" Type="http://schemas.openxmlformats.org/officeDocument/2006/relationships/hyperlink" Target="https://polkadot.subsquare.io/treasury/child-bounties/691" TargetMode="External"/><Relationship Id="rId2463" Type="http://schemas.openxmlformats.org/officeDocument/2006/relationships/hyperlink" Target="https://polkadot.subsquare.io/treasury/child-bounties/2141" TargetMode="External"/><Relationship Id="rId542" Type="http://schemas.openxmlformats.org/officeDocument/2006/relationships/hyperlink" Target="https://polkadot.subsquare.io/treasury/child-bounties/72" TargetMode="External"/><Relationship Id="rId1133" Type="http://schemas.openxmlformats.org/officeDocument/2006/relationships/hyperlink" Target="https://polkadot.subsquare.io/treasury/child-bounties/692" TargetMode="External"/><Relationship Id="rId2464" Type="http://schemas.openxmlformats.org/officeDocument/2006/relationships/hyperlink" Target="https://polkadot.subsquare.io/treasury/child-bounties/2142" TargetMode="External"/><Relationship Id="rId541" Type="http://schemas.openxmlformats.org/officeDocument/2006/relationships/hyperlink" Target="https://polkadot.subsquare.io/treasury/child-bounties/71" TargetMode="External"/><Relationship Id="rId1134" Type="http://schemas.openxmlformats.org/officeDocument/2006/relationships/hyperlink" Target="https://polkadot.subsquare.io/treasury/child-bounties/693" TargetMode="External"/><Relationship Id="rId2465" Type="http://schemas.openxmlformats.org/officeDocument/2006/relationships/hyperlink" Target="https://polkadot.subsquare.io/treasury/child-bounties/2143" TargetMode="External"/><Relationship Id="rId540" Type="http://schemas.openxmlformats.org/officeDocument/2006/relationships/hyperlink" Target="https://polkadot.subsquare.io/treasury/child-bounties/70" TargetMode="External"/><Relationship Id="rId1135" Type="http://schemas.openxmlformats.org/officeDocument/2006/relationships/hyperlink" Target="https://polkadot.subsquare.io/treasury/child-bounties/694" TargetMode="External"/><Relationship Id="rId2466" Type="http://schemas.openxmlformats.org/officeDocument/2006/relationships/hyperlink" Target="https://polkadot.subsquare.io/treasury/child-bounties/2145" TargetMode="External"/><Relationship Id="rId1125" Type="http://schemas.openxmlformats.org/officeDocument/2006/relationships/hyperlink" Target="https://polkadot.subsquare.io/treasury/child-bounties/684" TargetMode="External"/><Relationship Id="rId2456" Type="http://schemas.openxmlformats.org/officeDocument/2006/relationships/hyperlink" Target="https://polkadot.subsquare.io/treasury/child-bounties/2133" TargetMode="External"/><Relationship Id="rId1126" Type="http://schemas.openxmlformats.org/officeDocument/2006/relationships/hyperlink" Target="https://polkadot.subsquare.io/treasury/child-bounties/685" TargetMode="External"/><Relationship Id="rId2457" Type="http://schemas.openxmlformats.org/officeDocument/2006/relationships/hyperlink" Target="https://polkadot.subsquare.io/treasury/child-bounties/2134" TargetMode="External"/><Relationship Id="rId1127" Type="http://schemas.openxmlformats.org/officeDocument/2006/relationships/hyperlink" Target="https://polkadot.subsquare.io/treasury/child-bounties/686" TargetMode="External"/><Relationship Id="rId2458" Type="http://schemas.openxmlformats.org/officeDocument/2006/relationships/hyperlink" Target="https://polkadot.subsquare.io/treasury/child-bounties/2136" TargetMode="External"/><Relationship Id="rId1128" Type="http://schemas.openxmlformats.org/officeDocument/2006/relationships/hyperlink" Target="https://polkadot.subsquare.io/treasury/child-bounties/687" TargetMode="External"/><Relationship Id="rId2459" Type="http://schemas.openxmlformats.org/officeDocument/2006/relationships/hyperlink" Target="https://polkadot.subsquare.io/treasury/child-bounties/2137" TargetMode="External"/><Relationship Id="rId1129" Type="http://schemas.openxmlformats.org/officeDocument/2006/relationships/hyperlink" Target="https://polkadot.subsquare.io/treasury/child-bounties/688" TargetMode="External"/><Relationship Id="rId536" Type="http://schemas.openxmlformats.org/officeDocument/2006/relationships/hyperlink" Target="https://polkadot.subsquare.io/treasury/child-bounties/66" TargetMode="External"/><Relationship Id="rId535" Type="http://schemas.openxmlformats.org/officeDocument/2006/relationships/hyperlink" Target="https://polkadot.subsquare.io/treasury/child-bounties/65" TargetMode="External"/><Relationship Id="rId534" Type="http://schemas.openxmlformats.org/officeDocument/2006/relationships/hyperlink" Target="https://polkadot.subsquare.io/treasury/child-bounties/64" TargetMode="External"/><Relationship Id="rId533" Type="http://schemas.openxmlformats.org/officeDocument/2006/relationships/hyperlink" Target="https://polkadot.subsquare.io/treasury/child-bounties/63" TargetMode="External"/><Relationship Id="rId539" Type="http://schemas.openxmlformats.org/officeDocument/2006/relationships/hyperlink" Target="https://polkadot.subsquare.io/treasury/child-bounties/69" TargetMode="External"/><Relationship Id="rId538" Type="http://schemas.openxmlformats.org/officeDocument/2006/relationships/hyperlink" Target="https://polkadot.subsquare.io/treasury/child-bounties/68" TargetMode="External"/><Relationship Id="rId537" Type="http://schemas.openxmlformats.org/officeDocument/2006/relationships/hyperlink" Target="https://polkadot.subsquare.io/treasury/child-bounties/67" TargetMode="External"/><Relationship Id="rId2450" Type="http://schemas.openxmlformats.org/officeDocument/2006/relationships/hyperlink" Target="https://polkadot.subsquare.io/treasury/child-bounties/2125" TargetMode="External"/><Relationship Id="rId1120" Type="http://schemas.openxmlformats.org/officeDocument/2006/relationships/hyperlink" Target="https://polkadot.subsquare.io/treasury/child-bounties/679" TargetMode="External"/><Relationship Id="rId2451" Type="http://schemas.openxmlformats.org/officeDocument/2006/relationships/hyperlink" Target="https://polkadot.subsquare.io/treasury/child-bounties/2126" TargetMode="External"/><Relationship Id="rId532" Type="http://schemas.openxmlformats.org/officeDocument/2006/relationships/hyperlink" Target="https://polkadot.subsquare.io/treasury/child-bounties/62" TargetMode="External"/><Relationship Id="rId1121" Type="http://schemas.openxmlformats.org/officeDocument/2006/relationships/hyperlink" Target="https://polkadot.subsquare.io/treasury/child-bounties/680" TargetMode="External"/><Relationship Id="rId2452" Type="http://schemas.openxmlformats.org/officeDocument/2006/relationships/hyperlink" Target="https://polkadot.subsquare.io/treasury/child-bounties/2129" TargetMode="External"/><Relationship Id="rId531" Type="http://schemas.openxmlformats.org/officeDocument/2006/relationships/hyperlink" Target="https://polkadot.subsquare.io/treasury/child-bounties/61" TargetMode="External"/><Relationship Id="rId1122" Type="http://schemas.openxmlformats.org/officeDocument/2006/relationships/hyperlink" Target="https://polkadot.subsquare.io/treasury/child-bounties/681" TargetMode="External"/><Relationship Id="rId2453" Type="http://schemas.openxmlformats.org/officeDocument/2006/relationships/hyperlink" Target="https://polkadot.subsquare.io/treasury/child-bounties/2130" TargetMode="External"/><Relationship Id="rId530" Type="http://schemas.openxmlformats.org/officeDocument/2006/relationships/hyperlink" Target="https://polkadot.subsquare.io/treasury/child-bounties/60" TargetMode="External"/><Relationship Id="rId1123" Type="http://schemas.openxmlformats.org/officeDocument/2006/relationships/hyperlink" Target="https://polkadot.subsquare.io/treasury/child-bounties/682" TargetMode="External"/><Relationship Id="rId2454" Type="http://schemas.openxmlformats.org/officeDocument/2006/relationships/hyperlink" Target="https://polkadot.subsquare.io/treasury/child-bounties/2131" TargetMode="External"/><Relationship Id="rId1124" Type="http://schemas.openxmlformats.org/officeDocument/2006/relationships/hyperlink" Target="https://polkadot.subsquare.io/treasury/child-bounties/683" TargetMode="External"/><Relationship Id="rId2455" Type="http://schemas.openxmlformats.org/officeDocument/2006/relationships/hyperlink" Target="https://polkadot.subsquare.io/treasury/child-bounties/2132" TargetMode="External"/><Relationship Id="rId1158" Type="http://schemas.openxmlformats.org/officeDocument/2006/relationships/hyperlink" Target="https://polkadot.subsquare.io/treasury/child-bounties/717" TargetMode="External"/><Relationship Id="rId2005" Type="http://schemas.openxmlformats.org/officeDocument/2006/relationships/hyperlink" Target="https://polkadot.subsquare.io/treasury/child-bounties/1631" TargetMode="External"/><Relationship Id="rId2489" Type="http://schemas.openxmlformats.org/officeDocument/2006/relationships/hyperlink" Target="https://polkadot.subsquare.io/treasury/child-bounties/2169" TargetMode="External"/><Relationship Id="rId1159" Type="http://schemas.openxmlformats.org/officeDocument/2006/relationships/hyperlink" Target="https://polkadot.subsquare.io/treasury/child-bounties/718" TargetMode="External"/><Relationship Id="rId2006" Type="http://schemas.openxmlformats.org/officeDocument/2006/relationships/hyperlink" Target="https://polkadot.subsquare.io/treasury/child-bounties/1632" TargetMode="External"/><Relationship Id="rId2007" Type="http://schemas.openxmlformats.org/officeDocument/2006/relationships/hyperlink" Target="https://polkadot.subsquare.io/treasury/child-bounties/1633" TargetMode="External"/><Relationship Id="rId2008" Type="http://schemas.openxmlformats.org/officeDocument/2006/relationships/hyperlink" Target="https://polkadot.subsquare.io/treasury/child-bounties/1634" TargetMode="External"/><Relationship Id="rId2009" Type="http://schemas.openxmlformats.org/officeDocument/2006/relationships/hyperlink" Target="https://polkadot.subsquare.io/treasury/child-bounties/1635" TargetMode="External"/><Relationship Id="rId569" Type="http://schemas.openxmlformats.org/officeDocument/2006/relationships/hyperlink" Target="https://polkadot.subsquare.io/treasury/child-bounties/101" TargetMode="External"/><Relationship Id="rId568" Type="http://schemas.openxmlformats.org/officeDocument/2006/relationships/hyperlink" Target="https://polkadot.subsquare.io/treasury/child-bounties/100" TargetMode="External"/><Relationship Id="rId567" Type="http://schemas.openxmlformats.org/officeDocument/2006/relationships/hyperlink" Target="https://polkadot.subsquare.io/treasury/child-bounties/99" TargetMode="External"/><Relationship Id="rId566" Type="http://schemas.openxmlformats.org/officeDocument/2006/relationships/hyperlink" Target="https://polkadot.subsquare.io/treasury/child-bounties/98" TargetMode="External"/><Relationship Id="rId2480" Type="http://schemas.openxmlformats.org/officeDocument/2006/relationships/hyperlink" Target="https://polkadot.subsquare.io/treasury/child-bounties/2160" TargetMode="External"/><Relationship Id="rId561" Type="http://schemas.openxmlformats.org/officeDocument/2006/relationships/hyperlink" Target="https://polkadot.subsquare.io/treasury/child-bounties/93" TargetMode="External"/><Relationship Id="rId1150" Type="http://schemas.openxmlformats.org/officeDocument/2006/relationships/hyperlink" Target="https://polkadot.subsquare.io/treasury/child-bounties/709" TargetMode="External"/><Relationship Id="rId2481" Type="http://schemas.openxmlformats.org/officeDocument/2006/relationships/hyperlink" Target="https://polkadot.subsquare.io/treasury/child-bounties/2161" TargetMode="External"/><Relationship Id="rId560" Type="http://schemas.openxmlformats.org/officeDocument/2006/relationships/hyperlink" Target="https://polkadot.subsquare.io/treasury/child-bounties/92" TargetMode="External"/><Relationship Id="rId1151" Type="http://schemas.openxmlformats.org/officeDocument/2006/relationships/hyperlink" Target="https://polkadot.subsquare.io/treasury/child-bounties/710" TargetMode="External"/><Relationship Id="rId2482" Type="http://schemas.openxmlformats.org/officeDocument/2006/relationships/hyperlink" Target="https://polkadot.subsquare.io/treasury/child-bounties/2162" TargetMode="External"/><Relationship Id="rId1152" Type="http://schemas.openxmlformats.org/officeDocument/2006/relationships/hyperlink" Target="https://polkadot.subsquare.io/treasury/child-bounties/711" TargetMode="External"/><Relationship Id="rId2483" Type="http://schemas.openxmlformats.org/officeDocument/2006/relationships/hyperlink" Target="https://polkadot.subsquare.io/treasury/child-bounties/2163" TargetMode="External"/><Relationship Id="rId1153" Type="http://schemas.openxmlformats.org/officeDocument/2006/relationships/hyperlink" Target="https://polkadot.subsquare.io/treasury/child-bounties/712" TargetMode="External"/><Relationship Id="rId2000" Type="http://schemas.openxmlformats.org/officeDocument/2006/relationships/hyperlink" Target="https://polkadot.subsquare.io/treasury/child-bounties/1626" TargetMode="External"/><Relationship Id="rId2484" Type="http://schemas.openxmlformats.org/officeDocument/2006/relationships/hyperlink" Target="https://polkadot.subsquare.io/treasury/child-bounties/2164" TargetMode="External"/><Relationship Id="rId565" Type="http://schemas.openxmlformats.org/officeDocument/2006/relationships/hyperlink" Target="https://polkadot.subsquare.io/treasury/child-bounties/97" TargetMode="External"/><Relationship Id="rId1154" Type="http://schemas.openxmlformats.org/officeDocument/2006/relationships/hyperlink" Target="https://polkadot.subsquare.io/treasury/child-bounties/713" TargetMode="External"/><Relationship Id="rId2001" Type="http://schemas.openxmlformats.org/officeDocument/2006/relationships/hyperlink" Target="https://polkadot.subsquare.io/treasury/child-bounties/1627" TargetMode="External"/><Relationship Id="rId2485" Type="http://schemas.openxmlformats.org/officeDocument/2006/relationships/hyperlink" Target="https://polkadot.subsquare.io/treasury/child-bounties/2165" TargetMode="External"/><Relationship Id="rId564" Type="http://schemas.openxmlformats.org/officeDocument/2006/relationships/hyperlink" Target="https://polkadot.subsquare.io/treasury/child-bounties/96" TargetMode="External"/><Relationship Id="rId1155" Type="http://schemas.openxmlformats.org/officeDocument/2006/relationships/hyperlink" Target="https://polkadot.subsquare.io/treasury/child-bounties/714" TargetMode="External"/><Relationship Id="rId2002" Type="http://schemas.openxmlformats.org/officeDocument/2006/relationships/hyperlink" Target="https://polkadot.subsquare.io/treasury/child-bounties/1628" TargetMode="External"/><Relationship Id="rId2486" Type="http://schemas.openxmlformats.org/officeDocument/2006/relationships/hyperlink" Target="https://polkadot.subsquare.io/treasury/child-bounties/2166" TargetMode="External"/><Relationship Id="rId563" Type="http://schemas.openxmlformats.org/officeDocument/2006/relationships/hyperlink" Target="https://polkadot.subsquare.io/treasury/child-bounties/95" TargetMode="External"/><Relationship Id="rId1156" Type="http://schemas.openxmlformats.org/officeDocument/2006/relationships/hyperlink" Target="https://polkadot.subsquare.io/treasury/child-bounties/715" TargetMode="External"/><Relationship Id="rId2003" Type="http://schemas.openxmlformats.org/officeDocument/2006/relationships/hyperlink" Target="https://polkadot.subsquare.io/treasury/child-bounties/1629" TargetMode="External"/><Relationship Id="rId2487" Type="http://schemas.openxmlformats.org/officeDocument/2006/relationships/hyperlink" Target="https://polkadot.subsquare.io/treasury/child-bounties/2167" TargetMode="External"/><Relationship Id="rId562" Type="http://schemas.openxmlformats.org/officeDocument/2006/relationships/hyperlink" Target="https://polkadot.subsquare.io/treasury/child-bounties/94" TargetMode="External"/><Relationship Id="rId1157" Type="http://schemas.openxmlformats.org/officeDocument/2006/relationships/hyperlink" Target="https://polkadot.subsquare.io/treasury/child-bounties/716" TargetMode="External"/><Relationship Id="rId2004" Type="http://schemas.openxmlformats.org/officeDocument/2006/relationships/hyperlink" Target="https://polkadot.subsquare.io/treasury/child-bounties/1630" TargetMode="External"/><Relationship Id="rId2488" Type="http://schemas.openxmlformats.org/officeDocument/2006/relationships/hyperlink" Target="https://polkadot.subsquare.io/treasury/child-bounties/2168" TargetMode="External"/><Relationship Id="rId1147" Type="http://schemas.openxmlformats.org/officeDocument/2006/relationships/hyperlink" Target="https://polkadot.subsquare.io/treasury/child-bounties/706" TargetMode="External"/><Relationship Id="rId2478" Type="http://schemas.openxmlformats.org/officeDocument/2006/relationships/hyperlink" Target="https://polkadot.subsquare.io/treasury/child-bounties/2157" TargetMode="External"/><Relationship Id="rId1148" Type="http://schemas.openxmlformats.org/officeDocument/2006/relationships/hyperlink" Target="https://polkadot.subsquare.io/treasury/child-bounties/707" TargetMode="External"/><Relationship Id="rId2479" Type="http://schemas.openxmlformats.org/officeDocument/2006/relationships/hyperlink" Target="https://polkadot.subsquare.io/treasury/child-bounties/2159" TargetMode="External"/><Relationship Id="rId1149" Type="http://schemas.openxmlformats.org/officeDocument/2006/relationships/hyperlink" Target="https://polkadot.subsquare.io/treasury/child-bounties/708" TargetMode="External"/><Relationship Id="rId558" Type="http://schemas.openxmlformats.org/officeDocument/2006/relationships/hyperlink" Target="https://polkadot.subsquare.io/treasury/child-bounties/90" TargetMode="External"/><Relationship Id="rId557" Type="http://schemas.openxmlformats.org/officeDocument/2006/relationships/hyperlink" Target="https://polkadot.subsquare.io/treasury/child-bounties/88" TargetMode="External"/><Relationship Id="rId556" Type="http://schemas.openxmlformats.org/officeDocument/2006/relationships/hyperlink" Target="https://polkadot.subsquare.io/treasury/child-bounties/87" TargetMode="External"/><Relationship Id="rId555" Type="http://schemas.openxmlformats.org/officeDocument/2006/relationships/hyperlink" Target="https://polkadot.subsquare.io/treasury/child-bounties/86" TargetMode="External"/><Relationship Id="rId559" Type="http://schemas.openxmlformats.org/officeDocument/2006/relationships/hyperlink" Target="https://polkadot.subsquare.io/treasury/child-bounties/91" TargetMode="External"/><Relationship Id="rId550" Type="http://schemas.openxmlformats.org/officeDocument/2006/relationships/hyperlink" Target="https://polkadot.subsquare.io/treasury/child-bounties/80" TargetMode="External"/><Relationship Id="rId2470" Type="http://schemas.openxmlformats.org/officeDocument/2006/relationships/hyperlink" Target="https://polkadot.subsquare.io/treasury/child-bounties/2149" TargetMode="External"/><Relationship Id="rId1140" Type="http://schemas.openxmlformats.org/officeDocument/2006/relationships/hyperlink" Target="https://polkadot.subsquare.io/treasury/child-bounties/699" TargetMode="External"/><Relationship Id="rId2471" Type="http://schemas.openxmlformats.org/officeDocument/2006/relationships/hyperlink" Target="https://polkadot.subsquare.io/treasury/child-bounties/2150" TargetMode="External"/><Relationship Id="rId1141" Type="http://schemas.openxmlformats.org/officeDocument/2006/relationships/hyperlink" Target="https://polkadot.subsquare.io/treasury/child-bounties/700" TargetMode="External"/><Relationship Id="rId2472" Type="http://schemas.openxmlformats.org/officeDocument/2006/relationships/hyperlink" Target="https://polkadot.subsquare.io/treasury/child-bounties/2151" TargetMode="External"/><Relationship Id="rId1142" Type="http://schemas.openxmlformats.org/officeDocument/2006/relationships/hyperlink" Target="https://polkadot.subsquare.io/treasury/child-bounties/701" TargetMode="External"/><Relationship Id="rId2473" Type="http://schemas.openxmlformats.org/officeDocument/2006/relationships/hyperlink" Target="https://polkadot.subsquare.io/treasury/child-bounties/2152" TargetMode="External"/><Relationship Id="rId554" Type="http://schemas.openxmlformats.org/officeDocument/2006/relationships/hyperlink" Target="https://polkadot.subsquare.io/treasury/child-bounties/85" TargetMode="External"/><Relationship Id="rId1143" Type="http://schemas.openxmlformats.org/officeDocument/2006/relationships/hyperlink" Target="https://polkadot.subsquare.io/treasury/child-bounties/702" TargetMode="External"/><Relationship Id="rId2474" Type="http://schemas.openxmlformats.org/officeDocument/2006/relationships/hyperlink" Target="https://polkadot.subsquare.io/treasury/child-bounties/2153" TargetMode="External"/><Relationship Id="rId553" Type="http://schemas.openxmlformats.org/officeDocument/2006/relationships/hyperlink" Target="https://polkadot.subsquare.io/treasury/child-bounties/83" TargetMode="External"/><Relationship Id="rId1144" Type="http://schemas.openxmlformats.org/officeDocument/2006/relationships/hyperlink" Target="https://polkadot.subsquare.io/treasury/child-bounties/703" TargetMode="External"/><Relationship Id="rId2475" Type="http://schemas.openxmlformats.org/officeDocument/2006/relationships/hyperlink" Target="https://polkadot.subsquare.io/treasury/child-bounties/2154" TargetMode="External"/><Relationship Id="rId552" Type="http://schemas.openxmlformats.org/officeDocument/2006/relationships/hyperlink" Target="https://polkadot.subsquare.io/treasury/child-bounties/82" TargetMode="External"/><Relationship Id="rId1145" Type="http://schemas.openxmlformats.org/officeDocument/2006/relationships/hyperlink" Target="https://polkadot.subsquare.io/treasury/child-bounties/704" TargetMode="External"/><Relationship Id="rId2476" Type="http://schemas.openxmlformats.org/officeDocument/2006/relationships/hyperlink" Target="https://polkadot.subsquare.io/treasury/child-bounties/2155" TargetMode="External"/><Relationship Id="rId551" Type="http://schemas.openxmlformats.org/officeDocument/2006/relationships/hyperlink" Target="https://polkadot.subsquare.io/treasury/child-bounties/81" TargetMode="External"/><Relationship Id="rId1146" Type="http://schemas.openxmlformats.org/officeDocument/2006/relationships/hyperlink" Target="https://polkadot.subsquare.io/treasury/child-bounties/705" TargetMode="External"/><Relationship Id="rId2477" Type="http://schemas.openxmlformats.org/officeDocument/2006/relationships/hyperlink" Target="https://polkadot.subsquare.io/treasury/child-bounties/2156" TargetMode="External"/><Relationship Id="rId2090" Type="http://schemas.openxmlformats.org/officeDocument/2006/relationships/hyperlink" Target="https://polkadot.subsquare.io/treasury/child-bounties/1721" TargetMode="External"/><Relationship Id="rId2091" Type="http://schemas.openxmlformats.org/officeDocument/2006/relationships/hyperlink" Target="https://polkadot.subsquare.io/treasury/child-bounties/1722" TargetMode="External"/><Relationship Id="rId2092" Type="http://schemas.openxmlformats.org/officeDocument/2006/relationships/hyperlink" Target="https://polkadot.subsquare.io/treasury/child-bounties/1723" TargetMode="External"/><Relationship Id="rId2093" Type="http://schemas.openxmlformats.org/officeDocument/2006/relationships/hyperlink" Target="https://polkadot.subsquare.io/treasury/child-bounties/1724" TargetMode="External"/><Relationship Id="rId2094" Type="http://schemas.openxmlformats.org/officeDocument/2006/relationships/hyperlink" Target="https://polkadot.subsquare.io/treasury/child-bounties/1725" TargetMode="External"/><Relationship Id="rId2095" Type="http://schemas.openxmlformats.org/officeDocument/2006/relationships/hyperlink" Target="https://polkadot.subsquare.io/treasury/child-bounties/1726" TargetMode="External"/><Relationship Id="rId2096" Type="http://schemas.openxmlformats.org/officeDocument/2006/relationships/hyperlink" Target="https://polkadot.subsquare.io/treasury/child-bounties/1727" TargetMode="External"/><Relationship Id="rId2097" Type="http://schemas.openxmlformats.org/officeDocument/2006/relationships/hyperlink" Target="https://polkadot.subsquare.io/treasury/child-bounties/1728" TargetMode="External"/><Relationship Id="rId2098" Type="http://schemas.openxmlformats.org/officeDocument/2006/relationships/hyperlink" Target="https://polkadot.subsquare.io/treasury/child-bounties/1729" TargetMode="External"/><Relationship Id="rId2099" Type="http://schemas.openxmlformats.org/officeDocument/2006/relationships/hyperlink" Target="https://polkadot.subsquare.io/treasury/child-bounties/1730" TargetMode="External"/><Relationship Id="rId2060" Type="http://schemas.openxmlformats.org/officeDocument/2006/relationships/hyperlink" Target="https://polkadot.subsquare.io/treasury/child-bounties/1690" TargetMode="External"/><Relationship Id="rId2061" Type="http://schemas.openxmlformats.org/officeDocument/2006/relationships/hyperlink" Target="https://polkadot.subsquare.io/treasury/child-bounties/1691" TargetMode="External"/><Relationship Id="rId2062" Type="http://schemas.openxmlformats.org/officeDocument/2006/relationships/hyperlink" Target="https://polkadot.subsquare.io/treasury/child-bounties/1692" TargetMode="External"/><Relationship Id="rId2063" Type="http://schemas.openxmlformats.org/officeDocument/2006/relationships/hyperlink" Target="https://polkadot.subsquare.io/treasury/child-bounties/1693" TargetMode="External"/><Relationship Id="rId2064" Type="http://schemas.openxmlformats.org/officeDocument/2006/relationships/hyperlink" Target="https://polkadot.subsquare.io/treasury/child-bounties/1694" TargetMode="External"/><Relationship Id="rId2065" Type="http://schemas.openxmlformats.org/officeDocument/2006/relationships/hyperlink" Target="https://polkadot.subsquare.io/treasury/child-bounties/1695" TargetMode="External"/><Relationship Id="rId2066" Type="http://schemas.openxmlformats.org/officeDocument/2006/relationships/hyperlink" Target="https://polkadot.subsquare.io/treasury/child-bounties/1696" TargetMode="External"/><Relationship Id="rId2067" Type="http://schemas.openxmlformats.org/officeDocument/2006/relationships/hyperlink" Target="https://polkadot.subsquare.io/treasury/child-bounties/1697" TargetMode="External"/><Relationship Id="rId2068" Type="http://schemas.openxmlformats.org/officeDocument/2006/relationships/hyperlink" Target="https://polkadot.subsquare.io/treasury/child-bounties/1698" TargetMode="External"/><Relationship Id="rId2069" Type="http://schemas.openxmlformats.org/officeDocument/2006/relationships/hyperlink" Target="https://polkadot.subsquare.io/treasury/child-bounties/1699" TargetMode="External"/><Relationship Id="rId2050" Type="http://schemas.openxmlformats.org/officeDocument/2006/relationships/hyperlink" Target="https://polkadot.subsquare.io/treasury/child-bounties/1680" TargetMode="External"/><Relationship Id="rId2051" Type="http://schemas.openxmlformats.org/officeDocument/2006/relationships/hyperlink" Target="https://polkadot.subsquare.io/treasury/child-bounties/1681" TargetMode="External"/><Relationship Id="rId495" Type="http://schemas.openxmlformats.org/officeDocument/2006/relationships/hyperlink" Target="https://polkadot.subsquare.io/treasury/child-bounties/26" TargetMode="External"/><Relationship Id="rId2052" Type="http://schemas.openxmlformats.org/officeDocument/2006/relationships/hyperlink" Target="https://polkadot.subsquare.io/treasury/child-bounties/1682" TargetMode="External"/><Relationship Id="rId494" Type="http://schemas.openxmlformats.org/officeDocument/2006/relationships/hyperlink" Target="https://polkadot.subsquare.io/treasury/child-bounties/25" TargetMode="External"/><Relationship Id="rId2053" Type="http://schemas.openxmlformats.org/officeDocument/2006/relationships/hyperlink" Target="https://polkadot.subsquare.io/treasury/child-bounties/1683" TargetMode="External"/><Relationship Id="rId493" Type="http://schemas.openxmlformats.org/officeDocument/2006/relationships/hyperlink" Target="https://polkadot.subsquare.io/treasury/child-bounties/24" TargetMode="External"/><Relationship Id="rId2054" Type="http://schemas.openxmlformats.org/officeDocument/2006/relationships/hyperlink" Target="https://polkadot.subsquare.io/treasury/child-bounties/1684" TargetMode="External"/><Relationship Id="rId492" Type="http://schemas.openxmlformats.org/officeDocument/2006/relationships/hyperlink" Target="https://polkadot.subsquare.io/treasury/child-bounties/23" TargetMode="External"/><Relationship Id="rId2055" Type="http://schemas.openxmlformats.org/officeDocument/2006/relationships/hyperlink" Target="https://polkadot.subsquare.io/treasury/child-bounties/1685" TargetMode="External"/><Relationship Id="rId499" Type="http://schemas.openxmlformats.org/officeDocument/2006/relationships/hyperlink" Target="https://polkadot.subsquare.io/treasury/child-bounties/30" TargetMode="External"/><Relationship Id="rId2056" Type="http://schemas.openxmlformats.org/officeDocument/2006/relationships/hyperlink" Target="https://polkadot.subsquare.io/treasury/child-bounties/1686" TargetMode="External"/><Relationship Id="rId498" Type="http://schemas.openxmlformats.org/officeDocument/2006/relationships/hyperlink" Target="https://polkadot.subsquare.io/treasury/child-bounties/29" TargetMode="External"/><Relationship Id="rId2057" Type="http://schemas.openxmlformats.org/officeDocument/2006/relationships/hyperlink" Target="https://polkadot.subsquare.io/treasury/child-bounties/1687" TargetMode="External"/><Relationship Id="rId497" Type="http://schemas.openxmlformats.org/officeDocument/2006/relationships/hyperlink" Target="https://polkadot.subsquare.io/treasury/child-bounties/28" TargetMode="External"/><Relationship Id="rId2058" Type="http://schemas.openxmlformats.org/officeDocument/2006/relationships/hyperlink" Target="https://polkadot.subsquare.io/treasury/child-bounties/1688" TargetMode="External"/><Relationship Id="rId496" Type="http://schemas.openxmlformats.org/officeDocument/2006/relationships/hyperlink" Target="https://polkadot.subsquare.io/treasury/child-bounties/27" TargetMode="External"/><Relationship Id="rId2059" Type="http://schemas.openxmlformats.org/officeDocument/2006/relationships/hyperlink" Target="https://polkadot.subsquare.io/treasury/child-bounties/1689" TargetMode="External"/><Relationship Id="rId2080" Type="http://schemas.openxmlformats.org/officeDocument/2006/relationships/hyperlink" Target="https://polkadot.subsquare.io/treasury/child-bounties/1711" TargetMode="External"/><Relationship Id="rId2081" Type="http://schemas.openxmlformats.org/officeDocument/2006/relationships/hyperlink" Target="https://polkadot.subsquare.io/treasury/child-bounties/1712" TargetMode="External"/><Relationship Id="rId2082" Type="http://schemas.openxmlformats.org/officeDocument/2006/relationships/hyperlink" Target="https://polkadot.subsquare.io/treasury/child-bounties/1713" TargetMode="External"/><Relationship Id="rId2083" Type="http://schemas.openxmlformats.org/officeDocument/2006/relationships/hyperlink" Target="https://polkadot.subsquare.io/treasury/child-bounties/1714" TargetMode="External"/><Relationship Id="rId2084" Type="http://schemas.openxmlformats.org/officeDocument/2006/relationships/hyperlink" Target="https://polkadot.subsquare.io/treasury/child-bounties/1715" TargetMode="External"/><Relationship Id="rId2085" Type="http://schemas.openxmlformats.org/officeDocument/2006/relationships/hyperlink" Target="https://polkadot.subsquare.io/treasury/child-bounties/1716" TargetMode="External"/><Relationship Id="rId2086" Type="http://schemas.openxmlformats.org/officeDocument/2006/relationships/hyperlink" Target="https://polkadot.subsquare.io/treasury/child-bounties/1717" TargetMode="External"/><Relationship Id="rId2087" Type="http://schemas.openxmlformats.org/officeDocument/2006/relationships/hyperlink" Target="https://polkadot.subsquare.io/treasury/child-bounties/1718" TargetMode="External"/><Relationship Id="rId2088" Type="http://schemas.openxmlformats.org/officeDocument/2006/relationships/hyperlink" Target="https://polkadot.subsquare.io/treasury/child-bounties/1719" TargetMode="External"/><Relationship Id="rId2089" Type="http://schemas.openxmlformats.org/officeDocument/2006/relationships/hyperlink" Target="https://polkadot.subsquare.io/treasury/child-bounties/1720" TargetMode="External"/><Relationship Id="rId2070" Type="http://schemas.openxmlformats.org/officeDocument/2006/relationships/hyperlink" Target="https://polkadot.subsquare.io/treasury/child-bounties/1700" TargetMode="External"/><Relationship Id="rId2071" Type="http://schemas.openxmlformats.org/officeDocument/2006/relationships/hyperlink" Target="https://polkadot.subsquare.io/treasury/child-bounties/1701" TargetMode="External"/><Relationship Id="rId2072" Type="http://schemas.openxmlformats.org/officeDocument/2006/relationships/hyperlink" Target="https://polkadot.subsquare.io/treasury/child-bounties/1702" TargetMode="External"/><Relationship Id="rId2073" Type="http://schemas.openxmlformats.org/officeDocument/2006/relationships/hyperlink" Target="https://polkadot.subsquare.io/treasury/child-bounties/1703" TargetMode="External"/><Relationship Id="rId2074" Type="http://schemas.openxmlformats.org/officeDocument/2006/relationships/hyperlink" Target="https://polkadot.subsquare.io/treasury/child-bounties/1705" TargetMode="External"/><Relationship Id="rId2075" Type="http://schemas.openxmlformats.org/officeDocument/2006/relationships/hyperlink" Target="https://polkadot.subsquare.io/treasury/child-bounties/1706" TargetMode="External"/><Relationship Id="rId2076" Type="http://schemas.openxmlformats.org/officeDocument/2006/relationships/hyperlink" Target="https://polkadot.subsquare.io/treasury/child-bounties/1707" TargetMode="External"/><Relationship Id="rId2077" Type="http://schemas.openxmlformats.org/officeDocument/2006/relationships/hyperlink" Target="https://polkadot.subsquare.io/treasury/child-bounties/1708" TargetMode="External"/><Relationship Id="rId2078" Type="http://schemas.openxmlformats.org/officeDocument/2006/relationships/hyperlink" Target="https://polkadot.subsquare.io/treasury/child-bounties/1709" TargetMode="External"/><Relationship Id="rId2079" Type="http://schemas.openxmlformats.org/officeDocument/2006/relationships/hyperlink" Target="https://polkadot.subsquare.io/treasury/child-bounties/1710" TargetMode="External"/><Relationship Id="rId1610" Type="http://schemas.openxmlformats.org/officeDocument/2006/relationships/hyperlink" Target="https://polkadot.subsquare.io/treasury/child-bounties/1182" TargetMode="External"/><Relationship Id="rId1611" Type="http://schemas.openxmlformats.org/officeDocument/2006/relationships/hyperlink" Target="https://polkadot.subsquare.io/treasury/child-bounties/1183" TargetMode="External"/><Relationship Id="rId1612" Type="http://schemas.openxmlformats.org/officeDocument/2006/relationships/hyperlink" Target="https://polkadot.subsquare.io/treasury/child-bounties/1184" TargetMode="External"/><Relationship Id="rId1613" Type="http://schemas.openxmlformats.org/officeDocument/2006/relationships/hyperlink" Target="https://polkadot.subsquare.io/treasury/child-bounties/1185" TargetMode="External"/><Relationship Id="rId1614" Type="http://schemas.openxmlformats.org/officeDocument/2006/relationships/hyperlink" Target="https://polkadot.subsquare.io/treasury/child-bounties/1186" TargetMode="External"/><Relationship Id="rId1615" Type="http://schemas.openxmlformats.org/officeDocument/2006/relationships/hyperlink" Target="https://polkadot.subsquare.io/treasury/child-bounties/1187" TargetMode="External"/><Relationship Id="rId1616" Type="http://schemas.openxmlformats.org/officeDocument/2006/relationships/hyperlink" Target="https://polkadot.subsquare.io/treasury/child-bounties/1188" TargetMode="External"/><Relationship Id="rId907" Type="http://schemas.openxmlformats.org/officeDocument/2006/relationships/hyperlink" Target="https://polkadot.subsquare.io/treasury/child-bounties/460" TargetMode="External"/><Relationship Id="rId1617" Type="http://schemas.openxmlformats.org/officeDocument/2006/relationships/hyperlink" Target="https://polkadot.subsquare.io/treasury/child-bounties/1189" TargetMode="External"/><Relationship Id="rId906" Type="http://schemas.openxmlformats.org/officeDocument/2006/relationships/hyperlink" Target="https://polkadot.subsquare.io/treasury/child-bounties/459" TargetMode="External"/><Relationship Id="rId1618" Type="http://schemas.openxmlformats.org/officeDocument/2006/relationships/hyperlink" Target="https://polkadot.subsquare.io/treasury/child-bounties/1190" TargetMode="External"/><Relationship Id="rId905" Type="http://schemas.openxmlformats.org/officeDocument/2006/relationships/hyperlink" Target="https://polkadot.subsquare.io/treasury/child-bounties/458" TargetMode="External"/><Relationship Id="rId1619" Type="http://schemas.openxmlformats.org/officeDocument/2006/relationships/hyperlink" Target="https://polkadot.subsquare.io/treasury/child-bounties/1191" TargetMode="External"/><Relationship Id="rId904" Type="http://schemas.openxmlformats.org/officeDocument/2006/relationships/hyperlink" Target="https://polkadot.subsquare.io/treasury/child-bounties/457" TargetMode="External"/><Relationship Id="rId909" Type="http://schemas.openxmlformats.org/officeDocument/2006/relationships/hyperlink" Target="https://polkadot.subsquare.io/treasury/child-bounties/462" TargetMode="External"/><Relationship Id="rId908" Type="http://schemas.openxmlformats.org/officeDocument/2006/relationships/hyperlink" Target="https://polkadot.subsquare.io/treasury/child-bounties/461" TargetMode="External"/><Relationship Id="rId903" Type="http://schemas.openxmlformats.org/officeDocument/2006/relationships/hyperlink" Target="https://polkadot.subsquare.io/treasury/child-bounties/456" TargetMode="External"/><Relationship Id="rId902" Type="http://schemas.openxmlformats.org/officeDocument/2006/relationships/hyperlink" Target="https://polkadot.subsquare.io/treasury/child-bounties/455" TargetMode="External"/><Relationship Id="rId901" Type="http://schemas.openxmlformats.org/officeDocument/2006/relationships/hyperlink" Target="https://polkadot.subsquare.io/treasury/child-bounties/454" TargetMode="External"/><Relationship Id="rId900" Type="http://schemas.openxmlformats.org/officeDocument/2006/relationships/hyperlink" Target="https://polkadot.subsquare.io/treasury/child-bounties/453" TargetMode="External"/><Relationship Id="rId1600" Type="http://schemas.openxmlformats.org/officeDocument/2006/relationships/hyperlink" Target="https://polkadot.subsquare.io/treasury/child-bounties/1172" TargetMode="External"/><Relationship Id="rId1601" Type="http://schemas.openxmlformats.org/officeDocument/2006/relationships/hyperlink" Target="https://polkadot.subsquare.io/treasury/child-bounties/1173" TargetMode="External"/><Relationship Id="rId1602" Type="http://schemas.openxmlformats.org/officeDocument/2006/relationships/hyperlink" Target="https://polkadot.subsquare.io/treasury/child-bounties/1174" TargetMode="External"/><Relationship Id="rId1603" Type="http://schemas.openxmlformats.org/officeDocument/2006/relationships/hyperlink" Target="https://polkadot.subsquare.io/treasury/child-bounties/1175" TargetMode="External"/><Relationship Id="rId1604" Type="http://schemas.openxmlformats.org/officeDocument/2006/relationships/hyperlink" Target="https://polkadot.subsquare.io/treasury/child-bounties/1176" TargetMode="External"/><Relationship Id="rId1605" Type="http://schemas.openxmlformats.org/officeDocument/2006/relationships/hyperlink" Target="https://polkadot.subsquare.io/treasury/child-bounties/1177" TargetMode="External"/><Relationship Id="rId1606" Type="http://schemas.openxmlformats.org/officeDocument/2006/relationships/hyperlink" Target="https://polkadot.subsquare.io/treasury/child-bounties/1178" TargetMode="External"/><Relationship Id="rId1607" Type="http://schemas.openxmlformats.org/officeDocument/2006/relationships/hyperlink" Target="https://polkadot.subsquare.io/treasury/child-bounties/1179" TargetMode="External"/><Relationship Id="rId1608" Type="http://schemas.openxmlformats.org/officeDocument/2006/relationships/hyperlink" Target="https://polkadot.subsquare.io/treasury/child-bounties/1180" TargetMode="External"/><Relationship Id="rId1609" Type="http://schemas.openxmlformats.org/officeDocument/2006/relationships/hyperlink" Target="https://polkadot.subsquare.io/treasury/child-bounties/1181" TargetMode="External"/><Relationship Id="rId1631" Type="http://schemas.openxmlformats.org/officeDocument/2006/relationships/hyperlink" Target="https://polkadot.subsquare.io/treasury/child-bounties/1203" TargetMode="External"/><Relationship Id="rId1632" Type="http://schemas.openxmlformats.org/officeDocument/2006/relationships/hyperlink" Target="https://polkadot.subsquare.io/treasury/child-bounties/1204" TargetMode="External"/><Relationship Id="rId1633" Type="http://schemas.openxmlformats.org/officeDocument/2006/relationships/hyperlink" Target="https://polkadot.subsquare.io/treasury/child-bounties/1205" TargetMode="External"/><Relationship Id="rId1634" Type="http://schemas.openxmlformats.org/officeDocument/2006/relationships/hyperlink" Target="https://polkadot.subsquare.io/treasury/child-bounties/1206" TargetMode="External"/><Relationship Id="rId1635" Type="http://schemas.openxmlformats.org/officeDocument/2006/relationships/hyperlink" Target="https://polkadot.subsquare.io/treasury/child-bounties/1207" TargetMode="External"/><Relationship Id="rId1636" Type="http://schemas.openxmlformats.org/officeDocument/2006/relationships/hyperlink" Target="https://polkadot.subsquare.io/treasury/child-bounties/1208" TargetMode="External"/><Relationship Id="rId1637" Type="http://schemas.openxmlformats.org/officeDocument/2006/relationships/hyperlink" Target="https://polkadot.subsquare.io/treasury/child-bounties/1209" TargetMode="External"/><Relationship Id="rId1638" Type="http://schemas.openxmlformats.org/officeDocument/2006/relationships/hyperlink" Target="https://polkadot.subsquare.io/treasury/child-bounties/1210" TargetMode="External"/><Relationship Id="rId929" Type="http://schemas.openxmlformats.org/officeDocument/2006/relationships/hyperlink" Target="https://polkadot.subsquare.io/treasury/child-bounties/482" TargetMode="External"/><Relationship Id="rId1639" Type="http://schemas.openxmlformats.org/officeDocument/2006/relationships/hyperlink" Target="https://polkadot.subsquare.io/treasury/child-bounties/1211" TargetMode="External"/><Relationship Id="rId928" Type="http://schemas.openxmlformats.org/officeDocument/2006/relationships/hyperlink" Target="https://polkadot.subsquare.io/treasury/child-bounties/481" TargetMode="External"/><Relationship Id="rId927" Type="http://schemas.openxmlformats.org/officeDocument/2006/relationships/hyperlink" Target="https://polkadot.subsquare.io/treasury/child-bounties/480" TargetMode="External"/><Relationship Id="rId926" Type="http://schemas.openxmlformats.org/officeDocument/2006/relationships/hyperlink" Target="https://polkadot.subsquare.io/treasury/child-bounties/479" TargetMode="External"/><Relationship Id="rId921" Type="http://schemas.openxmlformats.org/officeDocument/2006/relationships/hyperlink" Target="https://polkadot.subsquare.io/treasury/child-bounties/474" TargetMode="External"/><Relationship Id="rId920" Type="http://schemas.openxmlformats.org/officeDocument/2006/relationships/hyperlink" Target="https://polkadot.subsquare.io/treasury/child-bounties/473" TargetMode="External"/><Relationship Id="rId925" Type="http://schemas.openxmlformats.org/officeDocument/2006/relationships/hyperlink" Target="https://polkadot.subsquare.io/treasury/child-bounties/478" TargetMode="External"/><Relationship Id="rId924" Type="http://schemas.openxmlformats.org/officeDocument/2006/relationships/hyperlink" Target="https://polkadot.subsquare.io/treasury/child-bounties/477" TargetMode="External"/><Relationship Id="rId923" Type="http://schemas.openxmlformats.org/officeDocument/2006/relationships/hyperlink" Target="https://polkadot.subsquare.io/treasury/child-bounties/476" TargetMode="External"/><Relationship Id="rId922" Type="http://schemas.openxmlformats.org/officeDocument/2006/relationships/hyperlink" Target="https://polkadot.subsquare.io/treasury/child-bounties/475" TargetMode="External"/><Relationship Id="rId1630" Type="http://schemas.openxmlformats.org/officeDocument/2006/relationships/hyperlink" Target="https://polkadot.subsquare.io/treasury/child-bounties/1202" TargetMode="External"/><Relationship Id="rId1620" Type="http://schemas.openxmlformats.org/officeDocument/2006/relationships/hyperlink" Target="https://polkadot.subsquare.io/treasury/child-bounties/1192" TargetMode="External"/><Relationship Id="rId1621" Type="http://schemas.openxmlformats.org/officeDocument/2006/relationships/hyperlink" Target="https://polkadot.subsquare.io/treasury/child-bounties/1193" TargetMode="External"/><Relationship Id="rId1622" Type="http://schemas.openxmlformats.org/officeDocument/2006/relationships/hyperlink" Target="https://polkadot.subsquare.io/treasury/child-bounties/1194" TargetMode="External"/><Relationship Id="rId1623" Type="http://schemas.openxmlformats.org/officeDocument/2006/relationships/hyperlink" Target="https://polkadot.subsquare.io/treasury/child-bounties/1195" TargetMode="External"/><Relationship Id="rId1624" Type="http://schemas.openxmlformats.org/officeDocument/2006/relationships/hyperlink" Target="https://polkadot.subsquare.io/treasury/child-bounties/1196" TargetMode="External"/><Relationship Id="rId1625" Type="http://schemas.openxmlformats.org/officeDocument/2006/relationships/hyperlink" Target="https://polkadot.subsquare.io/treasury/child-bounties/1197" TargetMode="External"/><Relationship Id="rId1626" Type="http://schemas.openxmlformats.org/officeDocument/2006/relationships/hyperlink" Target="https://polkadot.subsquare.io/treasury/child-bounties/1198" TargetMode="External"/><Relationship Id="rId1627" Type="http://schemas.openxmlformats.org/officeDocument/2006/relationships/hyperlink" Target="https://polkadot.subsquare.io/treasury/child-bounties/1199" TargetMode="External"/><Relationship Id="rId918" Type="http://schemas.openxmlformats.org/officeDocument/2006/relationships/hyperlink" Target="https://polkadot.subsquare.io/treasury/child-bounties/471" TargetMode="External"/><Relationship Id="rId1628" Type="http://schemas.openxmlformats.org/officeDocument/2006/relationships/hyperlink" Target="https://polkadot.subsquare.io/treasury/child-bounties/1200" TargetMode="External"/><Relationship Id="rId917" Type="http://schemas.openxmlformats.org/officeDocument/2006/relationships/hyperlink" Target="https://polkadot.subsquare.io/treasury/child-bounties/470" TargetMode="External"/><Relationship Id="rId1629" Type="http://schemas.openxmlformats.org/officeDocument/2006/relationships/hyperlink" Target="https://polkadot.subsquare.io/treasury/child-bounties/1201" TargetMode="External"/><Relationship Id="rId916" Type="http://schemas.openxmlformats.org/officeDocument/2006/relationships/hyperlink" Target="https://polkadot.subsquare.io/treasury/child-bounties/469" TargetMode="External"/><Relationship Id="rId915" Type="http://schemas.openxmlformats.org/officeDocument/2006/relationships/hyperlink" Target="https://polkadot.subsquare.io/treasury/child-bounties/468" TargetMode="External"/><Relationship Id="rId919" Type="http://schemas.openxmlformats.org/officeDocument/2006/relationships/hyperlink" Target="https://polkadot.subsquare.io/treasury/child-bounties/472" TargetMode="External"/><Relationship Id="rId910" Type="http://schemas.openxmlformats.org/officeDocument/2006/relationships/hyperlink" Target="https://polkadot.subsquare.io/treasury/child-bounties/463" TargetMode="External"/><Relationship Id="rId914" Type="http://schemas.openxmlformats.org/officeDocument/2006/relationships/hyperlink" Target="https://polkadot.subsquare.io/treasury/child-bounties/467" TargetMode="External"/><Relationship Id="rId913" Type="http://schemas.openxmlformats.org/officeDocument/2006/relationships/hyperlink" Target="https://polkadot.subsquare.io/treasury/child-bounties/466" TargetMode="External"/><Relationship Id="rId912" Type="http://schemas.openxmlformats.org/officeDocument/2006/relationships/hyperlink" Target="https://polkadot.subsquare.io/treasury/child-bounties/465" TargetMode="External"/><Relationship Id="rId911" Type="http://schemas.openxmlformats.org/officeDocument/2006/relationships/hyperlink" Target="https://polkadot.subsquare.io/treasury/child-bounties/464" TargetMode="External"/><Relationship Id="rId1213" Type="http://schemas.openxmlformats.org/officeDocument/2006/relationships/hyperlink" Target="https://polkadot.subsquare.io/treasury/child-bounties/773" TargetMode="External"/><Relationship Id="rId1697" Type="http://schemas.openxmlformats.org/officeDocument/2006/relationships/hyperlink" Target="https://polkadot.subsquare.io/treasury/child-bounties/1269" TargetMode="External"/><Relationship Id="rId1214" Type="http://schemas.openxmlformats.org/officeDocument/2006/relationships/hyperlink" Target="https://polkadot.subsquare.io/treasury/child-bounties/774" TargetMode="External"/><Relationship Id="rId1698" Type="http://schemas.openxmlformats.org/officeDocument/2006/relationships/hyperlink" Target="https://polkadot.subsquare.io/treasury/child-bounties/1270" TargetMode="External"/><Relationship Id="rId1215" Type="http://schemas.openxmlformats.org/officeDocument/2006/relationships/hyperlink" Target="https://polkadot.subsquare.io/treasury/child-bounties/778" TargetMode="External"/><Relationship Id="rId1699" Type="http://schemas.openxmlformats.org/officeDocument/2006/relationships/hyperlink" Target="https://polkadot.subsquare.io/treasury/child-bounties/1271" TargetMode="External"/><Relationship Id="rId1216" Type="http://schemas.openxmlformats.org/officeDocument/2006/relationships/hyperlink" Target="https://polkadot.subsquare.io/treasury/child-bounties/779" TargetMode="External"/><Relationship Id="rId1217" Type="http://schemas.openxmlformats.org/officeDocument/2006/relationships/hyperlink" Target="https://polkadot.subsquare.io/treasury/child-bounties/780" TargetMode="External"/><Relationship Id="rId1218" Type="http://schemas.openxmlformats.org/officeDocument/2006/relationships/hyperlink" Target="https://polkadot.subsquare.io/treasury/child-bounties/781" TargetMode="External"/><Relationship Id="rId1219" Type="http://schemas.openxmlformats.org/officeDocument/2006/relationships/hyperlink" Target="https://polkadot.subsquare.io/treasury/child-bounties/782" TargetMode="External"/><Relationship Id="rId866" Type="http://schemas.openxmlformats.org/officeDocument/2006/relationships/hyperlink" Target="https://polkadot.subsquare.io/treasury/child-bounties/419" TargetMode="External"/><Relationship Id="rId865" Type="http://schemas.openxmlformats.org/officeDocument/2006/relationships/hyperlink" Target="https://polkadot.subsquare.io/treasury/child-bounties/418" TargetMode="External"/><Relationship Id="rId864" Type="http://schemas.openxmlformats.org/officeDocument/2006/relationships/hyperlink" Target="https://polkadot.subsquare.io/treasury/child-bounties/417" TargetMode="External"/><Relationship Id="rId863" Type="http://schemas.openxmlformats.org/officeDocument/2006/relationships/hyperlink" Target="https://polkadot.subsquare.io/treasury/child-bounties/416" TargetMode="External"/><Relationship Id="rId869" Type="http://schemas.openxmlformats.org/officeDocument/2006/relationships/hyperlink" Target="https://polkadot.subsquare.io/treasury/child-bounties/422" TargetMode="External"/><Relationship Id="rId868" Type="http://schemas.openxmlformats.org/officeDocument/2006/relationships/hyperlink" Target="https://polkadot.subsquare.io/treasury/child-bounties/421" TargetMode="External"/><Relationship Id="rId867" Type="http://schemas.openxmlformats.org/officeDocument/2006/relationships/hyperlink" Target="https://polkadot.subsquare.io/treasury/child-bounties/420" TargetMode="External"/><Relationship Id="rId1690" Type="http://schemas.openxmlformats.org/officeDocument/2006/relationships/hyperlink" Target="https://polkadot.subsquare.io/treasury/child-bounties/1262" TargetMode="External"/><Relationship Id="rId1691" Type="http://schemas.openxmlformats.org/officeDocument/2006/relationships/hyperlink" Target="https://polkadot.subsquare.io/treasury/child-bounties/1263" TargetMode="External"/><Relationship Id="rId1692" Type="http://schemas.openxmlformats.org/officeDocument/2006/relationships/hyperlink" Target="https://polkadot.subsquare.io/treasury/child-bounties/1264" TargetMode="External"/><Relationship Id="rId862" Type="http://schemas.openxmlformats.org/officeDocument/2006/relationships/hyperlink" Target="https://polkadot.subsquare.io/treasury/child-bounties/415" TargetMode="External"/><Relationship Id="rId1693" Type="http://schemas.openxmlformats.org/officeDocument/2006/relationships/hyperlink" Target="https://polkadot.subsquare.io/treasury/child-bounties/1265" TargetMode="External"/><Relationship Id="rId861" Type="http://schemas.openxmlformats.org/officeDocument/2006/relationships/hyperlink" Target="https://polkadot.subsquare.io/treasury/child-bounties/414" TargetMode="External"/><Relationship Id="rId1210" Type="http://schemas.openxmlformats.org/officeDocument/2006/relationships/hyperlink" Target="https://polkadot.subsquare.io/treasury/child-bounties/770" TargetMode="External"/><Relationship Id="rId1694" Type="http://schemas.openxmlformats.org/officeDocument/2006/relationships/hyperlink" Target="https://polkadot.subsquare.io/treasury/child-bounties/1266" TargetMode="External"/><Relationship Id="rId860" Type="http://schemas.openxmlformats.org/officeDocument/2006/relationships/hyperlink" Target="https://polkadot.subsquare.io/treasury/child-bounties/413" TargetMode="External"/><Relationship Id="rId1211" Type="http://schemas.openxmlformats.org/officeDocument/2006/relationships/hyperlink" Target="https://polkadot.subsquare.io/treasury/child-bounties/771" TargetMode="External"/><Relationship Id="rId1695" Type="http://schemas.openxmlformats.org/officeDocument/2006/relationships/hyperlink" Target="https://polkadot.subsquare.io/treasury/child-bounties/1267" TargetMode="External"/><Relationship Id="rId1212" Type="http://schemas.openxmlformats.org/officeDocument/2006/relationships/hyperlink" Target="https://polkadot.subsquare.io/treasury/child-bounties/772" TargetMode="External"/><Relationship Id="rId1696" Type="http://schemas.openxmlformats.org/officeDocument/2006/relationships/hyperlink" Target="https://polkadot.subsquare.io/treasury/child-bounties/1268" TargetMode="External"/><Relationship Id="rId1202" Type="http://schemas.openxmlformats.org/officeDocument/2006/relationships/hyperlink" Target="https://polkadot.subsquare.io/treasury/child-bounties/762" TargetMode="External"/><Relationship Id="rId1686" Type="http://schemas.openxmlformats.org/officeDocument/2006/relationships/hyperlink" Target="https://polkadot.subsquare.io/treasury/child-bounties/1258" TargetMode="External"/><Relationship Id="rId2533" Type="http://schemas.openxmlformats.org/officeDocument/2006/relationships/hyperlink" Target="https://polkadot.subsquare.io/treasury/child-bounties/2219" TargetMode="External"/><Relationship Id="rId1203" Type="http://schemas.openxmlformats.org/officeDocument/2006/relationships/hyperlink" Target="https://polkadot.subsquare.io/treasury/child-bounties/763" TargetMode="External"/><Relationship Id="rId1687" Type="http://schemas.openxmlformats.org/officeDocument/2006/relationships/hyperlink" Target="https://polkadot.subsquare.io/treasury/child-bounties/1259" TargetMode="External"/><Relationship Id="rId2534" Type="http://schemas.openxmlformats.org/officeDocument/2006/relationships/hyperlink" Target="https://polkadot.subsquare.io/treasury/bounties/28" TargetMode="External"/><Relationship Id="rId1204" Type="http://schemas.openxmlformats.org/officeDocument/2006/relationships/hyperlink" Target="https://polkadot.subsquare.io/treasury/child-bounties/764" TargetMode="External"/><Relationship Id="rId1688" Type="http://schemas.openxmlformats.org/officeDocument/2006/relationships/hyperlink" Target="https://polkadot.subsquare.io/treasury/child-bounties/1260" TargetMode="External"/><Relationship Id="rId2535" Type="http://schemas.openxmlformats.org/officeDocument/2006/relationships/drawing" Target="../drawings/drawing4.xml"/><Relationship Id="rId1205" Type="http://schemas.openxmlformats.org/officeDocument/2006/relationships/hyperlink" Target="https://polkadot.subsquare.io/treasury/child-bounties/765" TargetMode="External"/><Relationship Id="rId1689" Type="http://schemas.openxmlformats.org/officeDocument/2006/relationships/hyperlink" Target="https://polkadot.subsquare.io/treasury/child-bounties/1261" TargetMode="External"/><Relationship Id="rId1206" Type="http://schemas.openxmlformats.org/officeDocument/2006/relationships/hyperlink" Target="https://polkadot.subsquare.io/treasury/child-bounties/766" TargetMode="External"/><Relationship Id="rId1207" Type="http://schemas.openxmlformats.org/officeDocument/2006/relationships/hyperlink" Target="https://polkadot.subsquare.io/treasury/child-bounties/767" TargetMode="External"/><Relationship Id="rId1208" Type="http://schemas.openxmlformats.org/officeDocument/2006/relationships/hyperlink" Target="https://polkadot.subsquare.io/treasury/child-bounties/768" TargetMode="External"/><Relationship Id="rId1209" Type="http://schemas.openxmlformats.org/officeDocument/2006/relationships/hyperlink" Target="https://polkadot.subsquare.io/treasury/child-bounties/769" TargetMode="External"/><Relationship Id="rId855" Type="http://schemas.openxmlformats.org/officeDocument/2006/relationships/hyperlink" Target="https://polkadot.subsquare.io/treasury/child-bounties/403" TargetMode="External"/><Relationship Id="rId854" Type="http://schemas.openxmlformats.org/officeDocument/2006/relationships/hyperlink" Target="https://polkadot.subsquare.io/treasury/child-bounties/402" TargetMode="External"/><Relationship Id="rId853" Type="http://schemas.openxmlformats.org/officeDocument/2006/relationships/hyperlink" Target="https://polkadot.subsquare.io/treasury/child-bounties/401" TargetMode="External"/><Relationship Id="rId852" Type="http://schemas.openxmlformats.org/officeDocument/2006/relationships/hyperlink" Target="https://polkadot.subsquare.io/treasury/child-bounties/397" TargetMode="External"/><Relationship Id="rId859" Type="http://schemas.openxmlformats.org/officeDocument/2006/relationships/hyperlink" Target="https://polkadot.subsquare.io/treasury/child-bounties/412" TargetMode="External"/><Relationship Id="rId858" Type="http://schemas.openxmlformats.org/officeDocument/2006/relationships/hyperlink" Target="https://polkadot.subsquare.io/treasury/child-bounties/411" TargetMode="External"/><Relationship Id="rId857" Type="http://schemas.openxmlformats.org/officeDocument/2006/relationships/hyperlink" Target="https://polkadot.subsquare.io/treasury/child-bounties/405" TargetMode="External"/><Relationship Id="rId856" Type="http://schemas.openxmlformats.org/officeDocument/2006/relationships/hyperlink" Target="https://polkadot.subsquare.io/treasury/child-bounties/404" TargetMode="External"/><Relationship Id="rId1680" Type="http://schemas.openxmlformats.org/officeDocument/2006/relationships/hyperlink" Target="https://polkadot.subsquare.io/treasury/child-bounties/1252" TargetMode="External"/><Relationship Id="rId1681" Type="http://schemas.openxmlformats.org/officeDocument/2006/relationships/hyperlink" Target="https://polkadot.subsquare.io/treasury/child-bounties/1253" TargetMode="External"/><Relationship Id="rId851" Type="http://schemas.openxmlformats.org/officeDocument/2006/relationships/hyperlink" Target="https://polkadot.subsquare.io/treasury/child-bounties/396" TargetMode="External"/><Relationship Id="rId1682" Type="http://schemas.openxmlformats.org/officeDocument/2006/relationships/hyperlink" Target="https://polkadot.subsquare.io/treasury/child-bounties/1254" TargetMode="External"/><Relationship Id="rId850" Type="http://schemas.openxmlformats.org/officeDocument/2006/relationships/hyperlink" Target="https://polkadot.subsquare.io/treasury/child-bounties/395" TargetMode="External"/><Relationship Id="rId1683" Type="http://schemas.openxmlformats.org/officeDocument/2006/relationships/hyperlink" Target="https://polkadot.subsquare.io/treasury/child-bounties/1255" TargetMode="External"/><Relationship Id="rId2530" Type="http://schemas.openxmlformats.org/officeDocument/2006/relationships/hyperlink" Target="https://polkadot.subsquare.io/treasury/child-bounties/2216" TargetMode="External"/><Relationship Id="rId1200" Type="http://schemas.openxmlformats.org/officeDocument/2006/relationships/hyperlink" Target="https://polkadot.subsquare.io/treasury/child-bounties/760" TargetMode="External"/><Relationship Id="rId1684" Type="http://schemas.openxmlformats.org/officeDocument/2006/relationships/hyperlink" Target="https://polkadot.subsquare.io/treasury/child-bounties/1256" TargetMode="External"/><Relationship Id="rId2531" Type="http://schemas.openxmlformats.org/officeDocument/2006/relationships/hyperlink" Target="https://polkadot.subsquare.io/treasury/child-bounties/2217" TargetMode="External"/><Relationship Id="rId1201" Type="http://schemas.openxmlformats.org/officeDocument/2006/relationships/hyperlink" Target="https://polkadot.subsquare.io/treasury/child-bounties/761" TargetMode="External"/><Relationship Id="rId1685" Type="http://schemas.openxmlformats.org/officeDocument/2006/relationships/hyperlink" Target="https://polkadot.subsquare.io/treasury/child-bounties/1257" TargetMode="External"/><Relationship Id="rId2532" Type="http://schemas.openxmlformats.org/officeDocument/2006/relationships/hyperlink" Target="https://polkadot.subsquare.io/treasury/child-bounties/2218" TargetMode="External"/><Relationship Id="rId1235" Type="http://schemas.openxmlformats.org/officeDocument/2006/relationships/hyperlink" Target="https://polkadot.subsquare.io/treasury/child-bounties/798" TargetMode="External"/><Relationship Id="rId1236" Type="http://schemas.openxmlformats.org/officeDocument/2006/relationships/hyperlink" Target="https://polkadot.subsquare.io/treasury/child-bounties/799" TargetMode="External"/><Relationship Id="rId1237" Type="http://schemas.openxmlformats.org/officeDocument/2006/relationships/hyperlink" Target="https://polkadot.subsquare.io/treasury/child-bounties/800" TargetMode="External"/><Relationship Id="rId1238" Type="http://schemas.openxmlformats.org/officeDocument/2006/relationships/hyperlink" Target="https://polkadot.subsquare.io/treasury/child-bounties/801" TargetMode="External"/><Relationship Id="rId1239" Type="http://schemas.openxmlformats.org/officeDocument/2006/relationships/hyperlink" Target="https://polkadot.subsquare.io/treasury/child-bounties/802" TargetMode="External"/><Relationship Id="rId409" Type="http://schemas.openxmlformats.org/officeDocument/2006/relationships/hyperlink" Target="https://polkadot.subsquare.io/referenda/925" TargetMode="External"/><Relationship Id="rId404" Type="http://schemas.openxmlformats.org/officeDocument/2006/relationships/hyperlink" Target="https://polkadot.subsquare.io/referenda/911" TargetMode="External"/><Relationship Id="rId888" Type="http://schemas.openxmlformats.org/officeDocument/2006/relationships/hyperlink" Target="https://polkadot.subsquare.io/treasury/child-bounties/441" TargetMode="External"/><Relationship Id="rId403" Type="http://schemas.openxmlformats.org/officeDocument/2006/relationships/hyperlink" Target="https://polkadot.subsquare.io/referenda/905" TargetMode="External"/><Relationship Id="rId887" Type="http://schemas.openxmlformats.org/officeDocument/2006/relationships/hyperlink" Target="https://polkadot.subsquare.io/treasury/child-bounties/440" TargetMode="External"/><Relationship Id="rId402" Type="http://schemas.openxmlformats.org/officeDocument/2006/relationships/hyperlink" Target="https://polkadot.subsquare.io/referenda/904" TargetMode="External"/><Relationship Id="rId886" Type="http://schemas.openxmlformats.org/officeDocument/2006/relationships/hyperlink" Target="https://polkadot.subsquare.io/treasury/child-bounties/439" TargetMode="External"/><Relationship Id="rId401" Type="http://schemas.openxmlformats.org/officeDocument/2006/relationships/hyperlink" Target="https://polkadot.subsquare.io/referenda/897" TargetMode="External"/><Relationship Id="rId885" Type="http://schemas.openxmlformats.org/officeDocument/2006/relationships/hyperlink" Target="https://polkadot.subsquare.io/treasury/child-bounties/438" TargetMode="External"/><Relationship Id="rId408" Type="http://schemas.openxmlformats.org/officeDocument/2006/relationships/hyperlink" Target="https://polkadot.subsquare.io/referenda/922" TargetMode="External"/><Relationship Id="rId407" Type="http://schemas.openxmlformats.org/officeDocument/2006/relationships/hyperlink" Target="https://polkadot.subsquare.io/referenda/918" TargetMode="External"/><Relationship Id="rId406" Type="http://schemas.openxmlformats.org/officeDocument/2006/relationships/hyperlink" Target="https://polkadot.subsquare.io/referenda/915" TargetMode="External"/><Relationship Id="rId405" Type="http://schemas.openxmlformats.org/officeDocument/2006/relationships/hyperlink" Target="https://polkadot.subsquare.io/referenda/914" TargetMode="External"/><Relationship Id="rId889" Type="http://schemas.openxmlformats.org/officeDocument/2006/relationships/hyperlink" Target="https://polkadot.subsquare.io/treasury/child-bounties/442" TargetMode="External"/><Relationship Id="rId880" Type="http://schemas.openxmlformats.org/officeDocument/2006/relationships/hyperlink" Target="https://polkadot.subsquare.io/treasury/child-bounties/433" TargetMode="External"/><Relationship Id="rId1230" Type="http://schemas.openxmlformats.org/officeDocument/2006/relationships/hyperlink" Target="https://polkadot.subsquare.io/treasury/child-bounties/793" TargetMode="External"/><Relationship Id="rId400" Type="http://schemas.openxmlformats.org/officeDocument/2006/relationships/hyperlink" Target="https://polkadot.subsquare.io/referenda/895" TargetMode="External"/><Relationship Id="rId884" Type="http://schemas.openxmlformats.org/officeDocument/2006/relationships/hyperlink" Target="https://polkadot.subsquare.io/treasury/child-bounties/437" TargetMode="External"/><Relationship Id="rId1231" Type="http://schemas.openxmlformats.org/officeDocument/2006/relationships/hyperlink" Target="https://polkadot.subsquare.io/treasury/child-bounties/794" TargetMode="External"/><Relationship Id="rId883" Type="http://schemas.openxmlformats.org/officeDocument/2006/relationships/hyperlink" Target="https://polkadot.subsquare.io/treasury/child-bounties/436" TargetMode="External"/><Relationship Id="rId1232" Type="http://schemas.openxmlformats.org/officeDocument/2006/relationships/hyperlink" Target="https://polkadot.subsquare.io/treasury/child-bounties/795" TargetMode="External"/><Relationship Id="rId882" Type="http://schemas.openxmlformats.org/officeDocument/2006/relationships/hyperlink" Target="https://polkadot.subsquare.io/treasury/child-bounties/435" TargetMode="External"/><Relationship Id="rId1233" Type="http://schemas.openxmlformats.org/officeDocument/2006/relationships/hyperlink" Target="https://polkadot.subsquare.io/treasury/child-bounties/796" TargetMode="External"/><Relationship Id="rId881" Type="http://schemas.openxmlformats.org/officeDocument/2006/relationships/hyperlink" Target="https://polkadot.subsquare.io/treasury/child-bounties/434" TargetMode="External"/><Relationship Id="rId1234" Type="http://schemas.openxmlformats.org/officeDocument/2006/relationships/hyperlink" Target="https://polkadot.subsquare.io/treasury/child-bounties/797" TargetMode="External"/><Relationship Id="rId1224" Type="http://schemas.openxmlformats.org/officeDocument/2006/relationships/hyperlink" Target="https://polkadot.subsquare.io/treasury/child-bounties/787" TargetMode="External"/><Relationship Id="rId1225" Type="http://schemas.openxmlformats.org/officeDocument/2006/relationships/hyperlink" Target="https://polkadot.subsquare.io/treasury/child-bounties/788" TargetMode="External"/><Relationship Id="rId1226" Type="http://schemas.openxmlformats.org/officeDocument/2006/relationships/hyperlink" Target="https://polkadot.subsquare.io/treasury/child-bounties/789" TargetMode="External"/><Relationship Id="rId1227" Type="http://schemas.openxmlformats.org/officeDocument/2006/relationships/hyperlink" Target="https://polkadot.subsquare.io/treasury/child-bounties/790" TargetMode="External"/><Relationship Id="rId1228" Type="http://schemas.openxmlformats.org/officeDocument/2006/relationships/hyperlink" Target="https://polkadot.subsquare.io/treasury/child-bounties/791" TargetMode="External"/><Relationship Id="rId1229" Type="http://schemas.openxmlformats.org/officeDocument/2006/relationships/hyperlink" Target="https://polkadot.subsquare.io/treasury/child-bounties/792" TargetMode="External"/><Relationship Id="rId877" Type="http://schemas.openxmlformats.org/officeDocument/2006/relationships/hyperlink" Target="https://polkadot.subsquare.io/treasury/child-bounties/430" TargetMode="External"/><Relationship Id="rId876" Type="http://schemas.openxmlformats.org/officeDocument/2006/relationships/hyperlink" Target="https://polkadot.subsquare.io/treasury/child-bounties/429" TargetMode="External"/><Relationship Id="rId875" Type="http://schemas.openxmlformats.org/officeDocument/2006/relationships/hyperlink" Target="https://polkadot.subsquare.io/treasury/child-bounties/428" TargetMode="External"/><Relationship Id="rId874" Type="http://schemas.openxmlformats.org/officeDocument/2006/relationships/hyperlink" Target="https://polkadot.subsquare.io/treasury/child-bounties/427" TargetMode="External"/><Relationship Id="rId879" Type="http://schemas.openxmlformats.org/officeDocument/2006/relationships/hyperlink" Target="https://polkadot.subsquare.io/treasury/child-bounties/432" TargetMode="External"/><Relationship Id="rId878" Type="http://schemas.openxmlformats.org/officeDocument/2006/relationships/hyperlink" Target="https://polkadot.subsquare.io/treasury/child-bounties/431" TargetMode="External"/><Relationship Id="rId873" Type="http://schemas.openxmlformats.org/officeDocument/2006/relationships/hyperlink" Target="https://polkadot.subsquare.io/treasury/child-bounties/426" TargetMode="External"/><Relationship Id="rId1220" Type="http://schemas.openxmlformats.org/officeDocument/2006/relationships/hyperlink" Target="https://polkadot.subsquare.io/treasury/child-bounties/783" TargetMode="External"/><Relationship Id="rId872" Type="http://schemas.openxmlformats.org/officeDocument/2006/relationships/hyperlink" Target="https://polkadot.subsquare.io/treasury/child-bounties/425" TargetMode="External"/><Relationship Id="rId1221" Type="http://schemas.openxmlformats.org/officeDocument/2006/relationships/hyperlink" Target="https://polkadot.subsquare.io/treasury/child-bounties/784" TargetMode="External"/><Relationship Id="rId871" Type="http://schemas.openxmlformats.org/officeDocument/2006/relationships/hyperlink" Target="https://polkadot.subsquare.io/treasury/child-bounties/424" TargetMode="External"/><Relationship Id="rId1222" Type="http://schemas.openxmlformats.org/officeDocument/2006/relationships/hyperlink" Target="https://polkadot.subsquare.io/treasury/child-bounties/785" TargetMode="External"/><Relationship Id="rId870" Type="http://schemas.openxmlformats.org/officeDocument/2006/relationships/hyperlink" Target="https://polkadot.subsquare.io/treasury/child-bounties/423" TargetMode="External"/><Relationship Id="rId1223" Type="http://schemas.openxmlformats.org/officeDocument/2006/relationships/hyperlink" Target="https://polkadot.subsquare.io/treasury/child-bounties/786" TargetMode="External"/><Relationship Id="rId1653" Type="http://schemas.openxmlformats.org/officeDocument/2006/relationships/hyperlink" Target="https://polkadot.subsquare.io/treasury/child-bounties/1225" TargetMode="External"/><Relationship Id="rId2500" Type="http://schemas.openxmlformats.org/officeDocument/2006/relationships/hyperlink" Target="https://polkadot.subsquare.io/treasury/child-bounties/2180" TargetMode="External"/><Relationship Id="rId1654" Type="http://schemas.openxmlformats.org/officeDocument/2006/relationships/hyperlink" Target="https://polkadot.subsquare.io/treasury/child-bounties/1226" TargetMode="External"/><Relationship Id="rId2501" Type="http://schemas.openxmlformats.org/officeDocument/2006/relationships/hyperlink" Target="https://polkadot.subsquare.io/treasury/child-bounties/2181" TargetMode="External"/><Relationship Id="rId1655" Type="http://schemas.openxmlformats.org/officeDocument/2006/relationships/hyperlink" Target="https://polkadot.subsquare.io/treasury/child-bounties/1227" TargetMode="External"/><Relationship Id="rId2502" Type="http://schemas.openxmlformats.org/officeDocument/2006/relationships/hyperlink" Target="https://polkadot.subsquare.io/treasury/child-bounties/2182" TargetMode="External"/><Relationship Id="rId1656" Type="http://schemas.openxmlformats.org/officeDocument/2006/relationships/hyperlink" Target="https://polkadot.subsquare.io/treasury/child-bounties/1228" TargetMode="External"/><Relationship Id="rId2503" Type="http://schemas.openxmlformats.org/officeDocument/2006/relationships/hyperlink" Target="https://polkadot.subsquare.io/treasury/child-bounties/2183" TargetMode="External"/><Relationship Id="rId1657" Type="http://schemas.openxmlformats.org/officeDocument/2006/relationships/hyperlink" Target="https://polkadot.subsquare.io/treasury/child-bounties/1229" TargetMode="External"/><Relationship Id="rId2504" Type="http://schemas.openxmlformats.org/officeDocument/2006/relationships/hyperlink" Target="https://polkadot.subsquare.io/treasury/child-bounties/2184" TargetMode="External"/><Relationship Id="rId1658" Type="http://schemas.openxmlformats.org/officeDocument/2006/relationships/hyperlink" Target="https://polkadot.subsquare.io/treasury/child-bounties/1230" TargetMode="External"/><Relationship Id="rId2505" Type="http://schemas.openxmlformats.org/officeDocument/2006/relationships/hyperlink" Target="https://polkadot.subsquare.io/treasury/child-bounties/2185" TargetMode="External"/><Relationship Id="rId1659" Type="http://schemas.openxmlformats.org/officeDocument/2006/relationships/hyperlink" Target="https://polkadot.subsquare.io/treasury/child-bounties/1231" TargetMode="External"/><Relationship Id="rId2506" Type="http://schemas.openxmlformats.org/officeDocument/2006/relationships/hyperlink" Target="https://polkadot.subsquare.io/treasury/child-bounties/2187" TargetMode="External"/><Relationship Id="rId2507" Type="http://schemas.openxmlformats.org/officeDocument/2006/relationships/hyperlink" Target="https://polkadot.subsquare.io/treasury/child-bounties/2189" TargetMode="External"/><Relationship Id="rId2508" Type="http://schemas.openxmlformats.org/officeDocument/2006/relationships/hyperlink" Target="https://polkadot.subsquare.io/treasury/child-bounties/2191" TargetMode="External"/><Relationship Id="rId829" Type="http://schemas.openxmlformats.org/officeDocument/2006/relationships/hyperlink" Target="https://polkadot.subsquare.io/treasury/child-bounties/374" TargetMode="External"/><Relationship Id="rId2509" Type="http://schemas.openxmlformats.org/officeDocument/2006/relationships/hyperlink" Target="https://polkadot.subsquare.io/treasury/child-bounties/2192" TargetMode="External"/><Relationship Id="rId828" Type="http://schemas.openxmlformats.org/officeDocument/2006/relationships/hyperlink" Target="https://polkadot.subsquare.io/treasury/child-bounties/373" TargetMode="External"/><Relationship Id="rId827" Type="http://schemas.openxmlformats.org/officeDocument/2006/relationships/hyperlink" Target="https://polkadot.subsquare.io/treasury/child-bounties/372" TargetMode="External"/><Relationship Id="rId822" Type="http://schemas.openxmlformats.org/officeDocument/2006/relationships/hyperlink" Target="https://polkadot.subsquare.io/treasury/child-bounties/363" TargetMode="External"/><Relationship Id="rId821" Type="http://schemas.openxmlformats.org/officeDocument/2006/relationships/hyperlink" Target="https://polkadot.subsquare.io/treasury/child-bounties/362" TargetMode="External"/><Relationship Id="rId820" Type="http://schemas.openxmlformats.org/officeDocument/2006/relationships/hyperlink" Target="https://polkadot.subsquare.io/treasury/child-bounties/361" TargetMode="External"/><Relationship Id="rId826" Type="http://schemas.openxmlformats.org/officeDocument/2006/relationships/hyperlink" Target="https://polkadot.subsquare.io/treasury/child-bounties/371" TargetMode="External"/><Relationship Id="rId825" Type="http://schemas.openxmlformats.org/officeDocument/2006/relationships/hyperlink" Target="https://polkadot.subsquare.io/treasury/child-bounties/370" TargetMode="External"/><Relationship Id="rId824" Type="http://schemas.openxmlformats.org/officeDocument/2006/relationships/hyperlink" Target="https://polkadot.subsquare.io/treasury/child-bounties/365" TargetMode="External"/><Relationship Id="rId823" Type="http://schemas.openxmlformats.org/officeDocument/2006/relationships/hyperlink" Target="https://polkadot.subsquare.io/treasury/child-bounties/364" TargetMode="External"/><Relationship Id="rId1650" Type="http://schemas.openxmlformats.org/officeDocument/2006/relationships/hyperlink" Target="https://polkadot.subsquare.io/treasury/child-bounties/1222" TargetMode="External"/><Relationship Id="rId1651" Type="http://schemas.openxmlformats.org/officeDocument/2006/relationships/hyperlink" Target="https://polkadot.subsquare.io/treasury/child-bounties/1223" TargetMode="External"/><Relationship Id="rId1652" Type="http://schemas.openxmlformats.org/officeDocument/2006/relationships/hyperlink" Target="https://polkadot.subsquare.io/treasury/child-bounties/1224" TargetMode="External"/><Relationship Id="rId1642" Type="http://schemas.openxmlformats.org/officeDocument/2006/relationships/hyperlink" Target="https://polkadot.subsquare.io/treasury/child-bounties/1214" TargetMode="External"/><Relationship Id="rId1643" Type="http://schemas.openxmlformats.org/officeDocument/2006/relationships/hyperlink" Target="https://polkadot.subsquare.io/treasury/child-bounties/1215" TargetMode="External"/><Relationship Id="rId1644" Type="http://schemas.openxmlformats.org/officeDocument/2006/relationships/hyperlink" Target="https://polkadot.subsquare.io/treasury/child-bounties/1216" TargetMode="External"/><Relationship Id="rId1645" Type="http://schemas.openxmlformats.org/officeDocument/2006/relationships/hyperlink" Target="https://polkadot.subsquare.io/treasury/child-bounties/1217" TargetMode="External"/><Relationship Id="rId1646" Type="http://schemas.openxmlformats.org/officeDocument/2006/relationships/hyperlink" Target="https://polkadot.subsquare.io/treasury/child-bounties/1218" TargetMode="External"/><Relationship Id="rId1647" Type="http://schemas.openxmlformats.org/officeDocument/2006/relationships/hyperlink" Target="https://polkadot.subsquare.io/treasury/child-bounties/1219" TargetMode="External"/><Relationship Id="rId1648" Type="http://schemas.openxmlformats.org/officeDocument/2006/relationships/hyperlink" Target="https://polkadot.subsquare.io/treasury/child-bounties/1220" TargetMode="External"/><Relationship Id="rId1649" Type="http://schemas.openxmlformats.org/officeDocument/2006/relationships/hyperlink" Target="https://polkadot.subsquare.io/treasury/child-bounties/1221" TargetMode="External"/><Relationship Id="rId819" Type="http://schemas.openxmlformats.org/officeDocument/2006/relationships/hyperlink" Target="https://polkadot.subsquare.io/treasury/child-bounties/360" TargetMode="External"/><Relationship Id="rId818" Type="http://schemas.openxmlformats.org/officeDocument/2006/relationships/hyperlink" Target="https://polkadot.subsquare.io/treasury/child-bounties/359" TargetMode="External"/><Relationship Id="rId817" Type="http://schemas.openxmlformats.org/officeDocument/2006/relationships/hyperlink" Target="https://polkadot.subsquare.io/treasury/child-bounties/358" TargetMode="External"/><Relationship Id="rId816" Type="http://schemas.openxmlformats.org/officeDocument/2006/relationships/hyperlink" Target="https://polkadot.subsquare.io/treasury/child-bounties/357" TargetMode="External"/><Relationship Id="rId811" Type="http://schemas.openxmlformats.org/officeDocument/2006/relationships/hyperlink" Target="https://polkadot.subsquare.io/treasury/child-bounties/352" TargetMode="External"/><Relationship Id="rId810" Type="http://schemas.openxmlformats.org/officeDocument/2006/relationships/hyperlink" Target="https://polkadot.subsquare.io/treasury/child-bounties/351" TargetMode="External"/><Relationship Id="rId815" Type="http://schemas.openxmlformats.org/officeDocument/2006/relationships/hyperlink" Target="https://polkadot.subsquare.io/treasury/child-bounties/356" TargetMode="External"/><Relationship Id="rId814" Type="http://schemas.openxmlformats.org/officeDocument/2006/relationships/hyperlink" Target="https://polkadot.subsquare.io/treasury/child-bounties/355" TargetMode="External"/><Relationship Id="rId813" Type="http://schemas.openxmlformats.org/officeDocument/2006/relationships/hyperlink" Target="https://polkadot.subsquare.io/treasury/child-bounties/354" TargetMode="External"/><Relationship Id="rId812" Type="http://schemas.openxmlformats.org/officeDocument/2006/relationships/hyperlink" Target="https://polkadot.subsquare.io/treasury/child-bounties/353" TargetMode="External"/><Relationship Id="rId1640" Type="http://schemas.openxmlformats.org/officeDocument/2006/relationships/hyperlink" Target="https://polkadot.subsquare.io/treasury/child-bounties/1212" TargetMode="External"/><Relationship Id="rId1641" Type="http://schemas.openxmlformats.org/officeDocument/2006/relationships/hyperlink" Target="https://polkadot.subsquare.io/treasury/child-bounties/1213" TargetMode="External"/><Relationship Id="rId1675" Type="http://schemas.openxmlformats.org/officeDocument/2006/relationships/hyperlink" Target="https://polkadot.subsquare.io/treasury/child-bounties/1247" TargetMode="External"/><Relationship Id="rId2522" Type="http://schemas.openxmlformats.org/officeDocument/2006/relationships/hyperlink" Target="https://polkadot.subsquare.io/treasury/child-bounties/2208" TargetMode="External"/><Relationship Id="rId1676" Type="http://schemas.openxmlformats.org/officeDocument/2006/relationships/hyperlink" Target="https://polkadot.subsquare.io/treasury/child-bounties/1248" TargetMode="External"/><Relationship Id="rId2523" Type="http://schemas.openxmlformats.org/officeDocument/2006/relationships/hyperlink" Target="https://polkadot.subsquare.io/treasury/child-bounties/2209" TargetMode="External"/><Relationship Id="rId1677" Type="http://schemas.openxmlformats.org/officeDocument/2006/relationships/hyperlink" Target="https://polkadot.subsquare.io/treasury/child-bounties/1249" TargetMode="External"/><Relationship Id="rId2524" Type="http://schemas.openxmlformats.org/officeDocument/2006/relationships/hyperlink" Target="https://polkadot.subsquare.io/treasury/child-bounties/2210" TargetMode="External"/><Relationship Id="rId1678" Type="http://schemas.openxmlformats.org/officeDocument/2006/relationships/hyperlink" Target="https://polkadot.subsquare.io/treasury/child-bounties/1250" TargetMode="External"/><Relationship Id="rId2525" Type="http://schemas.openxmlformats.org/officeDocument/2006/relationships/hyperlink" Target="https://polkadot.subsquare.io/treasury/child-bounties/2211" TargetMode="External"/><Relationship Id="rId1679" Type="http://schemas.openxmlformats.org/officeDocument/2006/relationships/hyperlink" Target="https://polkadot.subsquare.io/treasury/child-bounties/1251" TargetMode="External"/><Relationship Id="rId2526" Type="http://schemas.openxmlformats.org/officeDocument/2006/relationships/hyperlink" Target="https://polkadot.subsquare.io/treasury/child-bounties/2212" TargetMode="External"/><Relationship Id="rId2527" Type="http://schemas.openxmlformats.org/officeDocument/2006/relationships/hyperlink" Target="https://polkadot.subsquare.io/treasury/child-bounties/2213" TargetMode="External"/><Relationship Id="rId2528" Type="http://schemas.openxmlformats.org/officeDocument/2006/relationships/hyperlink" Target="https://polkadot.subsquare.io/treasury/child-bounties/2214" TargetMode="External"/><Relationship Id="rId2529" Type="http://schemas.openxmlformats.org/officeDocument/2006/relationships/hyperlink" Target="https://polkadot.subsquare.io/treasury/child-bounties/2215" TargetMode="External"/><Relationship Id="rId849" Type="http://schemas.openxmlformats.org/officeDocument/2006/relationships/hyperlink" Target="https://polkadot.subsquare.io/treasury/child-bounties/394" TargetMode="External"/><Relationship Id="rId844" Type="http://schemas.openxmlformats.org/officeDocument/2006/relationships/hyperlink" Target="https://polkadot.subsquare.io/treasury/child-bounties/389" TargetMode="External"/><Relationship Id="rId843" Type="http://schemas.openxmlformats.org/officeDocument/2006/relationships/hyperlink" Target="https://polkadot.subsquare.io/treasury/child-bounties/388" TargetMode="External"/><Relationship Id="rId842" Type="http://schemas.openxmlformats.org/officeDocument/2006/relationships/hyperlink" Target="https://polkadot.subsquare.io/treasury/child-bounties/387" TargetMode="External"/><Relationship Id="rId841" Type="http://schemas.openxmlformats.org/officeDocument/2006/relationships/hyperlink" Target="https://polkadot.subsquare.io/treasury/child-bounties/386" TargetMode="External"/><Relationship Id="rId848" Type="http://schemas.openxmlformats.org/officeDocument/2006/relationships/hyperlink" Target="https://polkadot.subsquare.io/treasury/child-bounties/393" TargetMode="External"/><Relationship Id="rId847" Type="http://schemas.openxmlformats.org/officeDocument/2006/relationships/hyperlink" Target="https://polkadot.subsquare.io/treasury/child-bounties/392" TargetMode="External"/><Relationship Id="rId846" Type="http://schemas.openxmlformats.org/officeDocument/2006/relationships/hyperlink" Target="https://polkadot.subsquare.io/treasury/child-bounties/391" TargetMode="External"/><Relationship Id="rId845" Type="http://schemas.openxmlformats.org/officeDocument/2006/relationships/hyperlink" Target="https://polkadot.subsquare.io/treasury/child-bounties/390" TargetMode="External"/><Relationship Id="rId1670" Type="http://schemas.openxmlformats.org/officeDocument/2006/relationships/hyperlink" Target="https://polkadot.subsquare.io/treasury/child-bounties/1242" TargetMode="External"/><Relationship Id="rId840" Type="http://schemas.openxmlformats.org/officeDocument/2006/relationships/hyperlink" Target="https://polkadot.subsquare.io/treasury/child-bounties/385" TargetMode="External"/><Relationship Id="rId1671" Type="http://schemas.openxmlformats.org/officeDocument/2006/relationships/hyperlink" Target="https://polkadot.subsquare.io/treasury/child-bounties/1243" TargetMode="External"/><Relationship Id="rId1672" Type="http://schemas.openxmlformats.org/officeDocument/2006/relationships/hyperlink" Target="https://polkadot.subsquare.io/treasury/child-bounties/1244" TargetMode="External"/><Relationship Id="rId1673" Type="http://schemas.openxmlformats.org/officeDocument/2006/relationships/hyperlink" Target="https://polkadot.subsquare.io/treasury/child-bounties/1245" TargetMode="External"/><Relationship Id="rId2520" Type="http://schemas.openxmlformats.org/officeDocument/2006/relationships/hyperlink" Target="https://polkadot.subsquare.io/treasury/child-bounties/2206" TargetMode="External"/><Relationship Id="rId1674" Type="http://schemas.openxmlformats.org/officeDocument/2006/relationships/hyperlink" Target="https://polkadot.subsquare.io/treasury/child-bounties/1246" TargetMode="External"/><Relationship Id="rId2521" Type="http://schemas.openxmlformats.org/officeDocument/2006/relationships/hyperlink" Target="https://polkadot.subsquare.io/treasury/child-bounties/2207" TargetMode="External"/><Relationship Id="rId1664" Type="http://schemas.openxmlformats.org/officeDocument/2006/relationships/hyperlink" Target="https://polkadot.subsquare.io/treasury/child-bounties/1236" TargetMode="External"/><Relationship Id="rId2511" Type="http://schemas.openxmlformats.org/officeDocument/2006/relationships/hyperlink" Target="https://polkadot.subsquare.io/treasury/child-bounties/2194" TargetMode="External"/><Relationship Id="rId1665" Type="http://schemas.openxmlformats.org/officeDocument/2006/relationships/hyperlink" Target="https://polkadot.subsquare.io/treasury/child-bounties/1237" TargetMode="External"/><Relationship Id="rId2512" Type="http://schemas.openxmlformats.org/officeDocument/2006/relationships/hyperlink" Target="https://polkadot.subsquare.io/treasury/child-bounties/2198" TargetMode="External"/><Relationship Id="rId1666" Type="http://schemas.openxmlformats.org/officeDocument/2006/relationships/hyperlink" Target="https://polkadot.subsquare.io/treasury/child-bounties/1238" TargetMode="External"/><Relationship Id="rId2513" Type="http://schemas.openxmlformats.org/officeDocument/2006/relationships/hyperlink" Target="https://polkadot.subsquare.io/treasury/child-bounties/2199" TargetMode="External"/><Relationship Id="rId1667" Type="http://schemas.openxmlformats.org/officeDocument/2006/relationships/hyperlink" Target="https://polkadot.subsquare.io/treasury/child-bounties/1239" TargetMode="External"/><Relationship Id="rId2514" Type="http://schemas.openxmlformats.org/officeDocument/2006/relationships/hyperlink" Target="https://polkadot.subsquare.io/treasury/child-bounties/2200" TargetMode="External"/><Relationship Id="rId1668" Type="http://schemas.openxmlformats.org/officeDocument/2006/relationships/hyperlink" Target="https://polkadot.subsquare.io/treasury/child-bounties/1240" TargetMode="External"/><Relationship Id="rId2515" Type="http://schemas.openxmlformats.org/officeDocument/2006/relationships/hyperlink" Target="https://polkadot.subsquare.io/treasury/child-bounties/2201" TargetMode="External"/><Relationship Id="rId1669" Type="http://schemas.openxmlformats.org/officeDocument/2006/relationships/hyperlink" Target="https://polkadot.subsquare.io/treasury/child-bounties/1241" TargetMode="External"/><Relationship Id="rId2516" Type="http://schemas.openxmlformats.org/officeDocument/2006/relationships/hyperlink" Target="https://polkadot.subsquare.io/treasury/child-bounties/2202" TargetMode="External"/><Relationship Id="rId2517" Type="http://schemas.openxmlformats.org/officeDocument/2006/relationships/hyperlink" Target="https://polkadot.subsquare.io/treasury/child-bounties/2203" TargetMode="External"/><Relationship Id="rId2518" Type="http://schemas.openxmlformats.org/officeDocument/2006/relationships/hyperlink" Target="https://polkadot.subsquare.io/treasury/child-bounties/2204" TargetMode="External"/><Relationship Id="rId2519" Type="http://schemas.openxmlformats.org/officeDocument/2006/relationships/hyperlink" Target="https://polkadot.subsquare.io/treasury/child-bounties/2205" TargetMode="External"/><Relationship Id="rId839" Type="http://schemas.openxmlformats.org/officeDocument/2006/relationships/hyperlink" Target="https://polkadot.subsquare.io/treasury/child-bounties/384" TargetMode="External"/><Relationship Id="rId838" Type="http://schemas.openxmlformats.org/officeDocument/2006/relationships/hyperlink" Target="https://polkadot.subsquare.io/treasury/child-bounties/383" TargetMode="External"/><Relationship Id="rId833" Type="http://schemas.openxmlformats.org/officeDocument/2006/relationships/hyperlink" Target="https://polkadot.subsquare.io/treasury/child-bounties/378" TargetMode="External"/><Relationship Id="rId832" Type="http://schemas.openxmlformats.org/officeDocument/2006/relationships/hyperlink" Target="https://polkadot.subsquare.io/treasury/child-bounties/377" TargetMode="External"/><Relationship Id="rId831" Type="http://schemas.openxmlformats.org/officeDocument/2006/relationships/hyperlink" Target="https://polkadot.subsquare.io/treasury/child-bounties/376" TargetMode="External"/><Relationship Id="rId830" Type="http://schemas.openxmlformats.org/officeDocument/2006/relationships/hyperlink" Target="https://polkadot.subsquare.io/treasury/child-bounties/375" TargetMode="External"/><Relationship Id="rId837" Type="http://schemas.openxmlformats.org/officeDocument/2006/relationships/hyperlink" Target="https://polkadot.subsquare.io/treasury/child-bounties/382" TargetMode="External"/><Relationship Id="rId836" Type="http://schemas.openxmlformats.org/officeDocument/2006/relationships/hyperlink" Target="https://polkadot.subsquare.io/treasury/child-bounties/381" TargetMode="External"/><Relationship Id="rId835" Type="http://schemas.openxmlformats.org/officeDocument/2006/relationships/hyperlink" Target="https://polkadot.subsquare.io/treasury/child-bounties/380" TargetMode="External"/><Relationship Id="rId834" Type="http://schemas.openxmlformats.org/officeDocument/2006/relationships/hyperlink" Target="https://polkadot.subsquare.io/treasury/child-bounties/379" TargetMode="External"/><Relationship Id="rId1660" Type="http://schemas.openxmlformats.org/officeDocument/2006/relationships/hyperlink" Target="https://polkadot.subsquare.io/treasury/child-bounties/1232" TargetMode="External"/><Relationship Id="rId1661" Type="http://schemas.openxmlformats.org/officeDocument/2006/relationships/hyperlink" Target="https://polkadot.subsquare.io/treasury/child-bounties/1233" TargetMode="External"/><Relationship Id="rId1662" Type="http://schemas.openxmlformats.org/officeDocument/2006/relationships/hyperlink" Target="https://polkadot.subsquare.io/treasury/child-bounties/1234" TargetMode="External"/><Relationship Id="rId1663" Type="http://schemas.openxmlformats.org/officeDocument/2006/relationships/hyperlink" Target="https://polkadot.subsquare.io/treasury/child-bounties/1235" TargetMode="External"/><Relationship Id="rId2510" Type="http://schemas.openxmlformats.org/officeDocument/2006/relationships/hyperlink" Target="https://polkadot.subsquare.io/treasury/child-bounties/2193" TargetMode="External"/><Relationship Id="rId2148" Type="http://schemas.openxmlformats.org/officeDocument/2006/relationships/hyperlink" Target="https://polkadot.subsquare.io/treasury/child-bounties/1782" TargetMode="External"/><Relationship Id="rId2149" Type="http://schemas.openxmlformats.org/officeDocument/2006/relationships/hyperlink" Target="https://polkadot.subsquare.io/treasury/child-bounties/1783" TargetMode="External"/><Relationship Id="rId469" Type="http://schemas.openxmlformats.org/officeDocument/2006/relationships/hyperlink" Target="https://polkadot.subsquare.io/treasury/child-bounties/0" TargetMode="External"/><Relationship Id="rId468" Type="http://schemas.openxmlformats.org/officeDocument/2006/relationships/hyperlink" Target="https://polkadot.subsquare.io/referenda/1181" TargetMode="External"/><Relationship Id="rId467" Type="http://schemas.openxmlformats.org/officeDocument/2006/relationships/hyperlink" Target="https://polkadot.subsquare.io/referenda/1174" TargetMode="External"/><Relationship Id="rId1290" Type="http://schemas.openxmlformats.org/officeDocument/2006/relationships/hyperlink" Target="https://polkadot.subsquare.io/treasury/child-bounties/854" TargetMode="External"/><Relationship Id="rId1291" Type="http://schemas.openxmlformats.org/officeDocument/2006/relationships/hyperlink" Target="https://polkadot.subsquare.io/treasury/child-bounties/855" TargetMode="External"/><Relationship Id="rId1292" Type="http://schemas.openxmlformats.org/officeDocument/2006/relationships/hyperlink" Target="https://polkadot.subsquare.io/treasury/child-bounties/856" TargetMode="External"/><Relationship Id="rId462" Type="http://schemas.openxmlformats.org/officeDocument/2006/relationships/hyperlink" Target="https://polkadot.subsquare.io/referenda/1135" TargetMode="External"/><Relationship Id="rId1293" Type="http://schemas.openxmlformats.org/officeDocument/2006/relationships/hyperlink" Target="https://polkadot.subsquare.io/treasury/child-bounties/857" TargetMode="External"/><Relationship Id="rId2140" Type="http://schemas.openxmlformats.org/officeDocument/2006/relationships/hyperlink" Target="https://polkadot.subsquare.io/treasury/child-bounties/1773" TargetMode="External"/><Relationship Id="rId461" Type="http://schemas.openxmlformats.org/officeDocument/2006/relationships/hyperlink" Target="https://polkadot.subsquare.io/referenda/1134" TargetMode="External"/><Relationship Id="rId1294" Type="http://schemas.openxmlformats.org/officeDocument/2006/relationships/hyperlink" Target="https://polkadot.subsquare.io/treasury/child-bounties/858" TargetMode="External"/><Relationship Id="rId2141" Type="http://schemas.openxmlformats.org/officeDocument/2006/relationships/hyperlink" Target="https://polkadot.subsquare.io/treasury/child-bounties/1774" TargetMode="External"/><Relationship Id="rId460" Type="http://schemas.openxmlformats.org/officeDocument/2006/relationships/hyperlink" Target="https://polkadot.subsquare.io/referenda/1132" TargetMode="External"/><Relationship Id="rId1295" Type="http://schemas.openxmlformats.org/officeDocument/2006/relationships/hyperlink" Target="https://polkadot.subsquare.io/treasury/child-bounties/859" TargetMode="External"/><Relationship Id="rId2142" Type="http://schemas.openxmlformats.org/officeDocument/2006/relationships/hyperlink" Target="https://polkadot.subsquare.io/treasury/child-bounties/1775" TargetMode="External"/><Relationship Id="rId1296" Type="http://schemas.openxmlformats.org/officeDocument/2006/relationships/hyperlink" Target="https://polkadot.subsquare.io/treasury/child-bounties/861" TargetMode="External"/><Relationship Id="rId2143" Type="http://schemas.openxmlformats.org/officeDocument/2006/relationships/hyperlink" Target="https://polkadot.subsquare.io/treasury/child-bounties/1777" TargetMode="External"/><Relationship Id="rId466" Type="http://schemas.openxmlformats.org/officeDocument/2006/relationships/hyperlink" Target="https://polkadot.subsquare.io/referenda/1170" TargetMode="External"/><Relationship Id="rId1297" Type="http://schemas.openxmlformats.org/officeDocument/2006/relationships/hyperlink" Target="https://polkadot.subsquare.io/treasury/child-bounties/862" TargetMode="External"/><Relationship Id="rId2144" Type="http://schemas.openxmlformats.org/officeDocument/2006/relationships/hyperlink" Target="https://polkadot.subsquare.io/treasury/child-bounties/1778" TargetMode="External"/><Relationship Id="rId465" Type="http://schemas.openxmlformats.org/officeDocument/2006/relationships/hyperlink" Target="https://polkadot.subsquare.io/referenda/1168" TargetMode="External"/><Relationship Id="rId1298" Type="http://schemas.openxmlformats.org/officeDocument/2006/relationships/hyperlink" Target="https://polkadot.subsquare.io/treasury/child-bounties/863" TargetMode="External"/><Relationship Id="rId2145" Type="http://schemas.openxmlformats.org/officeDocument/2006/relationships/hyperlink" Target="https://polkadot.subsquare.io/treasury/child-bounties/1779" TargetMode="External"/><Relationship Id="rId464" Type="http://schemas.openxmlformats.org/officeDocument/2006/relationships/hyperlink" Target="https://polkadot.subsquare.io/referenda/1167" TargetMode="External"/><Relationship Id="rId1299" Type="http://schemas.openxmlformats.org/officeDocument/2006/relationships/hyperlink" Target="https://polkadot.subsquare.io/treasury/child-bounties/864" TargetMode="External"/><Relationship Id="rId2146" Type="http://schemas.openxmlformats.org/officeDocument/2006/relationships/hyperlink" Target="https://polkadot.subsquare.io/treasury/child-bounties/1780" TargetMode="External"/><Relationship Id="rId463" Type="http://schemas.openxmlformats.org/officeDocument/2006/relationships/hyperlink" Target="https://polkadot.subsquare.io/referenda/1136" TargetMode="External"/><Relationship Id="rId2147" Type="http://schemas.openxmlformats.org/officeDocument/2006/relationships/hyperlink" Target="https://polkadot.subsquare.io/treasury/child-bounties/1781" TargetMode="External"/><Relationship Id="rId2137" Type="http://schemas.openxmlformats.org/officeDocument/2006/relationships/hyperlink" Target="https://polkadot.subsquare.io/treasury/child-bounties/1770" TargetMode="External"/><Relationship Id="rId2138" Type="http://schemas.openxmlformats.org/officeDocument/2006/relationships/hyperlink" Target="https://polkadot.subsquare.io/treasury/child-bounties/1771" TargetMode="External"/><Relationship Id="rId2139" Type="http://schemas.openxmlformats.org/officeDocument/2006/relationships/hyperlink" Target="https://polkadot.subsquare.io/treasury/child-bounties/1772" TargetMode="External"/><Relationship Id="rId459" Type="http://schemas.openxmlformats.org/officeDocument/2006/relationships/hyperlink" Target="https://polkadot.subsquare.io/referenda/1126" TargetMode="External"/><Relationship Id="rId458" Type="http://schemas.openxmlformats.org/officeDocument/2006/relationships/hyperlink" Target="https://polkadot.subsquare.io/referenda/1125" TargetMode="External"/><Relationship Id="rId457" Type="http://schemas.openxmlformats.org/officeDocument/2006/relationships/hyperlink" Target="https://polkadot.subsquare.io/referenda/1124" TargetMode="External"/><Relationship Id="rId456" Type="http://schemas.openxmlformats.org/officeDocument/2006/relationships/hyperlink" Target="https://polkadot.subsquare.io/referenda/1118" TargetMode="External"/><Relationship Id="rId1280" Type="http://schemas.openxmlformats.org/officeDocument/2006/relationships/hyperlink" Target="https://polkadot.subsquare.io/treasury/child-bounties/844" TargetMode="External"/><Relationship Id="rId1281" Type="http://schemas.openxmlformats.org/officeDocument/2006/relationships/hyperlink" Target="https://polkadot.subsquare.io/treasury/child-bounties/845" TargetMode="External"/><Relationship Id="rId451" Type="http://schemas.openxmlformats.org/officeDocument/2006/relationships/hyperlink" Target="https://polkadot.subsquare.io/referenda/1100" TargetMode="External"/><Relationship Id="rId1282" Type="http://schemas.openxmlformats.org/officeDocument/2006/relationships/hyperlink" Target="https://polkadot.subsquare.io/treasury/child-bounties/846" TargetMode="External"/><Relationship Id="rId450" Type="http://schemas.openxmlformats.org/officeDocument/2006/relationships/hyperlink" Target="https://polkadot.subsquare.io/referenda/1095" TargetMode="External"/><Relationship Id="rId1283" Type="http://schemas.openxmlformats.org/officeDocument/2006/relationships/hyperlink" Target="https://polkadot.subsquare.io/treasury/child-bounties/847" TargetMode="External"/><Relationship Id="rId2130" Type="http://schemas.openxmlformats.org/officeDocument/2006/relationships/hyperlink" Target="https://polkadot.subsquare.io/treasury/child-bounties/1763" TargetMode="External"/><Relationship Id="rId1284" Type="http://schemas.openxmlformats.org/officeDocument/2006/relationships/hyperlink" Target="https://polkadot.subsquare.io/treasury/child-bounties/848" TargetMode="External"/><Relationship Id="rId2131" Type="http://schemas.openxmlformats.org/officeDocument/2006/relationships/hyperlink" Target="https://polkadot.subsquare.io/treasury/child-bounties/1764" TargetMode="External"/><Relationship Id="rId1285" Type="http://schemas.openxmlformats.org/officeDocument/2006/relationships/hyperlink" Target="https://polkadot.subsquare.io/treasury/child-bounties/849" TargetMode="External"/><Relationship Id="rId2132" Type="http://schemas.openxmlformats.org/officeDocument/2006/relationships/hyperlink" Target="https://polkadot.subsquare.io/treasury/child-bounties/1765" TargetMode="External"/><Relationship Id="rId455" Type="http://schemas.openxmlformats.org/officeDocument/2006/relationships/hyperlink" Target="https://polkadot.subsquare.io/referenda/1114" TargetMode="External"/><Relationship Id="rId1286" Type="http://schemas.openxmlformats.org/officeDocument/2006/relationships/hyperlink" Target="https://polkadot.subsquare.io/treasury/child-bounties/850" TargetMode="External"/><Relationship Id="rId2133" Type="http://schemas.openxmlformats.org/officeDocument/2006/relationships/hyperlink" Target="https://polkadot.subsquare.io/treasury/child-bounties/1766" TargetMode="External"/><Relationship Id="rId454" Type="http://schemas.openxmlformats.org/officeDocument/2006/relationships/hyperlink" Target="https://polkadot.subsquare.io/referenda/1113" TargetMode="External"/><Relationship Id="rId1287" Type="http://schemas.openxmlformats.org/officeDocument/2006/relationships/hyperlink" Target="https://polkadot.subsquare.io/treasury/child-bounties/851" TargetMode="External"/><Relationship Id="rId2134" Type="http://schemas.openxmlformats.org/officeDocument/2006/relationships/hyperlink" Target="https://polkadot.subsquare.io/treasury/child-bounties/1767" TargetMode="External"/><Relationship Id="rId453" Type="http://schemas.openxmlformats.org/officeDocument/2006/relationships/hyperlink" Target="https://polkadot.subsquare.io/referenda/1103" TargetMode="External"/><Relationship Id="rId1288" Type="http://schemas.openxmlformats.org/officeDocument/2006/relationships/hyperlink" Target="https://polkadot.subsquare.io/treasury/child-bounties/852" TargetMode="External"/><Relationship Id="rId2135" Type="http://schemas.openxmlformats.org/officeDocument/2006/relationships/hyperlink" Target="https://polkadot.subsquare.io/treasury/child-bounties/1768" TargetMode="External"/><Relationship Id="rId452" Type="http://schemas.openxmlformats.org/officeDocument/2006/relationships/hyperlink" Target="https://polkadot.subsquare.io/referenda/1102" TargetMode="External"/><Relationship Id="rId1289" Type="http://schemas.openxmlformats.org/officeDocument/2006/relationships/hyperlink" Target="https://polkadot.subsquare.io/treasury/child-bounties/853" TargetMode="External"/><Relationship Id="rId2136" Type="http://schemas.openxmlformats.org/officeDocument/2006/relationships/hyperlink" Target="https://polkadot.subsquare.io/treasury/child-bounties/1769" TargetMode="External"/><Relationship Id="rId491" Type="http://schemas.openxmlformats.org/officeDocument/2006/relationships/hyperlink" Target="https://polkadot.subsquare.io/treasury/child-bounties/22" TargetMode="External"/><Relationship Id="rId490" Type="http://schemas.openxmlformats.org/officeDocument/2006/relationships/hyperlink" Target="https://polkadot.subsquare.io/treasury/child-bounties/21" TargetMode="External"/><Relationship Id="rId489" Type="http://schemas.openxmlformats.org/officeDocument/2006/relationships/hyperlink" Target="https://polkadot.subsquare.io/treasury/child-bounties/20" TargetMode="External"/><Relationship Id="rId2160" Type="http://schemas.openxmlformats.org/officeDocument/2006/relationships/hyperlink" Target="https://polkadot.subsquare.io/treasury/child-bounties/1794" TargetMode="External"/><Relationship Id="rId2161" Type="http://schemas.openxmlformats.org/officeDocument/2006/relationships/hyperlink" Target="https://polkadot.subsquare.io/treasury/child-bounties/1795" TargetMode="External"/><Relationship Id="rId484" Type="http://schemas.openxmlformats.org/officeDocument/2006/relationships/hyperlink" Target="https://polkadot.subsquare.io/treasury/child-bounties/15" TargetMode="External"/><Relationship Id="rId2162" Type="http://schemas.openxmlformats.org/officeDocument/2006/relationships/hyperlink" Target="https://polkadot.subsquare.io/treasury/child-bounties/1796" TargetMode="External"/><Relationship Id="rId483" Type="http://schemas.openxmlformats.org/officeDocument/2006/relationships/hyperlink" Target="https://polkadot.subsquare.io/treasury/child-bounties/14" TargetMode="External"/><Relationship Id="rId2163" Type="http://schemas.openxmlformats.org/officeDocument/2006/relationships/hyperlink" Target="https://polkadot.subsquare.io/treasury/child-bounties/1797" TargetMode="External"/><Relationship Id="rId482" Type="http://schemas.openxmlformats.org/officeDocument/2006/relationships/hyperlink" Target="https://polkadot.subsquare.io/treasury/child-bounties/13" TargetMode="External"/><Relationship Id="rId2164" Type="http://schemas.openxmlformats.org/officeDocument/2006/relationships/hyperlink" Target="https://polkadot.subsquare.io/treasury/child-bounties/1798" TargetMode="External"/><Relationship Id="rId481" Type="http://schemas.openxmlformats.org/officeDocument/2006/relationships/hyperlink" Target="https://polkadot.subsquare.io/treasury/child-bounties/12" TargetMode="External"/><Relationship Id="rId2165" Type="http://schemas.openxmlformats.org/officeDocument/2006/relationships/hyperlink" Target="https://polkadot.subsquare.io/treasury/child-bounties/1799" TargetMode="External"/><Relationship Id="rId488" Type="http://schemas.openxmlformats.org/officeDocument/2006/relationships/hyperlink" Target="https://polkadot.subsquare.io/treasury/child-bounties/19" TargetMode="External"/><Relationship Id="rId2166" Type="http://schemas.openxmlformats.org/officeDocument/2006/relationships/hyperlink" Target="https://polkadot.subsquare.io/treasury/child-bounties/1800" TargetMode="External"/><Relationship Id="rId487" Type="http://schemas.openxmlformats.org/officeDocument/2006/relationships/hyperlink" Target="https://polkadot.subsquare.io/treasury/child-bounties/18" TargetMode="External"/><Relationship Id="rId2167" Type="http://schemas.openxmlformats.org/officeDocument/2006/relationships/hyperlink" Target="https://polkadot.subsquare.io/treasury/child-bounties/1801" TargetMode="External"/><Relationship Id="rId486" Type="http://schemas.openxmlformats.org/officeDocument/2006/relationships/hyperlink" Target="https://polkadot.subsquare.io/treasury/child-bounties/17" TargetMode="External"/><Relationship Id="rId2168" Type="http://schemas.openxmlformats.org/officeDocument/2006/relationships/hyperlink" Target="https://polkadot.subsquare.io/treasury/child-bounties/1802" TargetMode="External"/><Relationship Id="rId485" Type="http://schemas.openxmlformats.org/officeDocument/2006/relationships/hyperlink" Target="https://polkadot.subsquare.io/treasury/child-bounties/16" TargetMode="External"/><Relationship Id="rId2169" Type="http://schemas.openxmlformats.org/officeDocument/2006/relationships/hyperlink" Target="https://polkadot.subsquare.io/treasury/child-bounties/1803" TargetMode="External"/><Relationship Id="rId2159" Type="http://schemas.openxmlformats.org/officeDocument/2006/relationships/hyperlink" Target="https://polkadot.subsquare.io/treasury/child-bounties/1793" TargetMode="External"/><Relationship Id="rId480" Type="http://schemas.openxmlformats.org/officeDocument/2006/relationships/hyperlink" Target="https://polkadot.subsquare.io/treasury/child-bounties/11" TargetMode="External"/><Relationship Id="rId479" Type="http://schemas.openxmlformats.org/officeDocument/2006/relationships/hyperlink" Target="https://polkadot.subsquare.io/treasury/child-bounties/10" TargetMode="External"/><Relationship Id="rId478" Type="http://schemas.openxmlformats.org/officeDocument/2006/relationships/hyperlink" Target="https://polkadot.subsquare.io/treasury/child-bounties/9" TargetMode="External"/><Relationship Id="rId2150" Type="http://schemas.openxmlformats.org/officeDocument/2006/relationships/hyperlink" Target="https://polkadot.subsquare.io/treasury/child-bounties/1784" TargetMode="External"/><Relationship Id="rId473" Type="http://schemas.openxmlformats.org/officeDocument/2006/relationships/hyperlink" Target="https://polkadot.subsquare.io/treasury/child-bounties/4" TargetMode="External"/><Relationship Id="rId2151" Type="http://schemas.openxmlformats.org/officeDocument/2006/relationships/hyperlink" Target="https://polkadot.subsquare.io/treasury/child-bounties/1785" TargetMode="External"/><Relationship Id="rId472" Type="http://schemas.openxmlformats.org/officeDocument/2006/relationships/hyperlink" Target="https://polkadot.subsquare.io/treasury/child-bounties/3" TargetMode="External"/><Relationship Id="rId2152" Type="http://schemas.openxmlformats.org/officeDocument/2006/relationships/hyperlink" Target="https://polkadot.subsquare.io/treasury/child-bounties/1786" TargetMode="External"/><Relationship Id="rId471" Type="http://schemas.openxmlformats.org/officeDocument/2006/relationships/hyperlink" Target="https://polkadot.subsquare.io/treasury/child-bounties/2" TargetMode="External"/><Relationship Id="rId2153" Type="http://schemas.openxmlformats.org/officeDocument/2006/relationships/hyperlink" Target="https://polkadot.subsquare.io/treasury/child-bounties/1787" TargetMode="External"/><Relationship Id="rId470" Type="http://schemas.openxmlformats.org/officeDocument/2006/relationships/hyperlink" Target="https://polkadot.subsquare.io/treasury/child-bounties/1" TargetMode="External"/><Relationship Id="rId2154" Type="http://schemas.openxmlformats.org/officeDocument/2006/relationships/hyperlink" Target="https://polkadot.subsquare.io/treasury/child-bounties/1788" TargetMode="External"/><Relationship Id="rId477" Type="http://schemas.openxmlformats.org/officeDocument/2006/relationships/hyperlink" Target="https://polkadot.subsquare.io/treasury/child-bounties/8" TargetMode="External"/><Relationship Id="rId2155" Type="http://schemas.openxmlformats.org/officeDocument/2006/relationships/hyperlink" Target="https://polkadot.subsquare.io/treasury/child-bounties/1789" TargetMode="External"/><Relationship Id="rId476" Type="http://schemas.openxmlformats.org/officeDocument/2006/relationships/hyperlink" Target="https://polkadot.subsquare.io/treasury/child-bounties/7" TargetMode="External"/><Relationship Id="rId2156" Type="http://schemas.openxmlformats.org/officeDocument/2006/relationships/hyperlink" Target="https://polkadot.subsquare.io/treasury/child-bounties/1790" TargetMode="External"/><Relationship Id="rId475" Type="http://schemas.openxmlformats.org/officeDocument/2006/relationships/hyperlink" Target="https://polkadot.subsquare.io/treasury/child-bounties/6" TargetMode="External"/><Relationship Id="rId2157" Type="http://schemas.openxmlformats.org/officeDocument/2006/relationships/hyperlink" Target="https://polkadot.subsquare.io/treasury/child-bounties/1791" TargetMode="External"/><Relationship Id="rId474" Type="http://schemas.openxmlformats.org/officeDocument/2006/relationships/hyperlink" Target="https://polkadot.subsquare.io/treasury/child-bounties/5" TargetMode="External"/><Relationship Id="rId2158" Type="http://schemas.openxmlformats.org/officeDocument/2006/relationships/hyperlink" Target="https://polkadot.subsquare.io/treasury/child-bounties/1792" TargetMode="External"/><Relationship Id="rId1257" Type="http://schemas.openxmlformats.org/officeDocument/2006/relationships/hyperlink" Target="https://polkadot.subsquare.io/treasury/child-bounties/820" TargetMode="External"/><Relationship Id="rId2104" Type="http://schemas.openxmlformats.org/officeDocument/2006/relationships/hyperlink" Target="https://polkadot.subsquare.io/treasury/child-bounties/1736" TargetMode="External"/><Relationship Id="rId1258" Type="http://schemas.openxmlformats.org/officeDocument/2006/relationships/hyperlink" Target="https://polkadot.subsquare.io/treasury/child-bounties/821" TargetMode="External"/><Relationship Id="rId2105" Type="http://schemas.openxmlformats.org/officeDocument/2006/relationships/hyperlink" Target="https://polkadot.subsquare.io/treasury/child-bounties/1737" TargetMode="External"/><Relationship Id="rId1259" Type="http://schemas.openxmlformats.org/officeDocument/2006/relationships/hyperlink" Target="https://polkadot.subsquare.io/treasury/child-bounties/822" TargetMode="External"/><Relationship Id="rId2106" Type="http://schemas.openxmlformats.org/officeDocument/2006/relationships/hyperlink" Target="https://polkadot.subsquare.io/treasury/child-bounties/1738" TargetMode="External"/><Relationship Id="rId2107" Type="http://schemas.openxmlformats.org/officeDocument/2006/relationships/hyperlink" Target="https://polkadot.subsquare.io/treasury/child-bounties/1739" TargetMode="External"/><Relationship Id="rId2108" Type="http://schemas.openxmlformats.org/officeDocument/2006/relationships/hyperlink" Target="https://polkadot.subsquare.io/treasury/child-bounties/1740" TargetMode="External"/><Relationship Id="rId2109" Type="http://schemas.openxmlformats.org/officeDocument/2006/relationships/hyperlink" Target="https://polkadot.subsquare.io/treasury/child-bounties/1741" TargetMode="External"/><Relationship Id="rId426" Type="http://schemas.openxmlformats.org/officeDocument/2006/relationships/hyperlink" Target="https://polkadot.subsquare.io/referenda/997" TargetMode="External"/><Relationship Id="rId425" Type="http://schemas.openxmlformats.org/officeDocument/2006/relationships/hyperlink" Target="https://polkadot.subsquare.io/referenda/995" TargetMode="External"/><Relationship Id="rId424" Type="http://schemas.openxmlformats.org/officeDocument/2006/relationships/hyperlink" Target="https://polkadot.subsquare.io/referenda/987" TargetMode="External"/><Relationship Id="rId423" Type="http://schemas.openxmlformats.org/officeDocument/2006/relationships/hyperlink" Target="https://polkadot.subsquare.io/referenda/985" TargetMode="External"/><Relationship Id="rId429" Type="http://schemas.openxmlformats.org/officeDocument/2006/relationships/hyperlink" Target="https://polkadot.subsquare.io/referenda/1021" TargetMode="External"/><Relationship Id="rId428" Type="http://schemas.openxmlformats.org/officeDocument/2006/relationships/hyperlink" Target="https://polkadot.subsquare.io/referenda/1019" TargetMode="External"/><Relationship Id="rId427" Type="http://schemas.openxmlformats.org/officeDocument/2006/relationships/hyperlink" Target="https://polkadot.subsquare.io/referenda/1001" TargetMode="External"/><Relationship Id="rId1250" Type="http://schemas.openxmlformats.org/officeDocument/2006/relationships/hyperlink" Target="https://polkadot.subsquare.io/treasury/child-bounties/813" TargetMode="External"/><Relationship Id="rId1251" Type="http://schemas.openxmlformats.org/officeDocument/2006/relationships/hyperlink" Target="https://polkadot.subsquare.io/treasury/child-bounties/814" TargetMode="External"/><Relationship Id="rId1252" Type="http://schemas.openxmlformats.org/officeDocument/2006/relationships/hyperlink" Target="https://polkadot.subsquare.io/treasury/child-bounties/815" TargetMode="External"/><Relationship Id="rId422" Type="http://schemas.openxmlformats.org/officeDocument/2006/relationships/hyperlink" Target="https://polkadot.subsquare.io/referenda/971" TargetMode="External"/><Relationship Id="rId1253" Type="http://schemas.openxmlformats.org/officeDocument/2006/relationships/hyperlink" Target="https://polkadot.subsquare.io/treasury/child-bounties/816" TargetMode="External"/><Relationship Id="rId2100" Type="http://schemas.openxmlformats.org/officeDocument/2006/relationships/hyperlink" Target="https://polkadot.subsquare.io/treasury/child-bounties/1731" TargetMode="External"/><Relationship Id="rId421" Type="http://schemas.openxmlformats.org/officeDocument/2006/relationships/hyperlink" Target="https://polkadot.subsquare.io/referenda/970" TargetMode="External"/><Relationship Id="rId1254" Type="http://schemas.openxmlformats.org/officeDocument/2006/relationships/hyperlink" Target="https://polkadot.subsquare.io/treasury/child-bounties/817" TargetMode="External"/><Relationship Id="rId2101" Type="http://schemas.openxmlformats.org/officeDocument/2006/relationships/hyperlink" Target="https://polkadot.subsquare.io/treasury/child-bounties/1733" TargetMode="External"/><Relationship Id="rId420" Type="http://schemas.openxmlformats.org/officeDocument/2006/relationships/hyperlink" Target="https://polkadot.subsquare.io/referenda/965" TargetMode="External"/><Relationship Id="rId1255" Type="http://schemas.openxmlformats.org/officeDocument/2006/relationships/hyperlink" Target="https://polkadot.subsquare.io/treasury/child-bounties/818" TargetMode="External"/><Relationship Id="rId2102" Type="http://schemas.openxmlformats.org/officeDocument/2006/relationships/hyperlink" Target="https://polkadot.subsquare.io/treasury/child-bounties/1734" TargetMode="External"/><Relationship Id="rId1256" Type="http://schemas.openxmlformats.org/officeDocument/2006/relationships/hyperlink" Target="https://polkadot.subsquare.io/treasury/child-bounties/819" TargetMode="External"/><Relationship Id="rId2103" Type="http://schemas.openxmlformats.org/officeDocument/2006/relationships/hyperlink" Target="https://polkadot.subsquare.io/treasury/child-bounties/1735" TargetMode="External"/><Relationship Id="rId1246" Type="http://schemas.openxmlformats.org/officeDocument/2006/relationships/hyperlink" Target="https://polkadot.subsquare.io/treasury/child-bounties/809" TargetMode="External"/><Relationship Id="rId1247" Type="http://schemas.openxmlformats.org/officeDocument/2006/relationships/hyperlink" Target="https://polkadot.subsquare.io/treasury/child-bounties/810" TargetMode="External"/><Relationship Id="rId1248" Type="http://schemas.openxmlformats.org/officeDocument/2006/relationships/hyperlink" Target="https://polkadot.subsquare.io/treasury/child-bounties/811" TargetMode="External"/><Relationship Id="rId1249" Type="http://schemas.openxmlformats.org/officeDocument/2006/relationships/hyperlink" Target="https://polkadot.subsquare.io/treasury/child-bounties/812" TargetMode="External"/><Relationship Id="rId415" Type="http://schemas.openxmlformats.org/officeDocument/2006/relationships/hyperlink" Target="https://polkadot.subsquare.io/referenda/944" TargetMode="External"/><Relationship Id="rId899" Type="http://schemas.openxmlformats.org/officeDocument/2006/relationships/hyperlink" Target="https://polkadot.subsquare.io/treasury/child-bounties/452" TargetMode="External"/><Relationship Id="rId414" Type="http://schemas.openxmlformats.org/officeDocument/2006/relationships/hyperlink" Target="https://polkadot.subsquare.io/referenda/943" TargetMode="External"/><Relationship Id="rId898" Type="http://schemas.openxmlformats.org/officeDocument/2006/relationships/hyperlink" Target="https://polkadot.subsquare.io/treasury/child-bounties/451" TargetMode="External"/><Relationship Id="rId413" Type="http://schemas.openxmlformats.org/officeDocument/2006/relationships/hyperlink" Target="https://polkadot.subsquare.io/referenda/942" TargetMode="External"/><Relationship Id="rId897" Type="http://schemas.openxmlformats.org/officeDocument/2006/relationships/hyperlink" Target="https://polkadot.subsquare.io/treasury/child-bounties/450" TargetMode="External"/><Relationship Id="rId412" Type="http://schemas.openxmlformats.org/officeDocument/2006/relationships/hyperlink" Target="https://polkadot.subsquare.io/referenda/938" TargetMode="External"/><Relationship Id="rId896" Type="http://schemas.openxmlformats.org/officeDocument/2006/relationships/hyperlink" Target="https://polkadot.subsquare.io/treasury/child-bounties/449" TargetMode="External"/><Relationship Id="rId419" Type="http://schemas.openxmlformats.org/officeDocument/2006/relationships/hyperlink" Target="https://polkadot.subsquare.io/referenda/961" TargetMode="External"/><Relationship Id="rId418" Type="http://schemas.openxmlformats.org/officeDocument/2006/relationships/hyperlink" Target="https://polkadot.subsquare.io/referenda/955" TargetMode="External"/><Relationship Id="rId417" Type="http://schemas.openxmlformats.org/officeDocument/2006/relationships/hyperlink" Target="https://polkadot.subsquare.io/referenda/948" TargetMode="External"/><Relationship Id="rId416" Type="http://schemas.openxmlformats.org/officeDocument/2006/relationships/hyperlink" Target="https://polkadot.subsquare.io/referenda/947" TargetMode="External"/><Relationship Id="rId891" Type="http://schemas.openxmlformats.org/officeDocument/2006/relationships/hyperlink" Target="https://polkadot.subsquare.io/treasury/child-bounties/444" TargetMode="External"/><Relationship Id="rId890" Type="http://schemas.openxmlformats.org/officeDocument/2006/relationships/hyperlink" Target="https://polkadot.subsquare.io/treasury/child-bounties/443" TargetMode="External"/><Relationship Id="rId1240" Type="http://schemas.openxmlformats.org/officeDocument/2006/relationships/hyperlink" Target="https://polkadot.subsquare.io/treasury/child-bounties/803" TargetMode="External"/><Relationship Id="rId1241" Type="http://schemas.openxmlformats.org/officeDocument/2006/relationships/hyperlink" Target="https://polkadot.subsquare.io/treasury/child-bounties/804" TargetMode="External"/><Relationship Id="rId411" Type="http://schemas.openxmlformats.org/officeDocument/2006/relationships/hyperlink" Target="https://polkadot.subsquare.io/referenda/933" TargetMode="External"/><Relationship Id="rId895" Type="http://schemas.openxmlformats.org/officeDocument/2006/relationships/hyperlink" Target="https://polkadot.subsquare.io/treasury/child-bounties/448" TargetMode="External"/><Relationship Id="rId1242" Type="http://schemas.openxmlformats.org/officeDocument/2006/relationships/hyperlink" Target="https://polkadot.subsquare.io/treasury/child-bounties/805" TargetMode="External"/><Relationship Id="rId410" Type="http://schemas.openxmlformats.org/officeDocument/2006/relationships/hyperlink" Target="https://polkadot.subsquare.io/referenda/931" TargetMode="External"/><Relationship Id="rId894" Type="http://schemas.openxmlformats.org/officeDocument/2006/relationships/hyperlink" Target="https://polkadot.subsquare.io/treasury/child-bounties/447" TargetMode="External"/><Relationship Id="rId1243" Type="http://schemas.openxmlformats.org/officeDocument/2006/relationships/hyperlink" Target="https://polkadot.subsquare.io/treasury/child-bounties/806" TargetMode="External"/><Relationship Id="rId893" Type="http://schemas.openxmlformats.org/officeDocument/2006/relationships/hyperlink" Target="https://polkadot.subsquare.io/treasury/child-bounties/446" TargetMode="External"/><Relationship Id="rId1244" Type="http://schemas.openxmlformats.org/officeDocument/2006/relationships/hyperlink" Target="https://polkadot.subsquare.io/treasury/child-bounties/807" TargetMode="External"/><Relationship Id="rId892" Type="http://schemas.openxmlformats.org/officeDocument/2006/relationships/hyperlink" Target="https://polkadot.subsquare.io/treasury/child-bounties/445" TargetMode="External"/><Relationship Id="rId1245" Type="http://schemas.openxmlformats.org/officeDocument/2006/relationships/hyperlink" Target="https://polkadot.subsquare.io/treasury/child-bounties/808" TargetMode="External"/><Relationship Id="rId1279" Type="http://schemas.openxmlformats.org/officeDocument/2006/relationships/hyperlink" Target="https://polkadot.subsquare.io/treasury/child-bounties/843" TargetMode="External"/><Relationship Id="rId2126" Type="http://schemas.openxmlformats.org/officeDocument/2006/relationships/hyperlink" Target="https://polkadot.subsquare.io/treasury/child-bounties/1759" TargetMode="External"/><Relationship Id="rId2127" Type="http://schemas.openxmlformats.org/officeDocument/2006/relationships/hyperlink" Target="https://polkadot.subsquare.io/treasury/child-bounties/1760" TargetMode="External"/><Relationship Id="rId2128" Type="http://schemas.openxmlformats.org/officeDocument/2006/relationships/hyperlink" Target="https://polkadot.subsquare.io/treasury/child-bounties/1761" TargetMode="External"/><Relationship Id="rId2129" Type="http://schemas.openxmlformats.org/officeDocument/2006/relationships/hyperlink" Target="https://polkadot.subsquare.io/treasury/child-bounties/1762" TargetMode="External"/><Relationship Id="rId448" Type="http://schemas.openxmlformats.org/officeDocument/2006/relationships/hyperlink" Target="https://polkadot.subsquare.io/referenda/1088" TargetMode="External"/><Relationship Id="rId447" Type="http://schemas.openxmlformats.org/officeDocument/2006/relationships/hyperlink" Target="https://polkadot.subsquare.io/referenda/1082" TargetMode="External"/><Relationship Id="rId446" Type="http://schemas.openxmlformats.org/officeDocument/2006/relationships/hyperlink" Target="https://polkadot.subsquare.io/referenda/1079" TargetMode="External"/><Relationship Id="rId445" Type="http://schemas.openxmlformats.org/officeDocument/2006/relationships/hyperlink" Target="https://polkadot.subsquare.io/referenda/1076" TargetMode="External"/><Relationship Id="rId449" Type="http://schemas.openxmlformats.org/officeDocument/2006/relationships/hyperlink" Target="https://polkadot.subsquare.io/referenda/1091" TargetMode="External"/><Relationship Id="rId1270" Type="http://schemas.openxmlformats.org/officeDocument/2006/relationships/hyperlink" Target="https://polkadot.subsquare.io/treasury/child-bounties/833" TargetMode="External"/><Relationship Id="rId440" Type="http://schemas.openxmlformats.org/officeDocument/2006/relationships/hyperlink" Target="https://polkadot.subsquare.io/referenda/1057" TargetMode="External"/><Relationship Id="rId1271" Type="http://schemas.openxmlformats.org/officeDocument/2006/relationships/hyperlink" Target="https://polkadot.subsquare.io/treasury/child-bounties/834" TargetMode="External"/><Relationship Id="rId1272" Type="http://schemas.openxmlformats.org/officeDocument/2006/relationships/hyperlink" Target="https://polkadot.subsquare.io/treasury/child-bounties/835" TargetMode="External"/><Relationship Id="rId1273" Type="http://schemas.openxmlformats.org/officeDocument/2006/relationships/hyperlink" Target="https://polkadot.subsquare.io/treasury/child-bounties/836" TargetMode="External"/><Relationship Id="rId2120" Type="http://schemas.openxmlformats.org/officeDocument/2006/relationships/hyperlink" Target="https://polkadot.subsquare.io/treasury/child-bounties/1753" TargetMode="External"/><Relationship Id="rId1274" Type="http://schemas.openxmlformats.org/officeDocument/2006/relationships/hyperlink" Target="https://polkadot.subsquare.io/treasury/child-bounties/837" TargetMode="External"/><Relationship Id="rId2121" Type="http://schemas.openxmlformats.org/officeDocument/2006/relationships/hyperlink" Target="https://polkadot.subsquare.io/treasury/child-bounties/1754" TargetMode="External"/><Relationship Id="rId444" Type="http://schemas.openxmlformats.org/officeDocument/2006/relationships/hyperlink" Target="https://polkadot.subsquare.io/referenda/1071" TargetMode="External"/><Relationship Id="rId1275" Type="http://schemas.openxmlformats.org/officeDocument/2006/relationships/hyperlink" Target="https://polkadot.subsquare.io/treasury/child-bounties/838" TargetMode="External"/><Relationship Id="rId2122" Type="http://schemas.openxmlformats.org/officeDocument/2006/relationships/hyperlink" Target="https://polkadot.subsquare.io/treasury/child-bounties/1755" TargetMode="External"/><Relationship Id="rId443" Type="http://schemas.openxmlformats.org/officeDocument/2006/relationships/hyperlink" Target="https://polkadot.subsquare.io/referenda/1069" TargetMode="External"/><Relationship Id="rId1276" Type="http://schemas.openxmlformats.org/officeDocument/2006/relationships/hyperlink" Target="https://polkadot.subsquare.io/treasury/child-bounties/839" TargetMode="External"/><Relationship Id="rId2123" Type="http://schemas.openxmlformats.org/officeDocument/2006/relationships/hyperlink" Target="https://polkadot.subsquare.io/treasury/child-bounties/1756" TargetMode="External"/><Relationship Id="rId442" Type="http://schemas.openxmlformats.org/officeDocument/2006/relationships/hyperlink" Target="https://polkadot.subsquare.io/referenda/1061" TargetMode="External"/><Relationship Id="rId1277" Type="http://schemas.openxmlformats.org/officeDocument/2006/relationships/hyperlink" Target="https://polkadot.subsquare.io/treasury/child-bounties/841" TargetMode="External"/><Relationship Id="rId2124" Type="http://schemas.openxmlformats.org/officeDocument/2006/relationships/hyperlink" Target="https://polkadot.subsquare.io/treasury/child-bounties/1757" TargetMode="External"/><Relationship Id="rId441" Type="http://schemas.openxmlformats.org/officeDocument/2006/relationships/hyperlink" Target="https://polkadot.subsquare.io/referenda/1060" TargetMode="External"/><Relationship Id="rId1278" Type="http://schemas.openxmlformats.org/officeDocument/2006/relationships/hyperlink" Target="https://polkadot.subsquare.io/treasury/child-bounties/842" TargetMode="External"/><Relationship Id="rId2125" Type="http://schemas.openxmlformats.org/officeDocument/2006/relationships/hyperlink" Target="https://polkadot.subsquare.io/treasury/child-bounties/1758" TargetMode="External"/><Relationship Id="rId1268" Type="http://schemas.openxmlformats.org/officeDocument/2006/relationships/hyperlink" Target="https://polkadot.subsquare.io/treasury/child-bounties/831" TargetMode="External"/><Relationship Id="rId2115" Type="http://schemas.openxmlformats.org/officeDocument/2006/relationships/hyperlink" Target="https://polkadot.subsquare.io/treasury/child-bounties/1748" TargetMode="External"/><Relationship Id="rId1269" Type="http://schemas.openxmlformats.org/officeDocument/2006/relationships/hyperlink" Target="https://polkadot.subsquare.io/treasury/child-bounties/832" TargetMode="External"/><Relationship Id="rId2116" Type="http://schemas.openxmlformats.org/officeDocument/2006/relationships/hyperlink" Target="https://polkadot.subsquare.io/treasury/child-bounties/1749" TargetMode="External"/><Relationship Id="rId2117" Type="http://schemas.openxmlformats.org/officeDocument/2006/relationships/hyperlink" Target="https://polkadot.subsquare.io/treasury/child-bounties/1750" TargetMode="External"/><Relationship Id="rId2118" Type="http://schemas.openxmlformats.org/officeDocument/2006/relationships/hyperlink" Target="https://polkadot.subsquare.io/treasury/child-bounties/1751" TargetMode="External"/><Relationship Id="rId2119" Type="http://schemas.openxmlformats.org/officeDocument/2006/relationships/hyperlink" Target="https://polkadot.subsquare.io/treasury/child-bounties/1752" TargetMode="External"/><Relationship Id="rId437" Type="http://schemas.openxmlformats.org/officeDocument/2006/relationships/hyperlink" Target="https://polkadot.subsquare.io/referenda/1054" TargetMode="External"/><Relationship Id="rId436" Type="http://schemas.openxmlformats.org/officeDocument/2006/relationships/hyperlink" Target="https://polkadot.subsquare.io/referenda/1052" TargetMode="External"/><Relationship Id="rId435" Type="http://schemas.openxmlformats.org/officeDocument/2006/relationships/hyperlink" Target="https://polkadot.subsquare.io/referenda/1045" TargetMode="External"/><Relationship Id="rId434" Type="http://schemas.openxmlformats.org/officeDocument/2006/relationships/hyperlink" Target="https://polkadot.subsquare.io/referenda/1044" TargetMode="External"/><Relationship Id="rId439" Type="http://schemas.openxmlformats.org/officeDocument/2006/relationships/hyperlink" Target="https://polkadot.subsquare.io/referenda/1056" TargetMode="External"/><Relationship Id="rId438" Type="http://schemas.openxmlformats.org/officeDocument/2006/relationships/hyperlink" Target="https://polkadot.subsquare.io/referenda/1055" TargetMode="External"/><Relationship Id="rId1260" Type="http://schemas.openxmlformats.org/officeDocument/2006/relationships/hyperlink" Target="https://polkadot.subsquare.io/treasury/child-bounties/823" TargetMode="External"/><Relationship Id="rId1261" Type="http://schemas.openxmlformats.org/officeDocument/2006/relationships/hyperlink" Target="https://polkadot.subsquare.io/treasury/child-bounties/824" TargetMode="External"/><Relationship Id="rId1262" Type="http://schemas.openxmlformats.org/officeDocument/2006/relationships/hyperlink" Target="https://polkadot.subsquare.io/treasury/child-bounties/825" TargetMode="External"/><Relationship Id="rId1263" Type="http://schemas.openxmlformats.org/officeDocument/2006/relationships/hyperlink" Target="https://polkadot.subsquare.io/treasury/child-bounties/826" TargetMode="External"/><Relationship Id="rId2110" Type="http://schemas.openxmlformats.org/officeDocument/2006/relationships/hyperlink" Target="https://polkadot.subsquare.io/treasury/child-bounties/1742" TargetMode="External"/><Relationship Id="rId433" Type="http://schemas.openxmlformats.org/officeDocument/2006/relationships/hyperlink" Target="https://polkadot.subsquare.io/referenda/1037" TargetMode="External"/><Relationship Id="rId1264" Type="http://schemas.openxmlformats.org/officeDocument/2006/relationships/hyperlink" Target="https://polkadot.subsquare.io/treasury/child-bounties/827" TargetMode="External"/><Relationship Id="rId2111" Type="http://schemas.openxmlformats.org/officeDocument/2006/relationships/hyperlink" Target="https://polkadot.subsquare.io/treasury/child-bounties/1743" TargetMode="External"/><Relationship Id="rId432" Type="http://schemas.openxmlformats.org/officeDocument/2006/relationships/hyperlink" Target="https://polkadot.subsquare.io/referenda/1035" TargetMode="External"/><Relationship Id="rId1265" Type="http://schemas.openxmlformats.org/officeDocument/2006/relationships/hyperlink" Target="https://polkadot.subsquare.io/treasury/child-bounties/828" TargetMode="External"/><Relationship Id="rId2112" Type="http://schemas.openxmlformats.org/officeDocument/2006/relationships/hyperlink" Target="https://polkadot.subsquare.io/treasury/child-bounties/1744" TargetMode="External"/><Relationship Id="rId431" Type="http://schemas.openxmlformats.org/officeDocument/2006/relationships/hyperlink" Target="https://polkadot.subsquare.io/referenda/1031" TargetMode="External"/><Relationship Id="rId1266" Type="http://schemas.openxmlformats.org/officeDocument/2006/relationships/hyperlink" Target="https://polkadot.subsquare.io/treasury/child-bounties/829" TargetMode="External"/><Relationship Id="rId2113" Type="http://schemas.openxmlformats.org/officeDocument/2006/relationships/hyperlink" Target="https://polkadot.subsquare.io/treasury/child-bounties/1745" TargetMode="External"/><Relationship Id="rId430" Type="http://schemas.openxmlformats.org/officeDocument/2006/relationships/hyperlink" Target="https://polkadot.subsquare.io/referenda/1025" TargetMode="External"/><Relationship Id="rId1267" Type="http://schemas.openxmlformats.org/officeDocument/2006/relationships/hyperlink" Target="https://polkadot.subsquare.io/treasury/child-bounties/830" TargetMode="External"/><Relationship Id="rId2114" Type="http://schemas.openxmlformats.org/officeDocument/2006/relationships/hyperlink" Target="https://polkadot.subsquare.io/treasury/child-bounties/1746" TargetMode="Externa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6.xml"/><Relationship Id="rId2" Type="http://schemas.openxmlformats.org/officeDocument/2006/relationships/pivotTable" Target="../pivotTables/pivotTable7.xml"/><Relationship Id="rId3"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github.com/paritytech/polkadot-api/pull/200"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8.xml"/><Relationship Id="rId2" Type="http://schemas.openxmlformats.org/officeDocument/2006/relationships/pivotTable" Target="../pivotTables/pivotTable9.xml"/><Relationship Id="rId3" Type="http://schemas.openxmlformats.org/officeDocument/2006/relationships/pivotTable" Target="../pivotTables/pivotTable10.xml"/><Relationship Id="rId4"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 Id="rId2" Type="http://schemas.openxmlformats.org/officeDocument/2006/relationships/pivotTable" Target="../pivotTables/pivotTable12.xml"/><Relationship Id="rId3" Type="http://schemas.openxmlformats.org/officeDocument/2006/relationships/pivotTable" Target="../pivotTables/pivotTable13.xml"/><Relationship Id="rId4" Type="http://schemas.openxmlformats.org/officeDocument/2006/relationships/pivotTable" Target="../pivotTables/pivotTable14.xml"/><Relationship Id="rId5" Type="http://schemas.openxmlformats.org/officeDocument/2006/relationships/pivotTable" Target="../pivotTables/pivotTable15.xml"/><Relationship Id="rId6" Type="http://schemas.openxmlformats.org/officeDocument/2006/relationships/pivotTable" Target="../pivotTables/pivotTable16.xml"/><Relationship Id="rId7"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polkadot.subsquare.io/treasury/bounties/17" TargetMode="External"/><Relationship Id="rId2" Type="http://schemas.openxmlformats.org/officeDocument/2006/relationships/hyperlink" Target="https://polkadot.subsquare.io/treasury/bounties/10" TargetMode="External"/><Relationship Id="rId3" Type="http://schemas.openxmlformats.org/officeDocument/2006/relationships/hyperlink" Target="https://polkadot.subsquare.io/treasury/bounties/36" TargetMode="External"/><Relationship Id="rId4" Type="http://schemas.openxmlformats.org/officeDocument/2006/relationships/hyperlink" Target="https://polkadot.subsquare.io/treasury/bounties/38" TargetMode="External"/><Relationship Id="rId9" Type="http://schemas.openxmlformats.org/officeDocument/2006/relationships/hyperlink" Target="https://polkadot.subsquare.io/treasury/bounties/37" TargetMode="External"/><Relationship Id="rId5" Type="http://schemas.openxmlformats.org/officeDocument/2006/relationships/hyperlink" Target="https://polkadot.subsquare.io/treasury/bounties/22" TargetMode="External"/><Relationship Id="rId6" Type="http://schemas.openxmlformats.org/officeDocument/2006/relationships/hyperlink" Target="https://polkadot.subsquare.io/treasury/bounties/50" TargetMode="External"/><Relationship Id="rId7" Type="http://schemas.openxmlformats.org/officeDocument/2006/relationships/hyperlink" Target="https://polkadot.subsquare.io/treasury/bounties/19" TargetMode="External"/><Relationship Id="rId8" Type="http://schemas.openxmlformats.org/officeDocument/2006/relationships/hyperlink" Target="https://polkadot.subsquare.io/treasury/bounties/39" TargetMode="External"/><Relationship Id="rId20" Type="http://schemas.openxmlformats.org/officeDocument/2006/relationships/hyperlink" Target="https://polkadot.subsquare.io/treasury/bounties/43" TargetMode="External"/><Relationship Id="rId21" Type="http://schemas.openxmlformats.org/officeDocument/2006/relationships/drawing" Target="../drawings/drawing9.xml"/><Relationship Id="rId11" Type="http://schemas.openxmlformats.org/officeDocument/2006/relationships/hyperlink" Target="https://polkadot.subsquare.io/treasury/bounties/11" TargetMode="External"/><Relationship Id="rId10" Type="http://schemas.openxmlformats.org/officeDocument/2006/relationships/hyperlink" Target="https://polkadot.subsquare.io/treasury/bounties/27" TargetMode="External"/><Relationship Id="rId13" Type="http://schemas.openxmlformats.org/officeDocument/2006/relationships/hyperlink" Target="https://polkadot.subsquare.io/treasury/bounties/33" TargetMode="External"/><Relationship Id="rId12" Type="http://schemas.openxmlformats.org/officeDocument/2006/relationships/hyperlink" Target="https://polkadot.subsquare.io/treasury/bounties/44" TargetMode="External"/><Relationship Id="rId15" Type="http://schemas.openxmlformats.org/officeDocument/2006/relationships/hyperlink" Target="https://polkadot.subsquare.io/treasury/bounties/32" TargetMode="External"/><Relationship Id="rId14" Type="http://schemas.openxmlformats.org/officeDocument/2006/relationships/hyperlink" Target="https://polkadot.subsquare.io/treasury/bounties/49" TargetMode="External"/><Relationship Id="rId17" Type="http://schemas.openxmlformats.org/officeDocument/2006/relationships/hyperlink" Target="https://polkadot.subsquare.io/treasury/bounties/24" TargetMode="External"/><Relationship Id="rId16" Type="http://schemas.openxmlformats.org/officeDocument/2006/relationships/hyperlink" Target="https://polkadot.subsquare.io/treasury/bounties/31" TargetMode="External"/><Relationship Id="rId19" Type="http://schemas.openxmlformats.org/officeDocument/2006/relationships/hyperlink" Target="https://polkadot.subsquare.io/treasury/bounties/40" TargetMode="External"/><Relationship Id="rId18" Type="http://schemas.openxmlformats.org/officeDocument/2006/relationships/hyperlink" Target="https://polkadot.subsquare.io/treasury/bounties/42"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github.com/paritytech/frontier/security/advisories/GHSA-hc8w-mx86-9fcj" TargetMode="External"/><Relationship Id="rId2" Type="http://schemas.openxmlformats.org/officeDocument/2006/relationships/hyperlink" Target="https://github.com/paritytech/frontier/security/advisories/GHSA-fcmm-54jp-7vf6" TargetMode="External"/><Relationship Id="rId3"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7.xml"/><Relationship Id="rId2"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3" width="4.75"/>
    <col customWidth="1" min="4" max="4" width="5.5"/>
    <col customWidth="1" min="5" max="5" width="10.13"/>
    <col customWidth="1" min="6" max="8" width="4.75"/>
    <col customWidth="1" min="9" max="9" width="23.63"/>
    <col customWidth="1" min="10" max="10" width="13.0"/>
    <col customWidth="1" min="11" max="11" width="13.63"/>
    <col customWidth="1" min="12" max="13" width="14.25"/>
    <col customWidth="1" min="15" max="15" width="13.38"/>
  </cols>
  <sheetData>
    <row r="1" ht="15.0" customHeight="1">
      <c r="A1" s="1"/>
      <c r="B1" s="1"/>
      <c r="C1" s="1"/>
      <c r="D1" s="1"/>
      <c r="E1" s="1"/>
      <c r="F1" s="1"/>
      <c r="G1" s="1"/>
      <c r="H1" s="1"/>
      <c r="I1" s="1"/>
      <c r="J1" s="1"/>
      <c r="K1" s="2"/>
      <c r="L1" s="1"/>
      <c r="M1" s="1"/>
      <c r="N1" s="1"/>
      <c r="O1" s="1"/>
      <c r="P1" s="1"/>
      <c r="Q1" s="1"/>
      <c r="R1" s="1"/>
      <c r="S1" s="1"/>
      <c r="T1" s="1"/>
      <c r="U1" s="1"/>
      <c r="V1" s="1"/>
      <c r="W1" s="1"/>
      <c r="X1" s="1"/>
      <c r="Y1" s="1"/>
      <c r="Z1" s="1"/>
      <c r="AA1" s="1"/>
      <c r="AB1" s="1"/>
      <c r="AC1" s="1"/>
      <c r="AD1" s="1"/>
      <c r="AE1" s="1"/>
      <c r="AF1" s="1"/>
      <c r="AG1" s="1"/>
      <c r="AH1" s="1"/>
    </row>
    <row r="2" ht="15.0" customHeight="1">
      <c r="A2" s="1"/>
      <c r="B2" s="3" t="s">
        <v>0</v>
      </c>
      <c r="C2" s="1"/>
      <c r="D2" s="1"/>
      <c r="E2" s="1"/>
      <c r="F2" s="1"/>
      <c r="G2" s="1"/>
      <c r="H2" s="1"/>
      <c r="I2" s="1"/>
      <c r="J2" s="1"/>
      <c r="K2" s="2"/>
      <c r="L2" s="1"/>
      <c r="M2" s="1"/>
      <c r="N2" s="1" t="s">
        <v>1</v>
      </c>
      <c r="O2" s="4">
        <v>4.61</v>
      </c>
      <c r="P2" s="1"/>
      <c r="Q2" s="1"/>
      <c r="R2" s="1"/>
      <c r="S2" s="1"/>
      <c r="T2" s="1"/>
      <c r="U2" s="1"/>
      <c r="V2" s="1"/>
      <c r="W2" s="1"/>
      <c r="X2" s="1"/>
      <c r="Y2" s="1"/>
      <c r="Z2" s="1"/>
      <c r="AA2" s="1"/>
      <c r="AB2" s="1"/>
      <c r="AC2" s="1"/>
      <c r="AD2" s="1"/>
      <c r="AE2" s="1"/>
      <c r="AF2" s="1"/>
      <c r="AG2" s="1"/>
      <c r="AH2" s="1"/>
    </row>
    <row r="3" ht="15.0" customHeight="1">
      <c r="A3" s="1"/>
      <c r="B3" s="1"/>
      <c r="C3" s="1"/>
      <c r="D3" s="1"/>
      <c r="E3" s="1"/>
      <c r="F3" s="1"/>
      <c r="G3" s="1"/>
      <c r="H3" s="1"/>
      <c r="I3" s="1"/>
      <c r="J3" s="1"/>
      <c r="K3" s="2"/>
      <c r="L3" s="1"/>
      <c r="M3" s="1"/>
      <c r="N3" s="1"/>
      <c r="O3" s="1"/>
      <c r="P3" s="1"/>
      <c r="Q3" s="1"/>
      <c r="R3" s="1"/>
      <c r="S3" s="1"/>
      <c r="T3" s="1"/>
      <c r="U3" s="1"/>
      <c r="V3" s="5"/>
      <c r="W3" s="6"/>
      <c r="X3" s="1"/>
      <c r="Y3" s="1"/>
      <c r="Z3" s="1"/>
      <c r="AA3" s="1"/>
      <c r="AB3" s="1"/>
      <c r="AC3" s="1"/>
      <c r="AD3" s="1"/>
      <c r="AE3" s="1"/>
      <c r="AF3" s="1"/>
      <c r="AG3" s="1"/>
      <c r="AH3" s="1"/>
    </row>
    <row r="4" ht="15.0" customHeight="1">
      <c r="A4" s="1"/>
      <c r="B4" s="7" t="s">
        <v>2</v>
      </c>
      <c r="C4" s="1"/>
      <c r="D4" s="1"/>
      <c r="E4" s="1"/>
      <c r="F4" s="1"/>
      <c r="G4" s="1"/>
      <c r="H4" s="1"/>
      <c r="I4" s="1"/>
      <c r="J4" s="5" t="s">
        <v>3</v>
      </c>
      <c r="K4" s="2" t="s">
        <v>4</v>
      </c>
      <c r="L4" s="3"/>
      <c r="M4" s="3" t="s">
        <v>5</v>
      </c>
      <c r="N4" s="1"/>
      <c r="O4" s="1"/>
      <c r="P4" s="1"/>
      <c r="S4" s="1"/>
      <c r="T4" s="1"/>
      <c r="U4" s="1"/>
      <c r="V4" s="1"/>
      <c r="W4" s="1"/>
      <c r="X4" s="1"/>
      <c r="Y4" s="1"/>
      <c r="Z4" s="1"/>
      <c r="AA4" s="1"/>
      <c r="AB4" s="1"/>
      <c r="AC4" s="1"/>
      <c r="AD4" s="1"/>
      <c r="AE4" s="1"/>
      <c r="AF4" s="1"/>
      <c r="AG4" s="1"/>
      <c r="AH4" s="1"/>
    </row>
    <row r="5" ht="15.0" customHeight="1">
      <c r="A5" s="1"/>
      <c r="B5" s="1" t="s">
        <v>6</v>
      </c>
      <c r="C5" s="1"/>
      <c r="D5" s="1"/>
      <c r="E5" s="1"/>
      <c r="F5" s="1"/>
      <c r="G5" s="1"/>
      <c r="H5" s="1"/>
      <c r="I5" s="1"/>
      <c r="J5" s="5"/>
      <c r="K5" s="2"/>
      <c r="L5" s="1"/>
      <c r="M5" s="1"/>
      <c r="N5" s="1"/>
      <c r="O5" s="1"/>
      <c r="P5" s="1"/>
      <c r="S5" s="1"/>
      <c r="T5" s="1"/>
      <c r="U5" s="1"/>
      <c r="V5" s="1"/>
      <c r="W5" s="1"/>
      <c r="X5" s="1"/>
      <c r="Y5" s="1"/>
      <c r="Z5" s="1"/>
      <c r="AA5" s="1"/>
      <c r="AB5" s="1"/>
      <c r="AC5" s="1"/>
      <c r="AD5" s="1"/>
      <c r="AE5" s="1"/>
      <c r="AF5" s="1"/>
      <c r="AG5" s="1"/>
      <c r="AH5" s="1"/>
    </row>
    <row r="6" ht="15.0" customHeight="1">
      <c r="A6" s="1"/>
      <c r="B6" s="1"/>
      <c r="C6" s="1" t="s">
        <v>7</v>
      </c>
      <c r="D6" s="1"/>
      <c r="E6" s="1"/>
      <c r="F6" s="1"/>
      <c r="G6" s="1"/>
      <c r="H6" s="1"/>
      <c r="I6" s="1"/>
      <c r="J6" s="5"/>
      <c r="K6" s="2"/>
      <c r="L6" s="1"/>
      <c r="M6" s="1"/>
      <c r="N6" s="1"/>
      <c r="O6" s="1"/>
      <c r="P6" s="1"/>
      <c r="S6" s="1"/>
      <c r="T6" s="1"/>
      <c r="U6" s="1"/>
      <c r="V6" s="1"/>
      <c r="W6" s="1"/>
      <c r="X6" s="1"/>
      <c r="Y6" s="1"/>
      <c r="Z6" s="1"/>
      <c r="AA6" s="1"/>
      <c r="AB6" s="1"/>
      <c r="AC6" s="1"/>
      <c r="AD6" s="1"/>
      <c r="AE6" s="1"/>
      <c r="AF6" s="1"/>
      <c r="AG6" s="1"/>
      <c r="AH6" s="1"/>
    </row>
    <row r="7" ht="15.0" customHeight="1">
      <c r="A7" s="1"/>
      <c r="B7" s="1"/>
      <c r="C7" s="1"/>
      <c r="D7" s="3" t="s">
        <v>3</v>
      </c>
      <c r="E7" s="8" t="s">
        <v>8</v>
      </c>
      <c r="F7" s="9" t="s">
        <v>9</v>
      </c>
      <c r="G7" s="1"/>
      <c r="H7" s="1"/>
      <c r="I7" s="1"/>
      <c r="J7" s="10">
        <v>1.1569224E7</v>
      </c>
      <c r="K7" s="11">
        <f t="shared" ref="K7:K8" si="1">J7*$O$2</f>
        <v>53334122.64</v>
      </c>
      <c r="L7" s="1"/>
      <c r="M7" s="1"/>
      <c r="N7" s="1"/>
      <c r="O7" s="1"/>
      <c r="P7" s="1"/>
      <c r="S7" s="1"/>
      <c r="T7" s="1"/>
      <c r="U7" s="1"/>
      <c r="V7" s="1"/>
      <c r="W7" s="1"/>
      <c r="X7" s="1"/>
      <c r="Y7" s="1"/>
      <c r="Z7" s="1"/>
      <c r="AA7" s="1"/>
      <c r="AB7" s="1"/>
      <c r="AC7" s="1"/>
      <c r="AD7" s="1"/>
      <c r="AE7" s="1"/>
      <c r="AF7" s="1"/>
      <c r="AG7" s="1"/>
      <c r="AH7" s="1"/>
    </row>
    <row r="8" ht="15.0" customHeight="1">
      <c r="A8" s="1"/>
      <c r="B8" s="1"/>
      <c r="C8" s="1"/>
      <c r="D8" s="3" t="s">
        <v>3</v>
      </c>
      <c r="E8" s="12" t="s">
        <v>10</v>
      </c>
      <c r="F8" s="9" t="s">
        <v>11</v>
      </c>
      <c r="G8" s="1"/>
      <c r="H8" s="1"/>
      <c r="I8" s="1"/>
      <c r="J8" s="10">
        <v>4601234.0</v>
      </c>
      <c r="K8" s="11">
        <f t="shared" si="1"/>
        <v>21211688.74</v>
      </c>
      <c r="L8" s="1"/>
      <c r="M8" s="1"/>
      <c r="N8" s="1"/>
      <c r="O8" s="1"/>
      <c r="P8" s="1"/>
      <c r="S8" s="1"/>
      <c r="T8" s="1"/>
      <c r="U8" s="1"/>
      <c r="V8" s="1"/>
      <c r="W8" s="1"/>
      <c r="X8" s="1"/>
      <c r="Y8" s="1"/>
      <c r="Z8" s="1"/>
      <c r="AA8" s="1"/>
      <c r="AB8" s="1"/>
      <c r="AC8" s="1"/>
      <c r="AD8" s="1"/>
      <c r="AE8" s="1"/>
      <c r="AF8" s="1"/>
      <c r="AG8" s="1"/>
      <c r="AH8" s="1"/>
    </row>
    <row r="9" ht="15.0" customHeight="1">
      <c r="A9" s="1"/>
      <c r="B9" s="1"/>
      <c r="C9" s="1"/>
      <c r="D9" s="3" t="s">
        <v>12</v>
      </c>
      <c r="E9" s="3" t="s">
        <v>10</v>
      </c>
      <c r="F9" s="9" t="s">
        <v>11</v>
      </c>
      <c r="G9" s="1"/>
      <c r="H9" s="1"/>
      <c r="I9" s="1"/>
      <c r="J9" s="13">
        <f t="shared" ref="J9:J10" si="2">K9/$O$2</f>
        <v>1066896.746</v>
      </c>
      <c r="K9" s="14">
        <v>4918394.0</v>
      </c>
      <c r="L9" s="1"/>
      <c r="M9" s="1"/>
      <c r="N9" s="1"/>
      <c r="R9" s="1"/>
      <c r="S9" s="1"/>
      <c r="T9" s="1"/>
      <c r="U9" s="1"/>
      <c r="V9" s="1"/>
      <c r="W9" s="1"/>
      <c r="X9" s="1"/>
      <c r="Y9" s="1"/>
      <c r="Z9" s="1"/>
      <c r="AA9" s="1"/>
      <c r="AB9" s="1"/>
      <c r="AC9" s="1"/>
      <c r="AD9" s="1"/>
      <c r="AE9" s="1"/>
      <c r="AF9" s="1"/>
      <c r="AG9" s="1"/>
      <c r="AH9" s="1"/>
    </row>
    <row r="10" ht="15.0" customHeight="1">
      <c r="A10" s="1"/>
      <c r="B10" s="1"/>
      <c r="C10" s="1"/>
      <c r="D10" s="3" t="s">
        <v>13</v>
      </c>
      <c r="E10" s="3" t="s">
        <v>10</v>
      </c>
      <c r="F10" s="9" t="s">
        <v>11</v>
      </c>
      <c r="G10" s="1"/>
      <c r="H10" s="1"/>
      <c r="I10" s="1"/>
      <c r="J10" s="13">
        <f t="shared" si="2"/>
        <v>154266.3774</v>
      </c>
      <c r="K10" s="14">
        <v>711168.0</v>
      </c>
      <c r="L10" s="1"/>
      <c r="M10" s="1"/>
      <c r="N10" s="1"/>
      <c r="O10" s="15"/>
      <c r="P10" s="15"/>
      <c r="R10" s="1"/>
      <c r="S10" s="1"/>
      <c r="T10" s="1"/>
      <c r="U10" s="1"/>
      <c r="V10" s="1"/>
      <c r="W10" s="1"/>
      <c r="X10" s="1"/>
      <c r="Y10" s="1"/>
      <c r="Z10" s="1"/>
      <c r="AA10" s="1"/>
      <c r="AB10" s="1"/>
      <c r="AC10" s="1"/>
      <c r="AD10" s="1"/>
      <c r="AE10" s="1"/>
      <c r="AF10" s="1"/>
      <c r="AG10" s="1"/>
      <c r="AH10" s="1"/>
    </row>
    <row r="11" ht="15.0" customHeight="1">
      <c r="A11" s="1"/>
      <c r="B11" s="1"/>
      <c r="C11" s="1"/>
      <c r="D11" s="16" t="s">
        <v>3</v>
      </c>
      <c r="E11" s="17" t="s">
        <v>14</v>
      </c>
      <c r="F11" s="9" t="s">
        <v>15</v>
      </c>
      <c r="G11" s="1"/>
      <c r="H11" s="1"/>
      <c r="I11" s="1"/>
      <c r="J11" s="10">
        <v>5085784.0</v>
      </c>
      <c r="K11" s="11">
        <f>J11*$O$2</f>
        <v>23445464.24</v>
      </c>
      <c r="L11" s="1"/>
      <c r="M11" s="1"/>
      <c r="N11" s="1"/>
      <c r="P11" s="18" t="s">
        <v>16</v>
      </c>
      <c r="R11" s="1"/>
      <c r="S11" s="1"/>
      <c r="T11" s="1"/>
      <c r="U11" s="1"/>
      <c r="V11" s="1"/>
      <c r="W11" s="1"/>
      <c r="X11" s="1"/>
      <c r="Y11" s="1"/>
      <c r="Z11" s="1"/>
      <c r="AA11" s="1"/>
      <c r="AB11" s="1"/>
      <c r="AC11" s="1"/>
      <c r="AD11" s="1"/>
      <c r="AE11" s="1"/>
      <c r="AF11" s="1"/>
      <c r="AG11" s="1"/>
      <c r="AH11" s="1"/>
    </row>
    <row r="12" ht="15.0" customHeight="1">
      <c r="A12" s="1"/>
      <c r="B12" s="1"/>
      <c r="C12" s="1"/>
      <c r="D12" s="3" t="s">
        <v>12</v>
      </c>
      <c r="E12" s="19" t="s">
        <v>17</v>
      </c>
      <c r="F12" s="3" t="s">
        <v>18</v>
      </c>
      <c r="G12" s="1"/>
      <c r="H12" s="1"/>
      <c r="I12" s="1"/>
      <c r="J12" s="13">
        <f t="shared" ref="J12:J13" si="3">K12/$O$2</f>
        <v>2058.56833</v>
      </c>
      <c r="K12" s="14">
        <v>9490.0</v>
      </c>
      <c r="L12" s="1"/>
      <c r="M12" s="1"/>
      <c r="N12" s="1"/>
      <c r="R12" s="1"/>
      <c r="S12" s="1"/>
      <c r="T12" s="1"/>
      <c r="U12" s="1"/>
      <c r="V12" s="1"/>
      <c r="W12" s="1"/>
      <c r="X12" s="1"/>
      <c r="Y12" s="1"/>
      <c r="Z12" s="1"/>
      <c r="AA12" s="1"/>
      <c r="AB12" s="1"/>
      <c r="AC12" s="1"/>
      <c r="AD12" s="1"/>
      <c r="AE12" s="1"/>
      <c r="AF12" s="1"/>
      <c r="AG12" s="1"/>
      <c r="AH12" s="1"/>
    </row>
    <row r="13" ht="15.0" customHeight="1">
      <c r="A13" s="1"/>
      <c r="B13" s="1"/>
      <c r="C13" s="1"/>
      <c r="D13" s="3" t="s">
        <v>13</v>
      </c>
      <c r="E13" s="19" t="s">
        <v>19</v>
      </c>
      <c r="F13" s="3" t="s">
        <v>18</v>
      </c>
      <c r="G13" s="1"/>
      <c r="H13" s="1"/>
      <c r="I13" s="1"/>
      <c r="J13" s="13">
        <f t="shared" si="3"/>
        <v>1946.203905</v>
      </c>
      <c r="K13" s="14">
        <v>8972.0</v>
      </c>
      <c r="L13" s="1"/>
      <c r="M13" s="1"/>
      <c r="N13" s="1"/>
      <c r="O13" s="1"/>
      <c r="P13" s="1"/>
      <c r="Q13" s="1"/>
      <c r="R13" s="1"/>
      <c r="S13" s="1"/>
      <c r="T13" s="1"/>
      <c r="U13" s="1"/>
      <c r="V13" s="1"/>
      <c r="W13" s="1"/>
      <c r="X13" s="1"/>
      <c r="Y13" s="1"/>
      <c r="Z13" s="1"/>
      <c r="AA13" s="1"/>
      <c r="AB13" s="1"/>
      <c r="AC13" s="1"/>
      <c r="AD13" s="1"/>
      <c r="AE13" s="1"/>
      <c r="AF13" s="1"/>
      <c r="AG13" s="1"/>
      <c r="AH13" s="1"/>
    </row>
    <row r="14" ht="15.0" customHeight="1">
      <c r="A14" s="1"/>
      <c r="B14" s="1"/>
      <c r="C14" s="1"/>
      <c r="D14" s="16" t="s">
        <v>3</v>
      </c>
      <c r="E14" s="17" t="s">
        <v>14</v>
      </c>
      <c r="F14" s="9" t="s">
        <v>20</v>
      </c>
      <c r="G14" s="1"/>
      <c r="H14" s="1"/>
      <c r="I14" s="1"/>
      <c r="J14" s="10">
        <v>966431.0</v>
      </c>
      <c r="K14" s="11">
        <f>J14*$O$2</f>
        <v>4455246.91</v>
      </c>
      <c r="L14" s="1"/>
      <c r="M14" s="1"/>
      <c r="N14" s="1"/>
      <c r="O14" s="1"/>
      <c r="P14" s="18" t="s">
        <v>21</v>
      </c>
      <c r="Q14" s="1"/>
      <c r="R14" s="1"/>
      <c r="S14" s="1"/>
      <c r="T14" s="1"/>
      <c r="U14" s="1"/>
      <c r="V14" s="1"/>
      <c r="W14" s="1"/>
      <c r="X14" s="1"/>
      <c r="Y14" s="1"/>
      <c r="Z14" s="1"/>
      <c r="AA14" s="1"/>
      <c r="AB14" s="1"/>
      <c r="AC14" s="1"/>
      <c r="AD14" s="1"/>
      <c r="AE14" s="1"/>
      <c r="AF14" s="1"/>
      <c r="AG14" s="1"/>
      <c r="AH14" s="1"/>
    </row>
    <row r="15" ht="15.0" customHeight="1">
      <c r="A15" s="1"/>
      <c r="B15" s="1"/>
      <c r="C15" s="1"/>
      <c r="D15" s="3" t="s">
        <v>12</v>
      </c>
      <c r="E15" s="19" t="s">
        <v>22</v>
      </c>
      <c r="F15" s="3" t="s">
        <v>23</v>
      </c>
      <c r="G15" s="1"/>
      <c r="H15" s="1"/>
      <c r="I15" s="1"/>
      <c r="J15" s="13">
        <f t="shared" ref="J15:J16" si="4">K15/$O$2</f>
        <v>101323.2104</v>
      </c>
      <c r="K15" s="14">
        <v>467100.0</v>
      </c>
      <c r="L15" s="1"/>
      <c r="M15" s="1"/>
      <c r="N15" s="1"/>
      <c r="R15" s="1"/>
      <c r="S15" s="1"/>
      <c r="T15" s="1"/>
      <c r="U15" s="1"/>
      <c r="V15" s="1"/>
      <c r="W15" s="1"/>
      <c r="X15" s="1"/>
      <c r="Y15" s="1"/>
      <c r="Z15" s="1"/>
      <c r="AA15" s="1"/>
      <c r="AB15" s="1"/>
      <c r="AC15" s="1"/>
      <c r="AD15" s="1"/>
      <c r="AE15" s="1"/>
      <c r="AF15" s="1"/>
      <c r="AG15" s="1"/>
      <c r="AH15" s="1"/>
    </row>
    <row r="16" ht="15.0" customHeight="1">
      <c r="A16" s="1"/>
      <c r="B16" s="1"/>
      <c r="C16" s="1"/>
      <c r="D16" s="3" t="s">
        <v>13</v>
      </c>
      <c r="E16" s="19" t="s">
        <v>24</v>
      </c>
      <c r="F16" s="3" t="s">
        <v>23</v>
      </c>
      <c r="G16" s="1"/>
      <c r="H16" s="1"/>
      <c r="I16" s="1"/>
      <c r="J16" s="13">
        <f t="shared" si="4"/>
        <v>101518.4382</v>
      </c>
      <c r="K16" s="14">
        <v>468000.0</v>
      </c>
      <c r="L16" s="1"/>
      <c r="M16" s="1"/>
      <c r="N16" s="1"/>
      <c r="R16" s="1"/>
      <c r="S16" s="1"/>
      <c r="T16" s="1"/>
      <c r="U16" s="1"/>
      <c r="V16" s="1"/>
      <c r="W16" s="1"/>
      <c r="X16" s="1"/>
      <c r="Y16" s="1"/>
      <c r="Z16" s="1"/>
      <c r="AA16" s="1"/>
      <c r="AB16" s="1"/>
      <c r="AC16" s="1"/>
      <c r="AD16" s="1"/>
      <c r="AE16" s="1"/>
      <c r="AF16" s="1"/>
      <c r="AG16" s="1"/>
      <c r="AH16" s="1"/>
    </row>
    <row r="17" ht="15.0" customHeight="1">
      <c r="A17" s="1"/>
      <c r="B17" s="1"/>
      <c r="C17" s="20"/>
      <c r="D17" s="20"/>
      <c r="E17" s="20"/>
      <c r="F17" s="20"/>
      <c r="G17" s="21" t="s">
        <v>25</v>
      </c>
      <c r="H17" s="20"/>
      <c r="I17" s="20"/>
      <c r="J17" s="22">
        <f t="shared" ref="J17:K17" si="5">SUM(J7:J16)</f>
        <v>23650682.54</v>
      </c>
      <c r="K17" s="23">
        <f t="shared" si="5"/>
        <v>109029646.5</v>
      </c>
      <c r="L17" s="1"/>
      <c r="M17" s="1"/>
      <c r="N17" s="1"/>
      <c r="O17" s="1"/>
      <c r="P17" s="1"/>
      <c r="Q17" s="1"/>
      <c r="R17" s="1"/>
      <c r="S17" s="1"/>
      <c r="T17" s="1"/>
      <c r="U17" s="1"/>
      <c r="V17" s="1"/>
      <c r="W17" s="1"/>
      <c r="X17" s="1"/>
      <c r="Y17" s="1"/>
      <c r="Z17" s="1"/>
      <c r="AA17" s="1"/>
      <c r="AB17" s="1"/>
      <c r="AC17" s="1"/>
      <c r="AD17" s="1"/>
      <c r="AE17" s="1"/>
      <c r="AF17" s="1"/>
      <c r="AG17" s="1"/>
      <c r="AH17" s="1"/>
    </row>
    <row r="18" ht="15.0" customHeight="1">
      <c r="A18" s="1"/>
      <c r="B18" s="1"/>
      <c r="C18" s="1" t="s">
        <v>26</v>
      </c>
      <c r="D18" s="1"/>
      <c r="E18" s="1"/>
      <c r="F18" s="1"/>
      <c r="G18" s="1"/>
      <c r="H18" s="1"/>
      <c r="I18" s="1"/>
      <c r="J18" s="5"/>
      <c r="K18" s="2"/>
      <c r="L18" s="1"/>
      <c r="M18" s="1"/>
      <c r="N18" s="1"/>
      <c r="O18" s="1"/>
      <c r="P18" s="1"/>
      <c r="Q18" s="1"/>
      <c r="R18" s="1"/>
      <c r="S18" s="1"/>
      <c r="T18" s="1"/>
      <c r="U18" s="1"/>
      <c r="V18" s="1"/>
      <c r="W18" s="1"/>
      <c r="X18" s="1"/>
      <c r="Y18" s="1"/>
      <c r="Z18" s="1"/>
      <c r="AA18" s="1"/>
      <c r="AB18" s="1"/>
      <c r="AC18" s="1"/>
      <c r="AD18" s="1"/>
      <c r="AE18" s="1"/>
      <c r="AF18" s="1"/>
      <c r="AG18" s="1"/>
      <c r="AH18" s="1"/>
    </row>
    <row r="19" ht="15.0" customHeight="1">
      <c r="A19" s="1"/>
      <c r="B19" s="1"/>
      <c r="C19" s="1"/>
      <c r="D19" s="3" t="s">
        <v>3</v>
      </c>
      <c r="E19" s="17" t="s">
        <v>8</v>
      </c>
      <c r="F19" s="1" t="s">
        <v>27</v>
      </c>
      <c r="G19" s="1"/>
      <c r="H19" s="1"/>
      <c r="I19" s="1"/>
      <c r="J19" s="10">
        <f>SUM(Bounties!E:E)</f>
        <v>4048545</v>
      </c>
      <c r="K19" s="11">
        <f t="shared" ref="K19:K20" si="6">J19*$O$2</f>
        <v>18663792.45</v>
      </c>
      <c r="L19" s="1"/>
      <c r="M19" s="1"/>
      <c r="N19" s="1"/>
      <c r="O19" s="1"/>
      <c r="P19" s="1"/>
      <c r="R19" s="1"/>
      <c r="S19" s="1"/>
      <c r="T19" s="1"/>
      <c r="U19" s="1"/>
      <c r="V19" s="1"/>
      <c r="W19" s="1"/>
      <c r="X19" s="1"/>
      <c r="Y19" s="1"/>
      <c r="Z19" s="1"/>
      <c r="AA19" s="1"/>
      <c r="AB19" s="1"/>
      <c r="AC19" s="1"/>
      <c r="AD19" s="1"/>
      <c r="AE19" s="1"/>
      <c r="AF19" s="1"/>
      <c r="AG19" s="1"/>
      <c r="AH19" s="1"/>
    </row>
    <row r="20" ht="15.0" customHeight="1">
      <c r="A20" s="1"/>
      <c r="B20" s="1"/>
      <c r="C20" s="1"/>
      <c r="D20" s="16" t="s">
        <v>3</v>
      </c>
      <c r="E20" s="17" t="s">
        <v>28</v>
      </c>
      <c r="F20" s="9" t="s">
        <v>29</v>
      </c>
      <c r="G20" s="1"/>
      <c r="H20" s="1"/>
      <c r="I20" s="1"/>
      <c r="J20" s="10">
        <v>1980000.0</v>
      </c>
      <c r="K20" s="11">
        <f t="shared" si="6"/>
        <v>9127800</v>
      </c>
      <c r="L20" s="1"/>
      <c r="M20" s="1"/>
      <c r="N20" s="1"/>
      <c r="O20" s="1"/>
      <c r="P20" s="1"/>
      <c r="Q20" s="1"/>
      <c r="R20" s="1"/>
      <c r="S20" s="1"/>
      <c r="T20" s="1"/>
      <c r="U20" s="1"/>
      <c r="V20" s="1"/>
      <c r="W20" s="1"/>
      <c r="X20" s="1"/>
      <c r="Y20" s="1"/>
      <c r="Z20" s="1"/>
      <c r="AA20" s="1"/>
      <c r="AB20" s="1"/>
      <c r="AC20" s="1"/>
      <c r="AD20" s="1"/>
      <c r="AE20" s="1"/>
      <c r="AF20" s="1"/>
      <c r="AG20" s="1"/>
      <c r="AH20" s="1"/>
    </row>
    <row r="21" ht="15.0" customHeight="1">
      <c r="A21" s="1"/>
      <c r="B21" s="1"/>
      <c r="C21" s="1"/>
      <c r="D21" s="3" t="s">
        <v>12</v>
      </c>
      <c r="E21" s="17" t="s">
        <v>28</v>
      </c>
      <c r="F21" s="9" t="s">
        <v>30</v>
      </c>
      <c r="G21" s="1"/>
      <c r="H21" s="1"/>
      <c r="I21" s="1"/>
      <c r="J21" s="13">
        <f t="shared" ref="J21:J22" si="7">K21/$O$2</f>
        <v>536126.4642</v>
      </c>
      <c r="K21" s="14">
        <v>2471543.0</v>
      </c>
      <c r="L21" s="1"/>
      <c r="M21" s="1"/>
      <c r="N21" s="1"/>
      <c r="O21" s="1"/>
      <c r="P21" s="1"/>
      <c r="Q21" s="1"/>
      <c r="R21" s="1"/>
      <c r="S21" s="1"/>
      <c r="T21" s="1"/>
      <c r="U21" s="1"/>
      <c r="V21" s="1"/>
      <c r="W21" s="1"/>
      <c r="X21" s="1"/>
      <c r="Y21" s="1"/>
      <c r="Z21" s="1"/>
      <c r="AA21" s="1"/>
      <c r="AB21" s="1"/>
      <c r="AC21" s="1"/>
      <c r="AD21" s="1"/>
      <c r="AE21" s="1"/>
      <c r="AF21" s="1"/>
      <c r="AG21" s="1"/>
      <c r="AH21" s="1"/>
    </row>
    <row r="22" ht="15.0" customHeight="1">
      <c r="A22" s="1"/>
      <c r="B22" s="1"/>
      <c r="C22" s="1"/>
      <c r="D22" s="3" t="s">
        <v>12</v>
      </c>
      <c r="E22" s="17" t="s">
        <v>14</v>
      </c>
      <c r="F22" s="3" t="s">
        <v>31</v>
      </c>
      <c r="G22" s="1"/>
      <c r="H22" s="1"/>
      <c r="I22" s="1"/>
      <c r="J22" s="13">
        <f t="shared" si="7"/>
        <v>18546.63774</v>
      </c>
      <c r="K22" s="14">
        <v>85500.0</v>
      </c>
      <c r="L22" s="1"/>
      <c r="M22" s="1"/>
      <c r="N22" s="1"/>
      <c r="R22" s="1"/>
      <c r="S22" s="1"/>
      <c r="T22" s="1"/>
      <c r="U22" s="1"/>
      <c r="V22" s="1"/>
      <c r="W22" s="1"/>
      <c r="X22" s="1"/>
      <c r="Y22" s="1"/>
      <c r="Z22" s="1"/>
      <c r="AA22" s="1"/>
      <c r="AB22" s="1"/>
      <c r="AC22" s="1"/>
      <c r="AD22" s="1"/>
      <c r="AE22" s="1"/>
      <c r="AF22" s="1"/>
      <c r="AG22" s="1"/>
      <c r="AH22" s="1"/>
    </row>
    <row r="23" ht="15.0" customHeight="1">
      <c r="A23" s="1"/>
      <c r="B23" s="1"/>
      <c r="C23" s="1"/>
      <c r="D23" s="3" t="s">
        <v>3</v>
      </c>
      <c r="E23" s="17" t="s">
        <v>14</v>
      </c>
      <c r="F23" s="9" t="s">
        <v>31</v>
      </c>
      <c r="G23" s="1"/>
      <c r="H23" s="1"/>
      <c r="I23" s="1"/>
      <c r="J23" s="10">
        <v>19734.0</v>
      </c>
      <c r="K23" s="11">
        <f>J23*$O$2</f>
        <v>90973.74</v>
      </c>
      <c r="L23" s="1"/>
      <c r="M23" s="1"/>
      <c r="N23" s="1"/>
      <c r="O23" s="1"/>
      <c r="R23" s="1"/>
      <c r="S23" s="1"/>
      <c r="T23" s="1"/>
      <c r="U23" s="1"/>
      <c r="V23" s="1"/>
      <c r="W23" s="1"/>
      <c r="X23" s="1"/>
      <c r="Y23" s="1"/>
      <c r="Z23" s="1"/>
      <c r="AA23" s="1"/>
      <c r="AB23" s="1"/>
      <c r="AC23" s="1"/>
      <c r="AD23" s="1"/>
      <c r="AE23" s="1"/>
      <c r="AF23" s="1"/>
      <c r="AG23" s="1"/>
      <c r="AH23" s="1"/>
    </row>
    <row r="24" ht="15.0" customHeight="1">
      <c r="A24" s="1"/>
      <c r="B24" s="1"/>
      <c r="C24" s="1"/>
      <c r="D24" s="16" t="s">
        <v>32</v>
      </c>
      <c r="E24" s="17" t="s">
        <v>10</v>
      </c>
      <c r="F24" s="9" t="s">
        <v>33</v>
      </c>
      <c r="G24" s="1"/>
      <c r="H24" s="1"/>
      <c r="I24" s="1"/>
      <c r="J24" s="13">
        <f t="shared" ref="J24:J25" si="8">K24/$O$2</f>
        <v>553588.0153</v>
      </c>
      <c r="K24" s="11">
        <f t="shared" ref="K24:K25" si="9">M24*O24</f>
        <v>2552040.751</v>
      </c>
      <c r="L24" s="24"/>
      <c r="M24" s="24">
        <v>1.0200003E7</v>
      </c>
      <c r="N24" s="1"/>
      <c r="O24" s="25">
        <f>O25</f>
        <v>0.2502</v>
      </c>
      <c r="P24" s="18" t="s">
        <v>34</v>
      </c>
      <c r="R24" s="1"/>
      <c r="S24" s="1"/>
      <c r="T24" s="1"/>
      <c r="U24" s="1"/>
      <c r="V24" s="1"/>
      <c r="W24" s="1"/>
      <c r="X24" s="1"/>
      <c r="Y24" s="1"/>
      <c r="Z24" s="1"/>
      <c r="AA24" s="1"/>
      <c r="AB24" s="1"/>
      <c r="AC24" s="1"/>
      <c r="AD24" s="1"/>
      <c r="AE24" s="1"/>
      <c r="AF24" s="1"/>
      <c r="AG24" s="1"/>
      <c r="AH24" s="1"/>
    </row>
    <row r="25" ht="15.0" customHeight="1">
      <c r="A25" s="1"/>
      <c r="B25" s="1"/>
      <c r="C25" s="1"/>
      <c r="D25" s="16" t="s">
        <v>32</v>
      </c>
      <c r="E25" s="17" t="s">
        <v>10</v>
      </c>
      <c r="F25" s="9" t="s">
        <v>35</v>
      </c>
      <c r="G25" s="1"/>
      <c r="H25" s="1"/>
      <c r="I25" s="1"/>
      <c r="J25" s="13">
        <f t="shared" si="8"/>
        <v>260511.822</v>
      </c>
      <c r="K25" s="11">
        <f t="shared" si="9"/>
        <v>1200959.5</v>
      </c>
      <c r="L25" s="24"/>
      <c r="M25" s="24">
        <v>4799998.0</v>
      </c>
      <c r="N25" s="1"/>
      <c r="O25" s="25">
        <v>0.2502</v>
      </c>
      <c r="P25" s="1"/>
      <c r="R25" s="1"/>
      <c r="S25" s="1"/>
      <c r="T25" s="1"/>
      <c r="U25" s="1"/>
      <c r="V25" s="1"/>
      <c r="W25" s="1"/>
      <c r="X25" s="1"/>
      <c r="Y25" s="1"/>
      <c r="Z25" s="1"/>
      <c r="AA25" s="1"/>
      <c r="AB25" s="1"/>
      <c r="AC25" s="1"/>
      <c r="AD25" s="1"/>
      <c r="AE25" s="1"/>
      <c r="AF25" s="1"/>
      <c r="AG25" s="1"/>
      <c r="AH25" s="1"/>
    </row>
    <row r="26" ht="15.0" customHeight="1">
      <c r="A26" s="1"/>
      <c r="B26" s="1"/>
      <c r="C26" s="26"/>
      <c r="D26" s="20"/>
      <c r="E26" s="20"/>
      <c r="F26" s="20"/>
      <c r="G26" s="21" t="s">
        <v>36</v>
      </c>
      <c r="H26" s="20"/>
      <c r="I26" s="20"/>
      <c r="J26" s="22">
        <f t="shared" ref="J26:K26" si="10">SUM(J19:J25)</f>
        <v>7417051.939</v>
      </c>
      <c r="K26" s="23">
        <f t="shared" si="10"/>
        <v>34192609.44</v>
      </c>
      <c r="L26" s="1"/>
      <c r="M26" s="1"/>
      <c r="N26" s="1"/>
      <c r="O26" s="1"/>
      <c r="P26" s="1"/>
      <c r="R26" s="1"/>
      <c r="S26" s="1"/>
      <c r="T26" s="1"/>
      <c r="U26" s="1"/>
      <c r="V26" s="1"/>
      <c r="W26" s="1"/>
      <c r="X26" s="1"/>
      <c r="Y26" s="1"/>
      <c r="Z26" s="1"/>
      <c r="AA26" s="1"/>
      <c r="AB26" s="1"/>
      <c r="AC26" s="1"/>
      <c r="AD26" s="1"/>
      <c r="AE26" s="1"/>
      <c r="AF26" s="1"/>
      <c r="AG26" s="1"/>
      <c r="AH26" s="1"/>
    </row>
    <row r="27" ht="15.0" customHeight="1">
      <c r="A27" s="1"/>
      <c r="B27" s="1"/>
      <c r="C27" s="1" t="s">
        <v>37</v>
      </c>
      <c r="D27" s="1"/>
      <c r="E27" s="1"/>
      <c r="F27" s="1"/>
      <c r="G27" s="1"/>
      <c r="H27" s="1"/>
      <c r="I27" s="1"/>
      <c r="J27" s="5"/>
      <c r="K27" s="2"/>
      <c r="L27" s="1"/>
      <c r="M27" s="1"/>
      <c r="N27" s="1"/>
      <c r="O27" s="1"/>
      <c r="P27" s="1"/>
      <c r="Q27" s="1"/>
      <c r="R27" s="1"/>
      <c r="S27" s="1"/>
      <c r="T27" s="1"/>
      <c r="U27" s="1"/>
      <c r="V27" s="1"/>
      <c r="W27" s="1"/>
      <c r="X27" s="1"/>
      <c r="Y27" s="1"/>
      <c r="Z27" s="1"/>
      <c r="AA27" s="1"/>
      <c r="AB27" s="1"/>
      <c r="AC27" s="1"/>
      <c r="AD27" s="1"/>
      <c r="AE27" s="1"/>
      <c r="AF27" s="1"/>
      <c r="AG27" s="1"/>
      <c r="AH27" s="1"/>
    </row>
    <row r="28" ht="15.0" customHeight="1">
      <c r="A28" s="1"/>
      <c r="B28" s="1"/>
      <c r="C28" s="1"/>
      <c r="D28" s="16" t="s">
        <v>3</v>
      </c>
      <c r="E28" s="17" t="s">
        <v>14</v>
      </c>
      <c r="F28" s="9" t="s">
        <v>38</v>
      </c>
      <c r="G28" s="1"/>
      <c r="H28" s="1"/>
      <c r="I28" s="1"/>
      <c r="J28" s="10">
        <v>1002115.0</v>
      </c>
      <c r="K28" s="11">
        <f>J28*$O$2</f>
        <v>4619750.15</v>
      </c>
      <c r="L28" s="1"/>
      <c r="M28" s="1"/>
      <c r="N28" s="1"/>
      <c r="O28" s="1"/>
      <c r="P28" s="18" t="s">
        <v>39</v>
      </c>
      <c r="Q28" s="1"/>
      <c r="R28" s="1"/>
      <c r="S28" s="1"/>
      <c r="T28" s="1"/>
      <c r="U28" s="1"/>
      <c r="V28" s="1"/>
      <c r="W28" s="1"/>
      <c r="X28" s="1"/>
      <c r="Y28" s="1"/>
      <c r="Z28" s="1"/>
      <c r="AA28" s="1"/>
      <c r="AB28" s="1"/>
      <c r="AC28" s="1"/>
      <c r="AD28" s="1"/>
      <c r="AE28" s="1"/>
      <c r="AF28" s="1"/>
      <c r="AG28" s="1"/>
      <c r="AH28" s="1"/>
    </row>
    <row r="29" ht="15.0" customHeight="1">
      <c r="A29" s="1"/>
      <c r="B29" s="1"/>
      <c r="C29" s="20"/>
      <c r="D29" s="20"/>
      <c r="E29" s="20"/>
      <c r="F29" s="20"/>
      <c r="G29" s="21" t="s">
        <v>40</v>
      </c>
      <c r="H29" s="20"/>
      <c r="I29" s="20"/>
      <c r="J29" s="22">
        <f t="shared" ref="J29:K29" si="11">SUM(J28)</f>
        <v>1002115</v>
      </c>
      <c r="K29" s="23">
        <f t="shared" si="11"/>
        <v>4619750.15</v>
      </c>
      <c r="L29" s="1"/>
      <c r="M29" s="1"/>
      <c r="N29" s="1"/>
      <c r="O29" s="1"/>
      <c r="P29" s="1"/>
      <c r="Q29" s="1"/>
      <c r="R29" s="1"/>
      <c r="S29" s="1"/>
      <c r="T29" s="1"/>
      <c r="U29" s="1"/>
      <c r="V29" s="1"/>
      <c r="W29" s="1"/>
      <c r="X29" s="1"/>
      <c r="Y29" s="1"/>
      <c r="Z29" s="1"/>
      <c r="AA29" s="1"/>
      <c r="AB29" s="1"/>
      <c r="AC29" s="1"/>
      <c r="AD29" s="1"/>
      <c r="AE29" s="1"/>
      <c r="AF29" s="1"/>
      <c r="AG29" s="1"/>
      <c r="AH29" s="1"/>
    </row>
    <row r="30" ht="15.0" customHeight="1">
      <c r="A30" s="1"/>
      <c r="B30" s="1"/>
      <c r="C30" s="3" t="s">
        <v>41</v>
      </c>
      <c r="D30" s="1"/>
      <c r="E30" s="1"/>
      <c r="F30" s="1"/>
      <c r="G30" s="1"/>
      <c r="H30" s="1"/>
      <c r="I30" s="1"/>
      <c r="J30" s="5"/>
      <c r="K30" s="2"/>
      <c r="L30" s="1"/>
      <c r="M30" s="1"/>
      <c r="N30" s="1"/>
      <c r="O30" s="1"/>
      <c r="P30" s="1"/>
      <c r="R30" s="1"/>
      <c r="S30" s="1"/>
      <c r="T30" s="1"/>
      <c r="U30" s="1"/>
      <c r="V30" s="1"/>
      <c r="W30" s="1"/>
      <c r="X30" s="1"/>
      <c r="Y30" s="1"/>
      <c r="Z30" s="1"/>
      <c r="AA30" s="1"/>
      <c r="AB30" s="1"/>
      <c r="AC30" s="1"/>
      <c r="AD30" s="1"/>
      <c r="AE30" s="1"/>
      <c r="AF30" s="1"/>
      <c r="AG30" s="1"/>
      <c r="AH30" s="1"/>
    </row>
    <row r="31" ht="15.0" customHeight="1">
      <c r="A31" s="1"/>
      <c r="B31" s="1"/>
      <c r="C31" s="1"/>
      <c r="D31" s="3" t="s">
        <v>13</v>
      </c>
      <c r="E31" s="17" t="s">
        <v>42</v>
      </c>
      <c r="F31" s="9" t="s">
        <v>43</v>
      </c>
      <c r="G31" s="1"/>
      <c r="H31" s="1"/>
      <c r="I31" s="1"/>
      <c r="J31" s="13">
        <f>K31/$O$2</f>
        <v>650759.2191</v>
      </c>
      <c r="K31" s="14">
        <v>3000000.0</v>
      </c>
      <c r="L31" s="1"/>
      <c r="M31" s="1"/>
      <c r="N31" s="1"/>
      <c r="O31" s="1"/>
      <c r="P31" s="18" t="s">
        <v>44</v>
      </c>
      <c r="Q31" s="27" t="s">
        <v>45</v>
      </c>
      <c r="R31" s="1"/>
      <c r="S31" s="1"/>
      <c r="T31" s="1"/>
      <c r="U31" s="1"/>
      <c r="V31" s="1"/>
      <c r="W31" s="1"/>
      <c r="X31" s="1"/>
      <c r="Y31" s="1"/>
      <c r="Z31" s="1"/>
      <c r="AA31" s="1"/>
      <c r="AB31" s="1"/>
      <c r="AC31" s="1"/>
      <c r="AD31" s="1"/>
      <c r="AE31" s="1"/>
      <c r="AF31" s="1"/>
      <c r="AG31" s="1"/>
      <c r="AH31" s="1"/>
    </row>
    <row r="32" ht="15.0" customHeight="1">
      <c r="A32" s="1"/>
      <c r="B32" s="1"/>
      <c r="C32" s="1"/>
      <c r="D32" s="3" t="s">
        <v>3</v>
      </c>
      <c r="E32" s="17" t="s">
        <v>46</v>
      </c>
      <c r="F32" s="1" t="s">
        <v>47</v>
      </c>
      <c r="G32" s="1"/>
      <c r="H32" s="1"/>
      <c r="I32" s="1"/>
      <c r="J32" s="13">
        <f>500000</f>
        <v>500000</v>
      </c>
      <c r="K32" s="11">
        <f t="shared" ref="K32:K33" si="12">J32*$O$2</f>
        <v>2305000</v>
      </c>
      <c r="L32" s="1"/>
      <c r="M32" s="1"/>
      <c r="N32" s="1" t="s">
        <v>48</v>
      </c>
      <c r="O32" s="28">
        <f>16.8%</f>
        <v>0.168</v>
      </c>
      <c r="P32" s="18" t="s">
        <v>49</v>
      </c>
      <c r="R32" s="3" t="s">
        <v>50</v>
      </c>
      <c r="S32" s="1"/>
      <c r="T32" s="1"/>
      <c r="U32" s="1"/>
      <c r="V32" s="1"/>
      <c r="W32" s="1"/>
      <c r="X32" s="1"/>
      <c r="Y32" s="1"/>
      <c r="Z32" s="1"/>
      <c r="AA32" s="1"/>
      <c r="AB32" s="1"/>
      <c r="AC32" s="1"/>
      <c r="AD32" s="1"/>
      <c r="AE32" s="1"/>
      <c r="AF32" s="1"/>
      <c r="AG32" s="1"/>
      <c r="AH32" s="1"/>
    </row>
    <row r="33" ht="15.0" customHeight="1">
      <c r="A33" s="1"/>
      <c r="B33" s="1"/>
      <c r="C33" s="1"/>
      <c r="D33" s="3" t="s">
        <v>3</v>
      </c>
      <c r="E33" s="17" t="s">
        <v>51</v>
      </c>
      <c r="F33" s="1" t="s">
        <v>52</v>
      </c>
      <c r="G33" s="1"/>
      <c r="H33" s="1"/>
      <c r="I33" s="1"/>
      <c r="J33" s="10">
        <v>50000.0</v>
      </c>
      <c r="K33" s="11">
        <f t="shared" si="12"/>
        <v>230500</v>
      </c>
      <c r="L33" s="1"/>
      <c r="M33" s="1"/>
      <c r="N33" s="1"/>
      <c r="O33" s="1"/>
      <c r="P33" s="18" t="s">
        <v>53</v>
      </c>
      <c r="R33" s="1"/>
      <c r="S33" s="1"/>
      <c r="T33" s="1"/>
      <c r="U33" s="1"/>
      <c r="V33" s="1"/>
      <c r="W33" s="1"/>
      <c r="X33" s="1"/>
      <c r="Y33" s="1"/>
      <c r="Z33" s="1"/>
      <c r="AA33" s="1"/>
      <c r="AB33" s="1"/>
      <c r="AC33" s="1"/>
      <c r="AD33" s="1"/>
      <c r="AE33" s="1"/>
      <c r="AF33" s="1"/>
      <c r="AG33" s="1"/>
      <c r="AH33" s="1"/>
    </row>
    <row r="34" ht="15.0" customHeight="1">
      <c r="A34" s="1"/>
      <c r="B34" s="1"/>
      <c r="C34" s="20"/>
      <c r="D34" s="20"/>
      <c r="E34" s="20"/>
      <c r="F34" s="20"/>
      <c r="G34" s="21" t="s">
        <v>54</v>
      </c>
      <c r="H34" s="29"/>
      <c r="I34" s="20"/>
      <c r="J34" s="30">
        <f t="shared" ref="J34:K34" si="13">SUM(J31:J33)</f>
        <v>1200759.219</v>
      </c>
      <c r="K34" s="31">
        <f t="shared" si="13"/>
        <v>5535500</v>
      </c>
      <c r="L34" s="1"/>
      <c r="M34" s="1"/>
      <c r="N34" s="1"/>
      <c r="O34" s="1"/>
      <c r="P34" s="1"/>
      <c r="Q34" s="1"/>
      <c r="R34" s="1"/>
      <c r="S34" s="1"/>
      <c r="T34" s="1"/>
      <c r="U34" s="1"/>
      <c r="V34" s="1"/>
      <c r="W34" s="1"/>
      <c r="X34" s="1"/>
      <c r="Y34" s="1"/>
      <c r="Z34" s="1"/>
      <c r="AA34" s="1"/>
      <c r="AB34" s="1"/>
      <c r="AC34" s="1"/>
      <c r="AD34" s="1"/>
      <c r="AE34" s="1"/>
      <c r="AF34" s="1"/>
      <c r="AG34" s="1"/>
      <c r="AH34" s="1"/>
    </row>
    <row r="35" ht="15.0" customHeight="1">
      <c r="A35" s="1"/>
      <c r="B35" s="32"/>
      <c r="C35" s="32"/>
      <c r="D35" s="32"/>
      <c r="E35" s="32"/>
      <c r="F35" s="32"/>
      <c r="G35" s="33"/>
      <c r="H35" s="33" t="s">
        <v>55</v>
      </c>
      <c r="I35" s="32"/>
      <c r="J35" s="34">
        <f t="shared" ref="J35:K35" si="14">J34+J26+J29+J17</f>
        <v>33270608.7</v>
      </c>
      <c r="K35" s="35">
        <f t="shared" si="14"/>
        <v>153377506.1</v>
      </c>
      <c r="L35" s="1"/>
      <c r="M35" s="1"/>
      <c r="N35" s="1"/>
      <c r="O35" s="1"/>
      <c r="P35" s="1"/>
      <c r="Q35" s="1"/>
      <c r="R35" s="1"/>
      <c r="S35" s="1"/>
      <c r="T35" s="1"/>
      <c r="U35" s="1"/>
      <c r="V35" s="1"/>
      <c r="W35" s="1"/>
      <c r="X35" s="1"/>
      <c r="Y35" s="1"/>
      <c r="Z35" s="1"/>
      <c r="AA35" s="1"/>
      <c r="AB35" s="1"/>
      <c r="AC35" s="1"/>
      <c r="AD35" s="1"/>
      <c r="AE35" s="1"/>
      <c r="AF35" s="1"/>
      <c r="AG35" s="1"/>
      <c r="AH35" s="1"/>
    </row>
    <row r="36" ht="15.0" customHeight="1">
      <c r="A36" s="1"/>
      <c r="B36" s="36"/>
      <c r="C36" s="36"/>
      <c r="D36" s="36"/>
      <c r="E36" s="36"/>
      <c r="F36" s="36"/>
      <c r="G36" s="36"/>
      <c r="H36" s="36"/>
      <c r="I36" s="37" t="s">
        <v>56</v>
      </c>
      <c r="J36" s="38">
        <f t="shared" ref="J36:K36" si="15">J35</f>
        <v>33270608.7</v>
      </c>
      <c r="K36" s="39">
        <f t="shared" si="15"/>
        <v>153377506.1</v>
      </c>
      <c r="L36" s="1"/>
      <c r="M36" s="1"/>
      <c r="N36" s="1"/>
      <c r="O36" s="1"/>
      <c r="P36" s="1"/>
      <c r="Q36" s="1"/>
      <c r="R36" s="1"/>
      <c r="S36" s="1"/>
      <c r="T36" s="1"/>
      <c r="U36" s="1"/>
      <c r="V36" s="1"/>
      <c r="W36" s="1"/>
      <c r="X36" s="1"/>
      <c r="Y36" s="1"/>
      <c r="Z36" s="1"/>
      <c r="AA36" s="1"/>
      <c r="AB36" s="1"/>
      <c r="AC36" s="1"/>
      <c r="AD36" s="1"/>
      <c r="AE36" s="1"/>
      <c r="AF36" s="1"/>
      <c r="AG36" s="1"/>
      <c r="AH36" s="1"/>
    </row>
    <row r="37" ht="15.0" customHeight="1">
      <c r="A37" s="1"/>
      <c r="B37" s="40"/>
      <c r="C37" s="40"/>
      <c r="D37" s="40"/>
      <c r="E37" s="40"/>
      <c r="F37" s="40"/>
      <c r="G37" s="40"/>
      <c r="H37" s="40"/>
      <c r="I37" s="40"/>
      <c r="J37" s="41">
        <f t="shared" ref="J37:K37" si="16">J36</f>
        <v>33270608.7</v>
      </c>
      <c r="K37" s="42">
        <f t="shared" si="16"/>
        <v>153377506.1</v>
      </c>
      <c r="L37" s="1"/>
      <c r="M37" s="1"/>
      <c r="N37" s="1"/>
      <c r="O37" s="1"/>
      <c r="P37" s="1"/>
      <c r="Q37" s="1"/>
      <c r="R37" s="1"/>
      <c r="S37" s="1"/>
      <c r="T37" s="1"/>
      <c r="U37" s="1"/>
      <c r="V37" s="1"/>
      <c r="W37" s="1"/>
      <c r="X37" s="1"/>
      <c r="Y37" s="1"/>
      <c r="Z37" s="1"/>
      <c r="AA37" s="1"/>
      <c r="AB37" s="1"/>
      <c r="AC37" s="1"/>
      <c r="AD37" s="1"/>
      <c r="AE37" s="1"/>
      <c r="AF37" s="1"/>
      <c r="AG37" s="1"/>
      <c r="AH37" s="1"/>
    </row>
    <row r="38" ht="15.0" customHeight="1">
      <c r="A38" s="1"/>
      <c r="B38" s="1"/>
      <c r="C38" s="1"/>
      <c r="D38" s="1"/>
      <c r="E38" s="1"/>
      <c r="F38" s="1"/>
      <c r="G38" s="1"/>
      <c r="H38" s="1"/>
      <c r="I38" s="1"/>
      <c r="J38" s="1"/>
      <c r="K38" s="2"/>
      <c r="L38" s="1"/>
      <c r="M38" s="1"/>
      <c r="N38" s="1"/>
      <c r="O38" s="1"/>
      <c r="P38" s="1"/>
      <c r="Q38" s="1"/>
      <c r="R38" s="1"/>
      <c r="S38" s="1"/>
      <c r="T38" s="1"/>
      <c r="U38" s="1"/>
      <c r="V38" s="1"/>
      <c r="W38" s="1"/>
      <c r="X38" s="1"/>
      <c r="Y38" s="1"/>
      <c r="Z38" s="1"/>
      <c r="AA38" s="1"/>
      <c r="AB38" s="1"/>
      <c r="AC38" s="1"/>
      <c r="AD38" s="1"/>
      <c r="AE38" s="1"/>
      <c r="AF38" s="1"/>
      <c r="AG38" s="1"/>
      <c r="AH38" s="1"/>
    </row>
    <row r="39" ht="15.0" customHeight="1">
      <c r="A39" s="1"/>
      <c r="B39" s="7" t="s">
        <v>57</v>
      </c>
      <c r="C39" s="1"/>
      <c r="D39" s="1"/>
      <c r="E39" s="1"/>
      <c r="F39" s="1"/>
      <c r="G39" s="1"/>
      <c r="H39" s="1"/>
      <c r="I39" s="1"/>
      <c r="J39" s="1" t="s">
        <v>3</v>
      </c>
      <c r="K39" s="2" t="s">
        <v>4</v>
      </c>
      <c r="L39" s="1"/>
      <c r="M39" s="1"/>
      <c r="N39" s="1"/>
      <c r="O39" s="1"/>
      <c r="P39" s="1"/>
      <c r="Q39" s="1"/>
      <c r="R39" s="1"/>
      <c r="S39" s="1"/>
      <c r="T39" s="1"/>
      <c r="U39" s="1"/>
      <c r="V39" s="1"/>
      <c r="W39" s="1"/>
      <c r="X39" s="1"/>
      <c r="Y39" s="1"/>
      <c r="Z39" s="1"/>
      <c r="AA39" s="1"/>
      <c r="AB39" s="1"/>
      <c r="AC39" s="1"/>
      <c r="AD39" s="1"/>
      <c r="AE39" s="1"/>
      <c r="AF39" s="1"/>
      <c r="AG39" s="1"/>
      <c r="AH39" s="1"/>
    </row>
    <row r="40" ht="15.0" customHeight="1">
      <c r="A40" s="1"/>
      <c r="B40" s="1" t="s">
        <v>58</v>
      </c>
      <c r="C40" s="1"/>
      <c r="D40" s="1"/>
      <c r="E40" s="1"/>
      <c r="F40" s="1"/>
      <c r="G40" s="1"/>
      <c r="H40" s="1"/>
      <c r="I40" s="1"/>
      <c r="J40" s="5"/>
      <c r="K40" s="2"/>
      <c r="L40" s="1"/>
      <c r="M40" s="1"/>
      <c r="N40" s="1"/>
      <c r="O40" s="1"/>
      <c r="P40" s="1"/>
      <c r="Q40" s="1"/>
      <c r="R40" s="1"/>
      <c r="S40" s="1"/>
      <c r="T40" s="1"/>
      <c r="U40" s="1"/>
      <c r="V40" s="1"/>
      <c r="W40" s="1"/>
      <c r="X40" s="1"/>
      <c r="Y40" s="1"/>
      <c r="Z40" s="1"/>
      <c r="AA40" s="1"/>
      <c r="AB40" s="1"/>
      <c r="AC40" s="1"/>
      <c r="AD40" s="1"/>
      <c r="AE40" s="1"/>
      <c r="AF40" s="1"/>
      <c r="AG40" s="1"/>
      <c r="AH40" s="1"/>
    </row>
    <row r="41" ht="15.0" customHeight="1">
      <c r="A41" s="1"/>
      <c r="B41" s="1"/>
      <c r="C41" s="1" t="s">
        <v>59</v>
      </c>
      <c r="D41" s="1"/>
      <c r="E41" s="1"/>
      <c r="F41" s="1"/>
      <c r="G41" s="1"/>
      <c r="H41" s="1"/>
      <c r="I41" s="1"/>
      <c r="J41" s="5"/>
      <c r="K41" s="2"/>
      <c r="L41" s="1"/>
      <c r="M41" s="1"/>
      <c r="N41" s="1"/>
      <c r="O41" s="1"/>
      <c r="P41" s="1"/>
      <c r="Q41" s="1"/>
      <c r="R41" s="1"/>
      <c r="S41" s="1"/>
      <c r="T41" s="1"/>
      <c r="U41" s="1"/>
      <c r="V41" s="1"/>
      <c r="W41" s="1"/>
      <c r="X41" s="1"/>
      <c r="Y41" s="1"/>
      <c r="Z41" s="1"/>
      <c r="AA41" s="1"/>
      <c r="AB41" s="1"/>
      <c r="AC41" s="1"/>
      <c r="AD41" s="1"/>
      <c r="AE41" s="1"/>
      <c r="AF41" s="1"/>
      <c r="AG41" s="1"/>
      <c r="AH41" s="1"/>
    </row>
    <row r="42" ht="15.0" customHeight="1">
      <c r="A42" s="1"/>
      <c r="B42" s="1"/>
      <c r="C42" s="1"/>
      <c r="D42" s="3" t="s">
        <v>12</v>
      </c>
      <c r="E42" s="43"/>
      <c r="F42" s="1" t="s">
        <v>60</v>
      </c>
      <c r="G42" s="1"/>
      <c r="H42" s="1"/>
      <c r="I42" s="1"/>
      <c r="J42" s="13">
        <f>K42/$O$2</f>
        <v>54229.93492</v>
      </c>
      <c r="K42" s="11">
        <v>250000.0</v>
      </c>
      <c r="L42" s="1"/>
      <c r="M42" s="1"/>
      <c r="N42" s="1"/>
      <c r="O42" s="1"/>
      <c r="P42" s="1"/>
      <c r="Q42" s="1"/>
      <c r="R42" s="1"/>
      <c r="S42" s="1"/>
      <c r="T42" s="1"/>
      <c r="U42" s="1"/>
      <c r="V42" s="1"/>
      <c r="W42" s="1"/>
      <c r="X42" s="1"/>
      <c r="Y42" s="1"/>
      <c r="Z42" s="1"/>
      <c r="AA42" s="1"/>
      <c r="AB42" s="1"/>
      <c r="AC42" s="1"/>
      <c r="AD42" s="1"/>
      <c r="AE42" s="1"/>
      <c r="AF42" s="1"/>
      <c r="AG42" s="1"/>
      <c r="AH42" s="1"/>
    </row>
    <row r="43" ht="15.0" customHeight="1">
      <c r="A43" s="1"/>
      <c r="B43" s="1"/>
      <c r="C43" s="3" t="s">
        <v>61</v>
      </c>
      <c r="D43" s="1"/>
      <c r="E43" s="1"/>
      <c r="F43" s="1"/>
      <c r="G43" s="1"/>
      <c r="H43" s="1"/>
      <c r="I43" s="1"/>
      <c r="J43" s="13"/>
      <c r="K43" s="11"/>
      <c r="L43" s="1"/>
      <c r="M43" s="1"/>
      <c r="N43" s="1"/>
      <c r="O43" s="1"/>
      <c r="P43" s="1"/>
      <c r="Q43" s="1"/>
      <c r="R43" s="1"/>
      <c r="S43" s="1"/>
      <c r="T43" s="1"/>
      <c r="U43" s="1"/>
      <c r="V43" s="1"/>
      <c r="W43" s="1"/>
      <c r="X43" s="1"/>
      <c r="Y43" s="1"/>
      <c r="Z43" s="1"/>
      <c r="AA43" s="1"/>
      <c r="AB43" s="1"/>
      <c r="AC43" s="1"/>
      <c r="AD43" s="1"/>
      <c r="AE43" s="1"/>
      <c r="AF43" s="1"/>
      <c r="AG43" s="1"/>
      <c r="AH43" s="1"/>
    </row>
    <row r="44" ht="15.0" customHeight="1">
      <c r="A44" s="1"/>
      <c r="B44" s="1"/>
      <c r="C44" s="3"/>
      <c r="D44" s="3" t="s">
        <v>32</v>
      </c>
      <c r="E44" s="43"/>
      <c r="F44" s="3" t="s">
        <v>62</v>
      </c>
      <c r="G44" s="1"/>
      <c r="H44" s="1"/>
      <c r="I44" s="1"/>
      <c r="J44" s="13">
        <f>K44/$O$2</f>
        <v>814099.7831</v>
      </c>
      <c r="K44" s="11">
        <f>M44*O44</f>
        <v>3753000</v>
      </c>
      <c r="L44" s="24"/>
      <c r="M44" s="24">
        <v>1.5E7</v>
      </c>
      <c r="N44" s="1"/>
      <c r="O44" s="44">
        <f>O25</f>
        <v>0.2502</v>
      </c>
      <c r="P44" s="1"/>
      <c r="Q44" s="1"/>
      <c r="R44" s="1"/>
      <c r="S44" s="1"/>
      <c r="T44" s="1"/>
      <c r="U44" s="1"/>
      <c r="V44" s="1"/>
      <c r="W44" s="1"/>
      <c r="X44" s="1"/>
      <c r="Y44" s="1"/>
      <c r="Z44" s="1"/>
      <c r="AA44" s="1"/>
      <c r="AB44" s="1"/>
      <c r="AC44" s="1"/>
      <c r="AD44" s="1"/>
      <c r="AE44" s="1"/>
      <c r="AF44" s="1"/>
      <c r="AG44" s="1"/>
      <c r="AH44" s="1"/>
    </row>
    <row r="45" ht="15.0" customHeight="1">
      <c r="A45" s="1"/>
      <c r="B45" s="32"/>
      <c r="C45" s="32"/>
      <c r="D45" s="32"/>
      <c r="E45" s="32"/>
      <c r="F45" s="32"/>
      <c r="G45" s="33"/>
      <c r="H45" s="33" t="s">
        <v>63</v>
      </c>
      <c r="I45" s="32"/>
      <c r="J45" s="34">
        <f t="shared" ref="J45:K45" si="17">SUM(J40:J44)</f>
        <v>868329.718</v>
      </c>
      <c r="K45" s="35">
        <f t="shared" si="17"/>
        <v>4003000</v>
      </c>
      <c r="L45" s="1"/>
      <c r="M45" s="1"/>
      <c r="N45" s="1"/>
      <c r="O45" s="1"/>
      <c r="P45" s="1"/>
      <c r="Q45" s="1"/>
      <c r="R45" s="1"/>
      <c r="S45" s="1"/>
      <c r="T45" s="1"/>
      <c r="U45" s="1"/>
      <c r="V45" s="1"/>
      <c r="W45" s="1"/>
      <c r="X45" s="1"/>
      <c r="Y45" s="1"/>
      <c r="Z45" s="1"/>
      <c r="AA45" s="1"/>
      <c r="AB45" s="1"/>
      <c r="AC45" s="1"/>
      <c r="AD45" s="1"/>
      <c r="AE45" s="1"/>
      <c r="AF45" s="1"/>
      <c r="AG45" s="1"/>
      <c r="AH45" s="1"/>
    </row>
    <row r="46" ht="15.0" customHeight="1">
      <c r="A46" s="1"/>
      <c r="B46" s="36"/>
      <c r="C46" s="36"/>
      <c r="D46" s="36"/>
      <c r="E46" s="36"/>
      <c r="F46" s="36"/>
      <c r="G46" s="36"/>
      <c r="H46" s="36"/>
      <c r="I46" s="37" t="s">
        <v>64</v>
      </c>
      <c r="J46" s="38">
        <f t="shared" ref="J46:K46" si="18">J45</f>
        <v>868329.718</v>
      </c>
      <c r="K46" s="39">
        <f t="shared" si="18"/>
        <v>4003000</v>
      </c>
      <c r="L46" s="1"/>
      <c r="M46" s="1"/>
      <c r="N46" s="1"/>
      <c r="O46" s="1"/>
      <c r="P46" s="1"/>
      <c r="Q46" s="1"/>
      <c r="R46" s="1"/>
      <c r="S46" s="1"/>
      <c r="T46" s="1"/>
      <c r="U46" s="1"/>
      <c r="V46" s="1"/>
      <c r="W46" s="1"/>
      <c r="X46" s="1"/>
      <c r="Y46" s="1"/>
      <c r="Z46" s="1"/>
      <c r="AA46" s="1"/>
      <c r="AB46" s="1"/>
      <c r="AC46" s="1"/>
      <c r="AD46" s="1"/>
      <c r="AE46" s="1"/>
      <c r="AF46" s="1"/>
      <c r="AG46" s="1"/>
      <c r="AH46" s="1"/>
    </row>
    <row r="47" ht="15.0" customHeight="1">
      <c r="A47" s="1"/>
      <c r="B47" s="1" t="s">
        <v>65</v>
      </c>
      <c r="C47" s="1"/>
      <c r="D47" s="1"/>
      <c r="E47" s="1"/>
      <c r="F47" s="1"/>
      <c r="G47" s="1"/>
      <c r="H47" s="1"/>
      <c r="I47" s="1"/>
      <c r="J47" s="5"/>
      <c r="K47" s="2"/>
      <c r="L47" s="1"/>
      <c r="M47" s="1"/>
      <c r="N47" s="1"/>
      <c r="O47" s="1"/>
      <c r="P47" s="1"/>
      <c r="Q47" s="1"/>
      <c r="R47" s="1"/>
      <c r="S47" s="1"/>
      <c r="T47" s="1"/>
      <c r="U47" s="1"/>
      <c r="V47" s="1"/>
      <c r="W47" s="1"/>
      <c r="X47" s="1"/>
      <c r="Y47" s="1"/>
      <c r="Z47" s="1"/>
      <c r="AA47" s="1"/>
      <c r="AB47" s="1"/>
      <c r="AC47" s="1"/>
      <c r="AD47" s="1"/>
      <c r="AE47" s="1"/>
      <c r="AF47" s="1"/>
      <c r="AG47" s="1"/>
      <c r="AH47" s="1"/>
    </row>
    <row r="48" ht="15.0" customHeight="1">
      <c r="A48" s="1"/>
      <c r="B48" s="1"/>
      <c r="C48" s="1" t="s">
        <v>66</v>
      </c>
      <c r="D48" s="1"/>
      <c r="E48" s="1"/>
      <c r="F48" s="1"/>
      <c r="G48" s="1"/>
      <c r="H48" s="1"/>
      <c r="I48" s="1"/>
      <c r="J48" s="13">
        <f t="shared" ref="J48:K48" si="19">J37-J46</f>
        <v>32402278.98</v>
      </c>
      <c r="K48" s="11">
        <f t="shared" si="19"/>
        <v>149374506.1</v>
      </c>
      <c r="L48" s="1"/>
      <c r="M48" s="1"/>
      <c r="N48" s="1"/>
      <c r="O48" s="1"/>
      <c r="P48" s="1"/>
      <c r="Q48" s="1"/>
      <c r="R48" s="1"/>
      <c r="S48" s="1"/>
      <c r="T48" s="1"/>
      <c r="U48" s="1"/>
      <c r="V48" s="1"/>
      <c r="W48" s="1"/>
      <c r="X48" s="1"/>
      <c r="Y48" s="1"/>
      <c r="Z48" s="1"/>
      <c r="AA48" s="1"/>
      <c r="AB48" s="1"/>
      <c r="AC48" s="1"/>
      <c r="AD48" s="1"/>
      <c r="AE48" s="1"/>
      <c r="AF48" s="1"/>
      <c r="AG48" s="1"/>
      <c r="AH48" s="1"/>
    </row>
    <row r="49" ht="15.0" customHeight="1">
      <c r="A49" s="1"/>
      <c r="B49" s="36"/>
      <c r="C49" s="36"/>
      <c r="D49" s="36"/>
      <c r="E49" s="36"/>
      <c r="F49" s="36"/>
      <c r="G49" s="36"/>
      <c r="H49" s="36"/>
      <c r="I49" s="37" t="s">
        <v>67</v>
      </c>
      <c r="J49" s="38">
        <f t="shared" ref="J49:K49" si="20">J48</f>
        <v>32402278.98</v>
      </c>
      <c r="K49" s="39">
        <f t="shared" si="20"/>
        <v>149374506.1</v>
      </c>
      <c r="L49" s="1"/>
      <c r="M49" s="1"/>
      <c r="N49" s="1"/>
      <c r="O49" s="1"/>
      <c r="P49" s="1"/>
      <c r="Q49" s="1"/>
      <c r="R49" s="1"/>
      <c r="S49" s="1"/>
      <c r="T49" s="1"/>
      <c r="U49" s="1"/>
      <c r="V49" s="1"/>
      <c r="W49" s="1"/>
      <c r="X49" s="1"/>
      <c r="Y49" s="1"/>
      <c r="Z49" s="1"/>
      <c r="AA49" s="1"/>
      <c r="AB49" s="1"/>
      <c r="AC49" s="1"/>
      <c r="AD49" s="1"/>
      <c r="AE49" s="1"/>
      <c r="AF49" s="1"/>
      <c r="AG49" s="1"/>
      <c r="AH49" s="1"/>
    </row>
    <row r="50" ht="15.0" customHeight="1">
      <c r="A50" s="1"/>
      <c r="B50" s="40"/>
      <c r="C50" s="40"/>
      <c r="D50" s="40"/>
      <c r="E50" s="40"/>
      <c r="F50" s="40"/>
      <c r="G50" s="40"/>
      <c r="H50" s="40"/>
      <c r="I50" s="40"/>
      <c r="J50" s="41">
        <f t="shared" ref="J50:K50" si="21">J46+J49</f>
        <v>33270608.7</v>
      </c>
      <c r="K50" s="42">
        <f t="shared" si="21"/>
        <v>153377506.1</v>
      </c>
      <c r="L50" s="1"/>
      <c r="M50" s="1"/>
      <c r="N50" s="1"/>
      <c r="O50" s="1"/>
      <c r="P50" s="1"/>
      <c r="Q50" s="1"/>
      <c r="R50" s="1"/>
      <c r="S50" s="1"/>
      <c r="T50" s="1"/>
      <c r="U50" s="1"/>
      <c r="V50" s="1"/>
      <c r="W50" s="1"/>
      <c r="X50" s="1"/>
      <c r="Y50" s="1"/>
      <c r="Z50" s="1"/>
      <c r="AA50" s="1"/>
      <c r="AB50" s="1"/>
      <c r="AC50" s="1"/>
      <c r="AD50" s="1"/>
      <c r="AE50" s="1"/>
      <c r="AF50" s="1"/>
      <c r="AG50" s="1"/>
      <c r="AH50" s="1"/>
    </row>
    <row r="51" ht="15.0" customHeight="1">
      <c r="A51" s="1"/>
      <c r="B51" s="1"/>
      <c r="C51" s="1"/>
      <c r="D51" s="1"/>
      <c r="E51" s="1"/>
      <c r="F51" s="1"/>
      <c r="G51" s="1"/>
      <c r="H51" s="1"/>
      <c r="I51" s="1"/>
      <c r="J51" s="1"/>
      <c r="K51" s="2"/>
      <c r="L51" s="1"/>
      <c r="M51" s="1"/>
      <c r="N51" s="1"/>
      <c r="O51" s="1"/>
      <c r="P51" s="1"/>
      <c r="Q51" s="1"/>
      <c r="R51" s="1"/>
      <c r="S51" s="1"/>
      <c r="T51" s="1"/>
      <c r="U51" s="1"/>
      <c r="V51" s="1"/>
      <c r="W51" s="1"/>
      <c r="X51" s="1"/>
      <c r="Y51" s="1"/>
      <c r="Z51" s="1"/>
      <c r="AA51" s="1"/>
      <c r="AB51" s="1"/>
      <c r="AC51" s="1"/>
      <c r="AD51" s="1"/>
      <c r="AE51" s="1"/>
      <c r="AF51" s="1"/>
      <c r="AG51" s="1"/>
      <c r="AH51" s="1"/>
    </row>
    <row r="52" ht="15.0" customHeight="1">
      <c r="A52" s="1"/>
      <c r="B52" s="1"/>
      <c r="C52" s="1"/>
      <c r="D52" s="1"/>
      <c r="E52" s="1"/>
      <c r="F52" s="1"/>
      <c r="G52" s="1"/>
      <c r="H52" s="1"/>
      <c r="I52" s="1"/>
      <c r="J52" s="1"/>
      <c r="K52" s="2"/>
      <c r="L52" s="1"/>
      <c r="M52" s="1"/>
      <c r="N52" s="1"/>
      <c r="O52" s="1"/>
      <c r="P52" s="1"/>
      <c r="Q52" s="1"/>
      <c r="R52" s="1"/>
      <c r="S52" s="1"/>
      <c r="T52" s="1"/>
      <c r="U52" s="1"/>
      <c r="V52" s="1"/>
      <c r="W52" s="1"/>
      <c r="X52" s="1"/>
      <c r="Y52" s="1"/>
      <c r="Z52" s="1"/>
      <c r="AA52" s="1"/>
      <c r="AB52" s="1"/>
      <c r="AC52" s="1"/>
      <c r="AD52" s="1"/>
      <c r="AE52" s="1"/>
      <c r="AF52" s="1"/>
      <c r="AG52" s="1"/>
      <c r="AH52" s="1"/>
    </row>
    <row r="53" ht="15.0" customHeight="1">
      <c r="A53" s="1"/>
      <c r="B53" s="1"/>
      <c r="C53" s="1"/>
      <c r="D53" s="1"/>
      <c r="E53" s="1"/>
      <c r="F53" s="1"/>
      <c r="G53" s="1"/>
      <c r="H53" s="1"/>
      <c r="I53" s="1"/>
      <c r="J53" s="1"/>
      <c r="K53" s="2"/>
      <c r="L53" s="1"/>
      <c r="M53" s="1"/>
      <c r="N53" s="1"/>
      <c r="O53" s="1"/>
      <c r="P53" s="1"/>
      <c r="Q53" s="1"/>
      <c r="R53" s="1"/>
      <c r="S53" s="1"/>
      <c r="T53" s="1"/>
      <c r="U53" s="1"/>
      <c r="V53" s="1"/>
      <c r="W53" s="1"/>
      <c r="X53" s="1"/>
      <c r="Y53" s="1"/>
      <c r="Z53" s="1"/>
      <c r="AA53" s="1"/>
      <c r="AB53" s="1"/>
      <c r="AC53" s="1"/>
      <c r="AD53" s="1"/>
      <c r="AE53" s="1"/>
      <c r="AF53" s="1"/>
      <c r="AG53" s="1"/>
      <c r="AH53" s="1"/>
    </row>
    <row r="54">
      <c r="A54" s="1"/>
      <c r="B54" s="1"/>
      <c r="C54" s="1"/>
      <c r="D54" s="1"/>
      <c r="E54" s="1"/>
      <c r="F54" s="1"/>
      <c r="G54" s="1"/>
      <c r="H54" s="1"/>
      <c r="I54" s="1"/>
      <c r="J54" s="1"/>
      <c r="K54" s="2"/>
      <c r="L54" s="1"/>
      <c r="M54" s="1"/>
      <c r="N54" s="1"/>
      <c r="O54" s="1"/>
      <c r="P54" s="1"/>
      <c r="Q54" s="1"/>
      <c r="R54" s="1"/>
      <c r="S54" s="1"/>
      <c r="T54" s="1"/>
      <c r="U54" s="1"/>
      <c r="V54" s="1"/>
      <c r="W54" s="1"/>
      <c r="X54" s="1"/>
      <c r="Y54" s="1"/>
      <c r="Z54" s="1"/>
      <c r="AA54" s="1"/>
      <c r="AB54" s="1"/>
      <c r="AC54" s="1"/>
      <c r="AD54" s="1"/>
      <c r="AE54" s="1"/>
      <c r="AF54" s="1"/>
      <c r="AG54" s="1"/>
      <c r="AH54" s="1"/>
    </row>
    <row r="55">
      <c r="A55" s="1"/>
      <c r="B55" s="1"/>
      <c r="C55" s="1"/>
      <c r="D55" s="1"/>
      <c r="E55" s="1"/>
      <c r="F55" s="1"/>
      <c r="G55" s="1"/>
      <c r="H55" s="1"/>
      <c r="I55" s="1"/>
      <c r="J55" s="1"/>
      <c r="K55" s="2"/>
      <c r="L55" s="1"/>
      <c r="M55" s="1"/>
      <c r="N55" s="1"/>
      <c r="O55" s="1"/>
      <c r="P55" s="1"/>
      <c r="Q55" s="1"/>
      <c r="R55" s="1"/>
      <c r="S55" s="1"/>
      <c r="T55" s="1"/>
      <c r="U55" s="1"/>
      <c r="V55" s="1"/>
      <c r="W55" s="1"/>
      <c r="X55" s="1"/>
      <c r="Y55" s="1"/>
      <c r="Z55" s="1"/>
      <c r="AA55" s="1"/>
      <c r="AB55" s="1"/>
      <c r="AC55" s="1"/>
      <c r="AD55" s="1"/>
      <c r="AE55" s="1"/>
      <c r="AF55" s="1"/>
      <c r="AG55" s="1"/>
      <c r="AH55" s="1"/>
    </row>
    <row r="56">
      <c r="A56" s="1"/>
      <c r="B56" s="1"/>
      <c r="C56" s="1"/>
      <c r="D56" s="1"/>
      <c r="E56" s="1"/>
      <c r="F56" s="1"/>
      <c r="G56" s="1"/>
      <c r="H56" s="1"/>
      <c r="I56" s="1"/>
      <c r="J56" s="1" t="s">
        <v>68</v>
      </c>
      <c r="K56" s="2" t="s">
        <v>69</v>
      </c>
      <c r="L56" s="1"/>
      <c r="M56" s="1"/>
      <c r="N56" s="1"/>
      <c r="O56" s="1"/>
      <c r="P56" s="1"/>
      <c r="Q56" s="1"/>
      <c r="R56" s="1"/>
      <c r="S56" s="1"/>
      <c r="T56" s="1"/>
      <c r="U56" s="1"/>
      <c r="V56" s="1"/>
      <c r="W56" s="1"/>
      <c r="X56" s="1"/>
      <c r="Y56" s="1"/>
      <c r="Z56" s="1"/>
      <c r="AA56" s="1"/>
      <c r="AB56" s="1"/>
      <c r="AC56" s="1"/>
      <c r="AD56" s="1"/>
      <c r="AE56" s="1"/>
      <c r="AF56" s="1"/>
      <c r="AG56" s="1"/>
      <c r="AH56" s="1"/>
    </row>
    <row r="57">
      <c r="A57" s="1"/>
      <c r="B57" s="1"/>
      <c r="C57" s="1"/>
      <c r="D57" s="1"/>
      <c r="E57" s="1"/>
      <c r="F57" s="1"/>
      <c r="G57" s="1"/>
      <c r="H57" s="1"/>
      <c r="I57" s="1" t="s">
        <v>3</v>
      </c>
      <c r="J57" s="5">
        <v>2.9823067E7</v>
      </c>
      <c r="K57" s="2">
        <v>1.3748433887E8</v>
      </c>
      <c r="L57" s="1"/>
      <c r="M57" s="1"/>
      <c r="N57" s="1"/>
      <c r="O57" s="1"/>
      <c r="P57" s="1"/>
      <c r="Q57" s="1"/>
      <c r="R57" s="1"/>
      <c r="S57" s="1"/>
      <c r="T57" s="1"/>
      <c r="U57" s="1"/>
      <c r="V57" s="1"/>
      <c r="W57" s="1"/>
      <c r="X57" s="1"/>
      <c r="Y57" s="1"/>
      <c r="Z57" s="1"/>
      <c r="AA57" s="1"/>
      <c r="AB57" s="1"/>
      <c r="AC57" s="1"/>
      <c r="AD57" s="1"/>
      <c r="AE57" s="1"/>
      <c r="AF57" s="1"/>
      <c r="AG57" s="1"/>
      <c r="AH57" s="1"/>
    </row>
    <row r="58">
      <c r="A58" s="1"/>
      <c r="B58" s="1"/>
      <c r="C58" s="1"/>
      <c r="D58" s="1"/>
      <c r="E58" s="1"/>
      <c r="F58" s="1"/>
      <c r="G58" s="1"/>
      <c r="H58" s="1"/>
      <c r="I58" s="1" t="s">
        <v>32</v>
      </c>
      <c r="J58" s="5">
        <v>814099.8373535791</v>
      </c>
      <c r="K58" s="2">
        <v>3753000.2501999997</v>
      </c>
      <c r="L58" s="1"/>
      <c r="M58" s="1"/>
      <c r="N58" s="1"/>
      <c r="O58" s="1"/>
      <c r="P58" s="1"/>
      <c r="Q58" s="1"/>
      <c r="R58" s="1"/>
      <c r="S58" s="1"/>
      <c r="T58" s="1"/>
      <c r="U58" s="1"/>
      <c r="V58" s="1"/>
      <c r="W58" s="1"/>
      <c r="X58" s="1"/>
      <c r="Y58" s="1"/>
      <c r="Z58" s="1"/>
      <c r="AA58" s="1"/>
      <c r="AB58" s="1"/>
      <c r="AC58" s="1"/>
      <c r="AD58" s="1"/>
      <c r="AE58" s="1"/>
      <c r="AF58" s="1"/>
      <c r="AG58" s="1"/>
      <c r="AH58" s="1"/>
    </row>
    <row r="59">
      <c r="A59" s="1"/>
      <c r="B59" s="1"/>
      <c r="C59" s="1"/>
      <c r="D59" s="1"/>
      <c r="E59" s="1"/>
      <c r="F59" s="1"/>
      <c r="G59" s="1"/>
      <c r="H59" s="1"/>
      <c r="I59" s="1" t="s">
        <v>13</v>
      </c>
      <c r="J59" s="5">
        <v>908490.2386117136</v>
      </c>
      <c r="K59" s="2">
        <v>4188140.0</v>
      </c>
      <c r="L59" s="1"/>
      <c r="M59" s="1"/>
      <c r="N59" s="1"/>
      <c r="O59" s="1"/>
      <c r="P59" s="1"/>
      <c r="Q59" s="1"/>
      <c r="R59" s="1"/>
      <c r="S59" s="1"/>
      <c r="T59" s="1"/>
      <c r="U59" s="1"/>
      <c r="V59" s="1"/>
      <c r="W59" s="1"/>
      <c r="X59" s="1"/>
      <c r="Y59" s="1"/>
      <c r="Z59" s="1"/>
      <c r="AA59" s="1"/>
      <c r="AB59" s="1"/>
      <c r="AC59" s="1"/>
      <c r="AD59" s="1"/>
      <c r="AE59" s="1"/>
      <c r="AF59" s="1"/>
      <c r="AG59" s="1"/>
      <c r="AH59" s="1"/>
    </row>
    <row r="60">
      <c r="A60" s="1"/>
      <c r="B60" s="1"/>
      <c r="C60" s="1"/>
      <c r="D60" s="1"/>
      <c r="E60" s="1"/>
      <c r="F60" s="1"/>
      <c r="G60" s="1"/>
      <c r="H60" s="1"/>
      <c r="I60" s="1" t="s">
        <v>12</v>
      </c>
      <c r="J60" s="5">
        <v>1724951.6268980475</v>
      </c>
      <c r="K60" s="2">
        <v>7952027.0</v>
      </c>
      <c r="L60" s="1"/>
      <c r="M60" s="1"/>
      <c r="N60" s="1"/>
      <c r="O60" s="1"/>
      <c r="P60" s="1"/>
      <c r="Q60" s="1"/>
      <c r="R60" s="1"/>
      <c r="S60" s="1"/>
      <c r="T60" s="1"/>
      <c r="U60" s="1"/>
      <c r="V60" s="1"/>
      <c r="W60" s="1"/>
      <c r="X60" s="1"/>
      <c r="Y60" s="1"/>
      <c r="Z60" s="1"/>
      <c r="AA60" s="1"/>
      <c r="AB60" s="1"/>
      <c r="AC60" s="1"/>
      <c r="AD60" s="1"/>
      <c r="AE60" s="1"/>
      <c r="AF60" s="1"/>
      <c r="AG60" s="1"/>
      <c r="AH60" s="1"/>
    </row>
    <row r="61">
      <c r="A61" s="1"/>
      <c r="B61" s="1"/>
      <c r="C61" s="1"/>
      <c r="D61" s="1"/>
      <c r="E61" s="1"/>
      <c r="F61" s="1"/>
      <c r="G61" s="1"/>
      <c r="H61" s="1"/>
      <c r="I61" s="1"/>
      <c r="J61" s="1"/>
      <c r="K61" s="2"/>
      <c r="L61" s="1"/>
      <c r="M61" s="1"/>
      <c r="N61" s="1"/>
      <c r="O61" s="1"/>
      <c r="P61" s="1"/>
      <c r="Q61" s="1"/>
      <c r="R61" s="1"/>
      <c r="S61" s="1"/>
      <c r="T61" s="1"/>
      <c r="U61" s="1"/>
      <c r="V61" s="1"/>
      <c r="W61" s="1"/>
      <c r="X61" s="1"/>
      <c r="Y61" s="1"/>
      <c r="Z61" s="1"/>
      <c r="AA61" s="1"/>
      <c r="AB61" s="1"/>
      <c r="AC61" s="1"/>
      <c r="AD61" s="1"/>
      <c r="AE61" s="1"/>
      <c r="AF61" s="1"/>
      <c r="AG61" s="1"/>
      <c r="AH61" s="1"/>
    </row>
    <row r="62">
      <c r="A62" s="1"/>
      <c r="B62" s="1"/>
      <c r="C62" s="1"/>
      <c r="D62" s="1"/>
      <c r="E62" s="1"/>
      <c r="F62" s="1"/>
      <c r="G62" s="1"/>
      <c r="H62" s="1"/>
      <c r="I62" s="1"/>
      <c r="J62" s="1"/>
      <c r="K62" s="2"/>
      <c r="L62" s="1"/>
      <c r="M62" s="1"/>
      <c r="N62" s="1"/>
      <c r="O62" s="1"/>
      <c r="P62" s="1"/>
      <c r="Q62" s="1"/>
      <c r="R62" s="1"/>
      <c r="S62" s="1"/>
      <c r="T62" s="1"/>
      <c r="U62" s="1"/>
      <c r="V62" s="1"/>
      <c r="W62" s="1"/>
      <c r="X62" s="1"/>
      <c r="Y62" s="1"/>
      <c r="Z62" s="1"/>
      <c r="AA62" s="1"/>
      <c r="AB62" s="1"/>
      <c r="AC62" s="1"/>
      <c r="AD62" s="1"/>
      <c r="AE62" s="1"/>
      <c r="AF62" s="1"/>
      <c r="AG62" s="1"/>
      <c r="AH62" s="1"/>
    </row>
    <row r="63">
      <c r="A63" s="1"/>
      <c r="B63" s="1"/>
      <c r="C63" s="1"/>
      <c r="D63" s="1"/>
      <c r="E63" s="1"/>
      <c r="F63" s="1"/>
      <c r="G63" s="1"/>
      <c r="H63" s="1"/>
      <c r="I63" s="1"/>
      <c r="J63" s="1"/>
      <c r="K63" s="2"/>
      <c r="L63" s="1"/>
      <c r="M63" s="1"/>
      <c r="N63" s="1"/>
      <c r="O63" s="1"/>
      <c r="P63" s="1"/>
      <c r="Q63" s="1"/>
      <c r="R63" s="1"/>
      <c r="S63" s="1"/>
      <c r="T63" s="1"/>
      <c r="U63" s="1"/>
      <c r="V63" s="1"/>
      <c r="W63" s="1"/>
      <c r="X63" s="1"/>
      <c r="Y63" s="1"/>
      <c r="Z63" s="1"/>
      <c r="AA63" s="1"/>
      <c r="AB63" s="1"/>
      <c r="AC63" s="1"/>
      <c r="AD63" s="1"/>
      <c r="AE63" s="1"/>
      <c r="AF63" s="1"/>
      <c r="AG63" s="1"/>
      <c r="AH63" s="1"/>
    </row>
    <row r="64">
      <c r="A64" s="1"/>
      <c r="B64" s="1"/>
      <c r="C64" s="1"/>
      <c r="D64" s="1"/>
      <c r="E64" s="1"/>
      <c r="F64" s="1"/>
      <c r="G64" s="1"/>
      <c r="H64" s="1"/>
      <c r="I64" s="1"/>
      <c r="J64" s="1"/>
      <c r="K64" s="2"/>
      <c r="L64" s="1"/>
      <c r="M64" s="1"/>
      <c r="N64" s="1"/>
      <c r="O64" s="1"/>
      <c r="P64" s="1"/>
      <c r="Q64" s="1"/>
      <c r="R64" s="1"/>
      <c r="S64" s="1"/>
      <c r="T64" s="1"/>
      <c r="U64" s="1"/>
      <c r="V64" s="1"/>
      <c r="W64" s="1"/>
      <c r="X64" s="1"/>
      <c r="Y64" s="1"/>
      <c r="Z64" s="1"/>
      <c r="AA64" s="1"/>
      <c r="AB64" s="1"/>
      <c r="AC64" s="1"/>
      <c r="AD64" s="1"/>
      <c r="AE64" s="1"/>
      <c r="AF64" s="1"/>
      <c r="AG64" s="1"/>
      <c r="AH64" s="1"/>
    </row>
    <row r="65">
      <c r="A65" s="1"/>
      <c r="B65" s="1"/>
      <c r="C65" s="1"/>
      <c r="D65" s="1"/>
      <c r="E65" s="1"/>
      <c r="F65" s="1"/>
      <c r="G65" s="1"/>
      <c r="H65" s="1"/>
      <c r="I65" s="1"/>
      <c r="J65" s="1"/>
      <c r="K65" s="2"/>
      <c r="L65" s="1"/>
      <c r="M65" s="1"/>
      <c r="N65" s="1"/>
      <c r="O65" s="1"/>
      <c r="P65" s="1"/>
      <c r="Q65" s="1"/>
      <c r="R65" s="1"/>
      <c r="S65" s="1"/>
      <c r="T65" s="1"/>
      <c r="U65" s="1"/>
      <c r="V65" s="1"/>
      <c r="W65" s="1"/>
      <c r="X65" s="1"/>
      <c r="Y65" s="1"/>
      <c r="Z65" s="1"/>
      <c r="AA65" s="1"/>
      <c r="AB65" s="1"/>
      <c r="AC65" s="1"/>
      <c r="AD65" s="1"/>
      <c r="AE65" s="1"/>
      <c r="AF65" s="1"/>
      <c r="AG65" s="1"/>
      <c r="AH65" s="1"/>
    </row>
    <row r="66">
      <c r="A66" s="1"/>
      <c r="B66" s="1"/>
      <c r="C66" s="1"/>
      <c r="D66" s="1"/>
      <c r="E66" s="1"/>
      <c r="F66" s="1"/>
      <c r="G66" s="1"/>
      <c r="H66" s="1"/>
      <c r="I66" s="1"/>
      <c r="J66" s="1"/>
      <c r="K66" s="2"/>
      <c r="L66" s="1"/>
      <c r="M66" s="1"/>
      <c r="N66" s="1"/>
      <c r="O66" s="1"/>
      <c r="P66" s="1"/>
      <c r="Q66" s="1"/>
      <c r="R66" s="1"/>
      <c r="S66" s="1"/>
      <c r="T66" s="1"/>
      <c r="U66" s="1"/>
      <c r="V66" s="1"/>
      <c r="W66" s="1"/>
      <c r="X66" s="1"/>
      <c r="Y66" s="1"/>
      <c r="Z66" s="1"/>
      <c r="AA66" s="1"/>
      <c r="AB66" s="1"/>
      <c r="AC66" s="1"/>
      <c r="AD66" s="1"/>
      <c r="AE66" s="1"/>
      <c r="AF66" s="1"/>
      <c r="AG66" s="1"/>
      <c r="AH66" s="1"/>
    </row>
    <row r="67">
      <c r="A67" s="1"/>
      <c r="B67" s="1"/>
      <c r="C67" s="1"/>
      <c r="D67" s="1"/>
      <c r="E67" s="1"/>
      <c r="F67" s="1"/>
      <c r="G67" s="1"/>
      <c r="H67" s="1"/>
      <c r="I67" s="1"/>
      <c r="J67" s="1"/>
      <c r="K67" s="2"/>
      <c r="L67" s="1"/>
      <c r="M67" s="1"/>
      <c r="N67" s="1"/>
      <c r="O67" s="1"/>
      <c r="P67" s="1"/>
      <c r="Q67" s="1"/>
      <c r="R67" s="1"/>
      <c r="S67" s="1"/>
      <c r="T67" s="1"/>
      <c r="U67" s="1"/>
      <c r="V67" s="1"/>
      <c r="W67" s="1"/>
      <c r="X67" s="1"/>
      <c r="Y67" s="1"/>
      <c r="Z67" s="1"/>
      <c r="AA67" s="1"/>
      <c r="AB67" s="1"/>
      <c r="AC67" s="1"/>
      <c r="AD67" s="1"/>
      <c r="AE67" s="1"/>
      <c r="AF67" s="1"/>
      <c r="AG67" s="1"/>
      <c r="AH67" s="1"/>
    </row>
    <row r="68">
      <c r="A68" s="1"/>
      <c r="B68" s="1"/>
      <c r="C68" s="1"/>
      <c r="D68" s="1"/>
      <c r="E68" s="1"/>
      <c r="F68" s="1"/>
      <c r="G68" s="1"/>
      <c r="H68" s="1"/>
      <c r="I68" s="1"/>
      <c r="J68" s="5"/>
      <c r="K68" s="2"/>
      <c r="L68" s="1"/>
      <c r="M68" s="1"/>
      <c r="N68" s="1"/>
      <c r="O68" s="1"/>
      <c r="P68" s="1"/>
      <c r="Q68" s="1"/>
      <c r="R68" s="1"/>
      <c r="S68" s="1"/>
      <c r="T68" s="1"/>
      <c r="U68" s="1"/>
      <c r="V68" s="1"/>
      <c r="W68" s="1"/>
      <c r="X68" s="1"/>
      <c r="Y68" s="1"/>
      <c r="Z68" s="1"/>
      <c r="AA68" s="1"/>
      <c r="AB68" s="1"/>
      <c r="AC68" s="1"/>
      <c r="AD68" s="1"/>
      <c r="AE68" s="1"/>
      <c r="AF68" s="1"/>
      <c r="AG68" s="1"/>
      <c r="AH68" s="1"/>
    </row>
    <row r="69">
      <c r="A69" s="1"/>
      <c r="B69" s="1"/>
      <c r="C69" s="1"/>
      <c r="D69" s="1"/>
      <c r="E69" s="1"/>
      <c r="F69" s="1"/>
      <c r="G69" s="1"/>
      <c r="H69" s="1"/>
      <c r="I69" s="1"/>
      <c r="J69" s="5"/>
      <c r="K69" s="2"/>
      <c r="L69" s="1"/>
      <c r="M69" s="1"/>
      <c r="N69" s="1"/>
      <c r="O69" s="1"/>
      <c r="P69" s="1"/>
      <c r="Q69" s="1"/>
      <c r="R69" s="1"/>
      <c r="S69" s="1"/>
      <c r="T69" s="1"/>
      <c r="U69" s="1"/>
      <c r="V69" s="1"/>
      <c r="W69" s="1"/>
      <c r="X69" s="1"/>
      <c r="Y69" s="1"/>
      <c r="Z69" s="1"/>
      <c r="AA69" s="1"/>
      <c r="AB69" s="1"/>
      <c r="AC69" s="1"/>
      <c r="AD69" s="1"/>
      <c r="AE69" s="1"/>
      <c r="AF69" s="1"/>
      <c r="AG69" s="1"/>
      <c r="AH69" s="1"/>
    </row>
    <row r="70">
      <c r="A70" s="1"/>
      <c r="B70" s="1"/>
      <c r="C70" s="1"/>
      <c r="D70" s="1"/>
      <c r="E70" s="1"/>
      <c r="F70" s="1"/>
      <c r="G70" s="1"/>
      <c r="H70" s="1"/>
      <c r="I70" s="1"/>
      <c r="J70" s="5"/>
      <c r="K70" s="2"/>
      <c r="L70" s="1"/>
      <c r="M70" s="1"/>
      <c r="N70" s="1"/>
      <c r="O70" s="1"/>
      <c r="P70" s="1"/>
      <c r="Q70" s="1"/>
      <c r="R70" s="1"/>
      <c r="S70" s="1"/>
      <c r="T70" s="1"/>
      <c r="U70" s="1"/>
      <c r="V70" s="1"/>
      <c r="W70" s="1"/>
      <c r="X70" s="1"/>
      <c r="Y70" s="1"/>
      <c r="Z70" s="1"/>
      <c r="AA70" s="1"/>
      <c r="AB70" s="1"/>
      <c r="AC70" s="1"/>
      <c r="AD70" s="1"/>
      <c r="AE70" s="1"/>
      <c r="AF70" s="1"/>
      <c r="AG70" s="1"/>
      <c r="AH70" s="1"/>
    </row>
    <row r="71">
      <c r="A71" s="1"/>
      <c r="B71" s="1"/>
      <c r="C71" s="1"/>
      <c r="D71" s="1"/>
      <c r="E71" s="1"/>
      <c r="F71" s="1"/>
      <c r="G71" s="1"/>
      <c r="H71" s="1"/>
      <c r="I71" s="1"/>
      <c r="J71" s="5"/>
      <c r="K71" s="2"/>
      <c r="L71" s="1"/>
      <c r="M71" s="1"/>
      <c r="N71" s="1"/>
      <c r="O71" s="1"/>
      <c r="P71" s="1"/>
      <c r="Q71" s="1"/>
      <c r="R71" s="1"/>
      <c r="S71" s="1"/>
      <c r="T71" s="1"/>
      <c r="U71" s="1"/>
      <c r="V71" s="1"/>
      <c r="W71" s="1"/>
      <c r="X71" s="1"/>
      <c r="Y71" s="1"/>
      <c r="Z71" s="1"/>
      <c r="AA71" s="1"/>
      <c r="AB71" s="1"/>
      <c r="AC71" s="1"/>
      <c r="AD71" s="1"/>
      <c r="AE71" s="1"/>
      <c r="AF71" s="1"/>
      <c r="AG71" s="1"/>
      <c r="AH71" s="1"/>
    </row>
    <row r="72">
      <c r="A72" s="1"/>
      <c r="B72" s="1"/>
      <c r="C72" s="1"/>
      <c r="D72" s="1"/>
      <c r="E72" s="1"/>
      <c r="F72" s="1"/>
      <c r="G72" s="1"/>
      <c r="H72" s="1"/>
      <c r="I72" s="1"/>
      <c r="J72" s="5"/>
      <c r="K72" s="2"/>
      <c r="L72" s="1"/>
      <c r="M72" s="1"/>
      <c r="N72" s="1"/>
      <c r="O72" s="1"/>
      <c r="P72" s="1"/>
      <c r="Q72" s="1"/>
      <c r="R72" s="1"/>
      <c r="S72" s="1"/>
      <c r="T72" s="1"/>
      <c r="U72" s="1"/>
      <c r="V72" s="1"/>
      <c r="W72" s="1"/>
      <c r="X72" s="1"/>
      <c r="Y72" s="1"/>
      <c r="Z72" s="1"/>
      <c r="AA72" s="1"/>
      <c r="AB72" s="1"/>
      <c r="AC72" s="1"/>
      <c r="AD72" s="1"/>
      <c r="AE72" s="1"/>
      <c r="AF72" s="1"/>
      <c r="AG72" s="1"/>
      <c r="AH72" s="1"/>
    </row>
    <row r="73">
      <c r="A73" s="1"/>
      <c r="B73" s="1"/>
      <c r="C73" s="1"/>
      <c r="D73" s="1"/>
      <c r="E73" s="1"/>
      <c r="F73" s="1"/>
      <c r="G73" s="1"/>
      <c r="H73" s="1"/>
      <c r="I73" s="1"/>
      <c r="J73" s="5"/>
      <c r="K73" s="2"/>
      <c r="L73" s="1"/>
      <c r="M73" s="1"/>
      <c r="N73" s="1"/>
      <c r="O73" s="1"/>
      <c r="P73" s="1"/>
      <c r="Q73" s="1"/>
      <c r="R73" s="1"/>
      <c r="S73" s="1"/>
      <c r="T73" s="1"/>
      <c r="U73" s="1"/>
      <c r="V73" s="1"/>
      <c r="W73" s="1"/>
      <c r="X73" s="1"/>
      <c r="Y73" s="1"/>
      <c r="Z73" s="1"/>
      <c r="AA73" s="1"/>
      <c r="AB73" s="1"/>
      <c r="AC73" s="1"/>
      <c r="AD73" s="1"/>
      <c r="AE73" s="1"/>
      <c r="AF73" s="1"/>
      <c r="AG73" s="1"/>
      <c r="AH73" s="1"/>
    </row>
    <row r="74">
      <c r="A74" s="1"/>
      <c r="B74" s="1"/>
      <c r="C74" s="1"/>
      <c r="D74" s="1"/>
      <c r="E74" s="1"/>
      <c r="F74" s="1"/>
      <c r="G74" s="1"/>
      <c r="H74" s="1"/>
      <c r="I74" s="1"/>
      <c r="J74" s="5"/>
      <c r="K74" s="2"/>
      <c r="L74" s="1"/>
      <c r="M74" s="1"/>
      <c r="N74" s="1"/>
      <c r="O74" s="1"/>
      <c r="P74" s="1"/>
      <c r="Q74" s="1"/>
      <c r="R74" s="1"/>
      <c r="S74" s="1"/>
      <c r="T74" s="1"/>
      <c r="U74" s="1"/>
      <c r="V74" s="1"/>
      <c r="W74" s="1"/>
      <c r="X74" s="1"/>
      <c r="Y74" s="1"/>
      <c r="Z74" s="1"/>
      <c r="AA74" s="1"/>
      <c r="AB74" s="1"/>
      <c r="AC74" s="1"/>
      <c r="AD74" s="1"/>
      <c r="AE74" s="1"/>
      <c r="AF74" s="1"/>
      <c r="AG74" s="1"/>
      <c r="AH74" s="1"/>
    </row>
    <row r="75">
      <c r="A75" s="1"/>
      <c r="B75" s="1"/>
      <c r="C75" s="1"/>
      <c r="D75" s="1"/>
      <c r="E75" s="1"/>
      <c r="F75" s="1"/>
      <c r="G75" s="1"/>
      <c r="H75" s="1"/>
      <c r="I75" s="1"/>
      <c r="J75" s="5"/>
      <c r="K75" s="2"/>
      <c r="L75" s="1"/>
      <c r="M75" s="1"/>
      <c r="N75" s="1"/>
      <c r="O75" s="1"/>
      <c r="P75" s="1"/>
      <c r="Q75" s="1"/>
      <c r="R75" s="1"/>
      <c r="S75" s="1"/>
      <c r="T75" s="1"/>
      <c r="U75" s="1"/>
      <c r="V75" s="1"/>
      <c r="W75" s="1"/>
      <c r="X75" s="1"/>
      <c r="Y75" s="1"/>
      <c r="Z75" s="1"/>
      <c r="AA75" s="1"/>
      <c r="AB75" s="1"/>
      <c r="AC75" s="1"/>
      <c r="AD75" s="1"/>
      <c r="AE75" s="1"/>
      <c r="AF75" s="1"/>
      <c r="AG75" s="1"/>
      <c r="AH75" s="1"/>
    </row>
    <row r="76">
      <c r="A76" s="1"/>
      <c r="B76" s="1"/>
      <c r="C76" s="1"/>
      <c r="D76" s="1"/>
      <c r="E76" s="1"/>
      <c r="F76" s="1"/>
      <c r="G76" s="1"/>
      <c r="H76" s="1"/>
      <c r="I76" s="1"/>
      <c r="J76" s="5"/>
      <c r="K76" s="2"/>
      <c r="L76" s="1"/>
      <c r="M76" s="1"/>
      <c r="N76" s="1"/>
      <c r="O76" s="1"/>
      <c r="P76" s="1"/>
      <c r="Q76" s="1"/>
      <c r="R76" s="1"/>
      <c r="S76" s="1"/>
      <c r="T76" s="1"/>
      <c r="U76" s="1"/>
      <c r="V76" s="1"/>
      <c r="W76" s="1"/>
      <c r="X76" s="1"/>
      <c r="Y76" s="1"/>
      <c r="Z76" s="1"/>
      <c r="AA76" s="1"/>
      <c r="AB76" s="1"/>
      <c r="AC76" s="1"/>
      <c r="AD76" s="1"/>
      <c r="AE76" s="1"/>
      <c r="AF76" s="1"/>
      <c r="AG76" s="1"/>
      <c r="AH76" s="1"/>
    </row>
    <row r="77">
      <c r="A77" s="1"/>
      <c r="B77" s="1"/>
      <c r="C77" s="1"/>
      <c r="D77" s="1"/>
      <c r="E77" s="1"/>
      <c r="F77" s="1"/>
      <c r="G77" s="1"/>
      <c r="H77" s="1"/>
      <c r="I77" s="1"/>
      <c r="J77" s="5"/>
      <c r="K77" s="2"/>
      <c r="L77" s="1"/>
      <c r="M77" s="1"/>
      <c r="N77" s="1"/>
      <c r="O77" s="1"/>
      <c r="P77" s="1"/>
      <c r="Q77" s="1"/>
      <c r="R77" s="1"/>
      <c r="S77" s="1"/>
      <c r="T77" s="1"/>
      <c r="U77" s="1"/>
      <c r="V77" s="1"/>
      <c r="W77" s="1"/>
      <c r="X77" s="1"/>
      <c r="Y77" s="1"/>
      <c r="Z77" s="1"/>
      <c r="AA77" s="1"/>
      <c r="AB77" s="1"/>
      <c r="AC77" s="1"/>
      <c r="AD77" s="1"/>
      <c r="AE77" s="1"/>
      <c r="AF77" s="1"/>
      <c r="AG77" s="1"/>
      <c r="AH77" s="1"/>
    </row>
    <row r="78">
      <c r="A78" s="1"/>
      <c r="B78" s="1"/>
      <c r="C78" s="1"/>
      <c r="D78" s="1"/>
      <c r="E78" s="1"/>
      <c r="F78" s="1"/>
      <c r="G78" s="1"/>
      <c r="H78" s="1"/>
      <c r="I78" s="1"/>
      <c r="J78" s="5"/>
      <c r="K78" s="2"/>
      <c r="L78" s="1"/>
      <c r="M78" s="1"/>
      <c r="N78" s="1"/>
      <c r="O78" s="1"/>
      <c r="P78" s="1"/>
      <c r="Q78" s="1"/>
      <c r="R78" s="1"/>
      <c r="S78" s="1"/>
      <c r="T78" s="1"/>
      <c r="U78" s="1"/>
      <c r="V78" s="1"/>
      <c r="W78" s="1"/>
      <c r="X78" s="1"/>
      <c r="Y78" s="1"/>
      <c r="Z78" s="1"/>
      <c r="AA78" s="1"/>
      <c r="AB78" s="1"/>
      <c r="AC78" s="1"/>
      <c r="AD78" s="1"/>
      <c r="AE78" s="1"/>
      <c r="AF78" s="1"/>
      <c r="AG78" s="1"/>
      <c r="AH78" s="1"/>
    </row>
    <row r="79">
      <c r="A79" s="1"/>
      <c r="B79" s="1"/>
      <c r="C79" s="1"/>
      <c r="D79" s="1"/>
      <c r="E79" s="1"/>
      <c r="F79" s="1"/>
      <c r="G79" s="1"/>
      <c r="H79" s="1"/>
      <c r="I79" s="1"/>
      <c r="J79" s="5" t="s">
        <v>70</v>
      </c>
      <c r="K79" s="2"/>
      <c r="L79" s="1"/>
      <c r="M79" s="1"/>
      <c r="N79" s="1"/>
      <c r="O79" s="1"/>
      <c r="P79" s="1"/>
      <c r="Q79" s="1"/>
      <c r="R79" s="1"/>
      <c r="S79" s="1"/>
      <c r="T79" s="1"/>
      <c r="U79" s="1"/>
      <c r="V79" s="1"/>
      <c r="W79" s="1"/>
      <c r="X79" s="1"/>
      <c r="Y79" s="1"/>
      <c r="Z79" s="1"/>
      <c r="AA79" s="1"/>
      <c r="AB79" s="1"/>
      <c r="AC79" s="1"/>
      <c r="AD79" s="1"/>
      <c r="AE79" s="1"/>
      <c r="AF79" s="1"/>
      <c r="AG79" s="1"/>
      <c r="AH79" s="1"/>
    </row>
    <row r="80">
      <c r="A80" s="1"/>
      <c r="B80" s="1"/>
      <c r="C80" s="1"/>
      <c r="D80" s="1"/>
      <c r="E80" s="1"/>
      <c r="F80" s="1"/>
      <c r="G80" s="1"/>
      <c r="H80" s="1"/>
      <c r="I80" s="44" t="s">
        <v>9</v>
      </c>
      <c r="J80" s="5">
        <v>1.1569224E7</v>
      </c>
      <c r="K80" s="2"/>
      <c r="L80" s="1"/>
      <c r="M80" s="1"/>
      <c r="N80" s="1"/>
      <c r="O80" s="1"/>
      <c r="P80" s="1"/>
      <c r="Q80" s="1"/>
      <c r="R80" s="1"/>
      <c r="S80" s="1"/>
      <c r="T80" s="1"/>
      <c r="U80" s="1"/>
      <c r="V80" s="1"/>
      <c r="W80" s="1"/>
      <c r="X80" s="1"/>
      <c r="Y80" s="1"/>
      <c r="Z80" s="1"/>
      <c r="AA80" s="1"/>
      <c r="AB80" s="1"/>
      <c r="AC80" s="1"/>
      <c r="AD80" s="1"/>
      <c r="AE80" s="1"/>
      <c r="AF80" s="1"/>
      <c r="AG80" s="1"/>
      <c r="AH80" s="1"/>
    </row>
    <row r="81">
      <c r="A81" s="1"/>
      <c r="B81" s="1"/>
      <c r="C81" s="1"/>
      <c r="D81" s="1"/>
      <c r="E81" s="1"/>
      <c r="F81" s="1"/>
      <c r="G81" s="1"/>
      <c r="H81" s="1"/>
      <c r="I81" s="44" t="s">
        <v>11</v>
      </c>
      <c r="J81" s="5">
        <v>5822397.123644252</v>
      </c>
      <c r="K81" s="2"/>
      <c r="L81" s="1"/>
      <c r="M81" s="1"/>
      <c r="N81" s="1"/>
      <c r="O81" s="1"/>
      <c r="P81" s="1"/>
      <c r="Q81" s="1"/>
      <c r="R81" s="1"/>
      <c r="S81" s="1"/>
      <c r="T81" s="1"/>
      <c r="U81" s="1"/>
      <c r="V81" s="1"/>
      <c r="W81" s="1"/>
      <c r="X81" s="1"/>
      <c r="Y81" s="1"/>
      <c r="Z81" s="1"/>
      <c r="AA81" s="1"/>
      <c r="AB81" s="1"/>
      <c r="AC81" s="1"/>
      <c r="AD81" s="1"/>
      <c r="AE81" s="1"/>
      <c r="AF81" s="1"/>
      <c r="AG81" s="1"/>
      <c r="AH81" s="1"/>
    </row>
    <row r="82">
      <c r="A82" s="1"/>
      <c r="B82" s="1"/>
      <c r="C82" s="1"/>
      <c r="D82" s="1"/>
      <c r="E82" s="1"/>
      <c r="F82" s="1"/>
      <c r="G82" s="1"/>
      <c r="H82" s="1"/>
      <c r="I82" s="1" t="s">
        <v>18</v>
      </c>
      <c r="J82" s="5">
        <v>5089788.772234273</v>
      </c>
      <c r="K82" s="2"/>
      <c r="L82" s="1"/>
      <c r="M82" s="1"/>
      <c r="N82" s="1"/>
      <c r="O82" s="1"/>
      <c r="P82" s="1"/>
      <c r="Q82" s="1"/>
      <c r="R82" s="1"/>
      <c r="S82" s="1"/>
      <c r="T82" s="1"/>
      <c r="U82" s="1"/>
      <c r="V82" s="1"/>
      <c r="W82" s="1"/>
      <c r="X82" s="1"/>
      <c r="Y82" s="1"/>
      <c r="Z82" s="1"/>
      <c r="AA82" s="1"/>
      <c r="AB82" s="1"/>
      <c r="AC82" s="1"/>
      <c r="AD82" s="1"/>
      <c r="AE82" s="1"/>
      <c r="AF82" s="1"/>
      <c r="AG82" s="1"/>
      <c r="AH82" s="1"/>
    </row>
    <row r="83">
      <c r="A83" s="1"/>
      <c r="B83" s="1"/>
      <c r="C83" s="1"/>
      <c r="D83" s="1"/>
      <c r="E83" s="1"/>
      <c r="F83" s="1"/>
      <c r="G83" s="1"/>
      <c r="H83" s="1"/>
      <c r="I83" s="1" t="s">
        <v>27</v>
      </c>
      <c r="J83" s="5">
        <v>4048545.0</v>
      </c>
      <c r="K83" s="2"/>
      <c r="L83" s="1"/>
      <c r="M83" s="1"/>
      <c r="N83" s="1"/>
      <c r="O83" s="1"/>
      <c r="P83" s="1"/>
      <c r="Q83" s="1"/>
      <c r="R83" s="1"/>
      <c r="S83" s="1"/>
      <c r="T83" s="1"/>
      <c r="U83" s="1"/>
      <c r="V83" s="1"/>
      <c r="W83" s="1"/>
      <c r="X83" s="1"/>
      <c r="Y83" s="1"/>
      <c r="Z83" s="1"/>
      <c r="AA83" s="1"/>
      <c r="AB83" s="1"/>
      <c r="AC83" s="1"/>
      <c r="AD83" s="1"/>
      <c r="AE83" s="1"/>
      <c r="AF83" s="1"/>
      <c r="AG83" s="1"/>
      <c r="AH83" s="1"/>
    </row>
    <row r="84">
      <c r="A84" s="1"/>
      <c r="B84" s="1"/>
      <c r="C84" s="1"/>
      <c r="D84" s="1"/>
      <c r="E84" s="1"/>
      <c r="F84" s="1"/>
      <c r="G84" s="1"/>
      <c r="H84" s="1"/>
      <c r="I84" s="44" t="s">
        <v>29</v>
      </c>
      <c r="J84" s="5">
        <v>1980000.0</v>
      </c>
      <c r="K84" s="2"/>
      <c r="L84" s="1"/>
      <c r="M84" s="1"/>
      <c r="N84" s="1"/>
      <c r="O84" s="1"/>
      <c r="P84" s="1"/>
      <c r="Q84" s="1"/>
      <c r="R84" s="1"/>
      <c r="S84" s="1"/>
      <c r="T84" s="1"/>
      <c r="U84" s="1"/>
      <c r="V84" s="1"/>
      <c r="W84" s="1"/>
      <c r="X84" s="1"/>
      <c r="Y84" s="1"/>
      <c r="Z84" s="1"/>
      <c r="AA84" s="1"/>
      <c r="AB84" s="1"/>
      <c r="AC84" s="1"/>
      <c r="AD84" s="1"/>
      <c r="AE84" s="1"/>
      <c r="AF84" s="1"/>
      <c r="AG84" s="1"/>
      <c r="AH84" s="1"/>
    </row>
    <row r="85">
      <c r="A85" s="1"/>
      <c r="B85" s="1"/>
      <c r="C85" s="1"/>
      <c r="D85" s="1"/>
      <c r="E85" s="1"/>
      <c r="F85" s="1"/>
      <c r="G85" s="1"/>
      <c r="H85" s="1"/>
      <c r="I85" s="1" t="s">
        <v>23</v>
      </c>
      <c r="J85" s="5">
        <v>1169272.6485900215</v>
      </c>
      <c r="K85" s="2"/>
      <c r="L85" s="1"/>
      <c r="M85" s="1"/>
      <c r="N85" s="1"/>
      <c r="O85" s="1"/>
      <c r="P85" s="1"/>
      <c r="Q85" s="1"/>
      <c r="R85" s="1"/>
      <c r="S85" s="1"/>
      <c r="T85" s="1"/>
      <c r="U85" s="1"/>
      <c r="V85" s="1"/>
      <c r="W85" s="1"/>
      <c r="X85" s="1"/>
      <c r="Y85" s="1"/>
      <c r="Z85" s="1"/>
      <c r="AA85" s="1"/>
      <c r="AB85" s="1"/>
      <c r="AC85" s="1"/>
      <c r="AD85" s="1"/>
      <c r="AE85" s="1"/>
      <c r="AF85" s="1"/>
      <c r="AG85" s="1"/>
      <c r="AH85" s="1"/>
    </row>
    <row r="86">
      <c r="A86" s="1"/>
      <c r="B86" s="1"/>
      <c r="C86" s="1"/>
      <c r="D86" s="1"/>
      <c r="E86" s="1"/>
      <c r="F86" s="1"/>
      <c r="G86" s="1"/>
      <c r="H86" s="1"/>
      <c r="I86" s="44" t="s">
        <v>38</v>
      </c>
      <c r="J86" s="5">
        <v>1002115.0</v>
      </c>
      <c r="K86" s="2"/>
      <c r="L86" s="1"/>
      <c r="M86" s="1"/>
      <c r="N86" s="1"/>
      <c r="O86" s="1"/>
      <c r="P86" s="1"/>
      <c r="Q86" s="1"/>
      <c r="R86" s="1"/>
      <c r="S86" s="1"/>
      <c r="T86" s="1"/>
      <c r="U86" s="1"/>
      <c r="V86" s="1"/>
      <c r="W86" s="1"/>
      <c r="X86" s="1"/>
      <c r="Y86" s="1"/>
      <c r="Z86" s="1"/>
      <c r="AA86" s="1"/>
      <c r="AB86" s="1"/>
      <c r="AC86" s="1"/>
      <c r="AD86" s="1"/>
      <c r="AE86" s="1"/>
      <c r="AF86" s="1"/>
      <c r="AG86" s="1"/>
      <c r="AH86" s="1"/>
    </row>
    <row r="87">
      <c r="A87" s="1"/>
      <c r="B87" s="1"/>
      <c r="C87" s="1"/>
      <c r="D87" s="1"/>
      <c r="E87" s="1"/>
      <c r="F87" s="1"/>
      <c r="G87" s="1"/>
      <c r="H87" s="1"/>
      <c r="I87" s="44" t="s">
        <v>43</v>
      </c>
      <c r="J87" s="5">
        <v>650759.219088937</v>
      </c>
      <c r="K87" s="2"/>
      <c r="L87" s="1"/>
      <c r="M87" s="1"/>
      <c r="N87" s="1"/>
      <c r="O87" s="1"/>
      <c r="P87" s="1"/>
      <c r="Q87" s="1"/>
      <c r="R87" s="1"/>
      <c r="S87" s="1"/>
      <c r="T87" s="1"/>
      <c r="U87" s="1"/>
      <c r="V87" s="1"/>
      <c r="W87" s="1"/>
      <c r="X87" s="1"/>
      <c r="Y87" s="1"/>
      <c r="Z87" s="1"/>
      <c r="AA87" s="1"/>
      <c r="AB87" s="1"/>
      <c r="AC87" s="1"/>
      <c r="AD87" s="1"/>
      <c r="AE87" s="1"/>
      <c r="AF87" s="1"/>
      <c r="AG87" s="1"/>
      <c r="AH87" s="1"/>
    </row>
    <row r="88">
      <c r="A88" s="1"/>
      <c r="B88" s="1"/>
      <c r="C88" s="1"/>
      <c r="D88" s="1"/>
      <c r="E88" s="1"/>
      <c r="F88" s="1"/>
      <c r="G88" s="1"/>
      <c r="H88" s="1"/>
      <c r="I88" s="44" t="s">
        <v>33</v>
      </c>
      <c r="J88" s="5">
        <v>553588.0153145336</v>
      </c>
      <c r="K88" s="2"/>
      <c r="L88" s="1"/>
      <c r="M88" s="1"/>
      <c r="N88" s="1"/>
      <c r="O88" s="1"/>
      <c r="P88" s="1"/>
      <c r="Q88" s="1"/>
      <c r="R88" s="1"/>
      <c r="S88" s="1"/>
      <c r="T88" s="1"/>
      <c r="U88" s="1"/>
      <c r="V88" s="1"/>
      <c r="W88" s="1"/>
      <c r="X88" s="1"/>
      <c r="Y88" s="1"/>
      <c r="Z88" s="1"/>
      <c r="AA88" s="1"/>
      <c r="AB88" s="1"/>
      <c r="AC88" s="1"/>
      <c r="AD88" s="1"/>
      <c r="AE88" s="1"/>
      <c r="AF88" s="1"/>
      <c r="AG88" s="1"/>
      <c r="AH88" s="1"/>
    </row>
    <row r="89">
      <c r="A89" s="1"/>
      <c r="B89" s="1"/>
      <c r="C89" s="1"/>
      <c r="D89" s="1"/>
      <c r="E89" s="1"/>
      <c r="F89" s="1"/>
      <c r="G89" s="1"/>
      <c r="H89" s="1"/>
      <c r="I89" s="44" t="s">
        <v>30</v>
      </c>
      <c r="J89" s="5">
        <v>536126.464208243</v>
      </c>
      <c r="K89" s="2"/>
      <c r="L89" s="1"/>
      <c r="M89" s="1"/>
      <c r="N89" s="1"/>
      <c r="O89" s="1"/>
      <c r="P89" s="1"/>
      <c r="Q89" s="1"/>
      <c r="R89" s="1"/>
      <c r="S89" s="1"/>
      <c r="T89" s="1"/>
      <c r="U89" s="1"/>
      <c r="V89" s="1"/>
      <c r="W89" s="1"/>
      <c r="X89" s="1"/>
      <c r="Y89" s="1"/>
      <c r="Z89" s="1"/>
      <c r="AA89" s="1"/>
      <c r="AB89" s="1"/>
      <c r="AC89" s="1"/>
      <c r="AD89" s="1"/>
      <c r="AE89" s="1"/>
      <c r="AF89" s="1"/>
      <c r="AG89" s="1"/>
      <c r="AH89" s="1"/>
    </row>
    <row r="90">
      <c r="A90" s="1"/>
      <c r="B90" s="1"/>
      <c r="C90" s="1"/>
      <c r="D90" s="1"/>
      <c r="E90" s="1"/>
      <c r="F90" s="1"/>
      <c r="G90" s="1"/>
      <c r="H90" s="1"/>
      <c r="I90" s="1" t="s">
        <v>47</v>
      </c>
      <c r="J90" s="5">
        <v>500000.0</v>
      </c>
      <c r="K90" s="2"/>
      <c r="L90" s="1"/>
      <c r="M90" s="1"/>
      <c r="N90" s="1"/>
      <c r="O90" s="1"/>
      <c r="P90" s="1"/>
      <c r="Q90" s="1"/>
      <c r="R90" s="1"/>
      <c r="S90" s="1"/>
      <c r="T90" s="1"/>
      <c r="U90" s="1"/>
      <c r="V90" s="1"/>
      <c r="W90" s="1"/>
      <c r="X90" s="1"/>
      <c r="Y90" s="1"/>
      <c r="Z90" s="1"/>
      <c r="AA90" s="1"/>
      <c r="AB90" s="1"/>
      <c r="AC90" s="1"/>
      <c r="AD90" s="1"/>
      <c r="AE90" s="1"/>
      <c r="AF90" s="1"/>
      <c r="AG90" s="1"/>
      <c r="AH90" s="1"/>
    </row>
    <row r="91">
      <c r="A91" s="1"/>
      <c r="B91" s="1"/>
      <c r="C91" s="1"/>
      <c r="D91" s="1"/>
      <c r="E91" s="1"/>
      <c r="F91" s="1"/>
      <c r="G91" s="1"/>
      <c r="H91" s="1"/>
      <c r="I91" s="44" t="s">
        <v>35</v>
      </c>
      <c r="J91" s="5">
        <v>260511.82203904554</v>
      </c>
      <c r="K91" s="2"/>
      <c r="L91" s="1"/>
      <c r="M91" s="1"/>
      <c r="N91" s="1"/>
      <c r="O91" s="1"/>
      <c r="P91" s="1"/>
      <c r="Q91" s="1"/>
      <c r="R91" s="1"/>
      <c r="S91" s="1"/>
      <c r="T91" s="1"/>
      <c r="U91" s="1"/>
      <c r="V91" s="1"/>
      <c r="W91" s="1"/>
      <c r="X91" s="1"/>
      <c r="Y91" s="1"/>
      <c r="Z91" s="1"/>
      <c r="AA91" s="1"/>
      <c r="AB91" s="1"/>
      <c r="AC91" s="1"/>
      <c r="AD91" s="1"/>
      <c r="AE91" s="1"/>
      <c r="AF91" s="1"/>
      <c r="AG91" s="1"/>
      <c r="AH91" s="1"/>
    </row>
    <row r="92">
      <c r="A92" s="1"/>
      <c r="B92" s="1"/>
      <c r="C92" s="1"/>
      <c r="D92" s="1"/>
      <c r="E92" s="1"/>
      <c r="F92" s="1"/>
      <c r="G92" s="1"/>
      <c r="H92" s="1"/>
      <c r="I92" s="1" t="s">
        <v>52</v>
      </c>
      <c r="J92" s="5">
        <v>50000.0</v>
      </c>
      <c r="K92" s="2"/>
      <c r="L92" s="1"/>
      <c r="M92" s="1"/>
      <c r="N92" s="1"/>
      <c r="O92" s="1"/>
      <c r="P92" s="1"/>
      <c r="Q92" s="1"/>
      <c r="R92" s="1"/>
      <c r="S92" s="1"/>
      <c r="T92" s="1"/>
      <c r="U92" s="1"/>
      <c r="V92" s="1"/>
      <c r="W92" s="1"/>
      <c r="X92" s="1"/>
      <c r="Y92" s="1"/>
      <c r="Z92" s="1"/>
      <c r="AA92" s="1"/>
      <c r="AB92" s="1"/>
      <c r="AC92" s="1"/>
      <c r="AD92" s="1"/>
      <c r="AE92" s="1"/>
      <c r="AF92" s="1"/>
      <c r="AG92" s="1"/>
      <c r="AH92" s="1"/>
    </row>
    <row r="93">
      <c r="A93" s="1"/>
      <c r="B93" s="1"/>
      <c r="C93" s="1"/>
      <c r="D93" s="1"/>
      <c r="E93" s="1"/>
      <c r="F93" s="1"/>
      <c r="G93" s="1"/>
      <c r="H93" s="1"/>
      <c r="I93" s="1" t="s">
        <v>31</v>
      </c>
      <c r="J93" s="5">
        <v>38280.637744034706</v>
      </c>
      <c r="K93" s="2"/>
      <c r="L93" s="1"/>
      <c r="M93" s="1"/>
      <c r="N93" s="1"/>
      <c r="O93" s="1"/>
      <c r="P93" s="1"/>
      <c r="Q93" s="1"/>
      <c r="R93" s="1"/>
      <c r="S93" s="1"/>
      <c r="T93" s="1"/>
      <c r="U93" s="1"/>
      <c r="V93" s="1"/>
      <c r="W93" s="1"/>
      <c r="X93" s="1"/>
      <c r="Y93" s="1"/>
      <c r="Z93" s="1"/>
      <c r="AA93" s="1"/>
      <c r="AB93" s="1"/>
      <c r="AC93" s="1"/>
      <c r="AD93" s="1"/>
      <c r="AE93" s="1"/>
      <c r="AF93" s="1"/>
      <c r="AG93" s="1"/>
      <c r="AH93" s="1"/>
    </row>
    <row r="94">
      <c r="A94" s="1"/>
      <c r="B94" s="1"/>
      <c r="C94" s="1"/>
      <c r="D94" s="1"/>
      <c r="E94" s="1"/>
      <c r="F94" s="1"/>
      <c r="G94" s="1"/>
      <c r="H94" s="1"/>
      <c r="I94" s="1"/>
      <c r="J94" s="5">
        <v>0.0</v>
      </c>
      <c r="K94" s="2"/>
      <c r="L94" s="1"/>
      <c r="M94" s="1"/>
      <c r="N94" s="1"/>
      <c r="O94" s="1"/>
      <c r="P94" s="1"/>
      <c r="Q94" s="1"/>
      <c r="R94" s="1"/>
      <c r="S94" s="1"/>
      <c r="T94" s="1"/>
      <c r="U94" s="1"/>
      <c r="V94" s="1"/>
      <c r="W94" s="1"/>
      <c r="X94" s="1"/>
      <c r="Y94" s="1"/>
      <c r="Z94" s="1"/>
      <c r="AA94" s="1"/>
      <c r="AB94" s="1"/>
      <c r="AC94" s="1"/>
      <c r="AD94" s="1"/>
      <c r="AE94" s="1"/>
      <c r="AF94" s="1"/>
      <c r="AG94" s="1"/>
      <c r="AH94" s="1"/>
    </row>
    <row r="95">
      <c r="A95" s="1"/>
      <c r="B95" s="1"/>
      <c r="C95" s="1"/>
      <c r="D95" s="1"/>
      <c r="E95" s="1"/>
      <c r="F95" s="1"/>
      <c r="G95" s="1"/>
      <c r="H95" s="1"/>
      <c r="I95" s="1" t="s">
        <v>71</v>
      </c>
      <c r="J95" s="5">
        <v>3.327060870286334E7</v>
      </c>
      <c r="K95" s="2"/>
      <c r="L95" s="1"/>
      <c r="M95" s="1"/>
      <c r="N95" s="1"/>
      <c r="O95" s="1"/>
      <c r="P95" s="1"/>
      <c r="Q95" s="1"/>
      <c r="R95" s="1"/>
      <c r="S95" s="1"/>
      <c r="T95" s="1"/>
      <c r="U95" s="1"/>
      <c r="V95" s="1"/>
      <c r="W95" s="1"/>
      <c r="X95" s="1"/>
      <c r="Y95" s="1"/>
      <c r="Z95" s="1"/>
      <c r="AA95" s="1"/>
      <c r="AB95" s="1"/>
      <c r="AC95" s="1"/>
      <c r="AD95" s="1"/>
      <c r="AE95" s="1"/>
      <c r="AF95" s="1"/>
      <c r="AG95" s="1"/>
      <c r="AH95" s="1"/>
    </row>
    <row r="96">
      <c r="A96" s="1"/>
      <c r="B96" s="1"/>
      <c r="C96" s="1"/>
      <c r="D96" s="1"/>
      <c r="E96" s="1"/>
      <c r="F96" s="1"/>
      <c r="G96" s="1"/>
      <c r="H96" s="1"/>
      <c r="I96" s="1"/>
      <c r="J96" s="5"/>
      <c r="K96" s="2"/>
      <c r="L96" s="1"/>
      <c r="M96" s="1"/>
      <c r="N96" s="1"/>
      <c r="O96" s="1"/>
      <c r="P96" s="1"/>
      <c r="Q96" s="1"/>
      <c r="R96" s="1"/>
      <c r="S96" s="1"/>
      <c r="T96" s="1"/>
      <c r="U96" s="1"/>
      <c r="V96" s="1"/>
      <c r="W96" s="1"/>
      <c r="X96" s="1"/>
      <c r="Y96" s="1"/>
      <c r="Z96" s="1"/>
      <c r="AA96" s="1"/>
      <c r="AB96" s="1"/>
      <c r="AC96" s="1"/>
      <c r="AD96" s="1"/>
      <c r="AE96" s="1"/>
      <c r="AF96" s="1"/>
      <c r="AG96" s="1"/>
      <c r="AH96" s="1"/>
    </row>
    <row r="97">
      <c r="A97" s="1"/>
      <c r="B97" s="1"/>
      <c r="C97" s="1"/>
      <c r="D97" s="1"/>
      <c r="E97" s="1"/>
      <c r="F97" s="1"/>
      <c r="G97" s="1"/>
      <c r="H97" s="1"/>
      <c r="I97" s="1"/>
      <c r="J97" s="5"/>
      <c r="K97" s="2"/>
      <c r="L97" s="1"/>
      <c r="M97" s="1"/>
      <c r="N97" s="1"/>
      <c r="O97" s="1"/>
      <c r="P97" s="1"/>
      <c r="Q97" s="1"/>
      <c r="R97" s="1"/>
      <c r="S97" s="1"/>
      <c r="T97" s="1"/>
      <c r="U97" s="1"/>
      <c r="V97" s="1"/>
      <c r="W97" s="1"/>
      <c r="X97" s="1"/>
      <c r="Y97" s="1"/>
      <c r="Z97" s="1"/>
      <c r="AA97" s="1"/>
      <c r="AB97" s="1"/>
      <c r="AC97" s="1"/>
      <c r="AD97" s="1"/>
      <c r="AE97" s="1"/>
      <c r="AF97" s="1"/>
      <c r="AG97" s="1"/>
      <c r="AH97" s="1"/>
    </row>
    <row r="98">
      <c r="A98" s="1"/>
      <c r="B98" s="1"/>
      <c r="C98" s="1"/>
      <c r="D98" s="1"/>
      <c r="E98" s="1"/>
      <c r="F98" s="1"/>
      <c r="G98" s="1"/>
      <c r="H98" s="1"/>
      <c r="I98" s="1"/>
      <c r="J98" s="5"/>
      <c r="K98" s="2"/>
      <c r="L98" s="1"/>
      <c r="M98" s="1"/>
      <c r="N98" s="1"/>
      <c r="O98" s="1"/>
      <c r="P98" s="1"/>
      <c r="Q98" s="1"/>
      <c r="R98" s="1"/>
      <c r="S98" s="1"/>
      <c r="T98" s="1"/>
      <c r="U98" s="1"/>
      <c r="V98" s="1"/>
      <c r="W98" s="1"/>
      <c r="X98" s="1"/>
      <c r="Y98" s="1"/>
      <c r="Z98" s="1"/>
      <c r="AA98" s="1"/>
      <c r="AB98" s="1"/>
      <c r="AC98" s="1"/>
      <c r="AD98" s="1"/>
      <c r="AE98" s="1"/>
      <c r="AF98" s="1"/>
      <c r="AG98" s="1"/>
      <c r="AH98" s="1"/>
    </row>
    <row r="99">
      <c r="A99" s="1"/>
      <c r="B99" s="1"/>
      <c r="C99" s="1"/>
      <c r="D99" s="1"/>
      <c r="E99" s="1"/>
      <c r="F99" s="1"/>
      <c r="G99" s="1"/>
      <c r="H99" s="1"/>
      <c r="I99" s="1"/>
      <c r="J99" s="5"/>
      <c r="K99" s="2"/>
      <c r="L99" s="1"/>
      <c r="M99" s="1"/>
      <c r="N99" s="1"/>
      <c r="O99" s="1"/>
      <c r="P99" s="1"/>
      <c r="Q99" s="1"/>
      <c r="R99" s="1"/>
      <c r="S99" s="1"/>
      <c r="T99" s="1"/>
      <c r="U99" s="1"/>
      <c r="V99" s="1"/>
      <c r="W99" s="1"/>
      <c r="X99" s="1"/>
      <c r="Y99" s="1"/>
      <c r="Z99" s="1"/>
      <c r="AA99" s="1"/>
      <c r="AB99" s="1"/>
      <c r="AC99" s="1"/>
      <c r="AD99" s="1"/>
      <c r="AE99" s="1"/>
      <c r="AF99" s="1"/>
      <c r="AG99" s="1"/>
      <c r="AH99" s="1"/>
    </row>
    <row r="100">
      <c r="A100" s="1"/>
      <c r="B100" s="1"/>
      <c r="C100" s="1"/>
      <c r="D100" s="1"/>
      <c r="E100" s="1"/>
      <c r="F100" s="1"/>
      <c r="G100" s="1"/>
      <c r="H100" s="1"/>
      <c r="I100" s="1"/>
      <c r="J100" s="5"/>
      <c r="K100" s="2"/>
      <c r="L100" s="1"/>
      <c r="M100" s="1"/>
      <c r="N100" s="1"/>
      <c r="O100" s="1"/>
      <c r="P100" s="1"/>
      <c r="Q100" s="1"/>
      <c r="R100" s="1"/>
      <c r="S100" s="1"/>
      <c r="T100" s="1"/>
      <c r="U100" s="1"/>
      <c r="V100" s="1"/>
      <c r="W100" s="1"/>
      <c r="X100" s="1"/>
      <c r="Y100" s="1"/>
      <c r="Z100" s="1"/>
      <c r="AA100" s="1"/>
      <c r="AB100" s="1"/>
      <c r="AC100" s="1"/>
      <c r="AD100" s="1"/>
      <c r="AE100" s="1"/>
      <c r="AF100" s="1"/>
      <c r="AG100" s="1"/>
      <c r="AH100" s="1"/>
    </row>
    <row r="101">
      <c r="A101" s="1"/>
      <c r="B101" s="1"/>
      <c r="C101" s="1"/>
      <c r="D101" s="1"/>
      <c r="E101" s="1"/>
      <c r="F101" s="1"/>
      <c r="G101" s="1"/>
      <c r="H101" s="1"/>
      <c r="I101" s="1"/>
      <c r="J101" s="5"/>
      <c r="K101" s="2"/>
      <c r="L101" s="1"/>
      <c r="M101" s="1"/>
      <c r="N101" s="1"/>
      <c r="O101" s="1"/>
      <c r="P101" s="1"/>
      <c r="Q101" s="1"/>
      <c r="R101" s="1"/>
      <c r="S101" s="1"/>
      <c r="T101" s="1"/>
      <c r="U101" s="1"/>
      <c r="V101" s="1"/>
      <c r="W101" s="1"/>
      <c r="X101" s="1"/>
      <c r="Y101" s="1"/>
      <c r="Z101" s="1"/>
      <c r="AA101" s="1"/>
      <c r="AB101" s="1"/>
      <c r="AC101" s="1"/>
      <c r="AD101" s="1"/>
      <c r="AE101" s="1"/>
      <c r="AF101" s="1"/>
      <c r="AG101" s="1"/>
      <c r="AH101" s="1"/>
    </row>
    <row r="102">
      <c r="A102" s="1"/>
      <c r="B102" s="1"/>
      <c r="C102" s="1"/>
      <c r="D102" s="1"/>
      <c r="E102" s="1"/>
      <c r="F102" s="1"/>
      <c r="G102" s="1"/>
      <c r="H102" s="1"/>
      <c r="I102" s="1"/>
      <c r="J102" s="5"/>
      <c r="K102" s="2"/>
      <c r="L102" s="1"/>
      <c r="M102" s="1"/>
      <c r="N102" s="1"/>
      <c r="O102" s="1"/>
      <c r="P102" s="1"/>
      <c r="Q102" s="1"/>
      <c r="R102" s="1"/>
      <c r="S102" s="1"/>
      <c r="T102" s="1"/>
      <c r="U102" s="1"/>
      <c r="V102" s="1"/>
      <c r="W102" s="1"/>
      <c r="X102" s="1"/>
      <c r="Y102" s="1"/>
      <c r="Z102" s="1"/>
      <c r="AA102" s="1"/>
      <c r="AB102" s="1"/>
      <c r="AC102" s="1"/>
      <c r="AD102" s="1"/>
      <c r="AE102" s="1"/>
      <c r="AF102" s="1"/>
      <c r="AG102" s="1"/>
      <c r="AH102" s="1"/>
    </row>
    <row r="103">
      <c r="A103" s="1"/>
      <c r="B103" s="1"/>
      <c r="C103" s="1"/>
      <c r="D103" s="1"/>
      <c r="E103" s="1"/>
      <c r="F103" s="1"/>
      <c r="G103" s="1"/>
      <c r="H103" s="1"/>
      <c r="I103" s="1"/>
      <c r="J103" s="5"/>
      <c r="K103" s="2"/>
      <c r="L103" s="1"/>
      <c r="M103" s="1"/>
      <c r="N103" s="1"/>
      <c r="O103" s="1"/>
      <c r="P103" s="1"/>
      <c r="Q103" s="1"/>
      <c r="R103" s="1"/>
      <c r="S103" s="1"/>
      <c r="T103" s="1"/>
      <c r="U103" s="1"/>
      <c r="V103" s="1"/>
      <c r="W103" s="1"/>
      <c r="X103" s="1"/>
      <c r="Y103" s="1"/>
      <c r="Z103" s="1"/>
      <c r="AA103" s="1"/>
      <c r="AB103" s="1"/>
      <c r="AC103" s="1"/>
      <c r="AD103" s="1"/>
      <c r="AE103" s="1"/>
      <c r="AF103" s="1"/>
      <c r="AG103" s="1"/>
      <c r="AH103" s="1"/>
    </row>
    <row r="104">
      <c r="A104" s="1"/>
      <c r="B104" s="1"/>
      <c r="C104" s="1"/>
      <c r="D104" s="1"/>
      <c r="E104" s="1"/>
      <c r="F104" s="1"/>
      <c r="G104" s="1"/>
      <c r="H104" s="1"/>
      <c r="I104" s="1"/>
      <c r="J104" s="5"/>
      <c r="K104" s="2"/>
      <c r="L104" s="1"/>
      <c r="M104" s="1"/>
      <c r="N104" s="1"/>
      <c r="O104" s="1"/>
      <c r="P104" s="1"/>
      <c r="Q104" s="1"/>
      <c r="R104" s="1"/>
      <c r="S104" s="1"/>
      <c r="T104" s="1"/>
      <c r="U104" s="1"/>
      <c r="V104" s="1"/>
      <c r="W104" s="1"/>
      <c r="X104" s="1"/>
      <c r="Y104" s="1"/>
      <c r="Z104" s="1"/>
      <c r="AA104" s="1"/>
      <c r="AB104" s="1"/>
      <c r="AC104" s="1"/>
      <c r="AD104" s="1"/>
      <c r="AE104" s="1"/>
      <c r="AF104" s="1"/>
      <c r="AG104" s="1"/>
      <c r="AH104" s="1"/>
    </row>
    <row r="105">
      <c r="A105" s="1"/>
      <c r="B105" s="1"/>
      <c r="C105" s="1"/>
      <c r="D105" s="1"/>
      <c r="E105" s="1"/>
      <c r="F105" s="1"/>
      <c r="G105" s="1"/>
      <c r="H105" s="1"/>
      <c r="I105" s="1"/>
      <c r="J105" s="5"/>
      <c r="K105" s="2"/>
      <c r="L105" s="1"/>
      <c r="M105" s="1"/>
      <c r="N105" s="1"/>
      <c r="O105" s="1"/>
      <c r="P105" s="1"/>
      <c r="Q105" s="1"/>
      <c r="R105" s="1"/>
      <c r="S105" s="1"/>
      <c r="T105" s="1"/>
      <c r="U105" s="1"/>
      <c r="V105" s="1"/>
      <c r="W105" s="1"/>
      <c r="X105" s="1"/>
      <c r="Y105" s="1"/>
      <c r="Z105" s="1"/>
      <c r="AA105" s="1"/>
      <c r="AB105" s="1"/>
      <c r="AC105" s="1"/>
      <c r="AD105" s="1"/>
      <c r="AE105" s="1"/>
      <c r="AF105" s="1"/>
      <c r="AG105" s="1"/>
      <c r="AH105" s="1"/>
    </row>
    <row r="106">
      <c r="A106" s="1"/>
      <c r="B106" s="1"/>
      <c r="C106" s="1"/>
      <c r="D106" s="1"/>
      <c r="E106" s="1"/>
      <c r="F106" s="1"/>
      <c r="G106" s="1"/>
      <c r="H106" s="1"/>
      <c r="I106" s="1"/>
      <c r="J106" s="5"/>
      <c r="K106" s="2"/>
      <c r="L106" s="1"/>
      <c r="M106" s="1"/>
      <c r="N106" s="1"/>
      <c r="O106" s="1"/>
      <c r="P106" s="1"/>
      <c r="Q106" s="1"/>
      <c r="R106" s="1"/>
      <c r="S106" s="1"/>
      <c r="T106" s="1"/>
      <c r="U106" s="1"/>
      <c r="V106" s="1"/>
      <c r="W106" s="1"/>
      <c r="X106" s="1"/>
      <c r="Y106" s="1"/>
      <c r="Z106" s="1"/>
      <c r="AA106" s="1"/>
      <c r="AB106" s="1"/>
      <c r="AC106" s="1"/>
      <c r="AD106" s="1"/>
      <c r="AE106" s="1"/>
      <c r="AF106" s="1"/>
      <c r="AG106" s="1"/>
      <c r="AH106" s="1"/>
    </row>
    <row r="107">
      <c r="A107" s="1"/>
      <c r="B107" s="1"/>
      <c r="C107" s="1"/>
      <c r="D107" s="1"/>
      <c r="E107" s="1"/>
      <c r="F107" s="1"/>
      <c r="G107" s="1"/>
      <c r="H107" s="1"/>
      <c r="I107" s="1"/>
      <c r="J107" s="5" t="s">
        <v>70</v>
      </c>
      <c r="K107" s="2"/>
      <c r="L107" s="1"/>
      <c r="M107" s="1"/>
      <c r="N107" s="1"/>
      <c r="O107" s="1"/>
      <c r="P107" s="1"/>
      <c r="Q107" s="1"/>
      <c r="R107" s="1"/>
      <c r="S107" s="1"/>
      <c r="T107" s="1"/>
      <c r="U107" s="1"/>
      <c r="V107" s="1"/>
      <c r="W107" s="1"/>
      <c r="X107" s="1"/>
      <c r="Y107" s="1"/>
      <c r="Z107" s="1"/>
      <c r="AA107" s="1"/>
      <c r="AB107" s="1"/>
      <c r="AC107" s="1"/>
      <c r="AD107" s="1"/>
      <c r="AE107" s="1"/>
      <c r="AF107" s="1"/>
      <c r="AG107" s="1"/>
      <c r="AH107" s="1"/>
    </row>
    <row r="108">
      <c r="A108" s="1"/>
      <c r="B108" s="1"/>
      <c r="C108" s="1"/>
      <c r="D108" s="1"/>
      <c r="E108" s="1"/>
      <c r="F108" s="1"/>
      <c r="G108" s="1"/>
      <c r="H108" s="3" t="s">
        <v>7</v>
      </c>
      <c r="I108" s="1" t="s">
        <v>25</v>
      </c>
      <c r="J108" s="5">
        <v>2.3650682544468544E7</v>
      </c>
      <c r="K108" s="2"/>
      <c r="L108" s="1"/>
      <c r="M108" s="1"/>
      <c r="N108" s="1"/>
      <c r="O108" s="1"/>
      <c r="P108" s="1"/>
      <c r="Q108" s="1"/>
      <c r="R108" s="1"/>
      <c r="S108" s="1"/>
      <c r="T108" s="1"/>
      <c r="U108" s="1"/>
      <c r="V108" s="1"/>
      <c r="W108" s="1"/>
      <c r="X108" s="1"/>
      <c r="Y108" s="1"/>
      <c r="Z108" s="1"/>
      <c r="AA108" s="1"/>
      <c r="AB108" s="1"/>
      <c r="AC108" s="1"/>
      <c r="AD108" s="1"/>
      <c r="AE108" s="1"/>
      <c r="AF108" s="1"/>
      <c r="AG108" s="1"/>
      <c r="AH108" s="1"/>
    </row>
    <row r="109">
      <c r="A109" s="1"/>
      <c r="B109" s="1"/>
      <c r="C109" s="1"/>
      <c r="D109" s="1"/>
      <c r="E109" s="1"/>
      <c r="F109" s="1"/>
      <c r="G109" s="1"/>
      <c r="H109" s="3" t="s">
        <v>26</v>
      </c>
      <c r="I109" s="1" t="s">
        <v>36</v>
      </c>
      <c r="J109" s="5">
        <v>7417051.939305857</v>
      </c>
      <c r="K109" s="2"/>
      <c r="L109" s="1"/>
      <c r="M109" s="1"/>
      <c r="N109" s="1"/>
      <c r="O109" s="1"/>
      <c r="P109" s="1"/>
      <c r="Q109" s="1"/>
      <c r="R109" s="1"/>
      <c r="S109" s="1"/>
      <c r="T109" s="1"/>
      <c r="U109" s="1"/>
      <c r="V109" s="1"/>
      <c r="W109" s="1"/>
      <c r="X109" s="1"/>
      <c r="Y109" s="1"/>
      <c r="Z109" s="1"/>
      <c r="AA109" s="1"/>
      <c r="AB109" s="1"/>
      <c r="AC109" s="1"/>
      <c r="AD109" s="1"/>
      <c r="AE109" s="1"/>
      <c r="AF109" s="1"/>
      <c r="AG109" s="1"/>
      <c r="AH109" s="1"/>
    </row>
    <row r="110">
      <c r="A110" s="1"/>
      <c r="B110" s="1"/>
      <c r="C110" s="1"/>
      <c r="D110" s="1"/>
      <c r="E110" s="1"/>
      <c r="F110" s="1"/>
      <c r="G110" s="1"/>
      <c r="H110" s="3" t="s">
        <v>37</v>
      </c>
      <c r="I110" s="1" t="s">
        <v>54</v>
      </c>
      <c r="J110" s="5">
        <v>1200759.2190889372</v>
      </c>
      <c r="K110" s="2"/>
      <c r="L110" s="1"/>
      <c r="M110" s="1"/>
      <c r="N110" s="1"/>
      <c r="O110" s="1"/>
      <c r="P110" s="1"/>
      <c r="Q110" s="1"/>
      <c r="R110" s="1"/>
      <c r="S110" s="1"/>
      <c r="T110" s="1"/>
      <c r="U110" s="1"/>
      <c r="V110" s="1"/>
      <c r="W110" s="1"/>
      <c r="X110" s="1"/>
      <c r="Y110" s="1"/>
      <c r="Z110" s="1"/>
      <c r="AA110" s="1"/>
      <c r="AB110" s="1"/>
      <c r="AC110" s="1"/>
      <c r="AD110" s="1"/>
      <c r="AE110" s="1"/>
      <c r="AF110" s="1"/>
      <c r="AG110" s="1"/>
      <c r="AH110" s="1"/>
    </row>
    <row r="111">
      <c r="A111" s="1"/>
      <c r="B111" s="1"/>
      <c r="C111" s="1"/>
      <c r="D111" s="1"/>
      <c r="E111" s="1"/>
      <c r="F111" s="1"/>
      <c r="G111" s="1"/>
      <c r="H111" s="3" t="s">
        <v>41</v>
      </c>
      <c r="I111" s="1" t="s">
        <v>40</v>
      </c>
      <c r="J111" s="5">
        <v>1002115.0</v>
      </c>
      <c r="K111" s="2"/>
      <c r="L111" s="1"/>
      <c r="M111" s="1"/>
      <c r="N111" s="1"/>
      <c r="O111" s="1"/>
      <c r="P111" s="1"/>
      <c r="Q111" s="1"/>
      <c r="R111" s="1"/>
      <c r="S111" s="1"/>
      <c r="T111" s="1"/>
      <c r="U111" s="1"/>
      <c r="V111" s="1"/>
      <c r="W111" s="1"/>
      <c r="X111" s="1"/>
      <c r="Y111" s="1"/>
      <c r="Z111" s="1"/>
      <c r="AA111" s="1"/>
      <c r="AB111" s="1"/>
      <c r="AC111" s="1"/>
      <c r="AD111" s="1"/>
      <c r="AE111" s="1"/>
      <c r="AF111" s="1"/>
      <c r="AG111" s="1"/>
      <c r="AH111" s="1"/>
    </row>
    <row r="112">
      <c r="A112" s="1"/>
      <c r="B112" s="1"/>
      <c r="C112" s="1"/>
      <c r="D112" s="1"/>
      <c r="E112" s="1"/>
      <c r="F112" s="1"/>
      <c r="G112" s="1"/>
      <c r="H112" s="1" t="str">
        <f>RIGHT(I112,LEN(I112)-6)</f>
        <v>Total</v>
      </c>
      <c r="I112" s="1" t="s">
        <v>71</v>
      </c>
      <c r="J112" s="5">
        <v>3.327060870286334E7</v>
      </c>
      <c r="K112" s="2"/>
      <c r="L112" s="1"/>
      <c r="M112" s="1"/>
      <c r="N112" s="1"/>
      <c r="O112" s="1"/>
      <c r="P112" s="1"/>
      <c r="Q112" s="1"/>
      <c r="R112" s="1"/>
      <c r="S112" s="1"/>
      <c r="T112" s="1"/>
      <c r="U112" s="1"/>
      <c r="V112" s="1"/>
      <c r="W112" s="1"/>
      <c r="X112" s="1"/>
      <c r="Y112" s="1"/>
      <c r="Z112" s="1"/>
      <c r="AA112" s="1"/>
      <c r="AB112" s="1"/>
      <c r="AC112" s="1"/>
      <c r="AD112" s="1"/>
      <c r="AE112" s="1"/>
      <c r="AF112" s="1"/>
      <c r="AG112" s="1"/>
      <c r="AH112" s="1"/>
    </row>
    <row r="113">
      <c r="A113" s="1"/>
      <c r="B113" s="1"/>
      <c r="C113" s="1"/>
      <c r="D113" s="1"/>
      <c r="E113" s="1"/>
      <c r="F113" s="1"/>
      <c r="G113" s="1"/>
      <c r="H113" s="1"/>
      <c r="I113" s="1"/>
      <c r="J113" s="5"/>
      <c r="K113" s="2"/>
      <c r="L113" s="1"/>
      <c r="M113" s="1"/>
      <c r="N113" s="1"/>
      <c r="O113" s="1"/>
      <c r="P113" s="1"/>
      <c r="Q113" s="1"/>
      <c r="R113" s="1"/>
      <c r="S113" s="1"/>
      <c r="T113" s="1"/>
      <c r="U113" s="1"/>
      <c r="V113" s="1"/>
      <c r="W113" s="1"/>
      <c r="X113" s="1"/>
      <c r="Y113" s="1"/>
      <c r="Z113" s="1"/>
      <c r="AA113" s="1"/>
      <c r="AB113" s="1"/>
      <c r="AC113" s="1"/>
      <c r="AD113" s="1"/>
      <c r="AE113" s="1"/>
      <c r="AF113" s="1"/>
      <c r="AG113" s="1"/>
      <c r="AH113" s="1"/>
    </row>
    <row r="114">
      <c r="A114" s="1"/>
      <c r="B114" s="1"/>
      <c r="C114" s="1"/>
      <c r="D114" s="1"/>
      <c r="E114" s="1"/>
      <c r="F114" s="1"/>
      <c r="G114" s="1"/>
      <c r="H114" s="1"/>
      <c r="I114" s="1"/>
      <c r="J114" s="5"/>
      <c r="K114" s="2"/>
      <c r="L114" s="1"/>
      <c r="M114" s="1"/>
      <c r="N114" s="1"/>
      <c r="O114" s="1"/>
      <c r="P114" s="1"/>
      <c r="Q114" s="1"/>
      <c r="R114" s="1"/>
      <c r="S114" s="1"/>
      <c r="T114" s="1"/>
      <c r="U114" s="1"/>
      <c r="V114" s="1"/>
      <c r="W114" s="1"/>
      <c r="X114" s="1"/>
      <c r="Y114" s="1"/>
      <c r="Z114" s="1"/>
      <c r="AA114" s="1"/>
      <c r="AB114" s="1"/>
      <c r="AC114" s="1"/>
      <c r="AD114" s="1"/>
      <c r="AE114" s="1"/>
      <c r="AF114" s="1"/>
      <c r="AG114" s="1"/>
      <c r="AH114" s="1"/>
    </row>
    <row r="115">
      <c r="A115" s="1"/>
      <c r="B115" s="1"/>
      <c r="C115" s="1"/>
      <c r="D115" s="1"/>
      <c r="E115" s="1"/>
      <c r="F115" s="1"/>
      <c r="G115" s="1"/>
      <c r="H115" s="1"/>
      <c r="I115" s="1"/>
      <c r="J115" s="5"/>
      <c r="K115" s="2"/>
      <c r="L115" s="1"/>
      <c r="M115" s="1"/>
      <c r="N115" s="1"/>
      <c r="O115" s="1"/>
      <c r="P115" s="1"/>
      <c r="Q115" s="1"/>
      <c r="R115" s="1"/>
      <c r="S115" s="1"/>
      <c r="T115" s="1"/>
      <c r="U115" s="1"/>
      <c r="V115" s="1"/>
      <c r="W115" s="1"/>
      <c r="X115" s="1"/>
      <c r="Y115" s="1"/>
      <c r="Z115" s="1"/>
      <c r="AA115" s="1"/>
      <c r="AB115" s="1"/>
      <c r="AC115" s="1"/>
      <c r="AD115" s="1"/>
      <c r="AE115" s="1"/>
      <c r="AF115" s="1"/>
      <c r="AG115" s="1"/>
      <c r="AH115" s="1"/>
    </row>
    <row r="116">
      <c r="A116" s="1"/>
      <c r="B116" s="1"/>
      <c r="C116" s="1"/>
      <c r="D116" s="1"/>
      <c r="E116" s="1"/>
      <c r="F116" s="1"/>
      <c r="G116" s="1"/>
      <c r="H116" s="1"/>
      <c r="I116" s="1"/>
      <c r="J116" s="5"/>
      <c r="K116" s="2"/>
      <c r="L116" s="1"/>
      <c r="M116" s="1"/>
      <c r="N116" s="1"/>
      <c r="O116" s="1"/>
      <c r="P116" s="1"/>
      <c r="Q116" s="1"/>
      <c r="R116" s="1"/>
      <c r="S116" s="1"/>
      <c r="T116" s="1"/>
      <c r="U116" s="1"/>
      <c r="V116" s="1"/>
      <c r="W116" s="1"/>
      <c r="X116" s="1"/>
      <c r="Y116" s="1"/>
      <c r="Z116" s="1"/>
      <c r="AA116" s="1"/>
      <c r="AB116" s="1"/>
      <c r="AC116" s="1"/>
      <c r="AD116" s="1"/>
      <c r="AE116" s="1"/>
      <c r="AF116" s="1"/>
      <c r="AG116" s="1"/>
      <c r="AH116" s="1"/>
    </row>
    <row r="117">
      <c r="A117" s="1"/>
      <c r="B117" s="1"/>
      <c r="C117" s="1"/>
      <c r="D117" s="1"/>
      <c r="E117" s="1"/>
      <c r="F117" s="1"/>
      <c r="G117" s="1"/>
      <c r="H117" s="1"/>
      <c r="I117" s="1"/>
      <c r="J117" s="5"/>
      <c r="K117" s="2"/>
      <c r="L117" s="1"/>
      <c r="M117" s="1"/>
      <c r="N117" s="1"/>
      <c r="O117" s="1"/>
      <c r="P117" s="1"/>
      <c r="Q117" s="1"/>
      <c r="R117" s="1"/>
      <c r="S117" s="1"/>
      <c r="T117" s="1"/>
      <c r="U117" s="1"/>
      <c r="V117" s="1"/>
      <c r="W117" s="1"/>
      <c r="X117" s="1"/>
      <c r="Y117" s="1"/>
      <c r="Z117" s="1"/>
      <c r="AA117" s="1"/>
      <c r="AB117" s="1"/>
      <c r="AC117" s="1"/>
      <c r="AD117" s="1"/>
      <c r="AE117" s="1"/>
      <c r="AF117" s="1"/>
      <c r="AG117" s="1"/>
      <c r="AH117" s="1"/>
    </row>
    <row r="118">
      <c r="A118" s="1"/>
      <c r="B118" s="1"/>
      <c r="C118" s="1"/>
      <c r="D118" s="1"/>
      <c r="E118" s="1"/>
      <c r="F118" s="1"/>
      <c r="G118" s="1"/>
      <c r="H118" s="1"/>
      <c r="I118" s="1"/>
      <c r="J118" s="5"/>
      <c r="K118" s="2"/>
      <c r="L118" s="1"/>
      <c r="M118" s="1"/>
      <c r="N118" s="1"/>
      <c r="O118" s="1"/>
      <c r="P118" s="1"/>
      <c r="Q118" s="1"/>
      <c r="R118" s="1"/>
      <c r="S118" s="1"/>
      <c r="T118" s="1"/>
      <c r="U118" s="1"/>
      <c r="V118" s="1"/>
      <c r="W118" s="1"/>
      <c r="X118" s="1"/>
      <c r="Y118" s="1"/>
      <c r="Z118" s="1"/>
      <c r="AA118" s="1"/>
      <c r="AB118" s="1"/>
      <c r="AC118" s="1"/>
      <c r="AD118" s="1"/>
      <c r="AE118" s="1"/>
      <c r="AF118" s="1"/>
      <c r="AG118" s="1"/>
      <c r="AH118" s="1"/>
    </row>
    <row r="119">
      <c r="A119" s="1"/>
      <c r="B119" s="1"/>
      <c r="C119" s="1"/>
      <c r="D119" s="1"/>
      <c r="E119" s="1"/>
      <c r="F119" s="1"/>
      <c r="G119" s="1"/>
      <c r="H119" s="1"/>
      <c r="I119" s="1"/>
      <c r="J119" s="5"/>
      <c r="K119" s="2"/>
      <c r="L119" s="1"/>
      <c r="M119" s="1"/>
      <c r="N119" s="1"/>
      <c r="O119" s="1"/>
      <c r="P119" s="1"/>
      <c r="Q119" s="1"/>
      <c r="R119" s="1"/>
      <c r="S119" s="1"/>
      <c r="T119" s="1"/>
      <c r="U119" s="1"/>
      <c r="V119" s="1"/>
      <c r="W119" s="1"/>
      <c r="X119" s="1"/>
      <c r="Y119" s="1"/>
      <c r="Z119" s="1"/>
      <c r="AA119" s="1"/>
      <c r="AB119" s="1"/>
      <c r="AC119" s="1"/>
      <c r="AD119" s="1"/>
      <c r="AE119" s="1"/>
      <c r="AF119" s="1"/>
      <c r="AG119" s="1"/>
      <c r="AH119" s="1"/>
    </row>
    <row r="120">
      <c r="A120" s="1"/>
      <c r="B120" s="1"/>
      <c r="C120" s="1"/>
      <c r="D120" s="1"/>
      <c r="E120" s="1"/>
      <c r="F120" s="1"/>
      <c r="G120" s="1"/>
      <c r="H120" s="1"/>
      <c r="I120" s="1"/>
      <c r="J120" s="5"/>
      <c r="K120" s="2"/>
      <c r="L120" s="1"/>
      <c r="M120" s="1"/>
      <c r="N120" s="1"/>
      <c r="O120" s="1"/>
      <c r="P120" s="1"/>
      <c r="Q120" s="1"/>
      <c r="R120" s="1"/>
      <c r="S120" s="1"/>
      <c r="T120" s="1"/>
      <c r="U120" s="1"/>
      <c r="V120" s="1"/>
      <c r="W120" s="1"/>
      <c r="X120" s="1"/>
      <c r="Y120" s="1"/>
      <c r="Z120" s="1"/>
      <c r="AA120" s="1"/>
      <c r="AB120" s="1"/>
      <c r="AC120" s="1"/>
      <c r="AD120" s="1"/>
      <c r="AE120" s="1"/>
      <c r="AF120" s="1"/>
      <c r="AG120" s="1"/>
      <c r="AH120" s="1"/>
    </row>
    <row r="121">
      <c r="A121" s="1"/>
      <c r="B121" s="1"/>
      <c r="C121" s="1"/>
      <c r="D121" s="1"/>
      <c r="E121" s="1"/>
      <c r="F121" s="1"/>
      <c r="G121" s="1"/>
      <c r="H121" s="1"/>
      <c r="I121" s="1"/>
      <c r="J121" s="5"/>
      <c r="K121" s="2"/>
      <c r="L121" s="1"/>
      <c r="M121" s="1"/>
      <c r="N121" s="1"/>
      <c r="O121" s="1"/>
      <c r="P121" s="1"/>
      <c r="Q121" s="1"/>
      <c r="R121" s="1"/>
      <c r="S121" s="1"/>
      <c r="T121" s="1"/>
      <c r="U121" s="1"/>
      <c r="V121" s="1"/>
      <c r="W121" s="1"/>
      <c r="X121" s="1"/>
      <c r="Y121" s="1"/>
      <c r="Z121" s="1"/>
      <c r="AA121" s="1"/>
      <c r="AB121" s="1"/>
      <c r="AC121" s="1"/>
      <c r="AD121" s="1"/>
      <c r="AE121" s="1"/>
      <c r="AF121" s="1"/>
      <c r="AG121" s="1"/>
      <c r="AH121" s="1"/>
    </row>
    <row r="122">
      <c r="A122" s="1"/>
      <c r="B122" s="1"/>
      <c r="C122" s="1"/>
      <c r="D122" s="1"/>
      <c r="E122" s="1"/>
      <c r="F122" s="1"/>
      <c r="G122" s="1"/>
      <c r="H122" s="1"/>
      <c r="I122" s="1"/>
      <c r="J122" s="5"/>
      <c r="K122" s="2"/>
      <c r="L122" s="1"/>
      <c r="M122" s="1"/>
      <c r="N122" s="1"/>
      <c r="O122" s="1"/>
      <c r="P122" s="1"/>
      <c r="Q122" s="1"/>
      <c r="R122" s="1"/>
      <c r="S122" s="1"/>
      <c r="T122" s="1"/>
      <c r="U122" s="1"/>
      <c r="V122" s="1"/>
      <c r="W122" s="1"/>
      <c r="X122" s="1"/>
      <c r="Y122" s="1"/>
      <c r="Z122" s="1"/>
      <c r="AA122" s="1"/>
      <c r="AB122" s="1"/>
      <c r="AC122" s="1"/>
      <c r="AD122" s="1"/>
      <c r="AE122" s="1"/>
      <c r="AF122" s="1"/>
      <c r="AG122" s="1"/>
      <c r="AH122" s="1"/>
    </row>
    <row r="123">
      <c r="A123" s="1"/>
      <c r="B123" s="1"/>
      <c r="C123" s="1"/>
      <c r="D123" s="1"/>
      <c r="E123" s="1"/>
      <c r="F123" s="1"/>
      <c r="G123" s="1"/>
      <c r="H123" s="1"/>
      <c r="I123" s="1"/>
      <c r="J123" s="5"/>
      <c r="K123" s="2"/>
      <c r="L123" s="1"/>
      <c r="M123" s="1"/>
      <c r="N123" s="1"/>
      <c r="O123" s="1"/>
      <c r="P123" s="1"/>
      <c r="Q123" s="1"/>
      <c r="R123" s="1"/>
      <c r="S123" s="1"/>
      <c r="T123" s="1"/>
      <c r="U123" s="1"/>
      <c r="V123" s="1"/>
      <c r="W123" s="1"/>
      <c r="X123" s="1"/>
      <c r="Y123" s="1"/>
      <c r="Z123" s="1"/>
      <c r="AA123" s="1"/>
      <c r="AB123" s="1"/>
      <c r="AC123" s="1"/>
      <c r="AD123" s="1"/>
      <c r="AE123" s="1"/>
      <c r="AF123" s="1"/>
      <c r="AG123" s="1"/>
      <c r="AH123" s="1"/>
    </row>
    <row r="124">
      <c r="A124" s="1"/>
      <c r="B124" s="1"/>
      <c r="C124" s="1"/>
      <c r="D124" s="1"/>
      <c r="E124" s="1"/>
      <c r="F124" s="1"/>
      <c r="G124" s="1"/>
      <c r="H124" s="1"/>
      <c r="I124" s="1"/>
      <c r="J124" s="5"/>
      <c r="K124" s="2"/>
      <c r="L124" s="1"/>
      <c r="M124" s="1"/>
      <c r="N124" s="1"/>
      <c r="O124" s="1"/>
      <c r="P124" s="1"/>
      <c r="Q124" s="1"/>
      <c r="R124" s="1"/>
      <c r="S124" s="1"/>
      <c r="T124" s="1"/>
      <c r="U124" s="1"/>
      <c r="V124" s="1"/>
      <c r="W124" s="1"/>
      <c r="X124" s="1"/>
      <c r="Y124" s="1"/>
      <c r="Z124" s="1"/>
      <c r="AA124" s="1"/>
      <c r="AB124" s="1"/>
      <c r="AC124" s="1"/>
      <c r="AD124" s="1"/>
      <c r="AE124" s="1"/>
      <c r="AF124" s="1"/>
      <c r="AG124" s="1"/>
      <c r="AH124" s="1"/>
    </row>
    <row r="125">
      <c r="A125" s="1"/>
      <c r="B125" s="1"/>
      <c r="C125" s="1"/>
      <c r="D125" s="1"/>
      <c r="E125" s="1"/>
      <c r="F125" s="1"/>
      <c r="G125" s="1"/>
      <c r="H125" s="1"/>
      <c r="I125" s="1"/>
      <c r="J125" s="5"/>
      <c r="K125" s="2"/>
      <c r="L125" s="1"/>
      <c r="M125" s="1"/>
      <c r="N125" s="1"/>
      <c r="O125" s="1"/>
      <c r="P125" s="1"/>
      <c r="Q125" s="1"/>
      <c r="R125" s="1"/>
      <c r="S125" s="1"/>
      <c r="T125" s="1"/>
      <c r="U125" s="1"/>
      <c r="V125" s="1"/>
      <c r="W125" s="1"/>
      <c r="X125" s="1"/>
      <c r="Y125" s="1"/>
      <c r="Z125" s="1"/>
      <c r="AA125" s="1"/>
      <c r="AB125" s="1"/>
      <c r="AC125" s="1"/>
      <c r="AD125" s="1"/>
      <c r="AE125" s="1"/>
      <c r="AF125" s="1"/>
      <c r="AG125" s="1"/>
      <c r="AH125" s="1"/>
    </row>
    <row r="126">
      <c r="A126" s="1"/>
      <c r="B126" s="1"/>
      <c r="C126" s="1"/>
      <c r="D126" s="1"/>
      <c r="E126" s="1"/>
      <c r="F126" s="1"/>
      <c r="G126" s="1"/>
      <c r="H126" s="1"/>
      <c r="I126" s="1"/>
      <c r="J126" s="5"/>
      <c r="K126" s="2"/>
      <c r="L126" s="1"/>
      <c r="M126" s="1"/>
      <c r="N126" s="1"/>
      <c r="O126" s="1"/>
      <c r="P126" s="1"/>
      <c r="Q126" s="1"/>
      <c r="R126" s="1"/>
      <c r="S126" s="1"/>
      <c r="T126" s="1"/>
      <c r="U126" s="1"/>
      <c r="V126" s="1"/>
      <c r="W126" s="1"/>
      <c r="X126" s="1"/>
      <c r="Y126" s="1"/>
      <c r="Z126" s="1"/>
      <c r="AA126" s="1"/>
      <c r="AB126" s="1"/>
      <c r="AC126" s="1"/>
      <c r="AD126" s="1"/>
      <c r="AE126" s="1"/>
      <c r="AF126" s="1"/>
      <c r="AG126" s="1"/>
      <c r="AH126" s="1"/>
    </row>
    <row r="127">
      <c r="A127" s="1"/>
      <c r="B127" s="1"/>
      <c r="C127" s="1"/>
      <c r="D127" s="1"/>
      <c r="E127" s="1"/>
      <c r="F127" s="1"/>
      <c r="G127" s="1"/>
      <c r="H127" s="1"/>
      <c r="I127" s="1"/>
      <c r="J127" s="5"/>
      <c r="K127" s="2"/>
      <c r="L127" s="1"/>
      <c r="M127" s="1"/>
      <c r="N127" s="1"/>
      <c r="O127" s="1"/>
      <c r="P127" s="1"/>
      <c r="Q127" s="1"/>
      <c r="R127" s="1"/>
      <c r="S127" s="1"/>
      <c r="T127" s="1"/>
      <c r="U127" s="1"/>
      <c r="V127" s="1"/>
      <c r="W127" s="1"/>
      <c r="X127" s="1"/>
      <c r="Y127" s="1"/>
      <c r="Z127" s="1"/>
      <c r="AA127" s="1"/>
      <c r="AB127" s="1"/>
      <c r="AC127" s="1"/>
      <c r="AD127" s="1"/>
      <c r="AE127" s="1"/>
      <c r="AF127" s="1"/>
      <c r="AG127" s="1"/>
      <c r="AH127" s="1"/>
    </row>
    <row r="128">
      <c r="A128" s="1"/>
      <c r="B128" s="1"/>
      <c r="C128" s="1"/>
      <c r="D128" s="1"/>
      <c r="E128" s="1"/>
      <c r="F128" s="1"/>
      <c r="G128" s="1"/>
      <c r="H128" s="1"/>
      <c r="I128" s="1"/>
      <c r="J128" s="5"/>
      <c r="K128" s="2"/>
      <c r="L128" s="1"/>
      <c r="M128" s="1"/>
      <c r="N128" s="1"/>
      <c r="O128" s="1"/>
      <c r="P128" s="1"/>
      <c r="Q128" s="1"/>
      <c r="R128" s="1"/>
      <c r="S128" s="1"/>
      <c r="T128" s="1"/>
      <c r="U128" s="1"/>
      <c r="V128" s="1"/>
      <c r="W128" s="1"/>
      <c r="X128" s="1"/>
      <c r="Y128" s="1"/>
      <c r="Z128" s="1"/>
      <c r="AA128" s="1"/>
      <c r="AB128" s="1"/>
      <c r="AC128" s="1"/>
      <c r="AD128" s="1"/>
      <c r="AE128" s="1"/>
      <c r="AF128" s="1"/>
      <c r="AG128" s="1"/>
      <c r="AH128" s="1"/>
    </row>
    <row r="129">
      <c r="A129" s="1"/>
      <c r="B129" s="1"/>
      <c r="C129" s="1"/>
      <c r="D129" s="1"/>
      <c r="E129" s="1"/>
      <c r="F129" s="1"/>
      <c r="G129" s="1"/>
      <c r="H129" s="1"/>
      <c r="I129" s="1"/>
      <c r="J129" s="5"/>
      <c r="K129" s="2"/>
      <c r="L129" s="1"/>
      <c r="M129" s="1"/>
      <c r="N129" s="1"/>
      <c r="O129" s="1"/>
      <c r="P129" s="1"/>
      <c r="Q129" s="1"/>
      <c r="R129" s="1"/>
      <c r="S129" s="1"/>
      <c r="T129" s="1"/>
      <c r="U129" s="1"/>
      <c r="V129" s="1"/>
      <c r="W129" s="1"/>
      <c r="X129" s="1"/>
      <c r="Y129" s="1"/>
      <c r="Z129" s="1"/>
      <c r="AA129" s="1"/>
      <c r="AB129" s="1"/>
      <c r="AC129" s="1"/>
      <c r="AD129" s="1"/>
      <c r="AE129" s="1"/>
      <c r="AF129" s="1"/>
      <c r="AG129" s="1"/>
      <c r="AH129" s="1"/>
    </row>
    <row r="130">
      <c r="A130" s="1"/>
      <c r="B130" s="1"/>
      <c r="C130" s="1"/>
      <c r="D130" s="1"/>
      <c r="E130" s="1"/>
      <c r="F130" s="1"/>
      <c r="G130" s="1"/>
      <c r="H130" s="1"/>
      <c r="I130" s="1"/>
      <c r="J130" s="5"/>
      <c r="K130" s="2"/>
      <c r="L130" s="1"/>
      <c r="M130" s="1"/>
      <c r="N130" s="1"/>
      <c r="O130" s="1"/>
      <c r="P130" s="1"/>
      <c r="Q130" s="1"/>
      <c r="R130" s="1"/>
      <c r="S130" s="1"/>
      <c r="T130" s="1"/>
      <c r="U130" s="1"/>
      <c r="V130" s="1"/>
      <c r="W130" s="1"/>
      <c r="X130" s="1"/>
      <c r="Y130" s="1"/>
      <c r="Z130" s="1"/>
      <c r="AA130" s="1"/>
      <c r="AB130" s="1"/>
      <c r="AC130" s="1"/>
      <c r="AD130" s="1"/>
      <c r="AE130" s="1"/>
      <c r="AF130" s="1"/>
      <c r="AG130" s="1"/>
      <c r="AH130" s="1"/>
    </row>
    <row r="131">
      <c r="A131" s="1"/>
      <c r="B131" s="1"/>
      <c r="C131" s="1"/>
      <c r="D131" s="1"/>
      <c r="E131" s="1"/>
      <c r="F131" s="1"/>
      <c r="G131" s="1"/>
      <c r="H131" s="1"/>
      <c r="I131" s="1"/>
      <c r="J131" s="5"/>
      <c r="K131" s="2"/>
      <c r="L131" s="1"/>
      <c r="M131" s="1"/>
      <c r="N131" s="1"/>
      <c r="O131" s="1"/>
      <c r="P131" s="1"/>
      <c r="Q131" s="1"/>
      <c r="R131" s="1"/>
      <c r="S131" s="1"/>
      <c r="T131" s="1"/>
      <c r="U131" s="1"/>
      <c r="V131" s="1"/>
      <c r="W131" s="1"/>
      <c r="X131" s="1"/>
      <c r="Y131" s="1"/>
      <c r="Z131" s="1"/>
      <c r="AA131" s="1"/>
      <c r="AB131" s="1"/>
      <c r="AC131" s="1"/>
      <c r="AD131" s="1"/>
      <c r="AE131" s="1"/>
      <c r="AF131" s="1"/>
      <c r="AG131" s="1"/>
      <c r="AH131" s="1"/>
    </row>
    <row r="132">
      <c r="A132" s="1"/>
      <c r="B132" s="1"/>
      <c r="C132" s="1"/>
      <c r="D132" s="1"/>
      <c r="E132" s="1"/>
      <c r="F132" s="1"/>
      <c r="G132" s="1"/>
      <c r="H132" s="1"/>
      <c r="I132" s="1"/>
      <c r="J132" s="5" t="s">
        <v>70</v>
      </c>
      <c r="K132" s="2" t="s">
        <v>70</v>
      </c>
      <c r="L132" s="1"/>
      <c r="M132" s="1"/>
      <c r="N132" s="1"/>
      <c r="O132" s="1"/>
      <c r="P132" s="1"/>
      <c r="Q132" s="1"/>
      <c r="R132" s="1"/>
      <c r="S132" s="1"/>
      <c r="T132" s="1"/>
      <c r="U132" s="1"/>
      <c r="V132" s="1"/>
      <c r="W132" s="1"/>
      <c r="X132" s="1"/>
      <c r="Y132" s="1"/>
      <c r="Z132" s="1"/>
      <c r="AA132" s="1"/>
      <c r="AB132" s="1"/>
      <c r="AC132" s="1"/>
      <c r="AD132" s="1"/>
      <c r="AE132" s="1"/>
      <c r="AF132" s="1"/>
      <c r="AG132" s="1"/>
      <c r="AH132" s="1"/>
    </row>
    <row r="133">
      <c r="A133" s="1"/>
      <c r="B133" s="1"/>
      <c r="C133" s="1"/>
      <c r="D133" s="1"/>
      <c r="E133" s="1"/>
      <c r="F133" s="1"/>
      <c r="G133" s="1"/>
      <c r="H133" s="1"/>
      <c r="I133" s="1" t="s">
        <v>8</v>
      </c>
      <c r="J133" s="5">
        <v>1.5617769E7</v>
      </c>
      <c r="K133" s="2">
        <v>7.199791509E7</v>
      </c>
      <c r="L133" s="1"/>
      <c r="M133" s="1"/>
      <c r="N133" s="1"/>
      <c r="O133" s="1"/>
      <c r="P133" s="1"/>
      <c r="Q133" s="1"/>
      <c r="R133" s="1"/>
      <c r="S133" s="1"/>
      <c r="T133" s="1"/>
      <c r="U133" s="1"/>
      <c r="V133" s="1"/>
      <c r="W133" s="1"/>
      <c r="X133" s="1"/>
      <c r="Y133" s="1"/>
      <c r="Z133" s="1"/>
      <c r="AA133" s="1"/>
      <c r="AB133" s="1"/>
      <c r="AC133" s="1"/>
      <c r="AD133" s="1"/>
      <c r="AE133" s="1"/>
      <c r="AF133" s="1"/>
      <c r="AG133" s="1"/>
      <c r="AH133" s="1"/>
    </row>
    <row r="134">
      <c r="A134" s="1"/>
      <c r="B134" s="1"/>
      <c r="C134" s="1"/>
      <c r="D134" s="1"/>
      <c r="E134" s="1"/>
      <c r="F134" s="1"/>
      <c r="G134" s="1"/>
      <c r="H134" s="1"/>
      <c r="I134" s="1" t="s">
        <v>14</v>
      </c>
      <c r="J134" s="5">
        <v>7299457.05856833</v>
      </c>
      <c r="K134" s="2">
        <v>3.365049704E7</v>
      </c>
      <c r="L134" s="1"/>
      <c r="M134" s="1"/>
      <c r="N134" s="1"/>
      <c r="O134" s="1"/>
      <c r="P134" s="1"/>
      <c r="Q134" s="1"/>
      <c r="R134" s="1"/>
      <c r="S134" s="1"/>
      <c r="T134" s="1"/>
      <c r="U134" s="1"/>
      <c r="V134" s="1"/>
      <c r="W134" s="1"/>
      <c r="X134" s="1"/>
      <c r="Y134" s="1"/>
      <c r="Z134" s="1"/>
      <c r="AA134" s="1"/>
      <c r="AB134" s="1"/>
      <c r="AC134" s="1"/>
      <c r="AD134" s="1"/>
      <c r="AE134" s="1"/>
      <c r="AF134" s="1"/>
      <c r="AG134" s="1"/>
      <c r="AH134" s="1"/>
    </row>
    <row r="135">
      <c r="A135" s="1"/>
      <c r="B135" s="1"/>
      <c r="C135" s="1"/>
      <c r="D135" s="1"/>
      <c r="E135" s="1"/>
      <c r="F135" s="1"/>
      <c r="G135" s="1"/>
      <c r="H135" s="1"/>
      <c r="I135" s="1" t="s">
        <v>10</v>
      </c>
      <c r="J135" s="5">
        <v>6636496.960997831</v>
      </c>
      <c r="K135" s="2">
        <v>3.05942509902E7</v>
      </c>
      <c r="L135" s="1"/>
      <c r="M135" s="1"/>
      <c r="N135" s="1"/>
      <c r="O135" s="1"/>
      <c r="P135" s="1"/>
      <c r="Q135" s="1"/>
      <c r="R135" s="1"/>
      <c r="S135" s="1"/>
      <c r="T135" s="1"/>
      <c r="U135" s="1"/>
      <c r="V135" s="1"/>
      <c r="W135" s="1"/>
      <c r="X135" s="1"/>
      <c r="Y135" s="1"/>
      <c r="Z135" s="1"/>
      <c r="AA135" s="1"/>
      <c r="AB135" s="1"/>
      <c r="AC135" s="1"/>
      <c r="AD135" s="1"/>
      <c r="AE135" s="1"/>
      <c r="AF135" s="1"/>
      <c r="AG135" s="1"/>
      <c r="AH135" s="1"/>
    </row>
    <row r="136">
      <c r="A136" s="1"/>
      <c r="B136" s="1"/>
      <c r="C136" s="1"/>
      <c r="D136" s="1"/>
      <c r="E136" s="1"/>
      <c r="F136" s="1"/>
      <c r="G136" s="1"/>
      <c r="H136" s="1"/>
      <c r="I136" s="1" t="s">
        <v>28</v>
      </c>
      <c r="J136" s="5">
        <v>2516126.464208243</v>
      </c>
      <c r="K136" s="2">
        <v>1.1599343E7</v>
      </c>
      <c r="L136" s="1"/>
      <c r="M136" s="1"/>
      <c r="N136" s="1"/>
      <c r="O136" s="1"/>
      <c r="P136" s="1"/>
      <c r="Q136" s="1"/>
      <c r="R136" s="1"/>
      <c r="S136" s="1"/>
      <c r="T136" s="1"/>
      <c r="U136" s="1"/>
      <c r="V136" s="1"/>
      <c r="W136" s="1"/>
      <c r="X136" s="1"/>
      <c r="Y136" s="1"/>
      <c r="Z136" s="1"/>
      <c r="AA136" s="1"/>
      <c r="AB136" s="1"/>
      <c r="AC136" s="1"/>
      <c r="AD136" s="1"/>
      <c r="AE136" s="1"/>
      <c r="AF136" s="1"/>
      <c r="AG136" s="1"/>
      <c r="AH136" s="1"/>
    </row>
    <row r="137">
      <c r="A137" s="1"/>
      <c r="B137" s="1"/>
      <c r="C137" s="1"/>
      <c r="D137" s="1"/>
      <c r="E137" s="1"/>
      <c r="F137" s="1"/>
      <c r="G137" s="1"/>
      <c r="H137" s="1"/>
      <c r="I137" s="1" t="s">
        <v>42</v>
      </c>
      <c r="J137" s="5">
        <v>650759.219088937</v>
      </c>
      <c r="K137" s="2">
        <v>3000000.0</v>
      </c>
      <c r="L137" s="1"/>
      <c r="M137" s="1"/>
      <c r="N137" s="1"/>
      <c r="O137" s="1"/>
      <c r="P137" s="1"/>
      <c r="Q137" s="1"/>
      <c r="R137" s="1"/>
      <c r="S137" s="1"/>
      <c r="T137" s="1"/>
      <c r="U137" s="1"/>
      <c r="V137" s="1"/>
      <c r="W137" s="1"/>
      <c r="X137" s="1"/>
      <c r="Y137" s="1"/>
      <c r="Z137" s="1"/>
      <c r="AA137" s="1"/>
      <c r="AB137" s="1"/>
      <c r="AC137" s="1"/>
      <c r="AD137" s="1"/>
      <c r="AE137" s="1"/>
      <c r="AF137" s="1"/>
      <c r="AG137" s="1"/>
      <c r="AH137" s="1"/>
    </row>
    <row r="138">
      <c r="A138" s="1"/>
      <c r="B138" s="1"/>
      <c r="C138" s="1"/>
      <c r="D138" s="1"/>
      <c r="E138" s="1"/>
      <c r="F138" s="1"/>
      <c r="G138" s="1"/>
      <c r="H138" s="1"/>
      <c r="I138" s="1" t="s">
        <v>46</v>
      </c>
      <c r="J138" s="5">
        <v>500000.0</v>
      </c>
      <c r="K138" s="2">
        <v>2305000.0</v>
      </c>
      <c r="L138" s="1"/>
      <c r="M138" s="1"/>
      <c r="N138" s="1"/>
      <c r="O138" s="1"/>
      <c r="P138" s="1"/>
      <c r="Q138" s="1"/>
      <c r="R138" s="1"/>
      <c r="S138" s="1"/>
      <c r="T138" s="1"/>
      <c r="U138" s="1"/>
      <c r="V138" s="1"/>
      <c r="W138" s="1"/>
      <c r="X138" s="1"/>
      <c r="Y138" s="1"/>
      <c r="Z138" s="1"/>
      <c r="AA138" s="1"/>
      <c r="AB138" s="1"/>
      <c r="AC138" s="1"/>
      <c r="AD138" s="1"/>
      <c r="AE138" s="1"/>
      <c r="AF138" s="1"/>
      <c r="AG138" s="1"/>
      <c r="AH138" s="1"/>
    </row>
    <row r="139">
      <c r="A139" s="1"/>
      <c r="B139" s="1"/>
      <c r="C139" s="1"/>
      <c r="D139" s="1"/>
      <c r="E139" s="1"/>
      <c r="F139" s="1"/>
      <c r="G139" s="1"/>
      <c r="H139" s="1"/>
      <c r="I139" s="1" t="s">
        <v>51</v>
      </c>
      <c r="J139" s="5">
        <v>50000.0</v>
      </c>
      <c r="K139" s="2">
        <v>230500.00000000003</v>
      </c>
      <c r="L139" s="1"/>
      <c r="M139" s="1"/>
      <c r="N139" s="1"/>
      <c r="O139" s="1"/>
      <c r="P139" s="1"/>
      <c r="Q139" s="1"/>
      <c r="R139" s="1"/>
      <c r="S139" s="1"/>
      <c r="T139" s="1"/>
      <c r="U139" s="1"/>
      <c r="V139" s="1"/>
      <c r="W139" s="1"/>
      <c r="X139" s="1"/>
      <c r="Y139" s="1"/>
      <c r="Z139" s="1"/>
      <c r="AA139" s="1"/>
      <c r="AB139" s="1"/>
      <c r="AC139" s="1"/>
      <c r="AD139" s="1"/>
      <c r="AE139" s="1"/>
      <c r="AF139" s="1"/>
      <c r="AG139" s="1"/>
      <c r="AH139" s="1"/>
    </row>
    <row r="140">
      <c r="A140" s="1"/>
      <c r="B140" s="1"/>
      <c r="C140" s="1"/>
      <c r="D140" s="1"/>
      <c r="E140" s="1"/>
      <c r="F140" s="1"/>
      <c r="G140" s="1"/>
      <c r="H140" s="1"/>
      <c r="I140" s="1" t="s">
        <v>71</v>
      </c>
      <c r="J140" s="5">
        <v>3.327060870286334E7</v>
      </c>
      <c r="K140" s="2">
        <v>1.5337750612020004E8</v>
      </c>
      <c r="L140" s="1"/>
      <c r="M140" s="1"/>
      <c r="N140" s="1"/>
      <c r="O140" s="1"/>
      <c r="P140" s="1"/>
      <c r="Q140" s="1"/>
      <c r="R140" s="1"/>
      <c r="S140" s="1"/>
      <c r="T140" s="1"/>
      <c r="U140" s="1"/>
      <c r="V140" s="1"/>
      <c r="W140" s="1"/>
      <c r="X140" s="1"/>
      <c r="Y140" s="1"/>
      <c r="Z140" s="1"/>
      <c r="AA140" s="1"/>
      <c r="AB140" s="1"/>
      <c r="AC140" s="1"/>
      <c r="AD140" s="1"/>
      <c r="AE140" s="1"/>
      <c r="AF140" s="1"/>
      <c r="AG140" s="1"/>
      <c r="AH140" s="1"/>
    </row>
    <row r="141">
      <c r="A141" s="1"/>
      <c r="B141" s="1"/>
      <c r="C141" s="1"/>
      <c r="D141" s="1"/>
      <c r="E141" s="1"/>
      <c r="F141" s="1"/>
      <c r="G141" s="1"/>
      <c r="H141" s="1"/>
      <c r="I141" s="1"/>
      <c r="J141" s="5"/>
      <c r="K141" s="2"/>
      <c r="L141" s="1"/>
      <c r="M141" s="1"/>
      <c r="N141" s="1"/>
      <c r="O141" s="1"/>
      <c r="P141" s="1"/>
      <c r="Q141" s="1"/>
      <c r="R141" s="1"/>
      <c r="S141" s="1"/>
      <c r="T141" s="1"/>
      <c r="U141" s="1"/>
      <c r="V141" s="1"/>
      <c r="W141" s="1"/>
      <c r="X141" s="1"/>
      <c r="Y141" s="1"/>
      <c r="Z141" s="1"/>
      <c r="AA141" s="1"/>
      <c r="AB141" s="1"/>
      <c r="AC141" s="1"/>
      <c r="AD141" s="1"/>
      <c r="AE141" s="1"/>
      <c r="AF141" s="1"/>
      <c r="AG141" s="1"/>
      <c r="AH141" s="1"/>
    </row>
    <row r="142">
      <c r="A142" s="1"/>
      <c r="B142" s="1"/>
      <c r="C142" s="1"/>
      <c r="D142" s="1"/>
      <c r="E142" s="1"/>
      <c r="F142" s="1"/>
      <c r="G142" s="1"/>
      <c r="H142" s="1"/>
      <c r="I142" s="1"/>
      <c r="J142" s="5"/>
      <c r="K142" s="2"/>
      <c r="L142" s="1"/>
      <c r="M142" s="1"/>
      <c r="N142" s="1"/>
      <c r="O142" s="1"/>
      <c r="P142" s="1"/>
      <c r="Q142" s="1"/>
      <c r="R142" s="1"/>
      <c r="S142" s="1"/>
      <c r="T142" s="1"/>
      <c r="U142" s="1"/>
      <c r="V142" s="1"/>
      <c r="W142" s="1"/>
      <c r="X142" s="1"/>
      <c r="Y142" s="1"/>
      <c r="Z142" s="1"/>
      <c r="AA142" s="1"/>
      <c r="AB142" s="1"/>
      <c r="AC142" s="1"/>
      <c r="AD142" s="1"/>
      <c r="AE142" s="1"/>
      <c r="AF142" s="1"/>
      <c r="AG142" s="1"/>
      <c r="AH142" s="1"/>
    </row>
    <row r="143">
      <c r="A143" s="1"/>
      <c r="B143" s="1"/>
      <c r="C143" s="1"/>
      <c r="D143" s="1"/>
      <c r="E143" s="1"/>
      <c r="F143" s="1"/>
      <c r="G143" s="1"/>
      <c r="H143" s="1"/>
      <c r="I143" s="1"/>
      <c r="J143" s="5"/>
      <c r="K143" s="2"/>
      <c r="L143" s="1"/>
      <c r="M143" s="1"/>
      <c r="N143" s="1"/>
      <c r="O143" s="1"/>
      <c r="P143" s="1"/>
      <c r="Q143" s="1"/>
      <c r="R143" s="1"/>
      <c r="S143" s="1"/>
      <c r="T143" s="1"/>
      <c r="U143" s="1"/>
      <c r="V143" s="1"/>
      <c r="W143" s="1"/>
      <c r="X143" s="1"/>
      <c r="Y143" s="1"/>
      <c r="Z143" s="1"/>
      <c r="AA143" s="1"/>
      <c r="AB143" s="1"/>
      <c r="AC143" s="1"/>
      <c r="AD143" s="1"/>
      <c r="AE143" s="1"/>
      <c r="AF143" s="1"/>
      <c r="AG143" s="1"/>
      <c r="AH143" s="1"/>
    </row>
    <row r="144">
      <c r="A144" s="1"/>
      <c r="B144" s="1"/>
      <c r="C144" s="1"/>
      <c r="D144" s="1"/>
      <c r="E144" s="1"/>
      <c r="F144" s="1"/>
      <c r="G144" s="1"/>
      <c r="H144" s="1"/>
      <c r="I144" s="1"/>
      <c r="J144" s="5"/>
      <c r="K144" s="2"/>
      <c r="L144" s="1"/>
      <c r="M144" s="1"/>
      <c r="N144" s="1"/>
      <c r="O144" s="1"/>
      <c r="P144" s="1"/>
      <c r="Q144" s="1"/>
      <c r="R144" s="1"/>
      <c r="S144" s="1"/>
      <c r="T144" s="1"/>
      <c r="U144" s="1"/>
      <c r="V144" s="1"/>
      <c r="W144" s="1"/>
      <c r="X144" s="1"/>
      <c r="Y144" s="1"/>
      <c r="Z144" s="1"/>
      <c r="AA144" s="1"/>
      <c r="AB144" s="1"/>
      <c r="AC144" s="1"/>
      <c r="AD144" s="1"/>
      <c r="AE144" s="1"/>
      <c r="AF144" s="1"/>
      <c r="AG144" s="1"/>
      <c r="AH144" s="1"/>
    </row>
    <row r="145">
      <c r="A145" s="1"/>
      <c r="B145" s="1"/>
      <c r="C145" s="1"/>
      <c r="D145" s="1"/>
      <c r="E145" s="1"/>
      <c r="F145" s="1"/>
      <c r="G145" s="1"/>
      <c r="H145" s="1"/>
      <c r="I145" s="1"/>
      <c r="J145" s="5"/>
      <c r="K145" s="2"/>
      <c r="L145" s="1"/>
      <c r="M145" s="1"/>
      <c r="N145" s="1"/>
      <c r="O145" s="1"/>
      <c r="P145" s="1"/>
      <c r="Q145" s="1"/>
      <c r="R145" s="1"/>
      <c r="S145" s="1"/>
      <c r="T145" s="1"/>
      <c r="U145" s="1"/>
      <c r="V145" s="1"/>
      <c r="W145" s="1"/>
      <c r="X145" s="1"/>
      <c r="Y145" s="1"/>
      <c r="Z145" s="1"/>
      <c r="AA145" s="1"/>
      <c r="AB145" s="1"/>
      <c r="AC145" s="1"/>
      <c r="AD145" s="1"/>
      <c r="AE145" s="1"/>
      <c r="AF145" s="1"/>
      <c r="AG145" s="1"/>
      <c r="AH145" s="1"/>
    </row>
    <row r="146">
      <c r="A146" s="1"/>
      <c r="B146" s="1"/>
      <c r="C146" s="1"/>
      <c r="D146" s="1"/>
      <c r="E146" s="1"/>
      <c r="F146" s="1"/>
      <c r="G146" s="1"/>
      <c r="H146" s="1"/>
      <c r="I146" s="1"/>
      <c r="J146" s="5"/>
      <c r="K146" s="2"/>
      <c r="L146" s="1"/>
      <c r="M146" s="1"/>
      <c r="N146" s="1"/>
      <c r="O146" s="1"/>
      <c r="P146" s="1"/>
      <c r="Q146" s="1"/>
      <c r="R146" s="1"/>
      <c r="S146" s="1"/>
      <c r="T146" s="1"/>
      <c r="U146" s="1"/>
      <c r="V146" s="1"/>
      <c r="W146" s="1"/>
      <c r="X146" s="1"/>
      <c r="Y146" s="1"/>
      <c r="Z146" s="1"/>
      <c r="AA146" s="1"/>
      <c r="AB146" s="1"/>
      <c r="AC146" s="1"/>
      <c r="AD146" s="1"/>
      <c r="AE146" s="1"/>
      <c r="AF146" s="1"/>
      <c r="AG146" s="1"/>
      <c r="AH146" s="1"/>
    </row>
    <row r="147">
      <c r="A147" s="1"/>
      <c r="B147" s="1"/>
      <c r="C147" s="1"/>
      <c r="D147" s="1"/>
      <c r="E147" s="1"/>
      <c r="F147" s="1"/>
      <c r="G147" s="1"/>
      <c r="H147" s="1"/>
      <c r="I147" s="1"/>
      <c r="J147" s="5"/>
      <c r="K147" s="2"/>
      <c r="L147" s="1"/>
      <c r="M147" s="1"/>
      <c r="N147" s="1"/>
      <c r="O147" s="1"/>
      <c r="P147" s="1"/>
      <c r="Q147" s="1"/>
      <c r="R147" s="1"/>
      <c r="S147" s="1"/>
      <c r="T147" s="1"/>
      <c r="U147" s="1"/>
      <c r="V147" s="1"/>
      <c r="W147" s="1"/>
      <c r="X147" s="1"/>
      <c r="Y147" s="1"/>
      <c r="Z147" s="1"/>
      <c r="AA147" s="1"/>
      <c r="AB147" s="1"/>
      <c r="AC147" s="1"/>
      <c r="AD147" s="1"/>
      <c r="AE147" s="1"/>
      <c r="AF147" s="1"/>
      <c r="AG147" s="1"/>
      <c r="AH147" s="1"/>
    </row>
    <row r="148">
      <c r="A148" s="1"/>
      <c r="B148" s="1"/>
      <c r="C148" s="1"/>
      <c r="D148" s="1"/>
      <c r="E148" s="1"/>
      <c r="F148" s="1"/>
      <c r="G148" s="1"/>
      <c r="H148" s="1"/>
      <c r="I148" s="1"/>
      <c r="J148" s="5"/>
      <c r="K148" s="2"/>
      <c r="L148" s="1"/>
      <c r="M148" s="1"/>
      <c r="N148" s="1"/>
      <c r="O148" s="1"/>
      <c r="P148" s="1"/>
      <c r="Q148" s="1"/>
      <c r="R148" s="1"/>
      <c r="S148" s="1"/>
      <c r="T148" s="1"/>
      <c r="U148" s="1"/>
      <c r="V148" s="1"/>
      <c r="W148" s="1"/>
      <c r="X148" s="1"/>
      <c r="Y148" s="1"/>
      <c r="Z148" s="1"/>
      <c r="AA148" s="1"/>
      <c r="AB148" s="1"/>
      <c r="AC148" s="1"/>
      <c r="AD148" s="1"/>
      <c r="AE148" s="1"/>
      <c r="AF148" s="1"/>
      <c r="AG148" s="1"/>
      <c r="AH148" s="1"/>
    </row>
    <row r="149">
      <c r="A149" s="1"/>
      <c r="B149" s="1"/>
      <c r="C149" s="1"/>
      <c r="D149" s="1"/>
      <c r="E149" s="1"/>
      <c r="F149" s="1"/>
      <c r="G149" s="1"/>
      <c r="H149" s="1"/>
      <c r="I149" s="1"/>
      <c r="J149" s="5"/>
      <c r="K149" s="2"/>
      <c r="L149" s="1"/>
      <c r="M149" s="1"/>
      <c r="N149" s="1"/>
      <c r="O149" s="1"/>
      <c r="P149" s="1"/>
      <c r="Q149" s="1"/>
      <c r="R149" s="1"/>
      <c r="S149" s="1"/>
      <c r="T149" s="1"/>
      <c r="U149" s="1"/>
      <c r="V149" s="1"/>
      <c r="W149" s="1"/>
      <c r="X149" s="1"/>
      <c r="Y149" s="1"/>
      <c r="Z149" s="1"/>
      <c r="AA149" s="1"/>
      <c r="AB149" s="1"/>
      <c r="AC149" s="1"/>
      <c r="AD149" s="1"/>
      <c r="AE149" s="1"/>
      <c r="AF149" s="1"/>
      <c r="AG149" s="1"/>
      <c r="AH149" s="1"/>
    </row>
    <row r="150">
      <c r="A150" s="1"/>
      <c r="B150" s="1"/>
      <c r="C150" s="1"/>
      <c r="D150" s="1"/>
      <c r="E150" s="1"/>
      <c r="F150" s="1"/>
      <c r="G150" s="1"/>
      <c r="H150" s="1"/>
      <c r="I150" s="1"/>
      <c r="J150" s="5"/>
      <c r="K150" s="2"/>
      <c r="L150" s="1"/>
      <c r="M150" s="1"/>
      <c r="N150" s="1"/>
      <c r="O150" s="1"/>
      <c r="P150" s="1"/>
      <c r="Q150" s="1"/>
      <c r="R150" s="1"/>
      <c r="S150" s="1"/>
      <c r="T150" s="1"/>
      <c r="U150" s="1"/>
      <c r="V150" s="1"/>
      <c r="W150" s="1"/>
      <c r="X150" s="1"/>
      <c r="Y150" s="1"/>
      <c r="Z150" s="1"/>
      <c r="AA150" s="1"/>
      <c r="AB150" s="1"/>
      <c r="AC150" s="1"/>
      <c r="AD150" s="1"/>
      <c r="AE150" s="1"/>
      <c r="AF150" s="1"/>
      <c r="AG150" s="1"/>
      <c r="AH150" s="1"/>
    </row>
    <row r="151">
      <c r="A151" s="1"/>
      <c r="B151" s="1"/>
      <c r="C151" s="1"/>
      <c r="D151" s="1"/>
      <c r="E151" s="1"/>
      <c r="F151" s="1"/>
      <c r="G151" s="1"/>
      <c r="H151" s="1"/>
      <c r="I151" s="1"/>
      <c r="J151" s="5"/>
      <c r="K151" s="2"/>
      <c r="L151" s="1"/>
      <c r="M151" s="1"/>
      <c r="N151" s="1"/>
      <c r="O151" s="1"/>
      <c r="P151" s="1"/>
      <c r="Q151" s="1"/>
      <c r="R151" s="1"/>
      <c r="S151" s="1"/>
      <c r="T151" s="1"/>
      <c r="U151" s="1"/>
      <c r="V151" s="1"/>
      <c r="W151" s="1"/>
      <c r="X151" s="1"/>
      <c r="Y151" s="1"/>
      <c r="Z151" s="1"/>
      <c r="AA151" s="1"/>
      <c r="AB151" s="1"/>
      <c r="AC151" s="1"/>
      <c r="AD151" s="1"/>
      <c r="AE151" s="1"/>
      <c r="AF151" s="1"/>
      <c r="AG151" s="1"/>
      <c r="AH151" s="1"/>
    </row>
    <row r="152">
      <c r="A152" s="1"/>
      <c r="B152" s="1"/>
      <c r="C152" s="1"/>
      <c r="D152" s="1"/>
      <c r="E152" s="1"/>
      <c r="F152" s="1"/>
      <c r="G152" s="1"/>
      <c r="H152" s="1"/>
      <c r="I152" s="1"/>
      <c r="J152" s="5"/>
      <c r="K152" s="2"/>
      <c r="L152" s="1"/>
      <c r="M152" s="1"/>
      <c r="N152" s="1"/>
      <c r="O152" s="1"/>
      <c r="P152" s="1"/>
      <c r="Q152" s="1"/>
      <c r="R152" s="1"/>
      <c r="S152" s="1"/>
      <c r="T152" s="1"/>
      <c r="U152" s="1"/>
      <c r="V152" s="1"/>
      <c r="W152" s="1"/>
      <c r="X152" s="1"/>
      <c r="Y152" s="1"/>
      <c r="Z152" s="1"/>
      <c r="AA152" s="1"/>
      <c r="AB152" s="1"/>
      <c r="AC152" s="1"/>
      <c r="AD152" s="1"/>
      <c r="AE152" s="1"/>
      <c r="AF152" s="1"/>
      <c r="AG152" s="1"/>
      <c r="AH152" s="1"/>
    </row>
    <row r="153">
      <c r="A153" s="1"/>
      <c r="B153" s="1"/>
      <c r="C153" s="1"/>
      <c r="D153" s="1"/>
      <c r="E153" s="1"/>
      <c r="F153" s="1"/>
      <c r="G153" s="1"/>
      <c r="H153" s="1"/>
      <c r="I153" s="1"/>
      <c r="J153" s="5"/>
      <c r="K153" s="2"/>
      <c r="L153" s="1"/>
      <c r="M153" s="1"/>
      <c r="N153" s="1"/>
      <c r="O153" s="1"/>
      <c r="P153" s="1"/>
      <c r="Q153" s="1"/>
      <c r="R153" s="1"/>
      <c r="S153" s="1"/>
      <c r="T153" s="1"/>
      <c r="U153" s="1"/>
      <c r="V153" s="1"/>
      <c r="W153" s="1"/>
      <c r="X153" s="1"/>
      <c r="Y153" s="1"/>
      <c r="Z153" s="1"/>
      <c r="AA153" s="1"/>
      <c r="AB153" s="1"/>
      <c r="AC153" s="1"/>
      <c r="AD153" s="1"/>
      <c r="AE153" s="1"/>
      <c r="AF153" s="1"/>
      <c r="AG153" s="1"/>
      <c r="AH153" s="1"/>
    </row>
    <row r="154">
      <c r="A154" s="1"/>
      <c r="B154" s="1"/>
      <c r="C154" s="1"/>
      <c r="D154" s="1"/>
      <c r="E154" s="1"/>
      <c r="F154" s="1"/>
      <c r="G154" s="1"/>
      <c r="H154" s="1"/>
      <c r="I154" s="1"/>
      <c r="J154" s="5"/>
      <c r="K154" s="2"/>
      <c r="L154" s="1"/>
      <c r="M154" s="1"/>
      <c r="N154" s="1"/>
      <c r="O154" s="1"/>
      <c r="P154" s="1"/>
      <c r="Q154" s="1"/>
      <c r="R154" s="1"/>
      <c r="S154" s="1"/>
      <c r="T154" s="1"/>
      <c r="U154" s="1"/>
      <c r="V154" s="1"/>
      <c r="W154" s="1"/>
      <c r="X154" s="1"/>
      <c r="Y154" s="1"/>
      <c r="Z154" s="1"/>
      <c r="AA154" s="1"/>
      <c r="AB154" s="1"/>
      <c r="AC154" s="1"/>
      <c r="AD154" s="1"/>
      <c r="AE154" s="1"/>
      <c r="AF154" s="1"/>
      <c r="AG154" s="1"/>
      <c r="AH154" s="1"/>
    </row>
    <row r="155">
      <c r="A155" s="1"/>
      <c r="B155" s="1"/>
      <c r="C155" s="1"/>
      <c r="D155" s="1"/>
      <c r="E155" s="1"/>
      <c r="F155" s="1"/>
      <c r="G155" s="1"/>
      <c r="H155" s="1"/>
      <c r="I155" s="1"/>
      <c r="J155" s="5"/>
      <c r="K155" s="2"/>
      <c r="L155" s="1"/>
      <c r="M155" s="1"/>
      <c r="N155" s="1"/>
      <c r="O155" s="1"/>
      <c r="P155" s="1"/>
      <c r="Q155" s="1"/>
      <c r="R155" s="1"/>
      <c r="S155" s="1"/>
      <c r="T155" s="1"/>
      <c r="U155" s="1"/>
      <c r="V155" s="1"/>
      <c r="W155" s="1"/>
      <c r="X155" s="1"/>
      <c r="Y155" s="1"/>
      <c r="Z155" s="1"/>
      <c r="AA155" s="1"/>
      <c r="AB155" s="1"/>
      <c r="AC155" s="1"/>
      <c r="AD155" s="1"/>
      <c r="AE155" s="1"/>
      <c r="AF155" s="1"/>
      <c r="AG155" s="1"/>
      <c r="AH155" s="1"/>
    </row>
    <row r="156">
      <c r="A156" s="1"/>
      <c r="B156" s="1"/>
      <c r="C156" s="1"/>
      <c r="D156" s="1"/>
      <c r="E156" s="1"/>
      <c r="F156" s="1"/>
      <c r="G156" s="1"/>
      <c r="H156" s="1"/>
      <c r="I156" s="1"/>
      <c r="J156" s="5"/>
      <c r="K156" s="2"/>
      <c r="L156" s="1"/>
      <c r="M156" s="1"/>
      <c r="N156" s="1"/>
      <c r="O156" s="1"/>
      <c r="P156" s="1"/>
      <c r="Q156" s="1"/>
      <c r="R156" s="1"/>
      <c r="S156" s="1"/>
      <c r="T156" s="1"/>
      <c r="U156" s="1"/>
      <c r="V156" s="1"/>
      <c r="W156" s="1"/>
      <c r="X156" s="1"/>
      <c r="Y156" s="1"/>
      <c r="Z156" s="1"/>
      <c r="AA156" s="1"/>
      <c r="AB156" s="1"/>
      <c r="AC156" s="1"/>
      <c r="AD156" s="1"/>
      <c r="AE156" s="1"/>
      <c r="AF156" s="1"/>
      <c r="AG156" s="1"/>
      <c r="AH156" s="1"/>
    </row>
    <row r="157">
      <c r="A157" s="1"/>
      <c r="B157" s="1"/>
      <c r="C157" s="1"/>
      <c r="D157" s="1"/>
      <c r="E157" s="1"/>
      <c r="F157" s="1"/>
      <c r="G157" s="1"/>
      <c r="H157" s="1"/>
      <c r="I157" s="1"/>
      <c r="J157" s="5"/>
      <c r="K157" s="2"/>
      <c r="L157" s="1"/>
      <c r="M157" s="1"/>
      <c r="N157" s="1"/>
      <c r="O157" s="1"/>
      <c r="P157" s="1"/>
      <c r="Q157" s="1"/>
      <c r="R157" s="1"/>
      <c r="S157" s="1"/>
      <c r="T157" s="1"/>
      <c r="U157" s="1"/>
      <c r="V157" s="1"/>
      <c r="W157" s="1"/>
      <c r="X157" s="1"/>
      <c r="Y157" s="1"/>
      <c r="Z157" s="1"/>
      <c r="AA157" s="1"/>
      <c r="AB157" s="1"/>
      <c r="AC157" s="1"/>
      <c r="AD157" s="1"/>
      <c r="AE157" s="1"/>
      <c r="AF157" s="1"/>
      <c r="AG157" s="1"/>
      <c r="AH157" s="1"/>
    </row>
    <row r="158">
      <c r="A158" s="1"/>
      <c r="B158" s="1"/>
      <c r="C158" s="1"/>
      <c r="D158" s="1"/>
      <c r="E158" s="1"/>
      <c r="F158" s="1"/>
      <c r="G158" s="1"/>
      <c r="H158" s="1"/>
      <c r="I158" s="1"/>
      <c r="J158" s="5"/>
      <c r="K158" s="2"/>
      <c r="L158" s="1"/>
      <c r="M158" s="1"/>
      <c r="N158" s="1"/>
      <c r="O158" s="1"/>
      <c r="P158" s="1"/>
      <c r="Q158" s="1"/>
      <c r="R158" s="1"/>
      <c r="S158" s="1"/>
      <c r="T158" s="1"/>
      <c r="U158" s="1"/>
      <c r="V158" s="1"/>
      <c r="W158" s="1"/>
      <c r="X158" s="1"/>
      <c r="Y158" s="1"/>
      <c r="Z158" s="1"/>
      <c r="AA158" s="1"/>
      <c r="AB158" s="1"/>
      <c r="AC158" s="1"/>
      <c r="AD158" s="1"/>
      <c r="AE158" s="1"/>
      <c r="AF158" s="1"/>
      <c r="AG158" s="1"/>
      <c r="AH158" s="1"/>
    </row>
    <row r="159">
      <c r="A159" s="1"/>
      <c r="B159" s="1"/>
      <c r="C159" s="1"/>
      <c r="D159" s="1"/>
      <c r="E159" s="1"/>
      <c r="F159" s="1"/>
      <c r="G159" s="1"/>
      <c r="H159" s="1"/>
      <c r="I159" s="1"/>
      <c r="J159" s="5"/>
      <c r="K159" s="2"/>
      <c r="L159" s="1"/>
      <c r="M159" s="1"/>
      <c r="N159" s="1"/>
      <c r="O159" s="1"/>
      <c r="P159" s="1"/>
      <c r="Q159" s="1"/>
      <c r="R159" s="1"/>
      <c r="S159" s="1"/>
      <c r="T159" s="1"/>
      <c r="U159" s="1"/>
      <c r="V159" s="1"/>
      <c r="W159" s="1"/>
      <c r="X159" s="1"/>
      <c r="Y159" s="1"/>
      <c r="Z159" s="1"/>
      <c r="AA159" s="1"/>
      <c r="AB159" s="1"/>
      <c r="AC159" s="1"/>
      <c r="AD159" s="1"/>
      <c r="AE159" s="1"/>
      <c r="AF159" s="1"/>
      <c r="AG159" s="1"/>
      <c r="AH159" s="1"/>
    </row>
    <row r="160">
      <c r="A160" s="1"/>
      <c r="B160" s="1"/>
      <c r="C160" s="1"/>
      <c r="D160" s="1"/>
      <c r="E160" s="1"/>
      <c r="F160" s="1"/>
      <c r="G160" s="1"/>
      <c r="H160" s="1"/>
      <c r="I160" s="1"/>
      <c r="J160" s="5"/>
      <c r="K160" s="2"/>
      <c r="L160" s="1"/>
      <c r="M160" s="1"/>
      <c r="N160" s="1"/>
      <c r="O160" s="1"/>
      <c r="P160" s="1"/>
      <c r="Q160" s="1"/>
      <c r="R160" s="1"/>
      <c r="S160" s="1"/>
      <c r="T160" s="1"/>
      <c r="U160" s="1"/>
      <c r="V160" s="1"/>
      <c r="W160" s="1"/>
      <c r="X160" s="1"/>
      <c r="Y160" s="1"/>
      <c r="Z160" s="1"/>
      <c r="AA160" s="1"/>
      <c r="AB160" s="1"/>
      <c r="AC160" s="1"/>
      <c r="AD160" s="1"/>
      <c r="AE160" s="1"/>
      <c r="AF160" s="1"/>
      <c r="AG160" s="1"/>
      <c r="AH160" s="1"/>
    </row>
    <row r="161">
      <c r="A161" s="1"/>
      <c r="B161" s="1"/>
      <c r="C161" s="1"/>
      <c r="D161" s="1"/>
      <c r="E161" s="1"/>
      <c r="F161" s="1"/>
      <c r="G161" s="1"/>
      <c r="H161" s="1"/>
      <c r="I161" s="1"/>
      <c r="J161" s="5"/>
      <c r="K161" s="2"/>
      <c r="L161" s="1"/>
      <c r="M161" s="1"/>
      <c r="N161" s="1"/>
      <c r="O161" s="1"/>
      <c r="P161" s="1"/>
      <c r="Q161" s="1"/>
      <c r="R161" s="1"/>
      <c r="S161" s="1"/>
      <c r="T161" s="1"/>
      <c r="U161" s="1"/>
      <c r="V161" s="1"/>
      <c r="W161" s="1"/>
      <c r="X161" s="1"/>
      <c r="Y161" s="1"/>
      <c r="Z161" s="1"/>
      <c r="AA161" s="1"/>
      <c r="AB161" s="1"/>
      <c r="AC161" s="1"/>
      <c r="AD161" s="1"/>
      <c r="AE161" s="1"/>
      <c r="AF161" s="1"/>
      <c r="AG161" s="1"/>
      <c r="AH161" s="1"/>
    </row>
    <row r="162">
      <c r="A162" s="1"/>
      <c r="B162" s="1"/>
      <c r="C162" s="1"/>
      <c r="D162" s="1"/>
      <c r="E162" s="1"/>
      <c r="F162" s="1"/>
      <c r="G162" s="1"/>
      <c r="H162" s="1"/>
      <c r="I162" s="1"/>
      <c r="J162" s="5"/>
      <c r="K162" s="2"/>
      <c r="L162" s="1"/>
      <c r="M162" s="1"/>
      <c r="N162" s="1"/>
      <c r="O162" s="1"/>
      <c r="P162" s="1"/>
      <c r="Q162" s="1"/>
      <c r="R162" s="1"/>
      <c r="S162" s="1"/>
      <c r="T162" s="1"/>
      <c r="U162" s="1"/>
      <c r="V162" s="1"/>
      <c r="W162" s="1"/>
      <c r="X162" s="1"/>
      <c r="Y162" s="1"/>
      <c r="Z162" s="1"/>
      <c r="AA162" s="1"/>
      <c r="AB162" s="1"/>
      <c r="AC162" s="1"/>
      <c r="AD162" s="1"/>
      <c r="AE162" s="1"/>
      <c r="AF162" s="1"/>
      <c r="AG162" s="1"/>
      <c r="AH162" s="1"/>
    </row>
    <row r="163">
      <c r="A163" s="1"/>
      <c r="B163" s="1"/>
      <c r="C163" s="1"/>
      <c r="D163" s="1"/>
      <c r="E163" s="1"/>
      <c r="F163" s="1"/>
      <c r="G163" s="1"/>
      <c r="H163" s="1"/>
      <c r="I163" s="1"/>
      <c r="J163" s="5"/>
      <c r="K163" s="2"/>
      <c r="L163" s="1"/>
      <c r="M163" s="1"/>
      <c r="N163" s="1"/>
      <c r="O163" s="1"/>
      <c r="P163" s="1"/>
      <c r="Q163" s="1"/>
      <c r="R163" s="1"/>
      <c r="S163" s="1"/>
      <c r="T163" s="1"/>
      <c r="U163" s="1"/>
      <c r="V163" s="1"/>
      <c r="W163" s="1"/>
      <c r="X163" s="1"/>
      <c r="Y163" s="1"/>
      <c r="Z163" s="1"/>
      <c r="AA163" s="1"/>
      <c r="AB163" s="1"/>
      <c r="AC163" s="1"/>
      <c r="AD163" s="1"/>
      <c r="AE163" s="1"/>
      <c r="AF163" s="1"/>
      <c r="AG163" s="1"/>
      <c r="AH163" s="1"/>
    </row>
    <row r="164">
      <c r="A164" s="1"/>
      <c r="B164" s="1"/>
      <c r="C164" s="1"/>
      <c r="D164" s="1"/>
      <c r="E164" s="1"/>
      <c r="F164" s="1"/>
      <c r="G164" s="1"/>
      <c r="H164" s="1"/>
      <c r="I164" s="1"/>
      <c r="J164" s="5"/>
      <c r="K164" s="2"/>
      <c r="L164" s="1"/>
      <c r="M164" s="1"/>
      <c r="N164" s="1"/>
      <c r="O164" s="1"/>
      <c r="P164" s="1"/>
      <c r="Q164" s="1"/>
      <c r="R164" s="1"/>
      <c r="S164" s="1"/>
      <c r="T164" s="1"/>
      <c r="U164" s="1"/>
      <c r="V164" s="1"/>
      <c r="W164" s="1"/>
      <c r="X164" s="1"/>
      <c r="Y164" s="1"/>
      <c r="Z164" s="1"/>
      <c r="AA164" s="1"/>
      <c r="AB164" s="1"/>
      <c r="AC164" s="1"/>
      <c r="AD164" s="1"/>
      <c r="AE164" s="1"/>
      <c r="AF164" s="1"/>
      <c r="AG164" s="1"/>
      <c r="AH164" s="1"/>
    </row>
    <row r="165">
      <c r="A165" s="1"/>
      <c r="B165" s="1"/>
      <c r="C165" s="1"/>
      <c r="D165" s="1"/>
      <c r="E165" s="1"/>
      <c r="F165" s="1"/>
      <c r="G165" s="1"/>
      <c r="H165" s="1"/>
      <c r="I165" s="1"/>
      <c r="J165" s="5"/>
      <c r="K165" s="2"/>
      <c r="L165" s="1"/>
      <c r="M165" s="1"/>
      <c r="N165" s="1"/>
      <c r="O165" s="1"/>
      <c r="P165" s="1"/>
      <c r="Q165" s="1"/>
      <c r="R165" s="1"/>
      <c r="S165" s="1"/>
      <c r="T165" s="1"/>
      <c r="U165" s="1"/>
      <c r="V165" s="1"/>
      <c r="W165" s="1"/>
      <c r="X165" s="1"/>
      <c r="Y165" s="1"/>
      <c r="Z165" s="1"/>
      <c r="AA165" s="1"/>
      <c r="AB165" s="1"/>
      <c r="AC165" s="1"/>
      <c r="AD165" s="1"/>
      <c r="AE165" s="1"/>
      <c r="AF165" s="1"/>
      <c r="AG165" s="1"/>
      <c r="AH165" s="1"/>
    </row>
    <row r="166">
      <c r="A166" s="1"/>
      <c r="B166" s="1"/>
      <c r="C166" s="1"/>
      <c r="D166" s="1"/>
      <c r="E166" s="1"/>
      <c r="F166" s="1"/>
      <c r="G166" s="1"/>
      <c r="H166" s="1"/>
      <c r="I166" s="1"/>
      <c r="J166" s="5"/>
      <c r="K166" s="2"/>
      <c r="L166" s="1"/>
      <c r="M166" s="1"/>
      <c r="N166" s="1"/>
      <c r="O166" s="1"/>
      <c r="P166" s="1"/>
      <c r="Q166" s="1"/>
      <c r="R166" s="1"/>
      <c r="S166" s="1"/>
      <c r="T166" s="1"/>
      <c r="U166" s="1"/>
      <c r="V166" s="1"/>
      <c r="W166" s="1"/>
      <c r="X166" s="1"/>
      <c r="Y166" s="1"/>
      <c r="Z166" s="1"/>
      <c r="AA166" s="1"/>
      <c r="AB166" s="1"/>
      <c r="AC166" s="1"/>
      <c r="AD166" s="1"/>
      <c r="AE166" s="1"/>
      <c r="AF166" s="1"/>
      <c r="AG166" s="1"/>
      <c r="AH166" s="1"/>
    </row>
    <row r="167">
      <c r="A167" s="1"/>
      <c r="B167" s="1"/>
      <c r="C167" s="1"/>
      <c r="D167" s="1"/>
      <c r="E167" s="1"/>
      <c r="F167" s="1"/>
      <c r="G167" s="1"/>
      <c r="H167" s="1"/>
      <c r="I167" s="1"/>
      <c r="J167" s="5"/>
      <c r="K167" s="2"/>
      <c r="L167" s="1"/>
      <c r="M167" s="1"/>
      <c r="N167" s="1"/>
      <c r="O167" s="1"/>
      <c r="P167" s="1"/>
      <c r="Q167" s="1"/>
      <c r="R167" s="1"/>
      <c r="S167" s="1"/>
      <c r="T167" s="1"/>
      <c r="U167" s="1"/>
      <c r="V167" s="1"/>
      <c r="W167" s="1"/>
      <c r="X167" s="1"/>
      <c r="Y167" s="1"/>
      <c r="Z167" s="1"/>
      <c r="AA167" s="1"/>
      <c r="AB167" s="1"/>
      <c r="AC167" s="1"/>
      <c r="AD167" s="1"/>
      <c r="AE167" s="1"/>
      <c r="AF167" s="1"/>
      <c r="AG167" s="1"/>
      <c r="AH167" s="1"/>
    </row>
    <row r="168">
      <c r="A168" s="1"/>
      <c r="B168" s="1"/>
      <c r="C168" s="1"/>
      <c r="D168" s="1"/>
      <c r="E168" s="1"/>
      <c r="F168" s="1"/>
      <c r="G168" s="1"/>
      <c r="H168" s="1"/>
      <c r="I168" s="1"/>
      <c r="J168" s="5"/>
      <c r="K168" s="2"/>
      <c r="L168" s="1"/>
      <c r="M168" s="1"/>
      <c r="N168" s="1"/>
      <c r="O168" s="1"/>
      <c r="P168" s="1"/>
      <c r="Q168" s="1"/>
      <c r="R168" s="1"/>
      <c r="S168" s="1"/>
      <c r="T168" s="1"/>
      <c r="U168" s="1"/>
      <c r="V168" s="1"/>
      <c r="W168" s="1"/>
      <c r="X168" s="1"/>
      <c r="Y168" s="1"/>
      <c r="Z168" s="1"/>
      <c r="AA168" s="1"/>
      <c r="AB168" s="1"/>
      <c r="AC168" s="1"/>
      <c r="AD168" s="1"/>
      <c r="AE168" s="1"/>
      <c r="AF168" s="1"/>
      <c r="AG168" s="1"/>
      <c r="AH168" s="1"/>
    </row>
    <row r="169">
      <c r="A169" s="1"/>
      <c r="B169" s="1"/>
      <c r="C169" s="1"/>
      <c r="D169" s="1"/>
      <c r="E169" s="1"/>
      <c r="F169" s="1"/>
      <c r="G169" s="1"/>
      <c r="H169" s="1"/>
      <c r="I169" s="1"/>
      <c r="J169" s="5"/>
      <c r="K169" s="2"/>
      <c r="L169" s="1"/>
      <c r="M169" s="1"/>
      <c r="N169" s="1"/>
      <c r="O169" s="1"/>
      <c r="P169" s="1"/>
      <c r="Q169" s="1"/>
      <c r="R169" s="1"/>
      <c r="S169" s="1"/>
      <c r="T169" s="1"/>
      <c r="U169" s="1"/>
      <c r="V169" s="1"/>
      <c r="W169" s="1"/>
      <c r="X169" s="1"/>
      <c r="Y169" s="1"/>
      <c r="Z169" s="1"/>
      <c r="AA169" s="1"/>
      <c r="AB169" s="1"/>
      <c r="AC169" s="1"/>
      <c r="AD169" s="1"/>
      <c r="AE169" s="1"/>
      <c r="AF169" s="1"/>
      <c r="AG169" s="1"/>
      <c r="AH169" s="1"/>
    </row>
    <row r="170">
      <c r="A170" s="1"/>
      <c r="B170" s="1"/>
      <c r="C170" s="1"/>
      <c r="D170" s="1"/>
      <c r="E170" s="1"/>
      <c r="F170" s="1"/>
      <c r="G170" s="1"/>
      <c r="H170" s="1"/>
      <c r="I170" s="1"/>
      <c r="J170" s="5"/>
      <c r="K170" s="2"/>
      <c r="L170" s="1"/>
      <c r="M170" s="1"/>
      <c r="N170" s="1"/>
      <c r="O170" s="1"/>
      <c r="P170" s="1"/>
      <c r="Q170" s="1"/>
      <c r="R170" s="1"/>
      <c r="S170" s="1"/>
      <c r="T170" s="1"/>
      <c r="U170" s="1"/>
      <c r="V170" s="1"/>
      <c r="W170" s="1"/>
      <c r="X170" s="1"/>
      <c r="Y170" s="1"/>
      <c r="Z170" s="1"/>
      <c r="AA170" s="1"/>
      <c r="AB170" s="1"/>
      <c r="AC170" s="1"/>
      <c r="AD170" s="1"/>
      <c r="AE170" s="1"/>
      <c r="AF170" s="1"/>
      <c r="AG170" s="1"/>
      <c r="AH170" s="1"/>
    </row>
    <row r="171">
      <c r="A171" s="1"/>
      <c r="B171" s="1"/>
      <c r="C171" s="1"/>
      <c r="D171" s="1"/>
      <c r="E171" s="1"/>
      <c r="F171" s="1"/>
      <c r="G171" s="1"/>
      <c r="H171" s="1"/>
      <c r="I171" s="1"/>
      <c r="J171" s="5"/>
      <c r="K171" s="2"/>
      <c r="L171" s="1"/>
      <c r="M171" s="1"/>
      <c r="N171" s="1"/>
      <c r="O171" s="1"/>
      <c r="P171" s="1"/>
      <c r="Q171" s="1"/>
      <c r="R171" s="1"/>
      <c r="S171" s="1"/>
      <c r="T171" s="1"/>
      <c r="U171" s="1"/>
      <c r="V171" s="1"/>
      <c r="W171" s="1"/>
      <c r="X171" s="1"/>
      <c r="Y171" s="1"/>
      <c r="Z171" s="1"/>
      <c r="AA171" s="1"/>
      <c r="AB171" s="1"/>
      <c r="AC171" s="1"/>
      <c r="AD171" s="1"/>
      <c r="AE171" s="1"/>
      <c r="AF171" s="1"/>
      <c r="AG171" s="1"/>
      <c r="AH171" s="1"/>
    </row>
    <row r="172">
      <c r="A172" s="1"/>
      <c r="B172" s="1"/>
      <c r="C172" s="1"/>
      <c r="D172" s="1"/>
      <c r="E172" s="1"/>
      <c r="F172" s="1"/>
      <c r="G172" s="1"/>
      <c r="H172" s="1"/>
      <c r="I172" s="1"/>
      <c r="J172" s="5"/>
      <c r="K172" s="2"/>
      <c r="L172" s="1"/>
      <c r="M172" s="1"/>
      <c r="N172" s="1"/>
      <c r="O172" s="1"/>
      <c r="P172" s="1"/>
      <c r="Q172" s="1"/>
      <c r="R172" s="1"/>
      <c r="S172" s="1"/>
      <c r="T172" s="1"/>
      <c r="U172" s="1"/>
      <c r="V172" s="1"/>
      <c r="W172" s="1"/>
      <c r="X172" s="1"/>
      <c r="Y172" s="1"/>
      <c r="Z172" s="1"/>
      <c r="AA172" s="1"/>
      <c r="AB172" s="1"/>
      <c r="AC172" s="1"/>
      <c r="AD172" s="1"/>
      <c r="AE172" s="1"/>
      <c r="AF172" s="1"/>
      <c r="AG172" s="1"/>
      <c r="AH172" s="1"/>
    </row>
    <row r="173">
      <c r="A173" s="1"/>
      <c r="B173" s="1"/>
      <c r="C173" s="1"/>
      <c r="D173" s="1"/>
      <c r="E173" s="1"/>
      <c r="F173" s="1"/>
      <c r="G173" s="1"/>
      <c r="H173" s="1"/>
      <c r="I173" s="1"/>
      <c r="J173" s="5"/>
      <c r="K173" s="2"/>
      <c r="L173" s="1"/>
      <c r="M173" s="1"/>
      <c r="N173" s="1"/>
      <c r="O173" s="1"/>
      <c r="P173" s="1"/>
      <c r="Q173" s="1"/>
      <c r="R173" s="1"/>
      <c r="S173" s="1"/>
      <c r="T173" s="1"/>
      <c r="U173" s="1"/>
      <c r="V173" s="1"/>
      <c r="W173" s="1"/>
      <c r="X173" s="1"/>
      <c r="Y173" s="1"/>
      <c r="Z173" s="1"/>
      <c r="AA173" s="1"/>
      <c r="AB173" s="1"/>
      <c r="AC173" s="1"/>
      <c r="AD173" s="1"/>
      <c r="AE173" s="1"/>
      <c r="AF173" s="1"/>
      <c r="AG173" s="1"/>
      <c r="AH173" s="1"/>
    </row>
    <row r="174">
      <c r="A174" s="1"/>
      <c r="B174" s="1"/>
      <c r="C174" s="1"/>
      <c r="D174" s="1"/>
      <c r="E174" s="1"/>
      <c r="F174" s="1"/>
      <c r="G174" s="1"/>
      <c r="H174" s="1"/>
      <c r="I174" s="1"/>
      <c r="J174" s="5"/>
      <c r="K174" s="2"/>
      <c r="L174" s="1"/>
      <c r="M174" s="1"/>
      <c r="N174" s="1"/>
      <c r="O174" s="1"/>
      <c r="P174" s="1"/>
      <c r="Q174" s="1"/>
      <c r="R174" s="1"/>
      <c r="S174" s="1"/>
      <c r="T174" s="1"/>
      <c r="U174" s="1"/>
      <c r="V174" s="1"/>
      <c r="W174" s="1"/>
      <c r="X174" s="1"/>
      <c r="Y174" s="1"/>
      <c r="Z174" s="1"/>
      <c r="AA174" s="1"/>
      <c r="AB174" s="1"/>
      <c r="AC174" s="1"/>
      <c r="AD174" s="1"/>
      <c r="AE174" s="1"/>
      <c r="AF174" s="1"/>
      <c r="AG174" s="1"/>
      <c r="AH174" s="1"/>
    </row>
    <row r="175">
      <c r="A175" s="1"/>
      <c r="B175" s="1"/>
      <c r="C175" s="1"/>
      <c r="D175" s="1"/>
      <c r="E175" s="1"/>
      <c r="F175" s="1"/>
      <c r="G175" s="1"/>
      <c r="H175" s="1"/>
      <c r="I175" s="1"/>
      <c r="J175" s="5"/>
      <c r="K175" s="2"/>
      <c r="L175" s="1"/>
      <c r="M175" s="1"/>
      <c r="N175" s="1"/>
      <c r="O175" s="1"/>
      <c r="P175" s="1"/>
      <c r="Q175" s="1"/>
      <c r="R175" s="1"/>
      <c r="S175" s="1"/>
      <c r="T175" s="1"/>
      <c r="U175" s="1"/>
      <c r="V175" s="1"/>
      <c r="W175" s="1"/>
      <c r="X175" s="1"/>
      <c r="Y175" s="1"/>
      <c r="Z175" s="1"/>
      <c r="AA175" s="1"/>
      <c r="AB175" s="1"/>
      <c r="AC175" s="1"/>
      <c r="AD175" s="1"/>
      <c r="AE175" s="1"/>
      <c r="AF175" s="1"/>
      <c r="AG175" s="1"/>
      <c r="AH175" s="1"/>
    </row>
    <row r="176">
      <c r="A176" s="1"/>
      <c r="B176" s="1"/>
      <c r="C176" s="1"/>
      <c r="D176" s="1"/>
      <c r="E176" s="1"/>
      <c r="F176" s="1"/>
      <c r="G176" s="1"/>
      <c r="H176" s="1"/>
      <c r="I176" s="1"/>
      <c r="J176" s="5"/>
      <c r="K176" s="2"/>
      <c r="L176" s="1"/>
      <c r="M176" s="1"/>
      <c r="N176" s="1"/>
      <c r="O176" s="1"/>
      <c r="P176" s="1"/>
      <c r="Q176" s="1"/>
      <c r="R176" s="1"/>
      <c r="S176" s="1"/>
      <c r="T176" s="1"/>
      <c r="U176" s="1"/>
      <c r="V176" s="1"/>
      <c r="W176" s="1"/>
      <c r="X176" s="1"/>
      <c r="Y176" s="1"/>
      <c r="Z176" s="1"/>
      <c r="AA176" s="1"/>
      <c r="AB176" s="1"/>
      <c r="AC176" s="1"/>
      <c r="AD176" s="1"/>
      <c r="AE176" s="1"/>
      <c r="AF176" s="1"/>
      <c r="AG176" s="1"/>
      <c r="AH176" s="1"/>
    </row>
    <row r="177">
      <c r="A177" s="1"/>
      <c r="B177" s="1"/>
      <c r="C177" s="1"/>
      <c r="D177" s="1"/>
      <c r="E177" s="1"/>
      <c r="F177" s="1"/>
      <c r="G177" s="1"/>
      <c r="H177" s="1"/>
      <c r="I177" s="1"/>
      <c r="J177" s="5"/>
      <c r="K177" s="2"/>
      <c r="L177" s="1"/>
      <c r="M177" s="1"/>
      <c r="N177" s="1"/>
      <c r="O177" s="1"/>
      <c r="P177" s="1"/>
      <c r="Q177" s="1"/>
      <c r="R177" s="1"/>
      <c r="S177" s="1"/>
      <c r="T177" s="1"/>
      <c r="U177" s="1"/>
      <c r="V177" s="1"/>
      <c r="W177" s="1"/>
      <c r="X177" s="1"/>
      <c r="Y177" s="1"/>
      <c r="Z177" s="1"/>
      <c r="AA177" s="1"/>
      <c r="AB177" s="1"/>
      <c r="AC177" s="1"/>
      <c r="AD177" s="1"/>
      <c r="AE177" s="1"/>
      <c r="AF177" s="1"/>
      <c r="AG177" s="1"/>
      <c r="AH177" s="1"/>
    </row>
    <row r="178">
      <c r="A178" s="1"/>
      <c r="B178" s="1"/>
      <c r="C178" s="1"/>
      <c r="D178" s="1"/>
      <c r="E178" s="1"/>
      <c r="F178" s="1"/>
      <c r="G178" s="1"/>
      <c r="H178" s="1"/>
      <c r="I178" s="1"/>
      <c r="J178" s="5"/>
      <c r="K178" s="2"/>
      <c r="L178" s="1"/>
      <c r="M178" s="1"/>
      <c r="N178" s="1"/>
      <c r="O178" s="1"/>
      <c r="P178" s="1"/>
      <c r="Q178" s="1"/>
      <c r="R178" s="1"/>
      <c r="S178" s="1"/>
      <c r="T178" s="1"/>
      <c r="U178" s="1"/>
      <c r="V178" s="1"/>
      <c r="W178" s="1"/>
      <c r="X178" s="1"/>
      <c r="Y178" s="1"/>
      <c r="Z178" s="1"/>
      <c r="AA178" s="1"/>
      <c r="AB178" s="1"/>
      <c r="AC178" s="1"/>
      <c r="AD178" s="1"/>
      <c r="AE178" s="1"/>
      <c r="AF178" s="1"/>
      <c r="AG178" s="1"/>
      <c r="AH178" s="1"/>
    </row>
    <row r="179">
      <c r="A179" s="1"/>
      <c r="B179" s="1"/>
      <c r="C179" s="1"/>
      <c r="D179" s="1"/>
      <c r="E179" s="1"/>
      <c r="F179" s="1"/>
      <c r="G179" s="1"/>
      <c r="H179" s="1"/>
      <c r="I179" s="1"/>
      <c r="J179" s="5"/>
      <c r="K179" s="2"/>
      <c r="L179" s="1"/>
      <c r="M179" s="1"/>
      <c r="N179" s="1"/>
      <c r="O179" s="1"/>
      <c r="P179" s="1"/>
      <c r="Q179" s="1"/>
      <c r="R179" s="1"/>
      <c r="S179" s="1"/>
      <c r="T179" s="1"/>
      <c r="U179" s="1"/>
      <c r="V179" s="1"/>
      <c r="W179" s="1"/>
      <c r="X179" s="1"/>
      <c r="Y179" s="1"/>
      <c r="Z179" s="1"/>
      <c r="AA179" s="1"/>
      <c r="AB179" s="1"/>
      <c r="AC179" s="1"/>
      <c r="AD179" s="1"/>
      <c r="AE179" s="1"/>
      <c r="AF179" s="1"/>
      <c r="AG179" s="1"/>
      <c r="AH179" s="1"/>
    </row>
    <row r="180">
      <c r="A180" s="1"/>
      <c r="B180" s="1"/>
      <c r="C180" s="1"/>
      <c r="D180" s="1"/>
      <c r="E180" s="1"/>
      <c r="F180" s="1"/>
      <c r="G180" s="1"/>
      <c r="H180" s="1"/>
      <c r="I180" s="1"/>
      <c r="J180" s="5"/>
      <c r="K180" s="2"/>
      <c r="L180" s="1"/>
      <c r="M180" s="1"/>
      <c r="N180" s="1"/>
      <c r="O180" s="1"/>
      <c r="P180" s="1"/>
      <c r="Q180" s="1"/>
      <c r="R180" s="1"/>
      <c r="S180" s="1"/>
      <c r="T180" s="1"/>
      <c r="U180" s="1"/>
      <c r="V180" s="1"/>
      <c r="W180" s="1"/>
      <c r="X180" s="1"/>
      <c r="Y180" s="1"/>
      <c r="Z180" s="1"/>
      <c r="AA180" s="1"/>
      <c r="AB180" s="1"/>
      <c r="AC180" s="1"/>
      <c r="AD180" s="1"/>
      <c r="AE180" s="1"/>
      <c r="AF180" s="1"/>
      <c r="AG180" s="1"/>
      <c r="AH180" s="1"/>
    </row>
    <row r="181">
      <c r="A181" s="1"/>
      <c r="B181" s="1"/>
      <c r="C181" s="1"/>
      <c r="D181" s="1"/>
      <c r="E181" s="1"/>
      <c r="F181" s="1"/>
      <c r="G181" s="1"/>
      <c r="H181" s="1"/>
      <c r="I181" s="1"/>
      <c r="J181" s="5"/>
      <c r="K181" s="2"/>
      <c r="L181" s="1"/>
      <c r="M181" s="1"/>
      <c r="N181" s="1"/>
      <c r="O181" s="1"/>
      <c r="P181" s="1"/>
      <c r="Q181" s="1"/>
      <c r="R181" s="1"/>
      <c r="S181" s="1"/>
      <c r="T181" s="1"/>
      <c r="U181" s="1"/>
      <c r="V181" s="1"/>
      <c r="W181" s="1"/>
      <c r="X181" s="1"/>
      <c r="Y181" s="1"/>
      <c r="Z181" s="1"/>
      <c r="AA181" s="1"/>
      <c r="AB181" s="1"/>
      <c r="AC181" s="1"/>
      <c r="AD181" s="1"/>
      <c r="AE181" s="1"/>
      <c r="AF181" s="1"/>
      <c r="AG181" s="1"/>
      <c r="AH181" s="1"/>
    </row>
    <row r="182">
      <c r="A182" s="1"/>
      <c r="B182" s="1"/>
      <c r="C182" s="1"/>
      <c r="D182" s="1"/>
      <c r="E182" s="1"/>
      <c r="F182" s="1"/>
      <c r="G182" s="1"/>
      <c r="H182" s="1"/>
      <c r="I182" s="1"/>
      <c r="J182" s="5"/>
      <c r="K182" s="2"/>
      <c r="L182" s="1"/>
      <c r="M182" s="1"/>
      <c r="N182" s="1"/>
      <c r="O182" s="1"/>
      <c r="P182" s="1"/>
      <c r="Q182" s="1"/>
      <c r="R182" s="1"/>
      <c r="S182" s="1"/>
      <c r="T182" s="1"/>
      <c r="U182" s="1"/>
      <c r="V182" s="1"/>
      <c r="W182" s="1"/>
      <c r="X182" s="1"/>
      <c r="Y182" s="1"/>
      <c r="Z182" s="1"/>
      <c r="AA182" s="1"/>
      <c r="AB182" s="1"/>
      <c r="AC182" s="1"/>
      <c r="AD182" s="1"/>
      <c r="AE182" s="1"/>
      <c r="AF182" s="1"/>
      <c r="AG182" s="1"/>
      <c r="AH182" s="1"/>
    </row>
    <row r="183">
      <c r="A183" s="1"/>
      <c r="B183" s="1"/>
      <c r="C183" s="1"/>
      <c r="D183" s="1"/>
      <c r="E183" s="1"/>
      <c r="F183" s="1"/>
      <c r="G183" s="1"/>
      <c r="H183" s="1"/>
      <c r="I183" s="1"/>
      <c r="J183" s="5"/>
      <c r="K183" s="2"/>
      <c r="L183" s="1"/>
      <c r="M183" s="1"/>
      <c r="N183" s="1"/>
      <c r="O183" s="1"/>
      <c r="P183" s="1"/>
      <c r="Q183" s="1"/>
      <c r="R183" s="1"/>
      <c r="S183" s="1"/>
      <c r="T183" s="1"/>
      <c r="U183" s="1"/>
      <c r="V183" s="1"/>
      <c r="W183" s="1"/>
      <c r="X183" s="1"/>
      <c r="Y183" s="1"/>
      <c r="Z183" s="1"/>
      <c r="AA183" s="1"/>
      <c r="AB183" s="1"/>
      <c r="AC183" s="1"/>
      <c r="AD183" s="1"/>
      <c r="AE183" s="1"/>
      <c r="AF183" s="1"/>
      <c r="AG183" s="1"/>
      <c r="AH183" s="1"/>
    </row>
    <row r="184">
      <c r="A184" s="1"/>
      <c r="B184" s="1"/>
      <c r="C184" s="1"/>
      <c r="D184" s="1"/>
      <c r="E184" s="1"/>
      <c r="F184" s="1"/>
      <c r="G184" s="1"/>
      <c r="H184" s="1"/>
      <c r="I184" s="1"/>
      <c r="J184" s="5"/>
      <c r="K184" s="2"/>
      <c r="L184" s="1"/>
      <c r="M184" s="1"/>
      <c r="N184" s="1"/>
      <c r="O184" s="1"/>
      <c r="P184" s="1"/>
      <c r="Q184" s="1"/>
      <c r="R184" s="1"/>
      <c r="S184" s="1"/>
      <c r="T184" s="1"/>
      <c r="U184" s="1"/>
      <c r="V184" s="1"/>
      <c r="W184" s="1"/>
      <c r="X184" s="1"/>
      <c r="Y184" s="1"/>
      <c r="Z184" s="1"/>
      <c r="AA184" s="1"/>
      <c r="AB184" s="1"/>
      <c r="AC184" s="1"/>
      <c r="AD184" s="1"/>
      <c r="AE184" s="1"/>
      <c r="AF184" s="1"/>
      <c r="AG184" s="1"/>
      <c r="AH184" s="1"/>
    </row>
    <row r="185">
      <c r="A185" s="1"/>
      <c r="B185" s="1"/>
      <c r="C185" s="1"/>
      <c r="D185" s="1"/>
      <c r="E185" s="1"/>
      <c r="F185" s="1"/>
      <c r="G185" s="1"/>
      <c r="H185" s="1"/>
      <c r="I185" s="1"/>
      <c r="J185" s="5"/>
      <c r="K185" s="2"/>
      <c r="L185" s="1"/>
      <c r="M185" s="1"/>
      <c r="N185" s="1"/>
      <c r="O185" s="1"/>
      <c r="P185" s="1"/>
      <c r="Q185" s="1"/>
      <c r="R185" s="1"/>
      <c r="S185" s="1"/>
      <c r="T185" s="1"/>
      <c r="U185" s="1"/>
      <c r="V185" s="1"/>
      <c r="W185" s="1"/>
      <c r="X185" s="1"/>
      <c r="Y185" s="1"/>
      <c r="Z185" s="1"/>
      <c r="AA185" s="1"/>
      <c r="AB185" s="1"/>
      <c r="AC185" s="1"/>
      <c r="AD185" s="1"/>
      <c r="AE185" s="1"/>
      <c r="AF185" s="1"/>
      <c r="AG185" s="1"/>
      <c r="AH185" s="1"/>
    </row>
    <row r="186">
      <c r="A186" s="1"/>
      <c r="B186" s="1"/>
      <c r="C186" s="1"/>
      <c r="D186" s="1"/>
      <c r="E186" s="1"/>
      <c r="F186" s="1"/>
      <c r="G186" s="1"/>
      <c r="H186" s="1"/>
      <c r="I186" s="1"/>
      <c r="J186" s="5"/>
      <c r="K186" s="2"/>
      <c r="L186" s="1"/>
      <c r="M186" s="1"/>
      <c r="N186" s="1"/>
      <c r="O186" s="1"/>
      <c r="P186" s="1"/>
      <c r="Q186" s="1"/>
      <c r="R186" s="1"/>
      <c r="S186" s="1"/>
      <c r="T186" s="1"/>
      <c r="U186" s="1"/>
      <c r="V186" s="1"/>
      <c r="W186" s="1"/>
      <c r="X186" s="1"/>
      <c r="Y186" s="1"/>
      <c r="Z186" s="1"/>
      <c r="AA186" s="1"/>
      <c r="AB186" s="1"/>
      <c r="AC186" s="1"/>
      <c r="AD186" s="1"/>
      <c r="AE186" s="1"/>
      <c r="AF186" s="1"/>
      <c r="AG186" s="1"/>
      <c r="AH186" s="1"/>
    </row>
    <row r="187">
      <c r="A187" s="1"/>
      <c r="B187" s="1"/>
      <c r="C187" s="1"/>
      <c r="D187" s="1"/>
      <c r="E187" s="1"/>
      <c r="F187" s="1"/>
      <c r="G187" s="1"/>
      <c r="H187" s="1"/>
      <c r="I187" s="1"/>
      <c r="J187" s="5"/>
      <c r="K187" s="2"/>
      <c r="L187" s="1"/>
      <c r="M187" s="1"/>
      <c r="N187" s="1"/>
      <c r="O187" s="1"/>
      <c r="P187" s="1"/>
      <c r="Q187" s="1"/>
      <c r="R187" s="1"/>
      <c r="S187" s="1"/>
      <c r="T187" s="1"/>
      <c r="U187" s="1"/>
      <c r="V187" s="1"/>
      <c r="W187" s="1"/>
      <c r="X187" s="1"/>
      <c r="Y187" s="1"/>
      <c r="Z187" s="1"/>
      <c r="AA187" s="1"/>
      <c r="AB187" s="1"/>
      <c r="AC187" s="1"/>
      <c r="AD187" s="1"/>
      <c r="AE187" s="1"/>
      <c r="AF187" s="1"/>
      <c r="AG187" s="1"/>
      <c r="AH187" s="1"/>
    </row>
    <row r="188">
      <c r="A188" s="1"/>
      <c r="B188" s="1"/>
      <c r="C188" s="1"/>
      <c r="D188" s="1"/>
      <c r="E188" s="1"/>
      <c r="F188" s="1"/>
      <c r="G188" s="1"/>
      <c r="H188" s="1"/>
      <c r="I188" s="1"/>
      <c r="J188" s="5"/>
      <c r="K188" s="2"/>
      <c r="L188" s="1"/>
      <c r="M188" s="1"/>
      <c r="N188" s="1"/>
      <c r="O188" s="1"/>
      <c r="P188" s="1"/>
      <c r="Q188" s="1"/>
      <c r="R188" s="1"/>
      <c r="S188" s="1"/>
      <c r="T188" s="1"/>
      <c r="U188" s="1"/>
      <c r="V188" s="1"/>
      <c r="W188" s="1"/>
      <c r="X188" s="1"/>
      <c r="Y188" s="1"/>
      <c r="Z188" s="1"/>
      <c r="AA188" s="1"/>
      <c r="AB188" s="1"/>
      <c r="AC188" s="1"/>
      <c r="AD188" s="1"/>
      <c r="AE188" s="1"/>
      <c r="AF188" s="1"/>
      <c r="AG188" s="1"/>
      <c r="AH188" s="1"/>
    </row>
    <row r="189">
      <c r="A189" s="1"/>
      <c r="B189" s="1"/>
      <c r="C189" s="1"/>
      <c r="D189" s="1"/>
      <c r="E189" s="1"/>
      <c r="F189" s="1"/>
      <c r="G189" s="1"/>
      <c r="H189" s="1"/>
      <c r="I189" s="1"/>
      <c r="J189" s="5"/>
      <c r="K189" s="2"/>
      <c r="L189" s="1"/>
      <c r="M189" s="1"/>
      <c r="N189" s="1"/>
      <c r="O189" s="1"/>
      <c r="P189" s="1"/>
      <c r="Q189" s="1"/>
      <c r="R189" s="1"/>
      <c r="S189" s="1"/>
      <c r="T189" s="1"/>
      <c r="U189" s="1"/>
      <c r="V189" s="1"/>
      <c r="W189" s="1"/>
      <c r="X189" s="1"/>
      <c r="Y189" s="1"/>
      <c r="Z189" s="1"/>
      <c r="AA189" s="1"/>
      <c r="AB189" s="1"/>
      <c r="AC189" s="1"/>
      <c r="AD189" s="1"/>
      <c r="AE189" s="1"/>
      <c r="AF189" s="1"/>
      <c r="AG189" s="1"/>
      <c r="AH189" s="1"/>
    </row>
    <row r="190">
      <c r="A190" s="1"/>
      <c r="B190" s="1"/>
      <c r="C190" s="1"/>
      <c r="D190" s="1"/>
      <c r="E190" s="1"/>
      <c r="F190" s="1"/>
      <c r="G190" s="1"/>
      <c r="H190" s="1"/>
      <c r="I190" s="1"/>
      <c r="J190" s="5"/>
      <c r="K190" s="2"/>
      <c r="L190" s="1"/>
      <c r="M190" s="1"/>
      <c r="N190" s="1"/>
      <c r="O190" s="1"/>
      <c r="P190" s="1"/>
      <c r="Q190" s="1"/>
      <c r="R190" s="1"/>
      <c r="S190" s="1"/>
      <c r="T190" s="1"/>
      <c r="U190" s="1"/>
      <c r="V190" s="1"/>
      <c r="W190" s="1"/>
      <c r="X190" s="1"/>
      <c r="Y190" s="1"/>
      <c r="Z190" s="1"/>
      <c r="AA190" s="1"/>
      <c r="AB190" s="1"/>
      <c r="AC190" s="1"/>
      <c r="AD190" s="1"/>
      <c r="AE190" s="1"/>
      <c r="AF190" s="1"/>
      <c r="AG190" s="1"/>
      <c r="AH190" s="1"/>
    </row>
    <row r="191">
      <c r="A191" s="1"/>
      <c r="B191" s="1"/>
      <c r="C191" s="1"/>
      <c r="D191" s="1"/>
      <c r="E191" s="1"/>
      <c r="F191" s="1"/>
      <c r="G191" s="1"/>
      <c r="H191" s="1"/>
      <c r="I191" s="1"/>
      <c r="J191" s="5"/>
      <c r="K191" s="2"/>
      <c r="L191" s="1"/>
      <c r="M191" s="1"/>
      <c r="N191" s="1"/>
      <c r="O191" s="1"/>
      <c r="P191" s="1"/>
      <c r="Q191" s="1"/>
      <c r="R191" s="1"/>
      <c r="S191" s="1"/>
      <c r="T191" s="1"/>
      <c r="U191" s="1"/>
      <c r="V191" s="1"/>
      <c r="W191" s="1"/>
      <c r="X191" s="1"/>
      <c r="Y191" s="1"/>
      <c r="Z191" s="1"/>
      <c r="AA191" s="1"/>
      <c r="AB191" s="1"/>
      <c r="AC191" s="1"/>
      <c r="AD191" s="1"/>
      <c r="AE191" s="1"/>
      <c r="AF191" s="1"/>
      <c r="AG191" s="1"/>
      <c r="AH191" s="1"/>
    </row>
    <row r="192">
      <c r="A192" s="1"/>
      <c r="B192" s="1"/>
      <c r="C192" s="1"/>
      <c r="D192" s="1"/>
      <c r="E192" s="1"/>
      <c r="F192" s="1"/>
      <c r="G192" s="1"/>
      <c r="H192" s="1"/>
      <c r="I192" s="1"/>
      <c r="J192" s="5"/>
      <c r="K192" s="2"/>
      <c r="L192" s="1"/>
      <c r="M192" s="1"/>
      <c r="N192" s="1"/>
      <c r="O192" s="1"/>
      <c r="P192" s="1"/>
      <c r="Q192" s="1"/>
      <c r="R192" s="1"/>
      <c r="S192" s="1"/>
      <c r="T192" s="1"/>
      <c r="U192" s="1"/>
      <c r="V192" s="1"/>
      <c r="W192" s="1"/>
      <c r="X192" s="1"/>
      <c r="Y192" s="1"/>
      <c r="Z192" s="1"/>
      <c r="AA192" s="1"/>
      <c r="AB192" s="1"/>
      <c r="AC192" s="1"/>
      <c r="AD192" s="1"/>
      <c r="AE192" s="1"/>
      <c r="AF192" s="1"/>
      <c r="AG192" s="1"/>
      <c r="AH192" s="1"/>
    </row>
    <row r="193">
      <c r="A193" s="1"/>
      <c r="B193" s="1"/>
      <c r="C193" s="1"/>
      <c r="D193" s="1"/>
      <c r="E193" s="1"/>
      <c r="F193" s="1"/>
      <c r="G193" s="1"/>
      <c r="H193" s="1"/>
      <c r="I193" s="1"/>
      <c r="J193" s="5"/>
      <c r="K193" s="2"/>
      <c r="L193" s="1"/>
      <c r="M193" s="1"/>
      <c r="N193" s="1"/>
      <c r="O193" s="1"/>
      <c r="P193" s="1"/>
      <c r="Q193" s="1"/>
      <c r="R193" s="1"/>
      <c r="S193" s="1"/>
      <c r="T193" s="1"/>
      <c r="U193" s="1"/>
      <c r="V193" s="1"/>
      <c r="W193" s="1"/>
      <c r="X193" s="1"/>
      <c r="Y193" s="1"/>
      <c r="Z193" s="1"/>
      <c r="AA193" s="1"/>
      <c r="AB193" s="1"/>
      <c r="AC193" s="1"/>
      <c r="AD193" s="1"/>
      <c r="AE193" s="1"/>
      <c r="AF193" s="1"/>
      <c r="AG193" s="1"/>
      <c r="AH193" s="1"/>
    </row>
    <row r="194">
      <c r="A194" s="1"/>
      <c r="B194" s="1"/>
      <c r="C194" s="1"/>
      <c r="D194" s="1"/>
      <c r="E194" s="1"/>
      <c r="F194" s="1"/>
      <c r="G194" s="1"/>
      <c r="H194" s="1"/>
      <c r="I194" s="1"/>
      <c r="J194" s="5"/>
      <c r="K194" s="2"/>
      <c r="L194" s="1"/>
      <c r="M194" s="1"/>
      <c r="N194" s="1"/>
      <c r="O194" s="1"/>
      <c r="P194" s="1"/>
      <c r="Q194" s="1"/>
      <c r="R194" s="1"/>
      <c r="S194" s="1"/>
      <c r="T194" s="1"/>
      <c r="U194" s="1"/>
      <c r="V194" s="1"/>
      <c r="W194" s="1"/>
      <c r="X194" s="1"/>
      <c r="Y194" s="1"/>
      <c r="Z194" s="1"/>
      <c r="AA194" s="1"/>
      <c r="AB194" s="1"/>
      <c r="AC194" s="1"/>
      <c r="AD194" s="1"/>
      <c r="AE194" s="1"/>
      <c r="AF194" s="1"/>
      <c r="AG194" s="1"/>
      <c r="AH194" s="1"/>
    </row>
    <row r="195">
      <c r="A195" s="1"/>
      <c r="B195" s="1"/>
      <c r="C195" s="1"/>
      <c r="D195" s="1"/>
      <c r="E195" s="1"/>
      <c r="F195" s="1"/>
      <c r="G195" s="1"/>
      <c r="H195" s="1"/>
      <c r="I195" s="1"/>
      <c r="J195" s="5"/>
      <c r="K195" s="2"/>
      <c r="L195" s="1"/>
      <c r="M195" s="1"/>
      <c r="N195" s="1"/>
      <c r="O195" s="1"/>
      <c r="P195" s="1"/>
      <c r="Q195" s="1"/>
      <c r="R195" s="1"/>
      <c r="S195" s="1"/>
      <c r="T195" s="1"/>
      <c r="U195" s="1"/>
      <c r="V195" s="1"/>
      <c r="W195" s="1"/>
      <c r="X195" s="1"/>
      <c r="Y195" s="1"/>
      <c r="Z195" s="1"/>
      <c r="AA195" s="1"/>
      <c r="AB195" s="1"/>
      <c r="AC195" s="1"/>
      <c r="AD195" s="1"/>
      <c r="AE195" s="1"/>
      <c r="AF195" s="1"/>
      <c r="AG195" s="1"/>
      <c r="AH195" s="1"/>
    </row>
    <row r="196">
      <c r="A196" s="1"/>
      <c r="B196" s="1"/>
      <c r="C196" s="1"/>
      <c r="D196" s="1"/>
      <c r="E196" s="1"/>
      <c r="F196" s="1"/>
      <c r="G196" s="1"/>
      <c r="H196" s="1"/>
      <c r="I196" s="1"/>
      <c r="J196" s="5"/>
      <c r="K196" s="2"/>
      <c r="L196" s="1"/>
      <c r="M196" s="1"/>
      <c r="N196" s="1"/>
      <c r="O196" s="1"/>
      <c r="P196" s="1"/>
      <c r="Q196" s="1"/>
      <c r="R196" s="1"/>
      <c r="S196" s="1"/>
      <c r="T196" s="1"/>
      <c r="U196" s="1"/>
      <c r="V196" s="1"/>
      <c r="W196" s="1"/>
      <c r="X196" s="1"/>
      <c r="Y196" s="1"/>
      <c r="Z196" s="1"/>
      <c r="AA196" s="1"/>
      <c r="AB196" s="1"/>
      <c r="AC196" s="1"/>
      <c r="AD196" s="1"/>
      <c r="AE196" s="1"/>
      <c r="AF196" s="1"/>
      <c r="AG196" s="1"/>
      <c r="AH196" s="1"/>
    </row>
    <row r="197">
      <c r="A197" s="1"/>
      <c r="B197" s="1"/>
      <c r="C197" s="1"/>
      <c r="D197" s="1"/>
      <c r="E197" s="1"/>
      <c r="F197" s="1"/>
      <c r="G197" s="1"/>
      <c r="H197" s="1"/>
      <c r="I197" s="1"/>
      <c r="J197" s="5"/>
      <c r="K197" s="2"/>
      <c r="L197" s="1"/>
      <c r="M197" s="1"/>
      <c r="N197" s="1"/>
      <c r="O197" s="1"/>
      <c r="P197" s="1"/>
      <c r="Q197" s="1"/>
      <c r="R197" s="1"/>
      <c r="S197" s="1"/>
      <c r="T197" s="1"/>
      <c r="U197" s="1"/>
      <c r="V197" s="1"/>
      <c r="W197" s="1"/>
      <c r="X197" s="1"/>
      <c r="Y197" s="1"/>
      <c r="Z197" s="1"/>
      <c r="AA197" s="1"/>
      <c r="AB197" s="1"/>
      <c r="AC197" s="1"/>
      <c r="AD197" s="1"/>
      <c r="AE197" s="1"/>
      <c r="AF197" s="1"/>
      <c r="AG197" s="1"/>
      <c r="AH197" s="1"/>
    </row>
    <row r="198">
      <c r="A198" s="1"/>
      <c r="B198" s="1"/>
      <c r="C198" s="1"/>
      <c r="D198" s="1"/>
      <c r="E198" s="1"/>
      <c r="F198" s="1"/>
      <c r="G198" s="1"/>
      <c r="H198" s="1"/>
      <c r="I198" s="1"/>
      <c r="J198" s="5"/>
      <c r="K198" s="2"/>
      <c r="L198" s="1"/>
      <c r="M198" s="1"/>
      <c r="N198" s="1"/>
      <c r="O198" s="1"/>
      <c r="P198" s="1"/>
      <c r="Q198" s="1"/>
      <c r="R198" s="1"/>
      <c r="S198" s="1"/>
      <c r="T198" s="1"/>
      <c r="U198" s="1"/>
      <c r="V198" s="1"/>
      <c r="W198" s="1"/>
      <c r="X198" s="1"/>
      <c r="Y198" s="1"/>
      <c r="Z198" s="1"/>
      <c r="AA198" s="1"/>
      <c r="AB198" s="1"/>
      <c r="AC198" s="1"/>
      <c r="AD198" s="1"/>
      <c r="AE198" s="1"/>
      <c r="AF198" s="1"/>
      <c r="AG198" s="1"/>
      <c r="AH198" s="1"/>
    </row>
    <row r="199">
      <c r="A199" s="1"/>
      <c r="B199" s="1"/>
      <c r="C199" s="1"/>
      <c r="D199" s="1"/>
      <c r="E199" s="1"/>
      <c r="F199" s="1"/>
      <c r="G199" s="1"/>
      <c r="H199" s="1"/>
      <c r="I199" s="1"/>
      <c r="J199" s="5"/>
      <c r="K199" s="2"/>
      <c r="L199" s="1"/>
      <c r="M199" s="1"/>
      <c r="N199" s="1"/>
      <c r="O199" s="1"/>
      <c r="P199" s="1"/>
      <c r="Q199" s="1"/>
      <c r="R199" s="1"/>
      <c r="S199" s="1"/>
      <c r="T199" s="1"/>
      <c r="U199" s="1"/>
      <c r="V199" s="1"/>
      <c r="W199" s="1"/>
      <c r="X199" s="1"/>
      <c r="Y199" s="1"/>
      <c r="Z199" s="1"/>
      <c r="AA199" s="1"/>
      <c r="AB199" s="1"/>
      <c r="AC199" s="1"/>
      <c r="AD199" s="1"/>
      <c r="AE199" s="1"/>
      <c r="AF199" s="1"/>
      <c r="AG199" s="1"/>
      <c r="AH199" s="1"/>
    </row>
    <row r="200">
      <c r="A200" s="1"/>
      <c r="B200" s="1"/>
      <c r="C200" s="1"/>
      <c r="D200" s="1"/>
      <c r="E200" s="1"/>
      <c r="F200" s="1"/>
      <c r="G200" s="1"/>
      <c r="H200" s="1"/>
      <c r="I200" s="1"/>
      <c r="J200" s="5"/>
      <c r="K200" s="2"/>
      <c r="L200" s="1"/>
      <c r="M200" s="1"/>
      <c r="N200" s="1"/>
      <c r="O200" s="1"/>
      <c r="P200" s="1"/>
      <c r="Q200" s="1"/>
      <c r="R200" s="1"/>
      <c r="S200" s="1"/>
      <c r="T200" s="1"/>
      <c r="U200" s="1"/>
      <c r="V200" s="1"/>
      <c r="W200" s="1"/>
      <c r="X200" s="1"/>
      <c r="Y200" s="1"/>
      <c r="Z200" s="1"/>
      <c r="AA200" s="1"/>
      <c r="AB200" s="1"/>
      <c r="AC200" s="1"/>
      <c r="AD200" s="1"/>
      <c r="AE200" s="1"/>
      <c r="AF200" s="1"/>
      <c r="AG200" s="1"/>
      <c r="AH200" s="1"/>
    </row>
    <row r="201">
      <c r="A201" s="1"/>
      <c r="B201" s="1"/>
      <c r="C201" s="1"/>
      <c r="D201" s="1"/>
      <c r="E201" s="1"/>
      <c r="F201" s="1"/>
      <c r="G201" s="1"/>
      <c r="H201" s="1"/>
      <c r="I201" s="1"/>
      <c r="J201" s="5"/>
      <c r="K201" s="2"/>
      <c r="L201" s="1"/>
      <c r="M201" s="1"/>
      <c r="N201" s="1"/>
      <c r="O201" s="1"/>
      <c r="P201" s="1"/>
      <c r="Q201" s="1"/>
      <c r="R201" s="1"/>
      <c r="S201" s="1"/>
      <c r="T201" s="1"/>
      <c r="U201" s="1"/>
      <c r="V201" s="1"/>
      <c r="W201" s="1"/>
      <c r="X201" s="1"/>
      <c r="Y201" s="1"/>
      <c r="Z201" s="1"/>
      <c r="AA201" s="1"/>
      <c r="AB201" s="1"/>
      <c r="AC201" s="1"/>
      <c r="AD201" s="1"/>
      <c r="AE201" s="1"/>
      <c r="AF201" s="1"/>
      <c r="AG201" s="1"/>
      <c r="AH201" s="1"/>
    </row>
    <row r="202">
      <c r="A202" s="1"/>
      <c r="B202" s="1"/>
      <c r="C202" s="1"/>
      <c r="D202" s="1"/>
      <c r="E202" s="1"/>
      <c r="F202" s="1"/>
      <c r="G202" s="1"/>
      <c r="H202" s="1"/>
      <c r="I202" s="1"/>
      <c r="J202" s="5"/>
      <c r="K202" s="2"/>
      <c r="L202" s="1"/>
      <c r="M202" s="1"/>
      <c r="N202" s="1"/>
      <c r="O202" s="1"/>
      <c r="P202" s="1"/>
      <c r="Q202" s="1"/>
      <c r="R202" s="1"/>
      <c r="S202" s="1"/>
      <c r="T202" s="1"/>
      <c r="U202" s="1"/>
      <c r="V202" s="1"/>
      <c r="W202" s="1"/>
      <c r="X202" s="1"/>
      <c r="Y202" s="1"/>
      <c r="Z202" s="1"/>
      <c r="AA202" s="1"/>
      <c r="AB202" s="1"/>
      <c r="AC202" s="1"/>
      <c r="AD202" s="1"/>
      <c r="AE202" s="1"/>
      <c r="AF202" s="1"/>
      <c r="AG202" s="1"/>
      <c r="AH202" s="1"/>
    </row>
    <row r="203">
      <c r="A203" s="1"/>
      <c r="B203" s="1"/>
      <c r="C203" s="1"/>
      <c r="D203" s="1"/>
      <c r="E203" s="1"/>
      <c r="F203" s="1"/>
      <c r="G203" s="1"/>
      <c r="H203" s="1"/>
      <c r="I203" s="1"/>
      <c r="J203" s="5"/>
      <c r="K203" s="2"/>
      <c r="L203" s="1"/>
      <c r="M203" s="1"/>
      <c r="N203" s="1"/>
      <c r="O203" s="1"/>
      <c r="P203" s="1"/>
      <c r="Q203" s="1"/>
      <c r="R203" s="1"/>
      <c r="S203" s="1"/>
      <c r="T203" s="1"/>
      <c r="U203" s="1"/>
      <c r="V203" s="1"/>
      <c r="W203" s="1"/>
      <c r="X203" s="1"/>
      <c r="Y203" s="1"/>
      <c r="Z203" s="1"/>
      <c r="AA203" s="1"/>
      <c r="AB203" s="1"/>
      <c r="AC203" s="1"/>
      <c r="AD203" s="1"/>
      <c r="AE203" s="1"/>
      <c r="AF203" s="1"/>
      <c r="AG203" s="1"/>
      <c r="AH203" s="1"/>
    </row>
    <row r="204">
      <c r="A204" s="1"/>
      <c r="B204" s="1"/>
      <c r="C204" s="1"/>
      <c r="D204" s="1"/>
      <c r="E204" s="1"/>
      <c r="F204" s="1"/>
      <c r="G204" s="1"/>
      <c r="H204" s="1"/>
      <c r="I204" s="1"/>
      <c r="J204" s="5"/>
      <c r="K204" s="2"/>
      <c r="L204" s="1"/>
      <c r="M204" s="1"/>
      <c r="N204" s="1"/>
      <c r="O204" s="1"/>
      <c r="P204" s="1"/>
      <c r="Q204" s="1"/>
      <c r="R204" s="1"/>
      <c r="S204" s="1"/>
      <c r="T204" s="1"/>
      <c r="U204" s="1"/>
      <c r="V204" s="1"/>
      <c r="W204" s="1"/>
      <c r="X204" s="1"/>
      <c r="Y204" s="1"/>
      <c r="Z204" s="1"/>
      <c r="AA204" s="1"/>
      <c r="AB204" s="1"/>
      <c r="AC204" s="1"/>
      <c r="AD204" s="1"/>
      <c r="AE204" s="1"/>
      <c r="AF204" s="1"/>
      <c r="AG204" s="1"/>
      <c r="AH204" s="1"/>
    </row>
    <row r="205">
      <c r="A205" s="1"/>
      <c r="B205" s="1"/>
      <c r="C205" s="1"/>
      <c r="D205" s="1"/>
      <c r="E205" s="1"/>
      <c r="F205" s="1"/>
      <c r="G205" s="1"/>
      <c r="H205" s="1"/>
      <c r="I205" s="1"/>
      <c r="J205" s="5"/>
      <c r="K205" s="2"/>
      <c r="L205" s="1"/>
      <c r="M205" s="1"/>
      <c r="N205" s="1"/>
      <c r="O205" s="1"/>
      <c r="P205" s="1"/>
      <c r="Q205" s="1"/>
      <c r="R205" s="1"/>
      <c r="S205" s="1"/>
      <c r="T205" s="1"/>
      <c r="U205" s="1"/>
      <c r="V205" s="1"/>
      <c r="W205" s="1"/>
      <c r="X205" s="1"/>
      <c r="Y205" s="1"/>
      <c r="Z205" s="1"/>
      <c r="AA205" s="1"/>
      <c r="AB205" s="1"/>
      <c r="AC205" s="1"/>
      <c r="AD205" s="1"/>
      <c r="AE205" s="1"/>
      <c r="AF205" s="1"/>
      <c r="AG205" s="1"/>
      <c r="AH205" s="1"/>
    </row>
    <row r="206">
      <c r="A206" s="1"/>
      <c r="B206" s="1"/>
      <c r="C206" s="1"/>
      <c r="D206" s="1"/>
      <c r="E206" s="1"/>
      <c r="F206" s="1"/>
      <c r="G206" s="1"/>
      <c r="H206" s="1"/>
      <c r="I206" s="1"/>
      <c r="J206" s="5"/>
      <c r="K206" s="2"/>
      <c r="L206" s="1"/>
      <c r="M206" s="1"/>
      <c r="N206" s="1"/>
      <c r="O206" s="1"/>
      <c r="P206" s="1"/>
      <c r="Q206" s="1"/>
      <c r="R206" s="1"/>
      <c r="S206" s="1"/>
      <c r="T206" s="1"/>
      <c r="U206" s="1"/>
      <c r="V206" s="1"/>
      <c r="W206" s="1"/>
      <c r="X206" s="1"/>
      <c r="Y206" s="1"/>
      <c r="Z206" s="1"/>
      <c r="AA206" s="1"/>
      <c r="AB206" s="1"/>
      <c r="AC206" s="1"/>
      <c r="AD206" s="1"/>
      <c r="AE206" s="1"/>
      <c r="AF206" s="1"/>
      <c r="AG206" s="1"/>
      <c r="AH206" s="1"/>
    </row>
    <row r="207">
      <c r="A207" s="1"/>
      <c r="B207" s="1"/>
      <c r="C207" s="1"/>
      <c r="D207" s="1"/>
      <c r="E207" s="1"/>
      <c r="F207" s="1"/>
      <c r="G207" s="1"/>
      <c r="H207" s="1"/>
      <c r="I207" s="1"/>
      <c r="J207" s="5"/>
      <c r="K207" s="2"/>
      <c r="L207" s="1"/>
      <c r="M207" s="1"/>
      <c r="N207" s="1"/>
      <c r="O207" s="1"/>
      <c r="P207" s="1"/>
      <c r="Q207" s="1"/>
      <c r="R207" s="1"/>
      <c r="S207" s="1"/>
      <c r="T207" s="1"/>
      <c r="U207" s="1"/>
      <c r="V207" s="1"/>
      <c r="W207" s="1"/>
      <c r="X207" s="1"/>
      <c r="Y207" s="1"/>
      <c r="Z207" s="1"/>
      <c r="AA207" s="1"/>
      <c r="AB207" s="1"/>
      <c r="AC207" s="1"/>
      <c r="AD207" s="1"/>
      <c r="AE207" s="1"/>
      <c r="AF207" s="1"/>
      <c r="AG207" s="1"/>
      <c r="AH207" s="1"/>
    </row>
    <row r="208">
      <c r="A208" s="1"/>
      <c r="B208" s="1"/>
      <c r="C208" s="1"/>
      <c r="D208" s="1"/>
      <c r="E208" s="1"/>
      <c r="F208" s="1"/>
      <c r="G208" s="1"/>
      <c r="H208" s="1"/>
      <c r="I208" s="1"/>
      <c r="J208" s="5"/>
      <c r="K208" s="2"/>
      <c r="L208" s="1"/>
      <c r="M208" s="1"/>
      <c r="N208" s="1"/>
      <c r="O208" s="1"/>
      <c r="P208" s="1"/>
      <c r="Q208" s="1"/>
      <c r="R208" s="1"/>
      <c r="S208" s="1"/>
      <c r="T208" s="1"/>
      <c r="U208" s="1"/>
      <c r="V208" s="1"/>
      <c r="W208" s="1"/>
      <c r="X208" s="1"/>
      <c r="Y208" s="1"/>
      <c r="Z208" s="1"/>
      <c r="AA208" s="1"/>
      <c r="AB208" s="1"/>
      <c r="AC208" s="1"/>
      <c r="AD208" s="1"/>
      <c r="AE208" s="1"/>
      <c r="AF208" s="1"/>
      <c r="AG208" s="1"/>
      <c r="AH208" s="1"/>
    </row>
    <row r="209">
      <c r="A209" s="1"/>
      <c r="B209" s="1"/>
      <c r="C209" s="1"/>
      <c r="D209" s="1"/>
      <c r="E209" s="1"/>
      <c r="F209" s="1"/>
      <c r="G209" s="1"/>
      <c r="H209" s="1"/>
      <c r="I209" s="1"/>
      <c r="J209" s="5"/>
      <c r="K209" s="2"/>
      <c r="L209" s="1"/>
      <c r="M209" s="1"/>
      <c r="N209" s="1"/>
      <c r="O209" s="1"/>
      <c r="P209" s="1"/>
      <c r="Q209" s="1"/>
      <c r="R209" s="1"/>
      <c r="S209" s="1"/>
      <c r="T209" s="1"/>
      <c r="U209" s="1"/>
      <c r="V209" s="1"/>
      <c r="W209" s="1"/>
      <c r="X209" s="1"/>
      <c r="Y209" s="1"/>
      <c r="Z209" s="1"/>
      <c r="AA209" s="1"/>
      <c r="AB209" s="1"/>
      <c r="AC209" s="1"/>
      <c r="AD209" s="1"/>
      <c r="AE209" s="1"/>
      <c r="AF209" s="1"/>
      <c r="AG209" s="1"/>
      <c r="AH209" s="1"/>
    </row>
    <row r="210">
      <c r="A210" s="1"/>
      <c r="B210" s="1"/>
      <c r="C210" s="1"/>
      <c r="D210" s="1"/>
      <c r="E210" s="1"/>
      <c r="F210" s="1"/>
      <c r="G210" s="1"/>
      <c r="H210" s="1"/>
      <c r="I210" s="1"/>
      <c r="J210" s="5"/>
      <c r="K210" s="2"/>
      <c r="L210" s="1"/>
      <c r="M210" s="1"/>
      <c r="N210" s="1"/>
      <c r="O210" s="1"/>
      <c r="P210" s="1"/>
      <c r="Q210" s="1"/>
      <c r="R210" s="1"/>
      <c r="S210" s="1"/>
      <c r="T210" s="1"/>
      <c r="U210" s="1"/>
      <c r="V210" s="1"/>
      <c r="W210" s="1"/>
      <c r="X210" s="1"/>
      <c r="Y210" s="1"/>
      <c r="Z210" s="1"/>
      <c r="AA210" s="1"/>
      <c r="AB210" s="1"/>
      <c r="AC210" s="1"/>
      <c r="AD210" s="1"/>
      <c r="AE210" s="1"/>
      <c r="AF210" s="1"/>
      <c r="AG210" s="1"/>
      <c r="AH210" s="1"/>
    </row>
    <row r="211">
      <c r="A211" s="1"/>
      <c r="B211" s="1"/>
      <c r="C211" s="1"/>
      <c r="D211" s="1"/>
      <c r="E211" s="1"/>
      <c r="F211" s="1"/>
      <c r="G211" s="1"/>
      <c r="H211" s="1"/>
      <c r="I211" s="1"/>
      <c r="J211" s="5"/>
      <c r="K211" s="2"/>
      <c r="L211" s="1"/>
      <c r="M211" s="1"/>
      <c r="N211" s="1"/>
      <c r="O211" s="1"/>
      <c r="P211" s="1"/>
      <c r="Q211" s="1"/>
      <c r="R211" s="1"/>
      <c r="S211" s="1"/>
      <c r="T211" s="1"/>
      <c r="U211" s="1"/>
      <c r="V211" s="1"/>
      <c r="W211" s="1"/>
      <c r="X211" s="1"/>
      <c r="Y211" s="1"/>
      <c r="Z211" s="1"/>
      <c r="AA211" s="1"/>
      <c r="AB211" s="1"/>
      <c r="AC211" s="1"/>
      <c r="AD211" s="1"/>
      <c r="AE211" s="1"/>
      <c r="AF211" s="1"/>
      <c r="AG211" s="1"/>
      <c r="AH211" s="1"/>
    </row>
    <row r="212">
      <c r="A212" s="1"/>
      <c r="B212" s="1"/>
      <c r="C212" s="1"/>
      <c r="D212" s="1"/>
      <c r="E212" s="1"/>
      <c r="F212" s="1"/>
      <c r="G212" s="1"/>
      <c r="H212" s="1"/>
      <c r="I212" s="1"/>
      <c r="J212" s="5"/>
      <c r="K212" s="2"/>
      <c r="L212" s="1"/>
      <c r="M212" s="1"/>
      <c r="N212" s="1"/>
      <c r="O212" s="1"/>
      <c r="P212" s="1"/>
      <c r="Q212" s="1"/>
      <c r="R212" s="1"/>
      <c r="S212" s="1"/>
      <c r="T212" s="1"/>
      <c r="U212" s="1"/>
      <c r="V212" s="1"/>
      <c r="W212" s="1"/>
      <c r="X212" s="1"/>
      <c r="Y212" s="1"/>
      <c r="Z212" s="1"/>
      <c r="AA212" s="1"/>
      <c r="AB212" s="1"/>
      <c r="AC212" s="1"/>
      <c r="AD212" s="1"/>
      <c r="AE212" s="1"/>
      <c r="AF212" s="1"/>
      <c r="AG212" s="1"/>
      <c r="AH212" s="1"/>
    </row>
    <row r="213">
      <c r="A213" s="1"/>
      <c r="B213" s="1"/>
      <c r="C213" s="1"/>
      <c r="D213" s="1"/>
      <c r="E213" s="1"/>
      <c r="F213" s="1"/>
      <c r="G213" s="1"/>
      <c r="H213" s="1"/>
      <c r="I213" s="1"/>
      <c r="J213" s="5"/>
      <c r="K213" s="2"/>
      <c r="L213" s="1"/>
      <c r="M213" s="1"/>
      <c r="N213" s="1"/>
      <c r="O213" s="1"/>
      <c r="P213" s="1"/>
      <c r="Q213" s="1"/>
      <c r="R213" s="1"/>
      <c r="S213" s="1"/>
      <c r="T213" s="1"/>
      <c r="U213" s="1"/>
      <c r="V213" s="1"/>
      <c r="W213" s="1"/>
      <c r="X213" s="1"/>
      <c r="Y213" s="1"/>
      <c r="Z213" s="1"/>
      <c r="AA213" s="1"/>
      <c r="AB213" s="1"/>
      <c r="AC213" s="1"/>
      <c r="AD213" s="1"/>
      <c r="AE213" s="1"/>
      <c r="AF213" s="1"/>
      <c r="AG213" s="1"/>
      <c r="AH213" s="1"/>
    </row>
    <row r="214">
      <c r="A214" s="1"/>
      <c r="B214" s="1"/>
      <c r="C214" s="1"/>
      <c r="D214" s="1"/>
      <c r="E214" s="1"/>
      <c r="F214" s="1"/>
      <c r="G214" s="1"/>
      <c r="H214" s="1"/>
      <c r="I214" s="1"/>
      <c r="J214" s="5"/>
      <c r="K214" s="2"/>
      <c r="L214" s="1"/>
      <c r="M214" s="1"/>
      <c r="N214" s="1"/>
      <c r="O214" s="1"/>
      <c r="P214" s="1"/>
      <c r="Q214" s="1"/>
      <c r="R214" s="1"/>
      <c r="S214" s="1"/>
      <c r="T214" s="1"/>
      <c r="U214" s="1"/>
      <c r="V214" s="1"/>
      <c r="W214" s="1"/>
      <c r="X214" s="1"/>
      <c r="Y214" s="1"/>
      <c r="Z214" s="1"/>
      <c r="AA214" s="1"/>
      <c r="AB214" s="1"/>
      <c r="AC214" s="1"/>
      <c r="AD214" s="1"/>
      <c r="AE214" s="1"/>
      <c r="AF214" s="1"/>
      <c r="AG214" s="1"/>
      <c r="AH214" s="1"/>
    </row>
    <row r="215">
      <c r="A215" s="1"/>
      <c r="B215" s="1"/>
      <c r="C215" s="1"/>
      <c r="D215" s="1"/>
      <c r="E215" s="1"/>
      <c r="F215" s="1"/>
      <c r="G215" s="1"/>
      <c r="H215" s="1"/>
      <c r="I215" s="1"/>
      <c r="J215" s="5"/>
      <c r="K215" s="2"/>
      <c r="L215" s="1"/>
      <c r="M215" s="1"/>
      <c r="N215" s="1"/>
      <c r="O215" s="1"/>
      <c r="P215" s="1"/>
      <c r="Q215" s="1"/>
      <c r="R215" s="1"/>
      <c r="S215" s="1"/>
      <c r="T215" s="1"/>
      <c r="U215" s="1"/>
      <c r="V215" s="1"/>
      <c r="W215" s="1"/>
      <c r="X215" s="1"/>
      <c r="Y215" s="1"/>
      <c r="Z215" s="1"/>
      <c r="AA215" s="1"/>
      <c r="AB215" s="1"/>
      <c r="AC215" s="1"/>
      <c r="AD215" s="1"/>
      <c r="AE215" s="1"/>
      <c r="AF215" s="1"/>
      <c r="AG215" s="1"/>
      <c r="AH215" s="1"/>
    </row>
    <row r="216">
      <c r="A216" s="1"/>
      <c r="B216" s="1"/>
      <c r="C216" s="1"/>
      <c r="D216" s="1"/>
      <c r="E216" s="1"/>
      <c r="F216" s="1"/>
      <c r="G216" s="1"/>
      <c r="H216" s="1"/>
      <c r="I216" s="1"/>
      <c r="J216" s="5"/>
      <c r="K216" s="2"/>
      <c r="L216" s="1"/>
      <c r="M216" s="1"/>
      <c r="N216" s="1"/>
      <c r="O216" s="1"/>
      <c r="P216" s="1"/>
      <c r="Q216" s="1"/>
      <c r="R216" s="1"/>
      <c r="S216" s="1"/>
      <c r="T216" s="1"/>
      <c r="U216" s="1"/>
      <c r="V216" s="1"/>
      <c r="W216" s="1"/>
      <c r="X216" s="1"/>
      <c r="Y216" s="1"/>
      <c r="Z216" s="1"/>
      <c r="AA216" s="1"/>
      <c r="AB216" s="1"/>
      <c r="AC216" s="1"/>
      <c r="AD216" s="1"/>
      <c r="AE216" s="1"/>
      <c r="AF216" s="1"/>
      <c r="AG216" s="1"/>
      <c r="AH216" s="1"/>
    </row>
    <row r="217">
      <c r="A217" s="1"/>
      <c r="B217" s="1"/>
      <c r="C217" s="1"/>
      <c r="D217" s="1"/>
      <c r="E217" s="1"/>
      <c r="F217" s="1"/>
      <c r="G217" s="1"/>
      <c r="H217" s="1"/>
      <c r="I217" s="1"/>
      <c r="J217" s="5"/>
      <c r="K217" s="2"/>
      <c r="L217" s="1"/>
      <c r="M217" s="1"/>
      <c r="N217" s="1"/>
      <c r="O217" s="1"/>
      <c r="P217" s="1"/>
      <c r="Q217" s="1"/>
      <c r="R217" s="1"/>
      <c r="S217" s="1"/>
      <c r="T217" s="1"/>
      <c r="U217" s="1"/>
      <c r="V217" s="1"/>
      <c r="W217" s="1"/>
      <c r="X217" s="1"/>
      <c r="Y217" s="1"/>
      <c r="Z217" s="1"/>
      <c r="AA217" s="1"/>
      <c r="AB217" s="1"/>
      <c r="AC217" s="1"/>
      <c r="AD217" s="1"/>
      <c r="AE217" s="1"/>
      <c r="AF217" s="1"/>
      <c r="AG217" s="1"/>
      <c r="AH217" s="1"/>
    </row>
    <row r="218">
      <c r="A218" s="1"/>
      <c r="B218" s="1"/>
      <c r="C218" s="1"/>
      <c r="D218" s="1"/>
      <c r="E218" s="1"/>
      <c r="F218" s="1"/>
      <c r="G218" s="1"/>
      <c r="H218" s="1"/>
      <c r="I218" s="1"/>
      <c r="J218" s="5"/>
      <c r="K218" s="2"/>
      <c r="L218" s="1"/>
      <c r="M218" s="1"/>
      <c r="N218" s="1"/>
      <c r="O218" s="1"/>
      <c r="P218" s="1"/>
      <c r="Q218" s="1"/>
      <c r="R218" s="1"/>
      <c r="S218" s="1"/>
      <c r="T218" s="1"/>
      <c r="U218" s="1"/>
      <c r="V218" s="1"/>
      <c r="W218" s="1"/>
      <c r="X218" s="1"/>
      <c r="Y218" s="1"/>
      <c r="Z218" s="1"/>
      <c r="AA218" s="1"/>
      <c r="AB218" s="1"/>
      <c r="AC218" s="1"/>
      <c r="AD218" s="1"/>
      <c r="AE218" s="1"/>
      <c r="AF218" s="1"/>
      <c r="AG218" s="1"/>
      <c r="AH218" s="1"/>
    </row>
    <row r="219">
      <c r="A219" s="1"/>
      <c r="B219" s="1"/>
      <c r="C219" s="1"/>
      <c r="D219" s="1"/>
      <c r="E219" s="1"/>
      <c r="F219" s="1"/>
      <c r="G219" s="1"/>
      <c r="H219" s="1"/>
      <c r="I219" s="1"/>
      <c r="J219" s="5"/>
      <c r="K219" s="2"/>
      <c r="L219" s="1"/>
      <c r="M219" s="1"/>
      <c r="N219" s="1"/>
      <c r="O219" s="1"/>
      <c r="P219" s="1"/>
      <c r="Q219" s="1"/>
      <c r="R219" s="1"/>
      <c r="S219" s="1"/>
      <c r="T219" s="1"/>
      <c r="U219" s="1"/>
      <c r="V219" s="1"/>
      <c r="W219" s="1"/>
      <c r="X219" s="1"/>
      <c r="Y219" s="1"/>
      <c r="Z219" s="1"/>
      <c r="AA219" s="1"/>
      <c r="AB219" s="1"/>
      <c r="AC219" s="1"/>
      <c r="AD219" s="1"/>
      <c r="AE219" s="1"/>
      <c r="AF219" s="1"/>
      <c r="AG219" s="1"/>
      <c r="AH219" s="1"/>
    </row>
    <row r="220">
      <c r="A220" s="1"/>
      <c r="B220" s="1"/>
      <c r="C220" s="1"/>
      <c r="D220" s="1"/>
      <c r="E220" s="1"/>
      <c r="F220" s="1"/>
      <c r="G220" s="1"/>
      <c r="H220" s="1"/>
      <c r="I220" s="1"/>
      <c r="J220" s="5"/>
      <c r="K220" s="2"/>
      <c r="L220" s="1"/>
      <c r="M220" s="1"/>
      <c r="N220" s="1"/>
      <c r="O220" s="1"/>
      <c r="P220" s="1"/>
      <c r="Q220" s="1"/>
      <c r="R220" s="1"/>
      <c r="S220" s="1"/>
      <c r="T220" s="1"/>
      <c r="U220" s="1"/>
      <c r="V220" s="1"/>
      <c r="W220" s="1"/>
      <c r="X220" s="1"/>
      <c r="Y220" s="1"/>
      <c r="Z220" s="1"/>
      <c r="AA220" s="1"/>
      <c r="AB220" s="1"/>
      <c r="AC220" s="1"/>
      <c r="AD220" s="1"/>
      <c r="AE220" s="1"/>
      <c r="AF220" s="1"/>
      <c r="AG220" s="1"/>
      <c r="AH220" s="1"/>
    </row>
    <row r="221">
      <c r="A221" s="1"/>
      <c r="B221" s="1"/>
      <c r="C221" s="1"/>
      <c r="D221" s="1"/>
      <c r="E221" s="1"/>
      <c r="F221" s="1"/>
      <c r="G221" s="1"/>
      <c r="H221" s="1"/>
      <c r="I221" s="1"/>
      <c r="J221" s="5"/>
      <c r="K221" s="2"/>
      <c r="L221" s="1"/>
      <c r="M221" s="1"/>
      <c r="N221" s="1"/>
      <c r="O221" s="1"/>
      <c r="P221" s="1"/>
      <c r="Q221" s="1"/>
      <c r="R221" s="1"/>
      <c r="S221" s="1"/>
      <c r="T221" s="1"/>
      <c r="U221" s="1"/>
      <c r="V221" s="1"/>
      <c r="W221" s="1"/>
      <c r="X221" s="1"/>
      <c r="Y221" s="1"/>
      <c r="Z221" s="1"/>
      <c r="AA221" s="1"/>
      <c r="AB221" s="1"/>
      <c r="AC221" s="1"/>
      <c r="AD221" s="1"/>
      <c r="AE221" s="1"/>
      <c r="AF221" s="1"/>
      <c r="AG221" s="1"/>
      <c r="AH221" s="1"/>
    </row>
    <row r="222">
      <c r="A222" s="1"/>
      <c r="B222" s="1"/>
      <c r="C222" s="1"/>
      <c r="D222" s="1"/>
      <c r="E222" s="1"/>
      <c r="F222" s="1"/>
      <c r="G222" s="1"/>
      <c r="H222" s="1"/>
      <c r="I222" s="1"/>
      <c r="J222" s="5"/>
      <c r="K222" s="2"/>
      <c r="L222" s="1"/>
      <c r="M222" s="1"/>
      <c r="N222" s="1"/>
      <c r="O222" s="1"/>
      <c r="P222" s="1"/>
      <c r="Q222" s="1"/>
      <c r="R222" s="1"/>
      <c r="S222" s="1"/>
      <c r="T222" s="1"/>
      <c r="U222" s="1"/>
      <c r="V222" s="1"/>
      <c r="W222" s="1"/>
      <c r="X222" s="1"/>
      <c r="Y222" s="1"/>
      <c r="Z222" s="1"/>
      <c r="AA222" s="1"/>
      <c r="AB222" s="1"/>
      <c r="AC222" s="1"/>
      <c r="AD222" s="1"/>
      <c r="AE222" s="1"/>
      <c r="AF222" s="1"/>
      <c r="AG222" s="1"/>
      <c r="AH222" s="1"/>
    </row>
    <row r="223">
      <c r="A223" s="1"/>
      <c r="B223" s="1"/>
      <c r="C223" s="1"/>
      <c r="D223" s="1"/>
      <c r="E223" s="1"/>
      <c r="F223" s="1"/>
      <c r="G223" s="1"/>
      <c r="H223" s="1"/>
      <c r="I223" s="1"/>
      <c r="J223" s="5"/>
      <c r="K223" s="2"/>
      <c r="L223" s="1"/>
      <c r="M223" s="1"/>
      <c r="N223" s="1"/>
      <c r="O223" s="1"/>
      <c r="P223" s="1"/>
      <c r="Q223" s="1"/>
      <c r="R223" s="1"/>
      <c r="S223" s="1"/>
      <c r="T223" s="1"/>
      <c r="U223" s="1"/>
      <c r="V223" s="1"/>
      <c r="W223" s="1"/>
      <c r="X223" s="1"/>
      <c r="Y223" s="1"/>
      <c r="Z223" s="1"/>
      <c r="AA223" s="1"/>
      <c r="AB223" s="1"/>
      <c r="AC223" s="1"/>
      <c r="AD223" s="1"/>
      <c r="AE223" s="1"/>
      <c r="AF223" s="1"/>
      <c r="AG223" s="1"/>
      <c r="AH223" s="1"/>
    </row>
    <row r="224">
      <c r="A224" s="1"/>
      <c r="B224" s="1"/>
      <c r="C224" s="1"/>
      <c r="D224" s="1"/>
      <c r="E224" s="1"/>
      <c r="F224" s="1"/>
      <c r="G224" s="1"/>
      <c r="H224" s="1"/>
      <c r="I224" s="1"/>
      <c r="J224" s="5"/>
      <c r="K224" s="2"/>
      <c r="L224" s="1"/>
      <c r="M224" s="1"/>
      <c r="N224" s="1"/>
      <c r="O224" s="1"/>
      <c r="P224" s="1"/>
      <c r="Q224" s="1"/>
      <c r="R224" s="1"/>
      <c r="S224" s="1"/>
      <c r="T224" s="1"/>
      <c r="U224" s="1"/>
      <c r="V224" s="1"/>
      <c r="W224" s="1"/>
      <c r="X224" s="1"/>
      <c r="Y224" s="1"/>
      <c r="Z224" s="1"/>
      <c r="AA224" s="1"/>
      <c r="AB224" s="1"/>
      <c r="AC224" s="1"/>
      <c r="AD224" s="1"/>
      <c r="AE224" s="1"/>
      <c r="AF224" s="1"/>
      <c r="AG224" s="1"/>
      <c r="AH224" s="1"/>
    </row>
    <row r="225">
      <c r="A225" s="1"/>
      <c r="B225" s="1"/>
      <c r="C225" s="1"/>
      <c r="D225" s="1"/>
      <c r="E225" s="1"/>
      <c r="F225" s="1"/>
      <c r="G225" s="1"/>
      <c r="H225" s="1"/>
      <c r="I225" s="1"/>
      <c r="J225" s="5"/>
      <c r="K225" s="2"/>
      <c r="L225" s="1"/>
      <c r="M225" s="1"/>
      <c r="N225" s="1"/>
      <c r="O225" s="1"/>
      <c r="P225" s="1"/>
      <c r="Q225" s="1"/>
      <c r="R225" s="1"/>
      <c r="S225" s="1"/>
      <c r="T225" s="1"/>
      <c r="U225" s="1"/>
      <c r="V225" s="1"/>
      <c r="W225" s="1"/>
      <c r="X225" s="1"/>
      <c r="Y225" s="1"/>
      <c r="Z225" s="1"/>
      <c r="AA225" s="1"/>
      <c r="AB225" s="1"/>
      <c r="AC225" s="1"/>
      <c r="AD225" s="1"/>
      <c r="AE225" s="1"/>
      <c r="AF225" s="1"/>
      <c r="AG225" s="1"/>
      <c r="AH225" s="1"/>
    </row>
    <row r="226">
      <c r="A226" s="1"/>
      <c r="B226" s="1"/>
      <c r="C226" s="1"/>
      <c r="D226" s="1"/>
      <c r="E226" s="1"/>
      <c r="F226" s="1"/>
      <c r="G226" s="1"/>
      <c r="H226" s="1"/>
      <c r="I226" s="1"/>
      <c r="J226" s="5"/>
      <c r="K226" s="2"/>
      <c r="L226" s="1"/>
      <c r="M226" s="1"/>
      <c r="N226" s="1"/>
      <c r="O226" s="1"/>
      <c r="P226" s="1"/>
      <c r="Q226" s="1"/>
      <c r="R226" s="1"/>
      <c r="S226" s="1"/>
      <c r="T226" s="1"/>
      <c r="U226" s="1"/>
      <c r="V226" s="1"/>
      <c r="W226" s="1"/>
      <c r="X226" s="1"/>
      <c r="Y226" s="1"/>
      <c r="Z226" s="1"/>
      <c r="AA226" s="1"/>
      <c r="AB226" s="1"/>
      <c r="AC226" s="1"/>
      <c r="AD226" s="1"/>
      <c r="AE226" s="1"/>
      <c r="AF226" s="1"/>
      <c r="AG226" s="1"/>
      <c r="AH226" s="1"/>
    </row>
    <row r="227">
      <c r="A227" s="1"/>
      <c r="B227" s="1"/>
      <c r="C227" s="1"/>
      <c r="D227" s="1"/>
      <c r="E227" s="1"/>
      <c r="F227" s="1"/>
      <c r="G227" s="1"/>
      <c r="H227" s="1"/>
      <c r="I227" s="1"/>
      <c r="J227" s="5"/>
      <c r="K227" s="2"/>
      <c r="L227" s="1"/>
      <c r="M227" s="1"/>
      <c r="N227" s="1"/>
      <c r="O227" s="1"/>
      <c r="P227" s="1"/>
      <c r="Q227" s="1"/>
      <c r="R227" s="1"/>
      <c r="S227" s="1"/>
      <c r="T227" s="1"/>
      <c r="U227" s="1"/>
      <c r="V227" s="1"/>
      <c r="W227" s="1"/>
      <c r="X227" s="1"/>
      <c r="Y227" s="1"/>
      <c r="Z227" s="1"/>
      <c r="AA227" s="1"/>
      <c r="AB227" s="1"/>
      <c r="AC227" s="1"/>
      <c r="AD227" s="1"/>
      <c r="AE227" s="1"/>
      <c r="AF227" s="1"/>
      <c r="AG227" s="1"/>
      <c r="AH227" s="1"/>
    </row>
    <row r="228">
      <c r="A228" s="1"/>
      <c r="B228" s="1"/>
      <c r="C228" s="1"/>
      <c r="D228" s="1"/>
      <c r="E228" s="1"/>
      <c r="F228" s="1"/>
      <c r="G228" s="1"/>
      <c r="H228" s="1"/>
      <c r="I228" s="1"/>
      <c r="J228" s="5"/>
      <c r="K228" s="2"/>
      <c r="L228" s="1"/>
      <c r="M228" s="1"/>
      <c r="N228" s="1"/>
      <c r="O228" s="1"/>
      <c r="P228" s="1"/>
      <c r="Q228" s="1"/>
      <c r="R228" s="1"/>
      <c r="S228" s="1"/>
      <c r="T228" s="1"/>
      <c r="U228" s="1"/>
      <c r="V228" s="1"/>
      <c r="W228" s="1"/>
      <c r="X228" s="1"/>
      <c r="Y228" s="1"/>
      <c r="Z228" s="1"/>
      <c r="AA228" s="1"/>
      <c r="AB228" s="1"/>
      <c r="AC228" s="1"/>
      <c r="AD228" s="1"/>
      <c r="AE228" s="1"/>
      <c r="AF228" s="1"/>
      <c r="AG228" s="1"/>
      <c r="AH228" s="1"/>
    </row>
    <row r="229">
      <c r="A229" s="1"/>
      <c r="B229" s="1"/>
      <c r="C229" s="1"/>
      <c r="D229" s="1"/>
      <c r="E229" s="1"/>
      <c r="F229" s="1"/>
      <c r="G229" s="1"/>
      <c r="H229" s="1"/>
      <c r="I229" s="1"/>
      <c r="J229" s="5"/>
      <c r="K229" s="2"/>
      <c r="L229" s="1"/>
      <c r="M229" s="1"/>
      <c r="N229" s="1"/>
      <c r="O229" s="1"/>
      <c r="P229" s="1"/>
      <c r="Q229" s="1"/>
      <c r="R229" s="1"/>
      <c r="S229" s="1"/>
      <c r="T229" s="1"/>
      <c r="U229" s="1"/>
      <c r="V229" s="1"/>
      <c r="W229" s="1"/>
      <c r="X229" s="1"/>
      <c r="Y229" s="1"/>
      <c r="Z229" s="1"/>
      <c r="AA229" s="1"/>
      <c r="AB229" s="1"/>
      <c r="AC229" s="1"/>
      <c r="AD229" s="1"/>
      <c r="AE229" s="1"/>
      <c r="AF229" s="1"/>
      <c r="AG229" s="1"/>
      <c r="AH229" s="1"/>
    </row>
    <row r="230">
      <c r="A230" s="1"/>
      <c r="B230" s="1"/>
      <c r="C230" s="1"/>
      <c r="D230" s="1"/>
      <c r="E230" s="1"/>
      <c r="F230" s="1"/>
      <c r="G230" s="1"/>
      <c r="H230" s="1"/>
      <c r="I230" s="1"/>
      <c r="J230" s="5"/>
      <c r="K230" s="2"/>
      <c r="L230" s="1"/>
      <c r="M230" s="1"/>
      <c r="N230" s="1"/>
      <c r="O230" s="1"/>
      <c r="P230" s="1"/>
      <c r="Q230" s="1"/>
      <c r="R230" s="1"/>
      <c r="S230" s="1"/>
      <c r="T230" s="1"/>
      <c r="U230" s="1"/>
      <c r="V230" s="1"/>
      <c r="W230" s="1"/>
      <c r="X230" s="1"/>
      <c r="Y230" s="1"/>
      <c r="Z230" s="1"/>
      <c r="AA230" s="1"/>
      <c r="AB230" s="1"/>
      <c r="AC230" s="1"/>
      <c r="AD230" s="1"/>
      <c r="AE230" s="1"/>
      <c r="AF230" s="1"/>
      <c r="AG230" s="1"/>
      <c r="AH230" s="1"/>
    </row>
    <row r="231">
      <c r="A231" s="1"/>
      <c r="B231" s="1"/>
      <c r="C231" s="1"/>
      <c r="D231" s="1"/>
      <c r="E231" s="1"/>
      <c r="F231" s="1"/>
      <c r="G231" s="1"/>
      <c r="H231" s="1"/>
      <c r="I231" s="1"/>
      <c r="J231" s="5"/>
      <c r="K231" s="2"/>
      <c r="L231" s="1"/>
      <c r="M231" s="1"/>
      <c r="N231" s="1"/>
      <c r="O231" s="1"/>
      <c r="P231" s="1"/>
      <c r="Q231" s="1"/>
      <c r="R231" s="1"/>
      <c r="S231" s="1"/>
      <c r="T231" s="1"/>
      <c r="U231" s="1"/>
      <c r="V231" s="1"/>
      <c r="W231" s="1"/>
      <c r="X231" s="1"/>
      <c r="Y231" s="1"/>
      <c r="Z231" s="1"/>
      <c r="AA231" s="1"/>
      <c r="AB231" s="1"/>
      <c r="AC231" s="1"/>
      <c r="AD231" s="1"/>
      <c r="AE231" s="1"/>
      <c r="AF231" s="1"/>
      <c r="AG231" s="1"/>
      <c r="AH231" s="1"/>
    </row>
    <row r="232">
      <c r="A232" s="1"/>
      <c r="B232" s="1"/>
      <c r="C232" s="1"/>
      <c r="D232" s="1"/>
      <c r="E232" s="1"/>
      <c r="F232" s="1"/>
      <c r="G232" s="1"/>
      <c r="H232" s="1"/>
      <c r="I232" s="1"/>
      <c r="J232" s="5"/>
      <c r="K232" s="2"/>
      <c r="L232" s="1"/>
      <c r="M232" s="1"/>
      <c r="N232" s="1"/>
      <c r="O232" s="1"/>
      <c r="P232" s="1"/>
      <c r="Q232" s="1"/>
      <c r="R232" s="1"/>
      <c r="S232" s="1"/>
      <c r="T232" s="1"/>
      <c r="U232" s="1"/>
      <c r="V232" s="1"/>
      <c r="W232" s="1"/>
      <c r="X232" s="1"/>
      <c r="Y232" s="1"/>
      <c r="Z232" s="1"/>
      <c r="AA232" s="1"/>
      <c r="AB232" s="1"/>
      <c r="AC232" s="1"/>
      <c r="AD232" s="1"/>
      <c r="AE232" s="1"/>
      <c r="AF232" s="1"/>
      <c r="AG232" s="1"/>
      <c r="AH232" s="1"/>
    </row>
    <row r="233">
      <c r="A233" s="1"/>
      <c r="B233" s="1"/>
      <c r="C233" s="1"/>
      <c r="D233" s="1"/>
      <c r="E233" s="1"/>
      <c r="F233" s="1"/>
      <c r="G233" s="1"/>
      <c r="H233" s="1"/>
      <c r="I233" s="1"/>
      <c r="J233" s="5"/>
      <c r="K233" s="2"/>
      <c r="L233" s="1"/>
      <c r="M233" s="1"/>
      <c r="N233" s="1"/>
      <c r="O233" s="1"/>
      <c r="P233" s="1"/>
      <c r="Q233" s="1"/>
      <c r="R233" s="1"/>
      <c r="S233" s="1"/>
      <c r="T233" s="1"/>
      <c r="U233" s="1"/>
      <c r="V233" s="1"/>
      <c r="W233" s="1"/>
      <c r="X233" s="1"/>
      <c r="Y233" s="1"/>
      <c r="Z233" s="1"/>
      <c r="AA233" s="1"/>
      <c r="AB233" s="1"/>
      <c r="AC233" s="1"/>
      <c r="AD233" s="1"/>
      <c r="AE233" s="1"/>
      <c r="AF233" s="1"/>
      <c r="AG233" s="1"/>
      <c r="AH233" s="1"/>
    </row>
    <row r="234">
      <c r="A234" s="1"/>
      <c r="B234" s="1"/>
      <c r="C234" s="1"/>
      <c r="D234" s="1"/>
      <c r="E234" s="1"/>
      <c r="F234" s="1"/>
      <c r="G234" s="1"/>
      <c r="H234" s="1"/>
      <c r="I234" s="1"/>
      <c r="J234" s="5"/>
      <c r="K234" s="2"/>
      <c r="L234" s="1"/>
      <c r="M234" s="1"/>
      <c r="N234" s="1"/>
      <c r="O234" s="1"/>
      <c r="P234" s="1"/>
      <c r="Q234" s="1"/>
      <c r="R234" s="1"/>
      <c r="S234" s="1"/>
      <c r="T234" s="1"/>
      <c r="U234" s="1"/>
      <c r="V234" s="1"/>
      <c r="W234" s="1"/>
      <c r="X234" s="1"/>
      <c r="Y234" s="1"/>
      <c r="Z234" s="1"/>
      <c r="AA234" s="1"/>
      <c r="AB234" s="1"/>
      <c r="AC234" s="1"/>
      <c r="AD234" s="1"/>
      <c r="AE234" s="1"/>
      <c r="AF234" s="1"/>
      <c r="AG234" s="1"/>
      <c r="AH234" s="1"/>
    </row>
    <row r="235">
      <c r="A235" s="1"/>
      <c r="B235" s="1"/>
      <c r="C235" s="1"/>
      <c r="D235" s="1"/>
      <c r="E235" s="1"/>
      <c r="F235" s="1"/>
      <c r="G235" s="1"/>
      <c r="H235" s="1"/>
      <c r="I235" s="1"/>
      <c r="J235" s="5"/>
      <c r="K235" s="2"/>
      <c r="L235" s="1"/>
      <c r="M235" s="1"/>
      <c r="N235" s="1"/>
      <c r="O235" s="1"/>
      <c r="P235" s="1"/>
      <c r="Q235" s="1"/>
      <c r="R235" s="1"/>
      <c r="S235" s="1"/>
      <c r="T235" s="1"/>
      <c r="U235" s="1"/>
      <c r="V235" s="1"/>
      <c r="W235" s="1"/>
      <c r="X235" s="1"/>
      <c r="Y235" s="1"/>
      <c r="Z235" s="1"/>
      <c r="AA235" s="1"/>
      <c r="AB235" s="1"/>
      <c r="AC235" s="1"/>
      <c r="AD235" s="1"/>
      <c r="AE235" s="1"/>
      <c r="AF235" s="1"/>
      <c r="AG235" s="1"/>
      <c r="AH235" s="1"/>
    </row>
    <row r="236">
      <c r="A236" s="1"/>
      <c r="B236" s="1"/>
      <c r="C236" s="1"/>
      <c r="D236" s="1"/>
      <c r="E236" s="1"/>
      <c r="F236" s="1"/>
      <c r="G236" s="1"/>
      <c r="H236" s="1"/>
      <c r="I236" s="1"/>
      <c r="J236" s="5"/>
      <c r="K236" s="2"/>
      <c r="L236" s="1"/>
      <c r="M236" s="1"/>
      <c r="N236" s="1"/>
      <c r="O236" s="1"/>
      <c r="P236" s="1"/>
      <c r="Q236" s="1"/>
      <c r="R236" s="1"/>
      <c r="S236" s="1"/>
      <c r="T236" s="1"/>
      <c r="U236" s="1"/>
      <c r="V236" s="1"/>
      <c r="W236" s="1"/>
      <c r="X236" s="1"/>
      <c r="Y236" s="1"/>
      <c r="Z236" s="1"/>
      <c r="AA236" s="1"/>
      <c r="AB236" s="1"/>
      <c r="AC236" s="1"/>
      <c r="AD236" s="1"/>
      <c r="AE236" s="1"/>
      <c r="AF236" s="1"/>
      <c r="AG236" s="1"/>
      <c r="AH236" s="1"/>
    </row>
    <row r="237">
      <c r="A237" s="1"/>
      <c r="B237" s="1"/>
      <c r="C237" s="1"/>
      <c r="D237" s="1"/>
      <c r="E237" s="1"/>
      <c r="F237" s="1"/>
      <c r="G237" s="1"/>
      <c r="H237" s="1"/>
      <c r="I237" s="1"/>
      <c r="J237" s="5"/>
      <c r="K237" s="2"/>
      <c r="L237" s="1"/>
      <c r="M237" s="1"/>
      <c r="N237" s="1"/>
      <c r="O237" s="1"/>
      <c r="P237" s="1"/>
      <c r="Q237" s="1"/>
      <c r="R237" s="1"/>
      <c r="S237" s="1"/>
      <c r="T237" s="1"/>
      <c r="U237" s="1"/>
      <c r="V237" s="1"/>
      <c r="W237" s="1"/>
      <c r="X237" s="1"/>
      <c r="Y237" s="1"/>
      <c r="Z237" s="1"/>
      <c r="AA237" s="1"/>
      <c r="AB237" s="1"/>
      <c r="AC237" s="1"/>
      <c r="AD237" s="1"/>
      <c r="AE237" s="1"/>
      <c r="AF237" s="1"/>
      <c r="AG237" s="1"/>
      <c r="AH237" s="1"/>
    </row>
    <row r="238">
      <c r="A238" s="1"/>
      <c r="B238" s="1"/>
      <c r="C238" s="1"/>
      <c r="D238" s="1"/>
      <c r="E238" s="1"/>
      <c r="F238" s="1"/>
      <c r="G238" s="1"/>
      <c r="H238" s="1"/>
      <c r="I238" s="1"/>
      <c r="J238" s="5"/>
      <c r="K238" s="2"/>
      <c r="L238" s="1"/>
      <c r="M238" s="1"/>
      <c r="N238" s="1"/>
      <c r="O238" s="1"/>
      <c r="P238" s="1"/>
      <c r="Q238" s="1"/>
      <c r="R238" s="1"/>
      <c r="S238" s="1"/>
      <c r="T238" s="1"/>
      <c r="U238" s="1"/>
      <c r="V238" s="1"/>
      <c r="W238" s="1"/>
      <c r="X238" s="1"/>
      <c r="Y238" s="1"/>
      <c r="Z238" s="1"/>
      <c r="AA238" s="1"/>
      <c r="AB238" s="1"/>
      <c r="AC238" s="1"/>
      <c r="AD238" s="1"/>
      <c r="AE238" s="1"/>
      <c r="AF238" s="1"/>
      <c r="AG238" s="1"/>
      <c r="AH238" s="1"/>
    </row>
    <row r="239">
      <c r="A239" s="1"/>
      <c r="B239" s="1"/>
      <c r="C239" s="1"/>
      <c r="D239" s="1"/>
      <c r="E239" s="1"/>
      <c r="F239" s="1"/>
      <c r="G239" s="1"/>
      <c r="H239" s="1"/>
      <c r="I239" s="1"/>
      <c r="J239" s="5"/>
      <c r="K239" s="2"/>
      <c r="L239" s="1"/>
      <c r="M239" s="1"/>
      <c r="N239" s="1"/>
      <c r="O239" s="1"/>
      <c r="P239" s="1"/>
      <c r="Q239" s="1"/>
      <c r="R239" s="1"/>
      <c r="S239" s="1"/>
      <c r="T239" s="1"/>
      <c r="U239" s="1"/>
      <c r="V239" s="1"/>
      <c r="W239" s="1"/>
      <c r="X239" s="1"/>
      <c r="Y239" s="1"/>
      <c r="Z239" s="1"/>
      <c r="AA239" s="1"/>
      <c r="AB239" s="1"/>
      <c r="AC239" s="1"/>
      <c r="AD239" s="1"/>
      <c r="AE239" s="1"/>
      <c r="AF239" s="1"/>
      <c r="AG239" s="1"/>
      <c r="AH239" s="1"/>
    </row>
    <row r="240">
      <c r="A240" s="1"/>
      <c r="B240" s="1"/>
      <c r="C240" s="1"/>
      <c r="D240" s="1"/>
      <c r="E240" s="1"/>
      <c r="F240" s="1"/>
      <c r="G240" s="1"/>
      <c r="H240" s="1"/>
      <c r="I240" s="1"/>
      <c r="J240" s="5"/>
      <c r="K240" s="2"/>
      <c r="L240" s="1"/>
      <c r="M240" s="1"/>
      <c r="N240" s="1"/>
      <c r="O240" s="1"/>
      <c r="P240" s="1"/>
      <c r="Q240" s="1"/>
      <c r="R240" s="1"/>
      <c r="S240" s="1"/>
      <c r="T240" s="1"/>
      <c r="U240" s="1"/>
      <c r="V240" s="1"/>
      <c r="W240" s="1"/>
      <c r="X240" s="1"/>
      <c r="Y240" s="1"/>
      <c r="Z240" s="1"/>
      <c r="AA240" s="1"/>
      <c r="AB240" s="1"/>
      <c r="AC240" s="1"/>
      <c r="AD240" s="1"/>
      <c r="AE240" s="1"/>
      <c r="AF240" s="1"/>
      <c r="AG240" s="1"/>
      <c r="AH240" s="1"/>
    </row>
    <row r="241">
      <c r="A241" s="1"/>
      <c r="B241" s="1"/>
      <c r="C241" s="1"/>
      <c r="D241" s="1"/>
      <c r="E241" s="1"/>
      <c r="F241" s="1"/>
      <c r="G241" s="1"/>
      <c r="H241" s="1"/>
      <c r="I241" s="1"/>
      <c r="J241" s="5"/>
      <c r="K241" s="2"/>
      <c r="L241" s="1"/>
      <c r="M241" s="1"/>
      <c r="N241" s="1"/>
      <c r="O241" s="1"/>
      <c r="P241" s="1"/>
      <c r="Q241" s="1"/>
      <c r="R241" s="1"/>
      <c r="S241" s="1"/>
      <c r="T241" s="1"/>
      <c r="U241" s="1"/>
      <c r="V241" s="1"/>
      <c r="W241" s="1"/>
      <c r="X241" s="1"/>
      <c r="Y241" s="1"/>
      <c r="Z241" s="1"/>
      <c r="AA241" s="1"/>
      <c r="AB241" s="1"/>
      <c r="AC241" s="1"/>
      <c r="AD241" s="1"/>
      <c r="AE241" s="1"/>
      <c r="AF241" s="1"/>
      <c r="AG241" s="1"/>
      <c r="AH241" s="1"/>
    </row>
    <row r="242">
      <c r="A242" s="1"/>
      <c r="B242" s="1"/>
      <c r="C242" s="1"/>
      <c r="D242" s="1"/>
      <c r="E242" s="1"/>
      <c r="F242" s="1"/>
      <c r="G242" s="1"/>
      <c r="H242" s="1"/>
      <c r="I242" s="1"/>
      <c r="J242" s="5"/>
      <c r="K242" s="2"/>
      <c r="L242" s="1"/>
      <c r="M242" s="1"/>
      <c r="N242" s="1"/>
      <c r="O242" s="1"/>
      <c r="P242" s="1"/>
      <c r="Q242" s="1"/>
      <c r="R242" s="1"/>
      <c r="S242" s="1"/>
      <c r="T242" s="1"/>
      <c r="U242" s="1"/>
      <c r="V242" s="1"/>
      <c r="W242" s="1"/>
      <c r="X242" s="1"/>
      <c r="Y242" s="1"/>
      <c r="Z242" s="1"/>
      <c r="AA242" s="1"/>
      <c r="AB242" s="1"/>
      <c r="AC242" s="1"/>
      <c r="AD242" s="1"/>
      <c r="AE242" s="1"/>
      <c r="AF242" s="1"/>
      <c r="AG242" s="1"/>
      <c r="AH242" s="1"/>
    </row>
    <row r="243">
      <c r="A243" s="1"/>
      <c r="B243" s="1"/>
      <c r="C243" s="1"/>
      <c r="D243" s="1"/>
      <c r="E243" s="1"/>
      <c r="F243" s="1"/>
      <c r="G243" s="1"/>
      <c r="H243" s="1"/>
      <c r="I243" s="1"/>
      <c r="J243" s="5"/>
      <c r="K243" s="2"/>
      <c r="L243" s="1"/>
      <c r="M243" s="1"/>
      <c r="N243" s="1"/>
      <c r="O243" s="1"/>
      <c r="P243" s="1"/>
      <c r="Q243" s="1"/>
      <c r="R243" s="1"/>
      <c r="S243" s="1"/>
      <c r="T243" s="1"/>
      <c r="U243" s="1"/>
      <c r="V243" s="1"/>
      <c r="W243" s="1"/>
      <c r="X243" s="1"/>
      <c r="Y243" s="1"/>
      <c r="Z243" s="1"/>
      <c r="AA243" s="1"/>
      <c r="AB243" s="1"/>
      <c r="AC243" s="1"/>
      <c r="AD243" s="1"/>
      <c r="AE243" s="1"/>
      <c r="AF243" s="1"/>
      <c r="AG243" s="1"/>
      <c r="AH243" s="1"/>
    </row>
    <row r="244">
      <c r="A244" s="1"/>
      <c r="B244" s="1"/>
      <c r="C244" s="1"/>
      <c r="D244" s="1"/>
      <c r="E244" s="1"/>
      <c r="F244" s="1"/>
      <c r="G244" s="1"/>
      <c r="H244" s="1"/>
      <c r="I244" s="1"/>
      <c r="J244" s="5"/>
      <c r="K244" s="2"/>
      <c r="L244" s="1"/>
      <c r="M244" s="1"/>
      <c r="N244" s="1"/>
      <c r="O244" s="1"/>
      <c r="P244" s="1"/>
      <c r="Q244" s="1"/>
      <c r="R244" s="1"/>
      <c r="S244" s="1"/>
      <c r="T244" s="1"/>
      <c r="U244" s="1"/>
      <c r="V244" s="1"/>
      <c r="W244" s="1"/>
      <c r="X244" s="1"/>
      <c r="Y244" s="1"/>
      <c r="Z244" s="1"/>
      <c r="AA244" s="1"/>
      <c r="AB244" s="1"/>
      <c r="AC244" s="1"/>
      <c r="AD244" s="1"/>
      <c r="AE244" s="1"/>
      <c r="AF244" s="1"/>
      <c r="AG244" s="1"/>
      <c r="AH244" s="1"/>
    </row>
    <row r="245">
      <c r="A245" s="1"/>
      <c r="B245" s="1"/>
      <c r="C245" s="1"/>
      <c r="D245" s="1"/>
      <c r="E245" s="1"/>
      <c r="F245" s="1"/>
      <c r="G245" s="1"/>
      <c r="H245" s="1"/>
      <c r="I245" s="1"/>
      <c r="J245" s="5"/>
      <c r="K245" s="2"/>
      <c r="L245" s="1"/>
      <c r="M245" s="1"/>
      <c r="N245" s="1"/>
      <c r="O245" s="1"/>
      <c r="P245" s="1"/>
      <c r="Q245" s="1"/>
      <c r="R245" s="1"/>
      <c r="S245" s="1"/>
      <c r="T245" s="1"/>
      <c r="U245" s="1"/>
      <c r="V245" s="1"/>
      <c r="W245" s="1"/>
      <c r="X245" s="1"/>
      <c r="Y245" s="1"/>
      <c r="Z245" s="1"/>
      <c r="AA245" s="1"/>
      <c r="AB245" s="1"/>
      <c r="AC245" s="1"/>
      <c r="AD245" s="1"/>
      <c r="AE245" s="1"/>
      <c r="AF245" s="1"/>
      <c r="AG245" s="1"/>
      <c r="AH245" s="1"/>
    </row>
    <row r="246">
      <c r="A246" s="1"/>
      <c r="B246" s="1"/>
      <c r="C246" s="1"/>
      <c r="D246" s="1"/>
      <c r="E246" s="1"/>
      <c r="F246" s="1"/>
      <c r="G246" s="1"/>
      <c r="H246" s="1"/>
      <c r="I246" s="1"/>
      <c r="J246" s="5"/>
      <c r="K246" s="2"/>
      <c r="L246" s="1"/>
      <c r="M246" s="1"/>
      <c r="N246" s="1"/>
      <c r="O246" s="1"/>
      <c r="P246" s="1"/>
      <c r="Q246" s="1"/>
      <c r="R246" s="1"/>
      <c r="S246" s="1"/>
      <c r="T246" s="1"/>
      <c r="U246" s="1"/>
      <c r="V246" s="1"/>
      <c r="W246" s="1"/>
      <c r="X246" s="1"/>
      <c r="Y246" s="1"/>
      <c r="Z246" s="1"/>
      <c r="AA246" s="1"/>
      <c r="AB246" s="1"/>
      <c r="AC246" s="1"/>
      <c r="AD246" s="1"/>
      <c r="AE246" s="1"/>
      <c r="AF246" s="1"/>
      <c r="AG246" s="1"/>
      <c r="AH246" s="1"/>
    </row>
    <row r="247">
      <c r="A247" s="1"/>
      <c r="B247" s="1"/>
      <c r="C247" s="1"/>
      <c r="D247" s="1"/>
      <c r="E247" s="1"/>
      <c r="F247" s="1"/>
      <c r="G247" s="1"/>
      <c r="H247" s="1"/>
      <c r="I247" s="1"/>
      <c r="J247" s="5"/>
      <c r="K247" s="2"/>
      <c r="L247" s="1"/>
      <c r="M247" s="1"/>
      <c r="N247" s="1"/>
      <c r="O247" s="1"/>
      <c r="P247" s="1"/>
      <c r="Q247" s="1"/>
      <c r="R247" s="1"/>
      <c r="S247" s="1"/>
      <c r="T247" s="1"/>
      <c r="U247" s="1"/>
      <c r="V247" s="1"/>
      <c r="W247" s="1"/>
      <c r="X247" s="1"/>
      <c r="Y247" s="1"/>
      <c r="Z247" s="1"/>
      <c r="AA247" s="1"/>
      <c r="AB247" s="1"/>
      <c r="AC247" s="1"/>
      <c r="AD247" s="1"/>
      <c r="AE247" s="1"/>
      <c r="AF247" s="1"/>
      <c r="AG247" s="1"/>
      <c r="AH247" s="1"/>
    </row>
    <row r="248">
      <c r="A248" s="1"/>
      <c r="B248" s="1"/>
      <c r="C248" s="1"/>
      <c r="D248" s="1"/>
      <c r="E248" s="1"/>
      <c r="F248" s="1"/>
      <c r="G248" s="1"/>
      <c r="H248" s="1"/>
      <c r="I248" s="1"/>
      <c r="J248" s="5"/>
      <c r="K248" s="2"/>
      <c r="L248" s="1"/>
      <c r="M248" s="1"/>
      <c r="N248" s="1"/>
      <c r="O248" s="1"/>
      <c r="P248" s="1"/>
      <c r="Q248" s="1"/>
      <c r="R248" s="1"/>
      <c r="S248" s="1"/>
      <c r="T248" s="1"/>
      <c r="U248" s="1"/>
      <c r="V248" s="1"/>
      <c r="W248" s="1"/>
      <c r="X248" s="1"/>
      <c r="Y248" s="1"/>
      <c r="Z248" s="1"/>
      <c r="AA248" s="1"/>
      <c r="AB248" s="1"/>
      <c r="AC248" s="1"/>
      <c r="AD248" s="1"/>
      <c r="AE248" s="1"/>
      <c r="AF248" s="1"/>
      <c r="AG248" s="1"/>
      <c r="AH248" s="1"/>
    </row>
    <row r="249">
      <c r="A249" s="1"/>
      <c r="B249" s="1"/>
      <c r="C249" s="1"/>
      <c r="D249" s="1"/>
      <c r="E249" s="1"/>
      <c r="F249" s="1"/>
      <c r="G249" s="1"/>
      <c r="H249" s="1"/>
      <c r="I249" s="1"/>
      <c r="J249" s="5"/>
      <c r="K249" s="2"/>
      <c r="L249" s="1"/>
      <c r="M249" s="1"/>
      <c r="N249" s="1"/>
      <c r="O249" s="1"/>
      <c r="P249" s="1"/>
      <c r="Q249" s="1"/>
      <c r="R249" s="1"/>
      <c r="S249" s="1"/>
      <c r="T249" s="1"/>
      <c r="U249" s="1"/>
      <c r="V249" s="1"/>
      <c r="W249" s="1"/>
      <c r="X249" s="1"/>
      <c r="Y249" s="1"/>
      <c r="Z249" s="1"/>
      <c r="AA249" s="1"/>
      <c r="AB249" s="1"/>
      <c r="AC249" s="1"/>
      <c r="AD249" s="1"/>
      <c r="AE249" s="1"/>
      <c r="AF249" s="1"/>
      <c r="AG249" s="1"/>
      <c r="AH249" s="1"/>
    </row>
    <row r="250">
      <c r="A250" s="1"/>
      <c r="B250" s="1"/>
      <c r="C250" s="1"/>
      <c r="D250" s="1"/>
      <c r="E250" s="1"/>
      <c r="F250" s="1"/>
      <c r="G250" s="1"/>
      <c r="H250" s="1"/>
      <c r="I250" s="1"/>
      <c r="J250" s="5"/>
      <c r="K250" s="2"/>
      <c r="L250" s="1"/>
      <c r="M250" s="1"/>
      <c r="N250" s="1"/>
      <c r="O250" s="1"/>
      <c r="P250" s="1"/>
      <c r="Q250" s="1"/>
      <c r="R250" s="1"/>
      <c r="S250" s="1"/>
      <c r="T250" s="1"/>
      <c r="U250" s="1"/>
      <c r="V250" s="1"/>
      <c r="W250" s="1"/>
      <c r="X250" s="1"/>
      <c r="Y250" s="1"/>
      <c r="Z250" s="1"/>
      <c r="AA250" s="1"/>
      <c r="AB250" s="1"/>
      <c r="AC250" s="1"/>
      <c r="AD250" s="1"/>
      <c r="AE250" s="1"/>
      <c r="AF250" s="1"/>
      <c r="AG250" s="1"/>
      <c r="AH250" s="1"/>
    </row>
    <row r="251">
      <c r="A251" s="1"/>
      <c r="B251" s="1"/>
      <c r="C251" s="1"/>
      <c r="D251" s="1"/>
      <c r="E251" s="1"/>
      <c r="F251" s="1"/>
      <c r="G251" s="1"/>
      <c r="H251" s="1"/>
      <c r="I251" s="1"/>
      <c r="J251" s="5"/>
      <c r="K251" s="2"/>
      <c r="L251" s="1"/>
      <c r="M251" s="1"/>
      <c r="N251" s="1"/>
      <c r="O251" s="1"/>
      <c r="P251" s="1"/>
      <c r="Q251" s="1"/>
      <c r="R251" s="1"/>
      <c r="S251" s="1"/>
      <c r="T251" s="1"/>
      <c r="U251" s="1"/>
      <c r="V251" s="1"/>
      <c r="W251" s="1"/>
      <c r="X251" s="1"/>
      <c r="Y251" s="1"/>
      <c r="Z251" s="1"/>
      <c r="AA251" s="1"/>
      <c r="AB251" s="1"/>
      <c r="AC251" s="1"/>
      <c r="AD251" s="1"/>
      <c r="AE251" s="1"/>
      <c r="AF251" s="1"/>
      <c r="AG251" s="1"/>
      <c r="AH251" s="1"/>
    </row>
    <row r="252">
      <c r="A252" s="1"/>
      <c r="B252" s="1"/>
      <c r="C252" s="1"/>
      <c r="D252" s="1"/>
      <c r="E252" s="1"/>
      <c r="F252" s="1"/>
      <c r="G252" s="1"/>
      <c r="H252" s="1"/>
      <c r="I252" s="1"/>
      <c r="J252" s="5"/>
      <c r="K252" s="2"/>
      <c r="L252" s="1"/>
      <c r="M252" s="1"/>
      <c r="N252" s="1"/>
      <c r="O252" s="1"/>
      <c r="P252" s="1"/>
      <c r="Q252" s="1"/>
      <c r="R252" s="1"/>
      <c r="S252" s="1"/>
      <c r="T252" s="1"/>
      <c r="U252" s="1"/>
      <c r="V252" s="1"/>
      <c r="W252" s="1"/>
      <c r="X252" s="1"/>
      <c r="Y252" s="1"/>
      <c r="Z252" s="1"/>
      <c r="AA252" s="1"/>
      <c r="AB252" s="1"/>
      <c r="AC252" s="1"/>
      <c r="AD252" s="1"/>
      <c r="AE252" s="1"/>
      <c r="AF252" s="1"/>
      <c r="AG252" s="1"/>
      <c r="AH252" s="1"/>
    </row>
    <row r="253">
      <c r="A253" s="1"/>
      <c r="B253" s="1"/>
      <c r="C253" s="1"/>
      <c r="D253" s="1"/>
      <c r="E253" s="1"/>
      <c r="F253" s="1"/>
      <c r="G253" s="1"/>
      <c r="H253" s="1"/>
      <c r="I253" s="1"/>
      <c r="J253" s="5"/>
      <c r="K253" s="2"/>
      <c r="L253" s="1"/>
      <c r="M253" s="1"/>
      <c r="N253" s="1"/>
      <c r="O253" s="1"/>
      <c r="P253" s="1"/>
      <c r="Q253" s="1"/>
      <c r="R253" s="1"/>
      <c r="S253" s="1"/>
      <c r="T253" s="1"/>
      <c r="U253" s="1"/>
      <c r="V253" s="1"/>
      <c r="W253" s="1"/>
      <c r="X253" s="1"/>
      <c r="Y253" s="1"/>
      <c r="Z253" s="1"/>
      <c r="AA253" s="1"/>
      <c r="AB253" s="1"/>
      <c r="AC253" s="1"/>
      <c r="AD253" s="1"/>
      <c r="AE253" s="1"/>
      <c r="AF253" s="1"/>
      <c r="AG253" s="1"/>
      <c r="AH253" s="1"/>
    </row>
    <row r="254">
      <c r="A254" s="1"/>
      <c r="B254" s="1"/>
      <c r="C254" s="1"/>
      <c r="D254" s="1"/>
      <c r="E254" s="1"/>
      <c r="F254" s="1"/>
      <c r="G254" s="1"/>
      <c r="H254" s="1"/>
      <c r="I254" s="1"/>
      <c r="J254" s="5"/>
      <c r="K254" s="2"/>
      <c r="L254" s="1"/>
      <c r="M254" s="1"/>
      <c r="N254" s="1"/>
      <c r="O254" s="1"/>
      <c r="P254" s="1"/>
      <c r="Q254" s="1"/>
      <c r="R254" s="1"/>
      <c r="S254" s="1"/>
      <c r="T254" s="1"/>
      <c r="U254" s="1"/>
      <c r="V254" s="1"/>
      <c r="W254" s="1"/>
      <c r="X254" s="1"/>
      <c r="Y254" s="1"/>
      <c r="Z254" s="1"/>
      <c r="AA254" s="1"/>
      <c r="AB254" s="1"/>
      <c r="AC254" s="1"/>
      <c r="AD254" s="1"/>
      <c r="AE254" s="1"/>
      <c r="AF254" s="1"/>
      <c r="AG254" s="1"/>
      <c r="AH254" s="1"/>
    </row>
    <row r="255">
      <c r="A255" s="1"/>
      <c r="B255" s="1"/>
      <c r="C255" s="1"/>
      <c r="D255" s="1"/>
      <c r="E255" s="1"/>
      <c r="F255" s="1"/>
      <c r="G255" s="1"/>
      <c r="H255" s="1"/>
      <c r="I255" s="1"/>
      <c r="J255" s="5"/>
      <c r="K255" s="2"/>
      <c r="L255" s="1"/>
      <c r="M255" s="1"/>
      <c r="N255" s="1"/>
      <c r="O255" s="1"/>
      <c r="P255" s="1"/>
      <c r="Q255" s="1"/>
      <c r="R255" s="1"/>
      <c r="S255" s="1"/>
      <c r="T255" s="1"/>
      <c r="U255" s="1"/>
      <c r="V255" s="1"/>
      <c r="W255" s="1"/>
      <c r="X255" s="1"/>
      <c r="Y255" s="1"/>
      <c r="Z255" s="1"/>
      <c r="AA255" s="1"/>
      <c r="AB255" s="1"/>
      <c r="AC255" s="1"/>
      <c r="AD255" s="1"/>
      <c r="AE255" s="1"/>
      <c r="AF255" s="1"/>
      <c r="AG255" s="1"/>
      <c r="AH255" s="1"/>
    </row>
    <row r="256">
      <c r="A256" s="1"/>
      <c r="B256" s="1"/>
      <c r="C256" s="1"/>
      <c r="D256" s="1"/>
      <c r="E256" s="1"/>
      <c r="F256" s="1"/>
      <c r="G256" s="1"/>
      <c r="H256" s="1"/>
      <c r="I256" s="1"/>
      <c r="J256" s="5"/>
      <c r="K256" s="2"/>
      <c r="L256" s="1"/>
      <c r="M256" s="1"/>
      <c r="N256" s="1"/>
      <c r="O256" s="1"/>
      <c r="P256" s="1"/>
      <c r="Q256" s="1"/>
      <c r="R256" s="1"/>
      <c r="S256" s="1"/>
      <c r="T256" s="1"/>
      <c r="U256" s="1"/>
      <c r="V256" s="1"/>
      <c r="W256" s="1"/>
      <c r="X256" s="1"/>
      <c r="Y256" s="1"/>
      <c r="Z256" s="1"/>
      <c r="AA256" s="1"/>
      <c r="AB256" s="1"/>
      <c r="AC256" s="1"/>
      <c r="AD256" s="1"/>
      <c r="AE256" s="1"/>
      <c r="AF256" s="1"/>
      <c r="AG256" s="1"/>
      <c r="AH256" s="1"/>
    </row>
    <row r="257">
      <c r="A257" s="1"/>
      <c r="B257" s="1"/>
      <c r="C257" s="1"/>
      <c r="D257" s="1"/>
      <c r="E257" s="1"/>
      <c r="F257" s="1"/>
      <c r="G257" s="1"/>
      <c r="H257" s="1"/>
      <c r="I257" s="1"/>
      <c r="J257" s="5"/>
      <c r="K257" s="2"/>
      <c r="L257" s="1"/>
      <c r="M257" s="1"/>
      <c r="N257" s="1"/>
      <c r="O257" s="1"/>
      <c r="P257" s="1"/>
      <c r="Q257" s="1"/>
      <c r="R257" s="1"/>
      <c r="S257" s="1"/>
      <c r="T257" s="1"/>
      <c r="U257" s="1"/>
      <c r="V257" s="1"/>
      <c r="W257" s="1"/>
      <c r="X257" s="1"/>
      <c r="Y257" s="1"/>
      <c r="Z257" s="1"/>
      <c r="AA257" s="1"/>
      <c r="AB257" s="1"/>
      <c r="AC257" s="1"/>
      <c r="AD257" s="1"/>
      <c r="AE257" s="1"/>
      <c r="AF257" s="1"/>
      <c r="AG257" s="1"/>
      <c r="AH257" s="1"/>
    </row>
    <row r="258">
      <c r="A258" s="1"/>
      <c r="B258" s="1"/>
      <c r="C258" s="1"/>
      <c r="D258" s="1"/>
      <c r="E258" s="1"/>
      <c r="F258" s="1"/>
      <c r="G258" s="1"/>
      <c r="H258" s="1"/>
      <c r="I258" s="1"/>
      <c r="J258" s="5"/>
      <c r="K258" s="2"/>
      <c r="L258" s="1"/>
      <c r="M258" s="1"/>
      <c r="N258" s="1"/>
      <c r="O258" s="1"/>
      <c r="P258" s="1"/>
      <c r="Q258" s="1"/>
      <c r="R258" s="1"/>
      <c r="S258" s="1"/>
      <c r="T258" s="1"/>
      <c r="U258" s="1"/>
      <c r="V258" s="1"/>
      <c r="W258" s="1"/>
      <c r="X258" s="1"/>
      <c r="Y258" s="1"/>
      <c r="Z258" s="1"/>
      <c r="AA258" s="1"/>
      <c r="AB258" s="1"/>
      <c r="AC258" s="1"/>
      <c r="AD258" s="1"/>
      <c r="AE258" s="1"/>
      <c r="AF258" s="1"/>
      <c r="AG258" s="1"/>
      <c r="AH258" s="1"/>
    </row>
    <row r="259">
      <c r="A259" s="1"/>
      <c r="B259" s="1"/>
      <c r="C259" s="1"/>
      <c r="D259" s="1"/>
      <c r="E259" s="1"/>
      <c r="F259" s="1"/>
      <c r="G259" s="1"/>
      <c r="H259" s="1"/>
      <c r="I259" s="1"/>
      <c r="J259" s="5"/>
      <c r="K259" s="2"/>
      <c r="L259" s="1"/>
      <c r="M259" s="1"/>
      <c r="N259" s="1"/>
      <c r="O259" s="1"/>
      <c r="P259" s="1"/>
      <c r="Q259" s="1"/>
      <c r="R259" s="1"/>
      <c r="S259" s="1"/>
      <c r="T259" s="1"/>
      <c r="U259" s="1"/>
      <c r="V259" s="1"/>
      <c r="W259" s="1"/>
      <c r="X259" s="1"/>
      <c r="Y259" s="1"/>
      <c r="Z259" s="1"/>
      <c r="AA259" s="1"/>
      <c r="AB259" s="1"/>
      <c r="AC259" s="1"/>
      <c r="AD259" s="1"/>
      <c r="AE259" s="1"/>
      <c r="AF259" s="1"/>
      <c r="AG259" s="1"/>
      <c r="AH259" s="1"/>
    </row>
    <row r="260">
      <c r="A260" s="1"/>
      <c r="B260" s="1"/>
      <c r="C260" s="1"/>
      <c r="D260" s="1"/>
      <c r="E260" s="1"/>
      <c r="F260" s="1"/>
      <c r="G260" s="1"/>
      <c r="H260" s="1"/>
      <c r="I260" s="1"/>
      <c r="J260" s="5"/>
      <c r="K260" s="2"/>
      <c r="L260" s="1"/>
      <c r="M260" s="1"/>
      <c r="N260" s="1"/>
      <c r="O260" s="1"/>
      <c r="P260" s="1"/>
      <c r="Q260" s="1"/>
      <c r="R260" s="1"/>
      <c r="S260" s="1"/>
      <c r="T260" s="1"/>
      <c r="U260" s="1"/>
      <c r="V260" s="1"/>
      <c r="W260" s="1"/>
      <c r="X260" s="1"/>
      <c r="Y260" s="1"/>
      <c r="Z260" s="1"/>
      <c r="AA260" s="1"/>
      <c r="AB260" s="1"/>
      <c r="AC260" s="1"/>
      <c r="AD260" s="1"/>
      <c r="AE260" s="1"/>
      <c r="AF260" s="1"/>
      <c r="AG260" s="1"/>
      <c r="AH260" s="1"/>
    </row>
    <row r="261">
      <c r="A261" s="1"/>
      <c r="B261" s="1"/>
      <c r="C261" s="1"/>
      <c r="D261" s="1"/>
      <c r="E261" s="1"/>
      <c r="F261" s="1"/>
      <c r="G261" s="1"/>
      <c r="H261" s="1"/>
      <c r="I261" s="1"/>
      <c r="J261" s="5"/>
      <c r="K261" s="2"/>
      <c r="L261" s="1"/>
      <c r="M261" s="1"/>
      <c r="N261" s="1"/>
      <c r="O261" s="1"/>
      <c r="P261" s="1"/>
      <c r="Q261" s="1"/>
      <c r="R261" s="1"/>
      <c r="S261" s="1"/>
      <c r="T261" s="1"/>
      <c r="U261" s="1"/>
      <c r="V261" s="1"/>
      <c r="W261" s="1"/>
      <c r="X261" s="1"/>
      <c r="Y261" s="1"/>
      <c r="Z261" s="1"/>
      <c r="AA261" s="1"/>
      <c r="AB261" s="1"/>
      <c r="AC261" s="1"/>
      <c r="AD261" s="1"/>
      <c r="AE261" s="1"/>
      <c r="AF261" s="1"/>
      <c r="AG261" s="1"/>
      <c r="AH261" s="1"/>
    </row>
    <row r="262">
      <c r="A262" s="1"/>
      <c r="B262" s="1"/>
      <c r="C262" s="1"/>
      <c r="D262" s="1"/>
      <c r="E262" s="1"/>
      <c r="F262" s="1"/>
      <c r="G262" s="1"/>
      <c r="H262" s="1"/>
      <c r="I262" s="1"/>
      <c r="J262" s="5"/>
      <c r="K262" s="2"/>
      <c r="L262" s="1"/>
      <c r="M262" s="1"/>
      <c r="N262" s="1"/>
      <c r="O262" s="1"/>
      <c r="P262" s="1"/>
      <c r="Q262" s="1"/>
      <c r="R262" s="1"/>
      <c r="S262" s="1"/>
      <c r="T262" s="1"/>
      <c r="U262" s="1"/>
      <c r="V262" s="1"/>
      <c r="W262" s="1"/>
      <c r="X262" s="1"/>
      <c r="Y262" s="1"/>
      <c r="Z262" s="1"/>
      <c r="AA262" s="1"/>
      <c r="AB262" s="1"/>
      <c r="AC262" s="1"/>
      <c r="AD262" s="1"/>
      <c r="AE262" s="1"/>
      <c r="AF262" s="1"/>
      <c r="AG262" s="1"/>
      <c r="AH262" s="1"/>
    </row>
    <row r="263">
      <c r="A263" s="1"/>
      <c r="B263" s="1"/>
      <c r="C263" s="1"/>
      <c r="D263" s="1"/>
      <c r="E263" s="1"/>
      <c r="F263" s="1"/>
      <c r="G263" s="1"/>
      <c r="H263" s="1"/>
      <c r="I263" s="1"/>
      <c r="J263" s="5"/>
      <c r="K263" s="2"/>
      <c r="L263" s="1"/>
      <c r="M263" s="1"/>
      <c r="N263" s="1"/>
      <c r="O263" s="1"/>
      <c r="P263" s="1"/>
      <c r="Q263" s="1"/>
      <c r="R263" s="1"/>
      <c r="S263" s="1"/>
      <c r="T263" s="1"/>
      <c r="U263" s="1"/>
      <c r="V263" s="1"/>
      <c r="W263" s="1"/>
      <c r="X263" s="1"/>
      <c r="Y263" s="1"/>
      <c r="Z263" s="1"/>
      <c r="AA263" s="1"/>
      <c r="AB263" s="1"/>
      <c r="AC263" s="1"/>
      <c r="AD263" s="1"/>
      <c r="AE263" s="1"/>
      <c r="AF263" s="1"/>
      <c r="AG263" s="1"/>
      <c r="AH263" s="1"/>
    </row>
    <row r="264">
      <c r="A264" s="1"/>
      <c r="B264" s="1"/>
      <c r="C264" s="1"/>
      <c r="D264" s="1"/>
      <c r="E264" s="1"/>
      <c r="F264" s="1"/>
      <c r="G264" s="1"/>
      <c r="H264" s="1"/>
      <c r="I264" s="1"/>
      <c r="J264" s="5"/>
      <c r="K264" s="2"/>
      <c r="L264" s="1"/>
      <c r="M264" s="1"/>
      <c r="N264" s="1"/>
      <c r="O264" s="1"/>
      <c r="P264" s="1"/>
      <c r="Q264" s="1"/>
      <c r="R264" s="1"/>
      <c r="S264" s="1"/>
      <c r="T264" s="1"/>
      <c r="U264" s="1"/>
      <c r="V264" s="1"/>
      <c r="W264" s="1"/>
      <c r="X264" s="1"/>
      <c r="Y264" s="1"/>
      <c r="Z264" s="1"/>
      <c r="AA264" s="1"/>
      <c r="AB264" s="1"/>
      <c r="AC264" s="1"/>
      <c r="AD264" s="1"/>
      <c r="AE264" s="1"/>
      <c r="AF264" s="1"/>
      <c r="AG264" s="1"/>
      <c r="AH264" s="1"/>
    </row>
    <row r="265">
      <c r="A265" s="1"/>
      <c r="B265" s="1"/>
      <c r="C265" s="1"/>
      <c r="D265" s="1"/>
      <c r="E265" s="1"/>
      <c r="F265" s="1"/>
      <c r="G265" s="1"/>
      <c r="H265" s="1"/>
      <c r="I265" s="1"/>
      <c r="J265" s="5"/>
      <c r="K265" s="2"/>
      <c r="L265" s="1"/>
      <c r="M265" s="1"/>
      <c r="N265" s="1"/>
      <c r="O265" s="1"/>
      <c r="P265" s="1"/>
      <c r="Q265" s="1"/>
      <c r="R265" s="1"/>
      <c r="S265" s="1"/>
      <c r="T265" s="1"/>
      <c r="U265" s="1"/>
      <c r="V265" s="1"/>
      <c r="W265" s="1"/>
      <c r="X265" s="1"/>
      <c r="Y265" s="1"/>
      <c r="Z265" s="1"/>
      <c r="AA265" s="1"/>
      <c r="AB265" s="1"/>
      <c r="AC265" s="1"/>
      <c r="AD265" s="1"/>
      <c r="AE265" s="1"/>
      <c r="AF265" s="1"/>
      <c r="AG265" s="1"/>
      <c r="AH265" s="1"/>
    </row>
    <row r="266">
      <c r="A266" s="1"/>
      <c r="B266" s="1"/>
      <c r="C266" s="1"/>
      <c r="D266" s="1"/>
      <c r="E266" s="1"/>
      <c r="F266" s="1"/>
      <c r="G266" s="1"/>
      <c r="H266" s="1"/>
      <c r="I266" s="1"/>
      <c r="J266" s="5"/>
      <c r="K266" s="2"/>
      <c r="L266" s="1"/>
      <c r="M266" s="1"/>
      <c r="N266" s="1"/>
      <c r="O266" s="1"/>
      <c r="P266" s="1"/>
      <c r="Q266" s="1"/>
      <c r="R266" s="1"/>
      <c r="S266" s="1"/>
      <c r="T266" s="1"/>
      <c r="U266" s="1"/>
      <c r="V266" s="1"/>
      <c r="W266" s="1"/>
      <c r="X266" s="1"/>
      <c r="Y266" s="1"/>
      <c r="Z266" s="1"/>
      <c r="AA266" s="1"/>
      <c r="AB266" s="1"/>
      <c r="AC266" s="1"/>
      <c r="AD266" s="1"/>
      <c r="AE266" s="1"/>
      <c r="AF266" s="1"/>
      <c r="AG266" s="1"/>
      <c r="AH266" s="1"/>
    </row>
    <row r="267">
      <c r="A267" s="1"/>
      <c r="B267" s="1"/>
      <c r="C267" s="1"/>
      <c r="D267" s="1"/>
      <c r="E267" s="1"/>
      <c r="F267" s="1"/>
      <c r="G267" s="1"/>
      <c r="H267" s="1"/>
      <c r="I267" s="1"/>
      <c r="J267" s="5"/>
      <c r="K267" s="2"/>
      <c r="L267" s="1"/>
      <c r="M267" s="1"/>
      <c r="N267" s="1"/>
      <c r="O267" s="1"/>
      <c r="P267" s="1"/>
      <c r="Q267" s="1"/>
      <c r="R267" s="1"/>
      <c r="S267" s="1"/>
      <c r="T267" s="1"/>
      <c r="U267" s="1"/>
      <c r="V267" s="1"/>
      <c r="W267" s="1"/>
      <c r="X267" s="1"/>
      <c r="Y267" s="1"/>
      <c r="Z267" s="1"/>
      <c r="AA267" s="1"/>
      <c r="AB267" s="1"/>
      <c r="AC267" s="1"/>
      <c r="AD267" s="1"/>
      <c r="AE267" s="1"/>
      <c r="AF267" s="1"/>
      <c r="AG267" s="1"/>
      <c r="AH267" s="1"/>
    </row>
    <row r="268">
      <c r="A268" s="1"/>
      <c r="B268" s="1"/>
      <c r="C268" s="1"/>
      <c r="D268" s="1"/>
      <c r="E268" s="1"/>
      <c r="F268" s="1"/>
      <c r="G268" s="1"/>
      <c r="H268" s="1"/>
      <c r="I268" s="1"/>
      <c r="J268" s="5"/>
      <c r="K268" s="2"/>
      <c r="L268" s="1"/>
      <c r="M268" s="1"/>
      <c r="N268" s="1"/>
      <c r="O268" s="1"/>
      <c r="P268" s="1"/>
      <c r="Q268" s="1"/>
      <c r="R268" s="1"/>
      <c r="S268" s="1"/>
      <c r="T268" s="1"/>
      <c r="U268" s="1"/>
      <c r="V268" s="1"/>
      <c r="W268" s="1"/>
      <c r="X268" s="1"/>
      <c r="Y268" s="1"/>
      <c r="Z268" s="1"/>
      <c r="AA268" s="1"/>
      <c r="AB268" s="1"/>
      <c r="AC268" s="1"/>
      <c r="AD268" s="1"/>
      <c r="AE268" s="1"/>
      <c r="AF268" s="1"/>
      <c r="AG268" s="1"/>
      <c r="AH268" s="1"/>
    </row>
    <row r="269">
      <c r="A269" s="1"/>
      <c r="B269" s="1"/>
      <c r="C269" s="1"/>
      <c r="D269" s="1"/>
      <c r="E269" s="1"/>
      <c r="F269" s="1"/>
      <c r="G269" s="1"/>
      <c r="H269" s="1"/>
      <c r="I269" s="1"/>
      <c r="J269" s="5"/>
      <c r="K269" s="2"/>
      <c r="L269" s="1"/>
      <c r="M269" s="1"/>
      <c r="N269" s="1"/>
      <c r="O269" s="1"/>
      <c r="P269" s="1"/>
      <c r="Q269" s="1"/>
      <c r="R269" s="1"/>
      <c r="S269" s="1"/>
      <c r="T269" s="1"/>
      <c r="U269" s="1"/>
      <c r="V269" s="1"/>
      <c r="W269" s="1"/>
      <c r="X269" s="1"/>
      <c r="Y269" s="1"/>
      <c r="Z269" s="1"/>
      <c r="AA269" s="1"/>
      <c r="AB269" s="1"/>
      <c r="AC269" s="1"/>
      <c r="AD269" s="1"/>
      <c r="AE269" s="1"/>
      <c r="AF269" s="1"/>
      <c r="AG269" s="1"/>
      <c r="AH269" s="1"/>
    </row>
    <row r="270">
      <c r="A270" s="1"/>
      <c r="B270" s="1"/>
      <c r="C270" s="1"/>
      <c r="D270" s="1"/>
      <c r="E270" s="1"/>
      <c r="F270" s="1"/>
      <c r="G270" s="1"/>
      <c r="H270" s="1"/>
      <c r="I270" s="1"/>
      <c r="J270" s="5"/>
      <c r="K270" s="2"/>
      <c r="L270" s="1"/>
      <c r="M270" s="1"/>
      <c r="N270" s="1"/>
      <c r="O270" s="1"/>
      <c r="P270" s="1"/>
      <c r="Q270" s="1"/>
      <c r="R270" s="1"/>
      <c r="S270" s="1"/>
      <c r="T270" s="1"/>
      <c r="U270" s="1"/>
      <c r="V270" s="1"/>
      <c r="W270" s="1"/>
      <c r="X270" s="1"/>
      <c r="Y270" s="1"/>
      <c r="Z270" s="1"/>
      <c r="AA270" s="1"/>
      <c r="AB270" s="1"/>
      <c r="AC270" s="1"/>
      <c r="AD270" s="1"/>
      <c r="AE270" s="1"/>
      <c r="AF270" s="1"/>
      <c r="AG270" s="1"/>
      <c r="AH270" s="1"/>
    </row>
    <row r="271">
      <c r="A271" s="1"/>
      <c r="B271" s="1"/>
      <c r="C271" s="1"/>
      <c r="D271" s="1"/>
      <c r="E271" s="1"/>
      <c r="F271" s="1"/>
      <c r="G271" s="1"/>
      <c r="H271" s="1"/>
      <c r="I271" s="1"/>
      <c r="J271" s="5"/>
      <c r="K271" s="2"/>
      <c r="L271" s="1"/>
      <c r="M271" s="1"/>
      <c r="N271" s="1"/>
      <c r="O271" s="1"/>
      <c r="P271" s="1"/>
      <c r="Q271" s="1"/>
      <c r="R271" s="1"/>
      <c r="S271" s="1"/>
      <c r="T271" s="1"/>
      <c r="U271" s="1"/>
      <c r="V271" s="1"/>
      <c r="W271" s="1"/>
      <c r="X271" s="1"/>
      <c r="Y271" s="1"/>
      <c r="Z271" s="1"/>
      <c r="AA271" s="1"/>
      <c r="AB271" s="1"/>
      <c r="AC271" s="1"/>
      <c r="AD271" s="1"/>
      <c r="AE271" s="1"/>
      <c r="AF271" s="1"/>
      <c r="AG271" s="1"/>
      <c r="AH271" s="1"/>
    </row>
    <row r="272">
      <c r="A272" s="1"/>
      <c r="B272" s="1"/>
      <c r="C272" s="1"/>
      <c r="D272" s="1"/>
      <c r="E272" s="1"/>
      <c r="F272" s="1"/>
      <c r="G272" s="1"/>
      <c r="H272" s="1"/>
      <c r="I272" s="1"/>
      <c r="J272" s="5"/>
      <c r="K272" s="2"/>
      <c r="L272" s="1"/>
      <c r="M272" s="1"/>
      <c r="N272" s="1"/>
      <c r="O272" s="1"/>
      <c r="P272" s="1"/>
      <c r="Q272" s="1"/>
      <c r="R272" s="1"/>
      <c r="S272" s="1"/>
      <c r="T272" s="1"/>
      <c r="U272" s="1"/>
      <c r="V272" s="1"/>
      <c r="W272" s="1"/>
      <c r="X272" s="1"/>
      <c r="Y272" s="1"/>
      <c r="Z272" s="1"/>
      <c r="AA272" s="1"/>
      <c r="AB272" s="1"/>
      <c r="AC272" s="1"/>
      <c r="AD272" s="1"/>
      <c r="AE272" s="1"/>
      <c r="AF272" s="1"/>
      <c r="AG272" s="1"/>
      <c r="AH272" s="1"/>
    </row>
    <row r="273">
      <c r="A273" s="1"/>
      <c r="B273" s="1"/>
      <c r="C273" s="1"/>
      <c r="D273" s="1"/>
      <c r="E273" s="1"/>
      <c r="F273" s="1"/>
      <c r="G273" s="1"/>
      <c r="H273" s="1"/>
      <c r="I273" s="1"/>
      <c r="J273" s="5"/>
      <c r="K273" s="2"/>
      <c r="L273" s="1"/>
      <c r="M273" s="1"/>
      <c r="N273" s="1"/>
      <c r="O273" s="1"/>
      <c r="P273" s="1"/>
      <c r="Q273" s="1"/>
      <c r="R273" s="1"/>
      <c r="S273" s="1"/>
      <c r="T273" s="1"/>
      <c r="U273" s="1"/>
      <c r="V273" s="1"/>
      <c r="W273" s="1"/>
      <c r="X273" s="1"/>
      <c r="Y273" s="1"/>
      <c r="Z273" s="1"/>
      <c r="AA273" s="1"/>
      <c r="AB273" s="1"/>
      <c r="AC273" s="1"/>
      <c r="AD273" s="1"/>
      <c r="AE273" s="1"/>
      <c r="AF273" s="1"/>
      <c r="AG273" s="1"/>
      <c r="AH273" s="1"/>
    </row>
    <row r="274">
      <c r="A274" s="1"/>
      <c r="B274" s="1"/>
      <c r="C274" s="1"/>
      <c r="D274" s="1"/>
      <c r="E274" s="1"/>
      <c r="F274" s="1"/>
      <c r="G274" s="1"/>
      <c r="H274" s="1"/>
      <c r="I274" s="1"/>
      <c r="J274" s="5"/>
      <c r="K274" s="2"/>
      <c r="L274" s="1"/>
      <c r="M274" s="1"/>
      <c r="N274" s="1"/>
      <c r="O274" s="1"/>
      <c r="P274" s="1"/>
      <c r="Q274" s="1"/>
      <c r="R274" s="1"/>
      <c r="S274" s="1"/>
      <c r="T274" s="1"/>
      <c r="U274" s="1"/>
      <c r="V274" s="1"/>
      <c r="W274" s="1"/>
      <c r="X274" s="1"/>
      <c r="Y274" s="1"/>
      <c r="Z274" s="1"/>
      <c r="AA274" s="1"/>
      <c r="AB274" s="1"/>
      <c r="AC274" s="1"/>
      <c r="AD274" s="1"/>
      <c r="AE274" s="1"/>
      <c r="AF274" s="1"/>
      <c r="AG274" s="1"/>
      <c r="AH274" s="1"/>
    </row>
    <row r="275">
      <c r="A275" s="1"/>
      <c r="B275" s="1"/>
      <c r="C275" s="1"/>
      <c r="D275" s="1"/>
      <c r="E275" s="1"/>
      <c r="F275" s="1"/>
      <c r="G275" s="1"/>
      <c r="H275" s="1"/>
      <c r="I275" s="1"/>
      <c r="J275" s="5"/>
      <c r="K275" s="2"/>
      <c r="L275" s="1"/>
      <c r="M275" s="1"/>
      <c r="N275" s="1"/>
      <c r="O275" s="1"/>
      <c r="P275" s="1"/>
      <c r="Q275" s="1"/>
      <c r="R275" s="1"/>
      <c r="S275" s="1"/>
      <c r="T275" s="1"/>
      <c r="U275" s="1"/>
      <c r="V275" s="1"/>
      <c r="W275" s="1"/>
      <c r="X275" s="1"/>
      <c r="Y275" s="1"/>
      <c r="Z275" s="1"/>
      <c r="AA275" s="1"/>
      <c r="AB275" s="1"/>
      <c r="AC275" s="1"/>
      <c r="AD275" s="1"/>
      <c r="AE275" s="1"/>
      <c r="AF275" s="1"/>
      <c r="AG275" s="1"/>
      <c r="AH275" s="1"/>
    </row>
    <row r="276">
      <c r="A276" s="1"/>
      <c r="B276" s="1"/>
      <c r="C276" s="1"/>
      <c r="D276" s="1"/>
      <c r="E276" s="1"/>
      <c r="F276" s="1"/>
      <c r="G276" s="1"/>
      <c r="H276" s="1"/>
      <c r="I276" s="1"/>
      <c r="J276" s="5"/>
      <c r="K276" s="2"/>
      <c r="L276" s="1"/>
      <c r="M276" s="1"/>
      <c r="N276" s="1"/>
      <c r="O276" s="1"/>
      <c r="P276" s="1"/>
      <c r="Q276" s="1"/>
      <c r="R276" s="1"/>
      <c r="S276" s="1"/>
      <c r="T276" s="1"/>
      <c r="U276" s="1"/>
      <c r="V276" s="1"/>
      <c r="W276" s="1"/>
      <c r="X276" s="1"/>
      <c r="Y276" s="1"/>
      <c r="Z276" s="1"/>
      <c r="AA276" s="1"/>
      <c r="AB276" s="1"/>
      <c r="AC276" s="1"/>
      <c r="AD276" s="1"/>
      <c r="AE276" s="1"/>
      <c r="AF276" s="1"/>
      <c r="AG276" s="1"/>
      <c r="AH276" s="1"/>
    </row>
    <row r="277">
      <c r="A277" s="1"/>
      <c r="B277" s="1"/>
      <c r="C277" s="1"/>
      <c r="D277" s="1"/>
      <c r="E277" s="1"/>
      <c r="F277" s="1"/>
      <c r="G277" s="1"/>
      <c r="H277" s="1"/>
      <c r="I277" s="1"/>
      <c r="J277" s="5"/>
      <c r="K277" s="2"/>
      <c r="L277" s="1"/>
      <c r="M277" s="1"/>
      <c r="N277" s="1"/>
      <c r="O277" s="1"/>
      <c r="P277" s="1"/>
      <c r="Q277" s="1"/>
      <c r="R277" s="1"/>
      <c r="S277" s="1"/>
      <c r="T277" s="1"/>
      <c r="U277" s="1"/>
      <c r="V277" s="1"/>
      <c r="W277" s="1"/>
      <c r="X277" s="1"/>
      <c r="Y277" s="1"/>
      <c r="Z277" s="1"/>
      <c r="AA277" s="1"/>
      <c r="AB277" s="1"/>
      <c r="AC277" s="1"/>
      <c r="AD277" s="1"/>
      <c r="AE277" s="1"/>
      <c r="AF277" s="1"/>
      <c r="AG277" s="1"/>
      <c r="AH277" s="1"/>
    </row>
    <row r="278">
      <c r="A278" s="1"/>
      <c r="B278" s="1"/>
      <c r="C278" s="1"/>
      <c r="D278" s="1"/>
      <c r="E278" s="1"/>
      <c r="F278" s="1"/>
      <c r="G278" s="1"/>
      <c r="H278" s="1"/>
      <c r="I278" s="1"/>
      <c r="J278" s="5"/>
      <c r="K278" s="2"/>
      <c r="L278" s="1"/>
      <c r="M278" s="1"/>
      <c r="N278" s="1"/>
      <c r="O278" s="1"/>
      <c r="P278" s="1"/>
      <c r="Q278" s="1"/>
      <c r="R278" s="1"/>
      <c r="S278" s="1"/>
      <c r="T278" s="1"/>
      <c r="U278" s="1"/>
      <c r="V278" s="1"/>
      <c r="W278" s="1"/>
      <c r="X278" s="1"/>
      <c r="Y278" s="1"/>
      <c r="Z278" s="1"/>
      <c r="AA278" s="1"/>
      <c r="AB278" s="1"/>
      <c r="AC278" s="1"/>
      <c r="AD278" s="1"/>
      <c r="AE278" s="1"/>
      <c r="AF278" s="1"/>
      <c r="AG278" s="1"/>
      <c r="AH278" s="1"/>
    </row>
    <row r="279">
      <c r="A279" s="1"/>
      <c r="B279" s="1"/>
      <c r="C279" s="1"/>
      <c r="D279" s="1"/>
      <c r="E279" s="1"/>
      <c r="F279" s="1"/>
      <c r="G279" s="1"/>
      <c r="H279" s="1"/>
      <c r="I279" s="1"/>
      <c r="J279" s="5"/>
      <c r="K279" s="2"/>
      <c r="L279" s="1"/>
      <c r="M279" s="1"/>
      <c r="N279" s="1"/>
      <c r="O279" s="1"/>
      <c r="P279" s="1"/>
      <c r="Q279" s="1"/>
      <c r="R279" s="1"/>
      <c r="S279" s="1"/>
      <c r="T279" s="1"/>
      <c r="U279" s="1"/>
      <c r="V279" s="1"/>
      <c r="W279" s="1"/>
      <c r="X279" s="1"/>
      <c r="Y279" s="1"/>
      <c r="Z279" s="1"/>
      <c r="AA279" s="1"/>
      <c r="AB279" s="1"/>
      <c r="AC279" s="1"/>
      <c r="AD279" s="1"/>
      <c r="AE279" s="1"/>
      <c r="AF279" s="1"/>
      <c r="AG279" s="1"/>
      <c r="AH279" s="1"/>
    </row>
    <row r="280">
      <c r="A280" s="1"/>
      <c r="B280" s="1"/>
      <c r="C280" s="1"/>
      <c r="D280" s="1"/>
      <c r="E280" s="1"/>
      <c r="F280" s="1"/>
      <c r="G280" s="1"/>
      <c r="H280" s="1"/>
      <c r="I280" s="1"/>
      <c r="J280" s="5"/>
      <c r="K280" s="2"/>
      <c r="L280" s="1"/>
      <c r="M280" s="1"/>
      <c r="N280" s="1"/>
      <c r="O280" s="1"/>
      <c r="P280" s="1"/>
      <c r="Q280" s="1"/>
      <c r="R280" s="1"/>
      <c r="S280" s="1"/>
      <c r="T280" s="1"/>
      <c r="U280" s="1"/>
      <c r="V280" s="1"/>
      <c r="W280" s="1"/>
      <c r="X280" s="1"/>
      <c r="Y280" s="1"/>
      <c r="Z280" s="1"/>
      <c r="AA280" s="1"/>
      <c r="AB280" s="1"/>
      <c r="AC280" s="1"/>
      <c r="AD280" s="1"/>
      <c r="AE280" s="1"/>
      <c r="AF280" s="1"/>
      <c r="AG280" s="1"/>
      <c r="AH280" s="1"/>
    </row>
    <row r="281">
      <c r="A281" s="1"/>
      <c r="B281" s="1"/>
      <c r="C281" s="1"/>
      <c r="D281" s="1"/>
      <c r="E281" s="1"/>
      <c r="F281" s="1"/>
      <c r="G281" s="1"/>
      <c r="H281" s="1"/>
      <c r="I281" s="1"/>
      <c r="J281" s="5"/>
      <c r="K281" s="2"/>
      <c r="L281" s="1"/>
      <c r="M281" s="1"/>
      <c r="N281" s="1"/>
      <c r="O281" s="1"/>
      <c r="P281" s="1"/>
      <c r="Q281" s="1"/>
      <c r="R281" s="1"/>
      <c r="S281" s="1"/>
      <c r="T281" s="1"/>
      <c r="U281" s="1"/>
      <c r="V281" s="1"/>
      <c r="W281" s="1"/>
      <c r="X281" s="1"/>
      <c r="Y281" s="1"/>
      <c r="Z281" s="1"/>
      <c r="AA281" s="1"/>
      <c r="AB281" s="1"/>
      <c r="AC281" s="1"/>
      <c r="AD281" s="1"/>
      <c r="AE281" s="1"/>
      <c r="AF281" s="1"/>
      <c r="AG281" s="1"/>
      <c r="AH281" s="1"/>
    </row>
    <row r="282">
      <c r="A282" s="1"/>
      <c r="B282" s="1"/>
      <c r="C282" s="1"/>
      <c r="D282" s="1"/>
      <c r="E282" s="1"/>
      <c r="F282" s="1"/>
      <c r="G282" s="1"/>
      <c r="H282" s="1"/>
      <c r="I282" s="1"/>
      <c r="J282" s="5"/>
      <c r="K282" s="2"/>
      <c r="L282" s="1"/>
      <c r="M282" s="1"/>
      <c r="N282" s="1"/>
      <c r="O282" s="1"/>
      <c r="P282" s="1"/>
      <c r="Q282" s="1"/>
      <c r="R282" s="1"/>
      <c r="S282" s="1"/>
      <c r="T282" s="1"/>
      <c r="U282" s="1"/>
      <c r="V282" s="1"/>
      <c r="W282" s="1"/>
      <c r="X282" s="1"/>
      <c r="Y282" s="1"/>
      <c r="Z282" s="1"/>
      <c r="AA282" s="1"/>
      <c r="AB282" s="1"/>
      <c r="AC282" s="1"/>
      <c r="AD282" s="1"/>
      <c r="AE282" s="1"/>
      <c r="AF282" s="1"/>
      <c r="AG282" s="1"/>
      <c r="AH282" s="1"/>
    </row>
    <row r="283">
      <c r="A283" s="1"/>
      <c r="B283" s="1"/>
      <c r="C283" s="1"/>
      <c r="D283" s="1"/>
      <c r="E283" s="1"/>
      <c r="F283" s="1"/>
      <c r="G283" s="1"/>
      <c r="H283" s="1"/>
      <c r="I283" s="1"/>
      <c r="J283" s="5"/>
      <c r="K283" s="2"/>
      <c r="L283" s="1"/>
      <c r="M283" s="1"/>
      <c r="N283" s="1"/>
      <c r="O283" s="1"/>
      <c r="P283" s="1"/>
      <c r="Q283" s="1"/>
      <c r="R283" s="1"/>
      <c r="S283" s="1"/>
      <c r="T283" s="1"/>
      <c r="U283" s="1"/>
      <c r="V283" s="1"/>
      <c r="W283" s="1"/>
      <c r="X283" s="1"/>
      <c r="Y283" s="1"/>
      <c r="Z283" s="1"/>
      <c r="AA283" s="1"/>
      <c r="AB283" s="1"/>
      <c r="AC283" s="1"/>
      <c r="AD283" s="1"/>
      <c r="AE283" s="1"/>
      <c r="AF283" s="1"/>
      <c r="AG283" s="1"/>
      <c r="AH283" s="1"/>
    </row>
    <row r="284">
      <c r="A284" s="1"/>
      <c r="B284" s="1"/>
      <c r="C284" s="1"/>
      <c r="D284" s="1"/>
      <c r="E284" s="1"/>
      <c r="F284" s="1"/>
      <c r="G284" s="1"/>
      <c r="H284" s="1"/>
      <c r="I284" s="1"/>
      <c r="J284" s="5"/>
      <c r="K284" s="2"/>
      <c r="L284" s="1"/>
      <c r="M284" s="1"/>
      <c r="N284" s="1"/>
      <c r="O284" s="1"/>
      <c r="P284" s="1"/>
      <c r="Q284" s="1"/>
      <c r="R284" s="1"/>
      <c r="S284" s="1"/>
      <c r="T284" s="1"/>
      <c r="U284" s="1"/>
      <c r="V284" s="1"/>
      <c r="W284" s="1"/>
      <c r="X284" s="1"/>
      <c r="Y284" s="1"/>
      <c r="Z284" s="1"/>
      <c r="AA284" s="1"/>
      <c r="AB284" s="1"/>
      <c r="AC284" s="1"/>
      <c r="AD284" s="1"/>
      <c r="AE284" s="1"/>
      <c r="AF284" s="1"/>
      <c r="AG284" s="1"/>
      <c r="AH284" s="1"/>
    </row>
    <row r="285">
      <c r="A285" s="1"/>
      <c r="B285" s="1"/>
      <c r="C285" s="1"/>
      <c r="D285" s="1"/>
      <c r="E285" s="1"/>
      <c r="F285" s="1"/>
      <c r="G285" s="1"/>
      <c r="H285" s="1"/>
      <c r="I285" s="1"/>
      <c r="J285" s="5"/>
      <c r="K285" s="2"/>
      <c r="L285" s="1"/>
      <c r="M285" s="1"/>
      <c r="N285" s="1"/>
      <c r="O285" s="1"/>
      <c r="P285" s="1"/>
      <c r="Q285" s="1"/>
      <c r="R285" s="1"/>
      <c r="S285" s="1"/>
      <c r="T285" s="1"/>
      <c r="U285" s="1"/>
      <c r="V285" s="1"/>
      <c r="W285" s="1"/>
      <c r="X285" s="1"/>
      <c r="Y285" s="1"/>
      <c r="Z285" s="1"/>
      <c r="AA285" s="1"/>
      <c r="AB285" s="1"/>
      <c r="AC285" s="1"/>
      <c r="AD285" s="1"/>
      <c r="AE285" s="1"/>
      <c r="AF285" s="1"/>
      <c r="AG285" s="1"/>
      <c r="AH285" s="1"/>
    </row>
    <row r="286">
      <c r="A286" s="1"/>
      <c r="B286" s="1"/>
      <c r="C286" s="1"/>
      <c r="D286" s="1"/>
      <c r="E286" s="1"/>
      <c r="F286" s="1"/>
      <c r="G286" s="1"/>
      <c r="H286" s="1"/>
      <c r="I286" s="1"/>
      <c r="J286" s="5"/>
      <c r="K286" s="2"/>
      <c r="L286" s="1"/>
      <c r="M286" s="1"/>
      <c r="N286" s="1"/>
      <c r="O286" s="1"/>
      <c r="P286" s="1"/>
      <c r="Q286" s="1"/>
      <c r="R286" s="1"/>
      <c r="S286" s="1"/>
      <c r="T286" s="1"/>
      <c r="U286" s="1"/>
      <c r="V286" s="1"/>
      <c r="W286" s="1"/>
      <c r="X286" s="1"/>
      <c r="Y286" s="1"/>
      <c r="Z286" s="1"/>
      <c r="AA286" s="1"/>
      <c r="AB286" s="1"/>
      <c r="AC286" s="1"/>
      <c r="AD286" s="1"/>
      <c r="AE286" s="1"/>
      <c r="AF286" s="1"/>
      <c r="AG286" s="1"/>
      <c r="AH286" s="1"/>
    </row>
    <row r="287">
      <c r="A287" s="1"/>
      <c r="B287" s="1"/>
      <c r="C287" s="1"/>
      <c r="D287" s="1"/>
      <c r="E287" s="1"/>
      <c r="F287" s="1"/>
      <c r="G287" s="1"/>
      <c r="H287" s="1"/>
      <c r="I287" s="1"/>
      <c r="J287" s="5"/>
      <c r="K287" s="2"/>
      <c r="L287" s="1"/>
      <c r="M287" s="1"/>
      <c r="N287" s="1"/>
      <c r="O287" s="1"/>
      <c r="P287" s="1"/>
      <c r="Q287" s="1"/>
      <c r="R287" s="1"/>
      <c r="S287" s="1"/>
      <c r="T287" s="1"/>
      <c r="U287" s="1"/>
      <c r="V287" s="1"/>
      <c r="W287" s="1"/>
      <c r="X287" s="1"/>
      <c r="Y287" s="1"/>
      <c r="Z287" s="1"/>
      <c r="AA287" s="1"/>
      <c r="AB287" s="1"/>
      <c r="AC287" s="1"/>
      <c r="AD287" s="1"/>
      <c r="AE287" s="1"/>
      <c r="AF287" s="1"/>
      <c r="AG287" s="1"/>
      <c r="AH287" s="1"/>
    </row>
    <row r="288">
      <c r="A288" s="1"/>
      <c r="B288" s="1"/>
      <c r="C288" s="1"/>
      <c r="D288" s="1"/>
      <c r="E288" s="1"/>
      <c r="F288" s="1"/>
      <c r="G288" s="1"/>
      <c r="H288" s="1"/>
      <c r="I288" s="1"/>
      <c r="J288" s="5"/>
      <c r="K288" s="2"/>
      <c r="L288" s="1"/>
      <c r="M288" s="1"/>
      <c r="N288" s="1"/>
      <c r="O288" s="1"/>
      <c r="P288" s="1"/>
      <c r="Q288" s="1"/>
      <c r="R288" s="1"/>
      <c r="S288" s="1"/>
      <c r="T288" s="1"/>
      <c r="U288" s="1"/>
      <c r="V288" s="1"/>
      <c r="W288" s="1"/>
      <c r="X288" s="1"/>
      <c r="Y288" s="1"/>
      <c r="Z288" s="1"/>
      <c r="AA288" s="1"/>
      <c r="AB288" s="1"/>
      <c r="AC288" s="1"/>
      <c r="AD288" s="1"/>
      <c r="AE288" s="1"/>
      <c r="AF288" s="1"/>
      <c r="AG288" s="1"/>
      <c r="AH288" s="1"/>
    </row>
    <row r="289">
      <c r="A289" s="1"/>
      <c r="B289" s="1"/>
      <c r="C289" s="1"/>
      <c r="D289" s="1"/>
      <c r="E289" s="1"/>
      <c r="F289" s="1"/>
      <c r="G289" s="1"/>
      <c r="H289" s="1"/>
      <c r="I289" s="1"/>
      <c r="J289" s="5"/>
      <c r="K289" s="2"/>
      <c r="L289" s="1"/>
      <c r="M289" s="1"/>
      <c r="N289" s="1"/>
      <c r="O289" s="1"/>
      <c r="P289" s="1"/>
      <c r="Q289" s="1"/>
      <c r="R289" s="1"/>
      <c r="S289" s="1"/>
      <c r="T289" s="1"/>
      <c r="U289" s="1"/>
      <c r="V289" s="1"/>
      <c r="W289" s="1"/>
      <c r="X289" s="1"/>
      <c r="Y289" s="1"/>
      <c r="Z289" s="1"/>
      <c r="AA289" s="1"/>
      <c r="AB289" s="1"/>
      <c r="AC289" s="1"/>
      <c r="AD289" s="1"/>
      <c r="AE289" s="1"/>
      <c r="AF289" s="1"/>
      <c r="AG289" s="1"/>
      <c r="AH289" s="1"/>
    </row>
    <row r="290">
      <c r="A290" s="1"/>
      <c r="B290" s="1"/>
      <c r="C290" s="1"/>
      <c r="D290" s="1"/>
      <c r="E290" s="1"/>
      <c r="F290" s="1"/>
      <c r="G290" s="1"/>
      <c r="H290" s="1"/>
      <c r="I290" s="1"/>
      <c r="J290" s="5"/>
      <c r="K290" s="2"/>
      <c r="L290" s="1"/>
      <c r="M290" s="1"/>
      <c r="N290" s="1"/>
      <c r="O290" s="1"/>
      <c r="P290" s="1"/>
      <c r="Q290" s="1"/>
      <c r="R290" s="1"/>
      <c r="S290" s="1"/>
      <c r="T290" s="1"/>
      <c r="U290" s="1"/>
      <c r="V290" s="1"/>
      <c r="W290" s="1"/>
      <c r="X290" s="1"/>
      <c r="Y290" s="1"/>
      <c r="Z290" s="1"/>
      <c r="AA290" s="1"/>
      <c r="AB290" s="1"/>
      <c r="AC290" s="1"/>
      <c r="AD290" s="1"/>
      <c r="AE290" s="1"/>
      <c r="AF290" s="1"/>
      <c r="AG290" s="1"/>
      <c r="AH290" s="1"/>
    </row>
    <row r="291">
      <c r="A291" s="1"/>
      <c r="B291" s="1"/>
      <c r="C291" s="1"/>
      <c r="D291" s="1"/>
      <c r="E291" s="1"/>
      <c r="F291" s="1"/>
      <c r="G291" s="1"/>
      <c r="H291" s="1"/>
      <c r="I291" s="1"/>
      <c r="J291" s="5"/>
      <c r="K291" s="2"/>
      <c r="L291" s="1"/>
      <c r="M291" s="1"/>
      <c r="N291" s="1"/>
      <c r="O291" s="1"/>
      <c r="P291" s="1"/>
      <c r="Q291" s="1"/>
      <c r="R291" s="1"/>
      <c r="S291" s="1"/>
      <c r="T291" s="1"/>
      <c r="U291" s="1"/>
      <c r="V291" s="1"/>
      <c r="W291" s="1"/>
      <c r="X291" s="1"/>
      <c r="Y291" s="1"/>
      <c r="Z291" s="1"/>
      <c r="AA291" s="1"/>
      <c r="AB291" s="1"/>
      <c r="AC291" s="1"/>
      <c r="AD291" s="1"/>
      <c r="AE291" s="1"/>
      <c r="AF291" s="1"/>
      <c r="AG291" s="1"/>
      <c r="AH291" s="1"/>
    </row>
    <row r="292">
      <c r="A292" s="1"/>
      <c r="B292" s="1"/>
      <c r="C292" s="1"/>
      <c r="D292" s="1"/>
      <c r="E292" s="1"/>
      <c r="F292" s="1"/>
      <c r="G292" s="1"/>
      <c r="H292" s="1"/>
      <c r="I292" s="1"/>
      <c r="J292" s="5"/>
      <c r="K292" s="2"/>
      <c r="L292" s="1"/>
      <c r="M292" s="1"/>
      <c r="N292" s="1"/>
      <c r="O292" s="1"/>
      <c r="P292" s="1"/>
      <c r="Q292" s="1"/>
      <c r="R292" s="1"/>
      <c r="S292" s="1"/>
      <c r="T292" s="1"/>
      <c r="U292" s="1"/>
      <c r="V292" s="1"/>
      <c r="W292" s="1"/>
      <c r="X292" s="1"/>
      <c r="Y292" s="1"/>
      <c r="Z292" s="1"/>
      <c r="AA292" s="1"/>
      <c r="AB292" s="1"/>
      <c r="AC292" s="1"/>
      <c r="AD292" s="1"/>
      <c r="AE292" s="1"/>
      <c r="AF292" s="1"/>
      <c r="AG292" s="1"/>
      <c r="AH292" s="1"/>
    </row>
    <row r="293">
      <c r="A293" s="1"/>
      <c r="B293" s="1"/>
      <c r="C293" s="1"/>
      <c r="D293" s="1"/>
      <c r="E293" s="1"/>
      <c r="F293" s="1"/>
      <c r="G293" s="1"/>
      <c r="H293" s="1"/>
      <c r="I293" s="1"/>
      <c r="J293" s="5"/>
      <c r="K293" s="2"/>
      <c r="L293" s="1"/>
      <c r="M293" s="1"/>
      <c r="N293" s="1"/>
      <c r="O293" s="1"/>
      <c r="P293" s="1"/>
      <c r="Q293" s="1"/>
      <c r="R293" s="1"/>
      <c r="S293" s="1"/>
      <c r="T293" s="1"/>
      <c r="U293" s="1"/>
      <c r="V293" s="1"/>
      <c r="W293" s="1"/>
      <c r="X293" s="1"/>
      <c r="Y293" s="1"/>
      <c r="Z293" s="1"/>
      <c r="AA293" s="1"/>
      <c r="AB293" s="1"/>
      <c r="AC293" s="1"/>
      <c r="AD293" s="1"/>
      <c r="AE293" s="1"/>
      <c r="AF293" s="1"/>
      <c r="AG293" s="1"/>
      <c r="AH293" s="1"/>
    </row>
    <row r="294">
      <c r="A294" s="1"/>
      <c r="B294" s="1"/>
      <c r="C294" s="1"/>
      <c r="D294" s="1"/>
      <c r="E294" s="1"/>
      <c r="F294" s="1"/>
      <c r="G294" s="1"/>
      <c r="H294" s="1"/>
      <c r="I294" s="1"/>
      <c r="J294" s="5"/>
      <c r="K294" s="2"/>
      <c r="L294" s="1"/>
      <c r="M294" s="1"/>
      <c r="N294" s="1"/>
      <c r="O294" s="1"/>
      <c r="P294" s="1"/>
      <c r="Q294" s="1"/>
      <c r="R294" s="1"/>
      <c r="S294" s="1"/>
      <c r="T294" s="1"/>
      <c r="U294" s="1"/>
      <c r="V294" s="1"/>
      <c r="W294" s="1"/>
      <c r="X294" s="1"/>
      <c r="Y294" s="1"/>
      <c r="Z294" s="1"/>
      <c r="AA294" s="1"/>
      <c r="AB294" s="1"/>
      <c r="AC294" s="1"/>
      <c r="AD294" s="1"/>
      <c r="AE294" s="1"/>
      <c r="AF294" s="1"/>
      <c r="AG294" s="1"/>
      <c r="AH294" s="1"/>
    </row>
    <row r="295">
      <c r="A295" s="1"/>
      <c r="B295" s="1"/>
      <c r="C295" s="1"/>
      <c r="D295" s="1"/>
      <c r="E295" s="1"/>
      <c r="F295" s="1"/>
      <c r="G295" s="1"/>
      <c r="H295" s="1"/>
      <c r="I295" s="1"/>
      <c r="J295" s="5"/>
      <c r="K295" s="2"/>
      <c r="L295" s="1"/>
      <c r="M295" s="1"/>
      <c r="N295" s="1"/>
      <c r="O295" s="1"/>
      <c r="P295" s="1"/>
      <c r="Q295" s="1"/>
      <c r="R295" s="1"/>
      <c r="S295" s="1"/>
      <c r="T295" s="1"/>
      <c r="U295" s="1"/>
      <c r="V295" s="1"/>
      <c r="W295" s="1"/>
      <c r="X295" s="1"/>
      <c r="Y295" s="1"/>
      <c r="Z295" s="1"/>
      <c r="AA295" s="1"/>
      <c r="AB295" s="1"/>
      <c r="AC295" s="1"/>
      <c r="AD295" s="1"/>
      <c r="AE295" s="1"/>
      <c r="AF295" s="1"/>
      <c r="AG295" s="1"/>
      <c r="AH295" s="1"/>
    </row>
    <row r="296">
      <c r="A296" s="1"/>
      <c r="B296" s="1"/>
      <c r="C296" s="1"/>
      <c r="D296" s="1"/>
      <c r="E296" s="1"/>
      <c r="F296" s="1"/>
      <c r="G296" s="1"/>
      <c r="H296" s="1"/>
      <c r="I296" s="1"/>
      <c r="J296" s="5"/>
      <c r="K296" s="2"/>
      <c r="L296" s="1"/>
      <c r="M296" s="1"/>
      <c r="N296" s="1"/>
      <c r="O296" s="1"/>
      <c r="P296" s="1"/>
      <c r="Q296" s="1"/>
      <c r="R296" s="1"/>
      <c r="S296" s="1"/>
      <c r="T296" s="1"/>
      <c r="U296" s="1"/>
      <c r="V296" s="1"/>
      <c r="W296" s="1"/>
      <c r="X296" s="1"/>
      <c r="Y296" s="1"/>
      <c r="Z296" s="1"/>
      <c r="AA296" s="1"/>
      <c r="AB296" s="1"/>
      <c r="AC296" s="1"/>
      <c r="AD296" s="1"/>
      <c r="AE296" s="1"/>
      <c r="AF296" s="1"/>
      <c r="AG296" s="1"/>
      <c r="AH296" s="1"/>
    </row>
    <row r="297">
      <c r="A297" s="1"/>
      <c r="B297" s="1"/>
      <c r="C297" s="1"/>
      <c r="D297" s="1"/>
      <c r="E297" s="1"/>
      <c r="F297" s="1"/>
      <c r="G297" s="1"/>
      <c r="H297" s="1"/>
      <c r="I297" s="1"/>
      <c r="J297" s="5"/>
      <c r="K297" s="2"/>
      <c r="L297" s="1"/>
      <c r="M297" s="1"/>
      <c r="N297" s="1"/>
      <c r="O297" s="1"/>
      <c r="P297" s="1"/>
      <c r="Q297" s="1"/>
      <c r="R297" s="1"/>
      <c r="S297" s="1"/>
      <c r="T297" s="1"/>
      <c r="U297" s="1"/>
      <c r="V297" s="1"/>
      <c r="W297" s="1"/>
      <c r="X297" s="1"/>
      <c r="Y297" s="1"/>
      <c r="Z297" s="1"/>
      <c r="AA297" s="1"/>
      <c r="AB297" s="1"/>
      <c r="AC297" s="1"/>
      <c r="AD297" s="1"/>
      <c r="AE297" s="1"/>
      <c r="AF297" s="1"/>
      <c r="AG297" s="1"/>
      <c r="AH297" s="1"/>
    </row>
    <row r="298">
      <c r="A298" s="1"/>
      <c r="B298" s="1"/>
      <c r="C298" s="1"/>
      <c r="D298" s="1"/>
      <c r="E298" s="1"/>
      <c r="F298" s="1"/>
      <c r="G298" s="1"/>
      <c r="H298" s="1"/>
      <c r="I298" s="1"/>
      <c r="J298" s="5"/>
      <c r="K298" s="2"/>
      <c r="L298" s="1"/>
      <c r="M298" s="1"/>
      <c r="N298" s="1"/>
      <c r="O298" s="1"/>
      <c r="P298" s="1"/>
      <c r="Q298" s="1"/>
      <c r="R298" s="1"/>
      <c r="S298" s="1"/>
      <c r="T298" s="1"/>
      <c r="U298" s="1"/>
      <c r="V298" s="1"/>
      <c r="W298" s="1"/>
      <c r="X298" s="1"/>
      <c r="Y298" s="1"/>
      <c r="Z298" s="1"/>
      <c r="AA298" s="1"/>
      <c r="AB298" s="1"/>
      <c r="AC298" s="1"/>
      <c r="AD298" s="1"/>
      <c r="AE298" s="1"/>
      <c r="AF298" s="1"/>
      <c r="AG298" s="1"/>
      <c r="AH298" s="1"/>
    </row>
    <row r="299">
      <c r="A299" s="1"/>
      <c r="B299" s="1"/>
      <c r="C299" s="1"/>
      <c r="D299" s="1"/>
      <c r="E299" s="1"/>
      <c r="F299" s="1"/>
      <c r="G299" s="1"/>
      <c r="H299" s="1"/>
      <c r="I299" s="1"/>
      <c r="J299" s="5"/>
      <c r="K299" s="2"/>
      <c r="L299" s="1"/>
      <c r="M299" s="1"/>
      <c r="N299" s="1"/>
      <c r="O299" s="1"/>
      <c r="P299" s="1"/>
      <c r="Q299" s="1"/>
      <c r="R299" s="1"/>
      <c r="S299" s="1"/>
      <c r="T299" s="1"/>
      <c r="U299" s="1"/>
      <c r="V299" s="1"/>
      <c r="W299" s="1"/>
      <c r="X299" s="1"/>
      <c r="Y299" s="1"/>
      <c r="Z299" s="1"/>
      <c r="AA299" s="1"/>
      <c r="AB299" s="1"/>
      <c r="AC299" s="1"/>
      <c r="AD299" s="1"/>
      <c r="AE299" s="1"/>
      <c r="AF299" s="1"/>
      <c r="AG299" s="1"/>
      <c r="AH299" s="1"/>
    </row>
    <row r="300">
      <c r="A300" s="1"/>
      <c r="B300" s="1"/>
      <c r="C300" s="1"/>
      <c r="D300" s="1"/>
      <c r="E300" s="1"/>
      <c r="F300" s="1"/>
      <c r="G300" s="1"/>
      <c r="H300" s="1"/>
      <c r="I300" s="1"/>
      <c r="J300" s="5"/>
      <c r="K300" s="2"/>
      <c r="L300" s="1"/>
      <c r="M300" s="1"/>
      <c r="N300" s="1"/>
      <c r="O300" s="1"/>
      <c r="P300" s="1"/>
      <c r="Q300" s="1"/>
      <c r="R300" s="1"/>
      <c r="S300" s="1"/>
      <c r="T300" s="1"/>
      <c r="U300" s="1"/>
      <c r="V300" s="1"/>
      <c r="W300" s="1"/>
      <c r="X300" s="1"/>
      <c r="Y300" s="1"/>
      <c r="Z300" s="1"/>
      <c r="AA300" s="1"/>
      <c r="AB300" s="1"/>
      <c r="AC300" s="1"/>
      <c r="AD300" s="1"/>
      <c r="AE300" s="1"/>
      <c r="AF300" s="1"/>
      <c r="AG300" s="1"/>
      <c r="AH300" s="1"/>
    </row>
    <row r="301">
      <c r="A301" s="1"/>
      <c r="B301" s="1"/>
      <c r="C301" s="1"/>
      <c r="D301" s="1"/>
      <c r="E301" s="1"/>
      <c r="F301" s="1"/>
      <c r="G301" s="1"/>
      <c r="H301" s="1"/>
      <c r="I301" s="1"/>
      <c r="J301" s="5"/>
      <c r="K301" s="2"/>
      <c r="L301" s="1"/>
      <c r="M301" s="1"/>
      <c r="N301" s="1"/>
      <c r="O301" s="1"/>
      <c r="P301" s="1"/>
      <c r="Q301" s="1"/>
      <c r="R301" s="1"/>
      <c r="S301" s="1"/>
      <c r="T301" s="1"/>
      <c r="U301" s="1"/>
      <c r="V301" s="1"/>
      <c r="W301" s="1"/>
      <c r="X301" s="1"/>
      <c r="Y301" s="1"/>
      <c r="Z301" s="1"/>
      <c r="AA301" s="1"/>
      <c r="AB301" s="1"/>
      <c r="AC301" s="1"/>
      <c r="AD301" s="1"/>
      <c r="AE301" s="1"/>
      <c r="AF301" s="1"/>
      <c r="AG301" s="1"/>
      <c r="AH301" s="1"/>
    </row>
    <row r="302">
      <c r="A302" s="1"/>
      <c r="B302" s="1"/>
      <c r="C302" s="1"/>
      <c r="D302" s="1"/>
      <c r="E302" s="1"/>
      <c r="F302" s="1"/>
      <c r="G302" s="1"/>
      <c r="H302" s="1"/>
      <c r="I302" s="1"/>
      <c r="J302" s="5"/>
      <c r="K302" s="2"/>
      <c r="L302" s="1"/>
      <c r="M302" s="1"/>
      <c r="N302" s="1"/>
      <c r="O302" s="1"/>
      <c r="P302" s="1"/>
      <c r="Q302" s="1"/>
      <c r="R302" s="1"/>
      <c r="S302" s="1"/>
      <c r="T302" s="1"/>
      <c r="U302" s="1"/>
      <c r="V302" s="1"/>
      <c r="W302" s="1"/>
      <c r="X302" s="1"/>
      <c r="Y302" s="1"/>
      <c r="Z302" s="1"/>
      <c r="AA302" s="1"/>
      <c r="AB302" s="1"/>
      <c r="AC302" s="1"/>
      <c r="AD302" s="1"/>
      <c r="AE302" s="1"/>
      <c r="AF302" s="1"/>
      <c r="AG302" s="1"/>
      <c r="AH302" s="1"/>
    </row>
    <row r="303">
      <c r="A303" s="1"/>
      <c r="B303" s="1"/>
      <c r="C303" s="1"/>
      <c r="D303" s="1"/>
      <c r="E303" s="1"/>
      <c r="F303" s="1"/>
      <c r="G303" s="1"/>
      <c r="H303" s="1"/>
      <c r="I303" s="1"/>
      <c r="J303" s="5"/>
      <c r="K303" s="2"/>
      <c r="L303" s="1"/>
      <c r="M303" s="1"/>
      <c r="N303" s="1"/>
      <c r="O303" s="1"/>
      <c r="P303" s="1"/>
      <c r="Q303" s="1"/>
      <c r="R303" s="1"/>
      <c r="S303" s="1"/>
      <c r="T303" s="1"/>
      <c r="U303" s="1"/>
      <c r="V303" s="1"/>
      <c r="W303" s="1"/>
      <c r="X303" s="1"/>
      <c r="Y303" s="1"/>
      <c r="Z303" s="1"/>
      <c r="AA303" s="1"/>
      <c r="AB303" s="1"/>
      <c r="AC303" s="1"/>
      <c r="AD303" s="1"/>
      <c r="AE303" s="1"/>
      <c r="AF303" s="1"/>
      <c r="AG303" s="1"/>
      <c r="AH303" s="1"/>
    </row>
    <row r="304">
      <c r="A304" s="1"/>
      <c r="B304" s="1"/>
      <c r="C304" s="1"/>
      <c r="D304" s="1"/>
      <c r="E304" s="1"/>
      <c r="F304" s="1"/>
      <c r="G304" s="1"/>
      <c r="H304" s="1"/>
      <c r="I304" s="1"/>
      <c r="J304" s="5"/>
      <c r="K304" s="2"/>
      <c r="L304" s="1"/>
      <c r="M304" s="1"/>
      <c r="N304" s="1"/>
      <c r="O304" s="1"/>
      <c r="P304" s="1"/>
      <c r="Q304" s="1"/>
      <c r="R304" s="1"/>
      <c r="S304" s="1"/>
      <c r="T304" s="1"/>
      <c r="U304" s="1"/>
      <c r="V304" s="1"/>
      <c r="W304" s="1"/>
      <c r="X304" s="1"/>
      <c r="Y304" s="1"/>
      <c r="Z304" s="1"/>
      <c r="AA304" s="1"/>
      <c r="AB304" s="1"/>
      <c r="AC304" s="1"/>
      <c r="AD304" s="1"/>
      <c r="AE304" s="1"/>
      <c r="AF304" s="1"/>
      <c r="AG304" s="1"/>
      <c r="AH304" s="1"/>
    </row>
    <row r="305">
      <c r="A305" s="1"/>
      <c r="B305" s="1"/>
      <c r="C305" s="1"/>
      <c r="D305" s="1"/>
      <c r="E305" s="1"/>
      <c r="F305" s="1"/>
      <c r="G305" s="1"/>
      <c r="H305" s="1"/>
      <c r="I305" s="1"/>
      <c r="J305" s="5"/>
      <c r="K305" s="2"/>
      <c r="L305" s="1"/>
      <c r="M305" s="1"/>
      <c r="N305" s="1"/>
      <c r="O305" s="1"/>
      <c r="P305" s="1"/>
      <c r="Q305" s="1"/>
      <c r="R305" s="1"/>
      <c r="S305" s="1"/>
      <c r="T305" s="1"/>
      <c r="U305" s="1"/>
      <c r="V305" s="1"/>
      <c r="W305" s="1"/>
      <c r="X305" s="1"/>
      <c r="Y305" s="1"/>
      <c r="Z305" s="1"/>
      <c r="AA305" s="1"/>
      <c r="AB305" s="1"/>
      <c r="AC305" s="1"/>
      <c r="AD305" s="1"/>
      <c r="AE305" s="1"/>
      <c r="AF305" s="1"/>
      <c r="AG305" s="1"/>
      <c r="AH305" s="1"/>
    </row>
    <row r="306">
      <c r="A306" s="1"/>
      <c r="B306" s="1"/>
      <c r="C306" s="1"/>
      <c r="D306" s="1"/>
      <c r="E306" s="1"/>
      <c r="F306" s="1"/>
      <c r="G306" s="1"/>
      <c r="H306" s="1"/>
      <c r="I306" s="1"/>
      <c r="J306" s="5"/>
      <c r="K306" s="2"/>
      <c r="L306" s="1"/>
      <c r="M306" s="1"/>
      <c r="N306" s="1"/>
      <c r="O306" s="1"/>
      <c r="P306" s="1"/>
      <c r="Q306" s="1"/>
      <c r="R306" s="1"/>
      <c r="S306" s="1"/>
      <c r="T306" s="1"/>
      <c r="U306" s="1"/>
      <c r="V306" s="1"/>
      <c r="W306" s="1"/>
      <c r="X306" s="1"/>
      <c r="Y306" s="1"/>
      <c r="Z306" s="1"/>
      <c r="AA306" s="1"/>
      <c r="AB306" s="1"/>
      <c r="AC306" s="1"/>
      <c r="AD306" s="1"/>
      <c r="AE306" s="1"/>
      <c r="AF306" s="1"/>
      <c r="AG306" s="1"/>
      <c r="AH306" s="1"/>
    </row>
    <row r="307">
      <c r="A307" s="1"/>
      <c r="B307" s="1"/>
      <c r="C307" s="1"/>
      <c r="D307" s="1"/>
      <c r="E307" s="1"/>
      <c r="F307" s="1"/>
      <c r="G307" s="1"/>
      <c r="H307" s="1"/>
      <c r="I307" s="1"/>
      <c r="J307" s="5"/>
      <c r="K307" s="2"/>
      <c r="L307" s="1"/>
      <c r="M307" s="1"/>
      <c r="N307" s="1"/>
      <c r="O307" s="1"/>
      <c r="P307" s="1"/>
      <c r="Q307" s="1"/>
      <c r="R307" s="1"/>
      <c r="S307" s="1"/>
      <c r="T307" s="1"/>
      <c r="U307" s="1"/>
      <c r="V307" s="1"/>
      <c r="W307" s="1"/>
      <c r="X307" s="1"/>
      <c r="Y307" s="1"/>
      <c r="Z307" s="1"/>
      <c r="AA307" s="1"/>
      <c r="AB307" s="1"/>
      <c r="AC307" s="1"/>
      <c r="AD307" s="1"/>
      <c r="AE307" s="1"/>
      <c r="AF307" s="1"/>
      <c r="AG307" s="1"/>
      <c r="AH307" s="1"/>
    </row>
    <row r="308">
      <c r="A308" s="1"/>
      <c r="B308" s="1"/>
      <c r="C308" s="1"/>
      <c r="D308" s="1"/>
      <c r="E308" s="1"/>
      <c r="F308" s="1"/>
      <c r="G308" s="1"/>
      <c r="H308" s="1"/>
      <c r="I308" s="1"/>
      <c r="J308" s="5"/>
      <c r="K308" s="2"/>
      <c r="L308" s="1"/>
      <c r="M308" s="1"/>
      <c r="N308" s="1"/>
      <c r="O308" s="1"/>
      <c r="P308" s="1"/>
      <c r="Q308" s="1"/>
      <c r="R308" s="1"/>
      <c r="S308" s="1"/>
      <c r="T308" s="1"/>
      <c r="U308" s="1"/>
      <c r="V308" s="1"/>
      <c r="W308" s="1"/>
      <c r="X308" s="1"/>
      <c r="Y308" s="1"/>
      <c r="Z308" s="1"/>
      <c r="AA308" s="1"/>
      <c r="AB308" s="1"/>
      <c r="AC308" s="1"/>
      <c r="AD308" s="1"/>
      <c r="AE308" s="1"/>
      <c r="AF308" s="1"/>
      <c r="AG308" s="1"/>
      <c r="AH308" s="1"/>
    </row>
    <row r="309">
      <c r="A309" s="1"/>
      <c r="B309" s="1"/>
      <c r="C309" s="1"/>
      <c r="D309" s="1"/>
      <c r="E309" s="1"/>
      <c r="F309" s="1"/>
      <c r="G309" s="1"/>
      <c r="H309" s="1"/>
      <c r="I309" s="1"/>
      <c r="J309" s="5"/>
      <c r="K309" s="2"/>
      <c r="L309" s="1"/>
      <c r="M309" s="1"/>
      <c r="N309" s="1"/>
      <c r="O309" s="1"/>
      <c r="P309" s="1"/>
      <c r="Q309" s="1"/>
      <c r="R309" s="1"/>
      <c r="S309" s="1"/>
      <c r="T309" s="1"/>
      <c r="U309" s="1"/>
      <c r="V309" s="1"/>
      <c r="W309" s="1"/>
      <c r="X309" s="1"/>
      <c r="Y309" s="1"/>
      <c r="Z309" s="1"/>
      <c r="AA309" s="1"/>
      <c r="AB309" s="1"/>
      <c r="AC309" s="1"/>
      <c r="AD309" s="1"/>
      <c r="AE309" s="1"/>
      <c r="AF309" s="1"/>
      <c r="AG309" s="1"/>
      <c r="AH309" s="1"/>
    </row>
    <row r="310">
      <c r="A310" s="1"/>
      <c r="B310" s="1"/>
      <c r="C310" s="1"/>
      <c r="D310" s="1"/>
      <c r="E310" s="1"/>
      <c r="F310" s="1"/>
      <c r="G310" s="1"/>
      <c r="H310" s="1"/>
      <c r="I310" s="1"/>
      <c r="J310" s="5"/>
      <c r="K310" s="2"/>
      <c r="L310" s="1"/>
      <c r="M310" s="1"/>
      <c r="N310" s="1"/>
      <c r="O310" s="1"/>
      <c r="P310" s="1"/>
      <c r="Q310" s="1"/>
      <c r="R310" s="1"/>
      <c r="S310" s="1"/>
      <c r="T310" s="1"/>
      <c r="U310" s="1"/>
      <c r="V310" s="1"/>
      <c r="W310" s="1"/>
      <c r="X310" s="1"/>
      <c r="Y310" s="1"/>
      <c r="Z310" s="1"/>
      <c r="AA310" s="1"/>
      <c r="AB310" s="1"/>
      <c r="AC310" s="1"/>
      <c r="AD310" s="1"/>
      <c r="AE310" s="1"/>
      <c r="AF310" s="1"/>
      <c r="AG310" s="1"/>
      <c r="AH310" s="1"/>
    </row>
    <row r="311">
      <c r="A311" s="1"/>
      <c r="B311" s="1"/>
      <c r="C311" s="1"/>
      <c r="D311" s="1"/>
      <c r="E311" s="1"/>
      <c r="F311" s="1"/>
      <c r="G311" s="1"/>
      <c r="H311" s="1"/>
      <c r="I311" s="1"/>
      <c r="J311" s="5"/>
      <c r="K311" s="2"/>
      <c r="L311" s="1"/>
      <c r="M311" s="1"/>
      <c r="N311" s="1"/>
      <c r="O311" s="1"/>
      <c r="P311" s="1"/>
      <c r="Q311" s="1"/>
      <c r="R311" s="1"/>
      <c r="S311" s="1"/>
      <c r="T311" s="1"/>
      <c r="U311" s="1"/>
      <c r="V311" s="1"/>
      <c r="W311" s="1"/>
      <c r="X311" s="1"/>
      <c r="Y311" s="1"/>
      <c r="Z311" s="1"/>
      <c r="AA311" s="1"/>
      <c r="AB311" s="1"/>
      <c r="AC311" s="1"/>
      <c r="AD311" s="1"/>
      <c r="AE311" s="1"/>
      <c r="AF311" s="1"/>
      <c r="AG311" s="1"/>
      <c r="AH311" s="1"/>
    </row>
    <row r="312">
      <c r="A312" s="1"/>
      <c r="B312" s="1"/>
      <c r="C312" s="1"/>
      <c r="D312" s="1"/>
      <c r="E312" s="1"/>
      <c r="F312" s="1"/>
      <c r="G312" s="1"/>
      <c r="H312" s="1"/>
      <c r="I312" s="1"/>
      <c r="J312" s="5"/>
      <c r="K312" s="2"/>
      <c r="L312" s="1"/>
      <c r="M312" s="1"/>
      <c r="N312" s="1"/>
      <c r="O312" s="1"/>
      <c r="P312" s="1"/>
      <c r="Q312" s="1"/>
      <c r="R312" s="1"/>
      <c r="S312" s="1"/>
      <c r="T312" s="1"/>
      <c r="U312" s="1"/>
      <c r="V312" s="1"/>
      <c r="W312" s="1"/>
      <c r="X312" s="1"/>
      <c r="Y312" s="1"/>
      <c r="Z312" s="1"/>
      <c r="AA312" s="1"/>
      <c r="AB312" s="1"/>
      <c r="AC312" s="1"/>
      <c r="AD312" s="1"/>
      <c r="AE312" s="1"/>
      <c r="AF312" s="1"/>
      <c r="AG312" s="1"/>
      <c r="AH312" s="1"/>
    </row>
    <row r="313">
      <c r="A313" s="1"/>
      <c r="B313" s="1"/>
      <c r="C313" s="1"/>
      <c r="D313" s="1"/>
      <c r="E313" s="1"/>
      <c r="F313" s="1"/>
      <c r="G313" s="1"/>
      <c r="H313" s="1"/>
      <c r="I313" s="1"/>
      <c r="J313" s="5"/>
      <c r="K313" s="2"/>
      <c r="L313" s="1"/>
      <c r="M313" s="1"/>
      <c r="N313" s="1"/>
      <c r="O313" s="1"/>
      <c r="P313" s="1"/>
      <c r="Q313" s="1"/>
      <c r="R313" s="1"/>
      <c r="S313" s="1"/>
      <c r="T313" s="1"/>
      <c r="U313" s="1"/>
      <c r="V313" s="1"/>
      <c r="W313" s="1"/>
      <c r="X313" s="1"/>
      <c r="Y313" s="1"/>
      <c r="Z313" s="1"/>
      <c r="AA313" s="1"/>
      <c r="AB313" s="1"/>
      <c r="AC313" s="1"/>
      <c r="AD313" s="1"/>
      <c r="AE313" s="1"/>
      <c r="AF313" s="1"/>
      <c r="AG313" s="1"/>
      <c r="AH313" s="1"/>
    </row>
    <row r="314">
      <c r="A314" s="1"/>
      <c r="B314" s="1"/>
      <c r="C314" s="1"/>
      <c r="D314" s="1"/>
      <c r="E314" s="1"/>
      <c r="F314" s="1"/>
      <c r="G314" s="1"/>
      <c r="H314" s="1"/>
      <c r="I314" s="1"/>
      <c r="J314" s="5"/>
      <c r="K314" s="2"/>
      <c r="L314" s="1"/>
      <c r="M314" s="1"/>
      <c r="N314" s="1"/>
      <c r="O314" s="1"/>
      <c r="P314" s="1"/>
      <c r="Q314" s="1"/>
      <c r="R314" s="1"/>
      <c r="S314" s="1"/>
      <c r="T314" s="1"/>
      <c r="U314" s="1"/>
      <c r="V314" s="1"/>
      <c r="W314" s="1"/>
      <c r="X314" s="1"/>
      <c r="Y314" s="1"/>
      <c r="Z314" s="1"/>
      <c r="AA314" s="1"/>
      <c r="AB314" s="1"/>
      <c r="AC314" s="1"/>
      <c r="AD314" s="1"/>
      <c r="AE314" s="1"/>
      <c r="AF314" s="1"/>
      <c r="AG314" s="1"/>
      <c r="AH314" s="1"/>
    </row>
    <row r="315">
      <c r="A315" s="1"/>
      <c r="B315" s="1"/>
      <c r="C315" s="1"/>
      <c r="D315" s="1"/>
      <c r="E315" s="1"/>
      <c r="F315" s="1"/>
      <c r="G315" s="1"/>
      <c r="H315" s="1"/>
      <c r="I315" s="1"/>
      <c r="J315" s="5"/>
      <c r="K315" s="2"/>
      <c r="L315" s="1"/>
      <c r="M315" s="1"/>
      <c r="N315" s="1"/>
      <c r="O315" s="1"/>
      <c r="P315" s="1"/>
      <c r="Q315" s="1"/>
      <c r="R315" s="1"/>
      <c r="S315" s="1"/>
      <c r="T315" s="1"/>
      <c r="U315" s="1"/>
      <c r="V315" s="1"/>
      <c r="W315" s="1"/>
      <c r="X315" s="1"/>
      <c r="Y315" s="1"/>
      <c r="Z315" s="1"/>
      <c r="AA315" s="1"/>
      <c r="AB315" s="1"/>
      <c r="AC315" s="1"/>
      <c r="AD315" s="1"/>
      <c r="AE315" s="1"/>
      <c r="AF315" s="1"/>
      <c r="AG315" s="1"/>
      <c r="AH315" s="1"/>
    </row>
    <row r="316">
      <c r="A316" s="1"/>
      <c r="B316" s="1"/>
      <c r="C316" s="1"/>
      <c r="D316" s="1"/>
      <c r="E316" s="1"/>
      <c r="F316" s="1"/>
      <c r="G316" s="1"/>
      <c r="H316" s="1"/>
      <c r="I316" s="1"/>
      <c r="J316" s="5"/>
      <c r="K316" s="2"/>
      <c r="L316" s="1"/>
      <c r="M316" s="1"/>
      <c r="N316" s="1"/>
      <c r="O316" s="1"/>
      <c r="P316" s="1"/>
      <c r="Q316" s="1"/>
      <c r="R316" s="1"/>
      <c r="S316" s="1"/>
      <c r="T316" s="1"/>
      <c r="U316" s="1"/>
      <c r="V316" s="1"/>
      <c r="W316" s="1"/>
      <c r="X316" s="1"/>
      <c r="Y316" s="1"/>
      <c r="Z316" s="1"/>
      <c r="AA316" s="1"/>
      <c r="AB316" s="1"/>
      <c r="AC316" s="1"/>
      <c r="AD316" s="1"/>
      <c r="AE316" s="1"/>
      <c r="AF316" s="1"/>
      <c r="AG316" s="1"/>
      <c r="AH316" s="1"/>
    </row>
    <row r="317">
      <c r="A317" s="1"/>
      <c r="B317" s="1"/>
      <c r="C317" s="1"/>
      <c r="D317" s="1"/>
      <c r="E317" s="1"/>
      <c r="F317" s="1"/>
      <c r="G317" s="1"/>
      <c r="H317" s="1"/>
      <c r="I317" s="1"/>
      <c r="J317" s="5"/>
      <c r="K317" s="2"/>
      <c r="L317" s="1"/>
      <c r="M317" s="1"/>
      <c r="N317" s="1"/>
      <c r="O317" s="1"/>
      <c r="P317" s="1"/>
      <c r="Q317" s="1"/>
      <c r="R317" s="1"/>
      <c r="S317" s="1"/>
      <c r="T317" s="1"/>
      <c r="U317" s="1"/>
      <c r="V317" s="1"/>
      <c r="W317" s="1"/>
      <c r="X317" s="1"/>
      <c r="Y317" s="1"/>
      <c r="Z317" s="1"/>
      <c r="AA317" s="1"/>
      <c r="AB317" s="1"/>
      <c r="AC317" s="1"/>
      <c r="AD317" s="1"/>
      <c r="AE317" s="1"/>
      <c r="AF317" s="1"/>
      <c r="AG317" s="1"/>
      <c r="AH317" s="1"/>
    </row>
    <row r="318">
      <c r="A318" s="1"/>
      <c r="B318" s="1"/>
      <c r="C318" s="1"/>
      <c r="D318" s="1"/>
      <c r="E318" s="1"/>
      <c r="F318" s="1"/>
      <c r="G318" s="1"/>
      <c r="H318" s="1"/>
      <c r="I318" s="1"/>
      <c r="J318" s="5"/>
      <c r="K318" s="2"/>
      <c r="L318" s="1"/>
      <c r="M318" s="1"/>
      <c r="N318" s="1"/>
      <c r="O318" s="1"/>
      <c r="P318" s="1"/>
      <c r="Q318" s="1"/>
      <c r="R318" s="1"/>
      <c r="S318" s="1"/>
      <c r="T318" s="1"/>
      <c r="U318" s="1"/>
      <c r="V318" s="1"/>
      <c r="W318" s="1"/>
      <c r="X318" s="1"/>
      <c r="Y318" s="1"/>
      <c r="Z318" s="1"/>
      <c r="AA318" s="1"/>
      <c r="AB318" s="1"/>
      <c r="AC318" s="1"/>
      <c r="AD318" s="1"/>
      <c r="AE318" s="1"/>
      <c r="AF318" s="1"/>
      <c r="AG318" s="1"/>
      <c r="AH318" s="1"/>
    </row>
    <row r="319">
      <c r="A319" s="1"/>
      <c r="B319" s="1"/>
      <c r="C319" s="1"/>
      <c r="D319" s="1"/>
      <c r="E319" s="1"/>
      <c r="F319" s="1"/>
      <c r="G319" s="1"/>
      <c r="H319" s="1"/>
      <c r="I319" s="1"/>
      <c r="J319" s="5"/>
      <c r="K319" s="2"/>
      <c r="L319" s="1"/>
      <c r="M319" s="1"/>
      <c r="N319" s="1"/>
      <c r="O319" s="1"/>
      <c r="P319" s="1"/>
      <c r="Q319" s="1"/>
      <c r="R319" s="1"/>
      <c r="S319" s="1"/>
      <c r="T319" s="1"/>
      <c r="U319" s="1"/>
      <c r="V319" s="1"/>
      <c r="W319" s="1"/>
      <c r="X319" s="1"/>
      <c r="Y319" s="1"/>
      <c r="Z319" s="1"/>
      <c r="AA319" s="1"/>
      <c r="AB319" s="1"/>
      <c r="AC319" s="1"/>
      <c r="AD319" s="1"/>
      <c r="AE319" s="1"/>
      <c r="AF319" s="1"/>
      <c r="AG319" s="1"/>
      <c r="AH319" s="1"/>
    </row>
    <row r="320">
      <c r="A320" s="1"/>
      <c r="B320" s="1"/>
      <c r="C320" s="1"/>
      <c r="D320" s="1"/>
      <c r="E320" s="1"/>
      <c r="F320" s="1"/>
      <c r="G320" s="1"/>
      <c r="H320" s="1"/>
      <c r="I320" s="1"/>
      <c r="J320" s="5"/>
      <c r="K320" s="2"/>
      <c r="L320" s="1"/>
      <c r="M320" s="1"/>
      <c r="N320" s="1"/>
      <c r="O320" s="1"/>
      <c r="P320" s="1"/>
      <c r="Q320" s="1"/>
      <c r="R320" s="1"/>
      <c r="S320" s="1"/>
      <c r="T320" s="1"/>
      <c r="U320" s="1"/>
      <c r="V320" s="1"/>
      <c r="W320" s="1"/>
      <c r="X320" s="1"/>
      <c r="Y320" s="1"/>
      <c r="Z320" s="1"/>
      <c r="AA320" s="1"/>
      <c r="AB320" s="1"/>
      <c r="AC320" s="1"/>
      <c r="AD320" s="1"/>
      <c r="AE320" s="1"/>
      <c r="AF320" s="1"/>
      <c r="AG320" s="1"/>
      <c r="AH320" s="1"/>
    </row>
    <row r="321">
      <c r="A321" s="1"/>
      <c r="B321" s="1"/>
      <c r="C321" s="1"/>
      <c r="D321" s="1"/>
      <c r="E321" s="1"/>
      <c r="F321" s="1"/>
      <c r="G321" s="1"/>
      <c r="H321" s="1"/>
      <c r="I321" s="1"/>
      <c r="J321" s="5"/>
      <c r="K321" s="2"/>
      <c r="L321" s="1"/>
      <c r="M321" s="1"/>
      <c r="N321" s="1"/>
      <c r="O321" s="1"/>
      <c r="P321" s="1"/>
      <c r="Q321" s="1"/>
      <c r="R321" s="1"/>
      <c r="S321" s="1"/>
      <c r="T321" s="1"/>
      <c r="U321" s="1"/>
      <c r="V321" s="1"/>
      <c r="W321" s="1"/>
      <c r="X321" s="1"/>
      <c r="Y321" s="1"/>
      <c r="Z321" s="1"/>
      <c r="AA321" s="1"/>
      <c r="AB321" s="1"/>
      <c r="AC321" s="1"/>
      <c r="AD321" s="1"/>
      <c r="AE321" s="1"/>
      <c r="AF321" s="1"/>
      <c r="AG321" s="1"/>
      <c r="AH321" s="1"/>
    </row>
    <row r="322">
      <c r="A322" s="1"/>
      <c r="B322" s="1"/>
      <c r="C322" s="1"/>
      <c r="D322" s="1"/>
      <c r="E322" s="1"/>
      <c r="F322" s="1"/>
      <c r="G322" s="1"/>
      <c r="H322" s="1"/>
      <c r="I322" s="1"/>
      <c r="J322" s="5"/>
      <c r="K322" s="2"/>
      <c r="L322" s="1"/>
      <c r="M322" s="1"/>
      <c r="N322" s="1"/>
      <c r="O322" s="1"/>
      <c r="P322" s="1"/>
      <c r="Q322" s="1"/>
      <c r="R322" s="1"/>
      <c r="S322" s="1"/>
      <c r="T322" s="1"/>
      <c r="U322" s="1"/>
      <c r="V322" s="1"/>
      <c r="W322" s="1"/>
      <c r="X322" s="1"/>
      <c r="Y322" s="1"/>
      <c r="Z322" s="1"/>
      <c r="AA322" s="1"/>
      <c r="AB322" s="1"/>
      <c r="AC322" s="1"/>
      <c r="AD322" s="1"/>
      <c r="AE322" s="1"/>
      <c r="AF322" s="1"/>
      <c r="AG322" s="1"/>
      <c r="AH322" s="1"/>
    </row>
    <row r="323">
      <c r="A323" s="1"/>
      <c r="B323" s="1"/>
      <c r="C323" s="1"/>
      <c r="D323" s="1"/>
      <c r="E323" s="1"/>
      <c r="F323" s="1"/>
      <c r="G323" s="1"/>
      <c r="H323" s="1"/>
      <c r="I323" s="1"/>
      <c r="J323" s="5"/>
      <c r="K323" s="2"/>
      <c r="L323" s="1"/>
      <c r="M323" s="1"/>
      <c r="N323" s="1"/>
      <c r="O323" s="1"/>
      <c r="P323" s="1"/>
      <c r="Q323" s="1"/>
      <c r="R323" s="1"/>
      <c r="S323" s="1"/>
      <c r="T323" s="1"/>
      <c r="U323" s="1"/>
      <c r="V323" s="1"/>
      <c r="W323" s="1"/>
      <c r="X323" s="1"/>
      <c r="Y323" s="1"/>
      <c r="Z323" s="1"/>
      <c r="AA323" s="1"/>
      <c r="AB323" s="1"/>
      <c r="AC323" s="1"/>
      <c r="AD323" s="1"/>
      <c r="AE323" s="1"/>
      <c r="AF323" s="1"/>
      <c r="AG323" s="1"/>
      <c r="AH323" s="1"/>
    </row>
    <row r="324">
      <c r="A324" s="1"/>
      <c r="B324" s="1"/>
      <c r="C324" s="1"/>
      <c r="D324" s="1"/>
      <c r="E324" s="1"/>
      <c r="F324" s="1"/>
      <c r="G324" s="1"/>
      <c r="H324" s="1"/>
      <c r="I324" s="1"/>
      <c r="J324" s="5"/>
      <c r="K324" s="2"/>
      <c r="L324" s="1"/>
      <c r="M324" s="1"/>
      <c r="N324" s="1"/>
      <c r="O324" s="1"/>
      <c r="P324" s="1"/>
      <c r="Q324" s="1"/>
      <c r="R324" s="1"/>
      <c r="S324" s="1"/>
      <c r="T324" s="1"/>
      <c r="U324" s="1"/>
      <c r="V324" s="1"/>
      <c r="W324" s="1"/>
      <c r="X324" s="1"/>
      <c r="Y324" s="1"/>
      <c r="Z324" s="1"/>
      <c r="AA324" s="1"/>
      <c r="AB324" s="1"/>
      <c r="AC324" s="1"/>
      <c r="AD324" s="1"/>
      <c r="AE324" s="1"/>
      <c r="AF324" s="1"/>
      <c r="AG324" s="1"/>
      <c r="AH324" s="1"/>
    </row>
    <row r="325">
      <c r="A325" s="1"/>
      <c r="B325" s="1"/>
      <c r="C325" s="1"/>
      <c r="D325" s="1"/>
      <c r="E325" s="1"/>
      <c r="F325" s="1"/>
      <c r="G325" s="1"/>
      <c r="H325" s="1"/>
      <c r="I325" s="1"/>
      <c r="J325" s="5"/>
      <c r="K325" s="2"/>
      <c r="L325" s="1"/>
      <c r="M325" s="1"/>
      <c r="N325" s="1"/>
      <c r="O325" s="1"/>
      <c r="P325" s="1"/>
      <c r="Q325" s="1"/>
      <c r="R325" s="1"/>
      <c r="S325" s="1"/>
      <c r="T325" s="1"/>
      <c r="U325" s="1"/>
      <c r="V325" s="1"/>
      <c r="W325" s="1"/>
      <c r="X325" s="1"/>
      <c r="Y325" s="1"/>
      <c r="Z325" s="1"/>
      <c r="AA325" s="1"/>
      <c r="AB325" s="1"/>
      <c r="AC325" s="1"/>
      <c r="AD325" s="1"/>
      <c r="AE325" s="1"/>
      <c r="AF325" s="1"/>
      <c r="AG325" s="1"/>
      <c r="AH325" s="1"/>
    </row>
    <row r="326">
      <c r="A326" s="1"/>
      <c r="B326" s="1"/>
      <c r="C326" s="1"/>
      <c r="D326" s="1"/>
      <c r="E326" s="1"/>
      <c r="F326" s="1"/>
      <c r="G326" s="1"/>
      <c r="H326" s="1"/>
      <c r="I326" s="1"/>
      <c r="J326" s="5"/>
      <c r="K326" s="2"/>
      <c r="L326" s="1"/>
      <c r="M326" s="1"/>
      <c r="N326" s="1"/>
      <c r="O326" s="1"/>
      <c r="P326" s="1"/>
      <c r="Q326" s="1"/>
      <c r="R326" s="1"/>
      <c r="S326" s="1"/>
      <c r="T326" s="1"/>
      <c r="U326" s="1"/>
      <c r="V326" s="1"/>
      <c r="W326" s="1"/>
      <c r="X326" s="1"/>
      <c r="Y326" s="1"/>
      <c r="Z326" s="1"/>
      <c r="AA326" s="1"/>
      <c r="AB326" s="1"/>
      <c r="AC326" s="1"/>
      <c r="AD326" s="1"/>
      <c r="AE326" s="1"/>
      <c r="AF326" s="1"/>
      <c r="AG326" s="1"/>
      <c r="AH326" s="1"/>
    </row>
    <row r="327">
      <c r="A327" s="1"/>
      <c r="B327" s="1"/>
      <c r="C327" s="1"/>
      <c r="D327" s="1"/>
      <c r="E327" s="1"/>
      <c r="F327" s="1"/>
      <c r="G327" s="1"/>
      <c r="H327" s="1"/>
      <c r="I327" s="1"/>
      <c r="J327" s="5"/>
      <c r="K327" s="2"/>
      <c r="L327" s="1"/>
      <c r="M327" s="1"/>
      <c r="N327" s="1"/>
      <c r="O327" s="1"/>
      <c r="P327" s="1"/>
      <c r="Q327" s="1"/>
      <c r="R327" s="1"/>
      <c r="S327" s="1"/>
      <c r="T327" s="1"/>
      <c r="U327" s="1"/>
      <c r="V327" s="1"/>
      <c r="W327" s="1"/>
      <c r="X327" s="1"/>
      <c r="Y327" s="1"/>
      <c r="Z327" s="1"/>
      <c r="AA327" s="1"/>
      <c r="AB327" s="1"/>
      <c r="AC327" s="1"/>
      <c r="AD327" s="1"/>
      <c r="AE327" s="1"/>
      <c r="AF327" s="1"/>
      <c r="AG327" s="1"/>
      <c r="AH327" s="1"/>
    </row>
    <row r="328">
      <c r="A328" s="1"/>
      <c r="B328" s="1"/>
      <c r="C328" s="1"/>
      <c r="D328" s="1"/>
      <c r="E328" s="1"/>
      <c r="F328" s="1"/>
      <c r="G328" s="1"/>
      <c r="H328" s="1"/>
      <c r="I328" s="1"/>
      <c r="J328" s="5"/>
      <c r="K328" s="2"/>
      <c r="L328" s="1"/>
      <c r="M328" s="1"/>
      <c r="N328" s="1"/>
      <c r="O328" s="1"/>
      <c r="P328" s="1"/>
      <c r="Q328" s="1"/>
      <c r="R328" s="1"/>
      <c r="S328" s="1"/>
      <c r="T328" s="1"/>
      <c r="U328" s="1"/>
      <c r="V328" s="1"/>
      <c r="W328" s="1"/>
      <c r="X328" s="1"/>
      <c r="Y328" s="1"/>
      <c r="Z328" s="1"/>
      <c r="AA328" s="1"/>
      <c r="AB328" s="1"/>
      <c r="AC328" s="1"/>
      <c r="AD328" s="1"/>
      <c r="AE328" s="1"/>
      <c r="AF328" s="1"/>
      <c r="AG328" s="1"/>
      <c r="AH328" s="1"/>
    </row>
    <row r="329">
      <c r="A329" s="1"/>
      <c r="B329" s="1"/>
      <c r="C329" s="1"/>
      <c r="D329" s="1"/>
      <c r="E329" s="1"/>
      <c r="F329" s="1"/>
      <c r="G329" s="1"/>
      <c r="H329" s="1"/>
      <c r="I329" s="1"/>
      <c r="J329" s="5"/>
      <c r="K329" s="2"/>
      <c r="L329" s="1"/>
      <c r="M329" s="1"/>
      <c r="N329" s="1"/>
      <c r="O329" s="1"/>
      <c r="P329" s="1"/>
      <c r="Q329" s="1"/>
      <c r="R329" s="1"/>
      <c r="S329" s="1"/>
      <c r="T329" s="1"/>
      <c r="U329" s="1"/>
      <c r="V329" s="1"/>
      <c r="W329" s="1"/>
      <c r="X329" s="1"/>
      <c r="Y329" s="1"/>
      <c r="Z329" s="1"/>
      <c r="AA329" s="1"/>
      <c r="AB329" s="1"/>
      <c r="AC329" s="1"/>
      <c r="AD329" s="1"/>
      <c r="AE329" s="1"/>
      <c r="AF329" s="1"/>
      <c r="AG329" s="1"/>
      <c r="AH329" s="1"/>
    </row>
    <row r="330">
      <c r="A330" s="1"/>
      <c r="B330" s="1"/>
      <c r="C330" s="1"/>
      <c r="D330" s="1"/>
      <c r="E330" s="1"/>
      <c r="F330" s="1"/>
      <c r="G330" s="1"/>
      <c r="H330" s="1"/>
      <c r="I330" s="1"/>
      <c r="J330" s="5"/>
      <c r="K330" s="2"/>
      <c r="L330" s="1"/>
      <c r="M330" s="1"/>
      <c r="N330" s="1"/>
      <c r="O330" s="1"/>
      <c r="P330" s="1"/>
      <c r="Q330" s="1"/>
      <c r="R330" s="1"/>
      <c r="S330" s="1"/>
      <c r="T330" s="1"/>
      <c r="U330" s="1"/>
      <c r="V330" s="1"/>
      <c r="W330" s="1"/>
      <c r="X330" s="1"/>
      <c r="Y330" s="1"/>
      <c r="Z330" s="1"/>
      <c r="AA330" s="1"/>
      <c r="AB330" s="1"/>
      <c r="AC330" s="1"/>
      <c r="AD330" s="1"/>
      <c r="AE330" s="1"/>
      <c r="AF330" s="1"/>
      <c r="AG330" s="1"/>
      <c r="AH330" s="1"/>
    </row>
    <row r="331">
      <c r="A331" s="1"/>
      <c r="B331" s="1"/>
      <c r="C331" s="1"/>
      <c r="D331" s="1"/>
      <c r="E331" s="1"/>
      <c r="F331" s="1"/>
      <c r="G331" s="1"/>
      <c r="H331" s="1"/>
      <c r="I331" s="1"/>
      <c r="J331" s="5"/>
      <c r="K331" s="2"/>
      <c r="L331" s="1"/>
      <c r="M331" s="1"/>
      <c r="N331" s="1"/>
      <c r="O331" s="1"/>
      <c r="P331" s="1"/>
      <c r="Q331" s="1"/>
      <c r="R331" s="1"/>
      <c r="S331" s="1"/>
      <c r="T331" s="1"/>
      <c r="U331" s="1"/>
      <c r="V331" s="1"/>
      <c r="W331" s="1"/>
      <c r="X331" s="1"/>
      <c r="Y331" s="1"/>
      <c r="Z331" s="1"/>
      <c r="AA331" s="1"/>
      <c r="AB331" s="1"/>
      <c r="AC331" s="1"/>
      <c r="AD331" s="1"/>
      <c r="AE331" s="1"/>
      <c r="AF331" s="1"/>
      <c r="AG331" s="1"/>
      <c r="AH331" s="1"/>
    </row>
    <row r="332">
      <c r="A332" s="1"/>
      <c r="B332" s="1"/>
      <c r="C332" s="1"/>
      <c r="D332" s="1"/>
      <c r="E332" s="1"/>
      <c r="F332" s="1"/>
      <c r="G332" s="1"/>
      <c r="H332" s="1"/>
      <c r="I332" s="1"/>
      <c r="J332" s="5"/>
      <c r="K332" s="2"/>
      <c r="L332" s="1"/>
      <c r="M332" s="1"/>
      <c r="N332" s="1"/>
      <c r="O332" s="1"/>
      <c r="P332" s="1"/>
      <c r="Q332" s="1"/>
      <c r="R332" s="1"/>
      <c r="S332" s="1"/>
      <c r="T332" s="1"/>
      <c r="U332" s="1"/>
      <c r="V332" s="1"/>
      <c r="W332" s="1"/>
      <c r="X332" s="1"/>
      <c r="Y332" s="1"/>
      <c r="Z332" s="1"/>
      <c r="AA332" s="1"/>
      <c r="AB332" s="1"/>
      <c r="AC332" s="1"/>
      <c r="AD332" s="1"/>
      <c r="AE332" s="1"/>
      <c r="AF332" s="1"/>
      <c r="AG332" s="1"/>
      <c r="AH332" s="1"/>
    </row>
    <row r="333">
      <c r="A333" s="1"/>
      <c r="B333" s="1"/>
      <c r="C333" s="1"/>
      <c r="D333" s="1"/>
      <c r="E333" s="1"/>
      <c r="F333" s="1"/>
      <c r="G333" s="1"/>
      <c r="H333" s="1"/>
      <c r="I333" s="1"/>
      <c r="J333" s="5"/>
      <c r="K333" s="2"/>
      <c r="L333" s="1"/>
      <c r="M333" s="1"/>
      <c r="N333" s="1"/>
      <c r="O333" s="1"/>
      <c r="P333" s="1"/>
      <c r="Q333" s="1"/>
      <c r="R333" s="1"/>
      <c r="S333" s="1"/>
      <c r="T333" s="1"/>
      <c r="U333" s="1"/>
      <c r="V333" s="1"/>
      <c r="W333" s="1"/>
      <c r="X333" s="1"/>
      <c r="Y333" s="1"/>
      <c r="Z333" s="1"/>
      <c r="AA333" s="1"/>
      <c r="AB333" s="1"/>
      <c r="AC333" s="1"/>
      <c r="AD333" s="1"/>
      <c r="AE333" s="1"/>
      <c r="AF333" s="1"/>
      <c r="AG333" s="1"/>
      <c r="AH333" s="1"/>
    </row>
    <row r="334">
      <c r="A334" s="1"/>
      <c r="B334" s="1"/>
      <c r="C334" s="1"/>
      <c r="D334" s="1"/>
      <c r="E334" s="1"/>
      <c r="F334" s="1"/>
      <c r="G334" s="1"/>
      <c r="H334" s="1"/>
      <c r="I334" s="1"/>
      <c r="J334" s="5"/>
      <c r="K334" s="2"/>
      <c r="L334" s="1"/>
      <c r="M334" s="1"/>
      <c r="N334" s="1"/>
      <c r="O334" s="1"/>
      <c r="P334" s="1"/>
      <c r="Q334" s="1"/>
      <c r="R334" s="1"/>
      <c r="S334" s="1"/>
      <c r="T334" s="1"/>
      <c r="U334" s="1"/>
      <c r="V334" s="1"/>
      <c r="W334" s="1"/>
      <c r="X334" s="1"/>
      <c r="Y334" s="1"/>
      <c r="Z334" s="1"/>
      <c r="AA334" s="1"/>
      <c r="AB334" s="1"/>
      <c r="AC334" s="1"/>
      <c r="AD334" s="1"/>
      <c r="AE334" s="1"/>
      <c r="AF334" s="1"/>
      <c r="AG334" s="1"/>
      <c r="AH334" s="1"/>
    </row>
    <row r="335">
      <c r="A335" s="1"/>
      <c r="B335" s="1"/>
      <c r="C335" s="1"/>
      <c r="D335" s="1"/>
      <c r="E335" s="1"/>
      <c r="F335" s="1"/>
      <c r="G335" s="1"/>
      <c r="H335" s="1"/>
      <c r="I335" s="1"/>
      <c r="J335" s="5"/>
      <c r="K335" s="2"/>
      <c r="L335" s="1"/>
      <c r="M335" s="1"/>
      <c r="N335" s="1"/>
      <c r="O335" s="1"/>
      <c r="P335" s="1"/>
      <c r="Q335" s="1"/>
      <c r="R335" s="1"/>
      <c r="S335" s="1"/>
      <c r="T335" s="1"/>
      <c r="U335" s="1"/>
      <c r="V335" s="1"/>
      <c r="W335" s="1"/>
      <c r="X335" s="1"/>
      <c r="Y335" s="1"/>
      <c r="Z335" s="1"/>
      <c r="AA335" s="1"/>
      <c r="AB335" s="1"/>
      <c r="AC335" s="1"/>
      <c r="AD335" s="1"/>
      <c r="AE335" s="1"/>
      <c r="AF335" s="1"/>
      <c r="AG335" s="1"/>
      <c r="AH335" s="1"/>
    </row>
    <row r="336">
      <c r="A336" s="1"/>
      <c r="B336" s="1"/>
      <c r="C336" s="1"/>
      <c r="D336" s="1"/>
      <c r="E336" s="1"/>
      <c r="F336" s="1"/>
      <c r="G336" s="1"/>
      <c r="H336" s="1"/>
      <c r="I336" s="1"/>
      <c r="J336" s="5"/>
      <c r="K336" s="2"/>
      <c r="L336" s="1"/>
      <c r="M336" s="1"/>
      <c r="N336" s="1"/>
      <c r="O336" s="1"/>
      <c r="P336" s="1"/>
      <c r="Q336" s="1"/>
      <c r="R336" s="1"/>
      <c r="S336" s="1"/>
      <c r="T336" s="1"/>
      <c r="U336" s="1"/>
      <c r="V336" s="1"/>
      <c r="W336" s="1"/>
      <c r="X336" s="1"/>
      <c r="Y336" s="1"/>
      <c r="Z336" s="1"/>
      <c r="AA336" s="1"/>
      <c r="AB336" s="1"/>
      <c r="AC336" s="1"/>
      <c r="AD336" s="1"/>
      <c r="AE336" s="1"/>
      <c r="AF336" s="1"/>
      <c r="AG336" s="1"/>
      <c r="AH336" s="1"/>
    </row>
    <row r="337">
      <c r="A337" s="1"/>
      <c r="B337" s="1"/>
      <c r="C337" s="1"/>
      <c r="D337" s="1"/>
      <c r="E337" s="1"/>
      <c r="F337" s="1"/>
      <c r="G337" s="1"/>
      <c r="H337" s="1"/>
      <c r="I337" s="1"/>
      <c r="J337" s="5"/>
      <c r="K337" s="2"/>
      <c r="L337" s="1"/>
      <c r="M337" s="1"/>
      <c r="N337" s="1"/>
      <c r="O337" s="1"/>
      <c r="P337" s="1"/>
      <c r="Q337" s="1"/>
      <c r="R337" s="1"/>
      <c r="S337" s="1"/>
      <c r="T337" s="1"/>
      <c r="U337" s="1"/>
      <c r="V337" s="1"/>
      <c r="W337" s="1"/>
      <c r="X337" s="1"/>
      <c r="Y337" s="1"/>
      <c r="Z337" s="1"/>
      <c r="AA337" s="1"/>
      <c r="AB337" s="1"/>
      <c r="AC337" s="1"/>
      <c r="AD337" s="1"/>
      <c r="AE337" s="1"/>
      <c r="AF337" s="1"/>
      <c r="AG337" s="1"/>
      <c r="AH337" s="1"/>
    </row>
    <row r="338">
      <c r="A338" s="1"/>
      <c r="B338" s="1"/>
      <c r="C338" s="1"/>
      <c r="D338" s="1"/>
      <c r="E338" s="1"/>
      <c r="F338" s="1"/>
      <c r="G338" s="1"/>
      <c r="H338" s="1"/>
      <c r="I338" s="1"/>
      <c r="J338" s="5"/>
      <c r="K338" s="2"/>
      <c r="L338" s="1"/>
      <c r="M338" s="1"/>
      <c r="N338" s="1"/>
      <c r="O338" s="1"/>
      <c r="P338" s="1"/>
      <c r="Q338" s="1"/>
      <c r="R338" s="1"/>
      <c r="S338" s="1"/>
      <c r="T338" s="1"/>
      <c r="U338" s="1"/>
      <c r="V338" s="1"/>
      <c r="W338" s="1"/>
      <c r="X338" s="1"/>
      <c r="Y338" s="1"/>
      <c r="Z338" s="1"/>
      <c r="AA338" s="1"/>
      <c r="AB338" s="1"/>
      <c r="AC338" s="1"/>
      <c r="AD338" s="1"/>
      <c r="AE338" s="1"/>
      <c r="AF338" s="1"/>
      <c r="AG338" s="1"/>
      <c r="AH338" s="1"/>
    </row>
    <row r="339">
      <c r="A339" s="1"/>
      <c r="B339" s="1"/>
      <c r="C339" s="1"/>
      <c r="D339" s="1"/>
      <c r="E339" s="1"/>
      <c r="F339" s="1"/>
      <c r="G339" s="1"/>
      <c r="H339" s="1"/>
      <c r="I339" s="1"/>
      <c r="J339" s="5"/>
      <c r="K339" s="2"/>
      <c r="L339" s="1"/>
      <c r="M339" s="1"/>
      <c r="N339" s="1"/>
      <c r="O339" s="1"/>
      <c r="P339" s="1"/>
      <c r="Q339" s="1"/>
      <c r="R339" s="1"/>
      <c r="S339" s="1"/>
      <c r="T339" s="1"/>
      <c r="U339" s="1"/>
      <c r="V339" s="1"/>
      <c r="W339" s="1"/>
      <c r="X339" s="1"/>
      <c r="Y339" s="1"/>
      <c r="Z339" s="1"/>
      <c r="AA339" s="1"/>
      <c r="AB339" s="1"/>
      <c r="AC339" s="1"/>
      <c r="AD339" s="1"/>
      <c r="AE339" s="1"/>
      <c r="AF339" s="1"/>
      <c r="AG339" s="1"/>
      <c r="AH339" s="1"/>
    </row>
    <row r="340">
      <c r="A340" s="1"/>
      <c r="B340" s="1"/>
      <c r="C340" s="1"/>
      <c r="D340" s="1"/>
      <c r="E340" s="1"/>
      <c r="F340" s="1"/>
      <c r="G340" s="1"/>
      <c r="H340" s="1"/>
      <c r="I340" s="1"/>
      <c r="J340" s="5"/>
      <c r="K340" s="2"/>
      <c r="L340" s="1"/>
      <c r="M340" s="1"/>
      <c r="N340" s="1"/>
      <c r="O340" s="1"/>
      <c r="P340" s="1"/>
      <c r="Q340" s="1"/>
      <c r="R340" s="1"/>
      <c r="S340" s="1"/>
      <c r="T340" s="1"/>
      <c r="U340" s="1"/>
      <c r="V340" s="1"/>
      <c r="W340" s="1"/>
      <c r="X340" s="1"/>
      <c r="Y340" s="1"/>
      <c r="Z340" s="1"/>
      <c r="AA340" s="1"/>
      <c r="AB340" s="1"/>
      <c r="AC340" s="1"/>
      <c r="AD340" s="1"/>
      <c r="AE340" s="1"/>
      <c r="AF340" s="1"/>
      <c r="AG340" s="1"/>
      <c r="AH340" s="1"/>
    </row>
    <row r="341">
      <c r="A341" s="1"/>
      <c r="B341" s="1"/>
      <c r="C341" s="1"/>
      <c r="D341" s="1"/>
      <c r="E341" s="1"/>
      <c r="F341" s="1"/>
      <c r="G341" s="1"/>
      <c r="H341" s="1"/>
      <c r="I341" s="1"/>
      <c r="J341" s="5"/>
      <c r="K341" s="2"/>
      <c r="L341" s="1"/>
      <c r="M341" s="1"/>
      <c r="N341" s="1"/>
      <c r="O341" s="1"/>
      <c r="P341" s="1"/>
      <c r="Q341" s="1"/>
      <c r="R341" s="1"/>
      <c r="S341" s="1"/>
      <c r="T341" s="1"/>
      <c r="U341" s="1"/>
      <c r="V341" s="1"/>
      <c r="W341" s="1"/>
      <c r="X341" s="1"/>
      <c r="Y341" s="1"/>
      <c r="Z341" s="1"/>
      <c r="AA341" s="1"/>
      <c r="AB341" s="1"/>
      <c r="AC341" s="1"/>
      <c r="AD341" s="1"/>
      <c r="AE341" s="1"/>
      <c r="AF341" s="1"/>
      <c r="AG341" s="1"/>
      <c r="AH341" s="1"/>
    </row>
    <row r="342">
      <c r="A342" s="1"/>
      <c r="B342" s="1"/>
      <c r="C342" s="1"/>
      <c r="D342" s="1"/>
      <c r="E342" s="1"/>
      <c r="F342" s="1"/>
      <c r="G342" s="1"/>
      <c r="H342" s="1"/>
      <c r="I342" s="1"/>
      <c r="J342" s="5"/>
      <c r="K342" s="2"/>
      <c r="L342" s="1"/>
      <c r="M342" s="1"/>
      <c r="N342" s="1"/>
      <c r="O342" s="1"/>
      <c r="P342" s="1"/>
      <c r="Q342" s="1"/>
      <c r="R342" s="1"/>
      <c r="S342" s="1"/>
      <c r="T342" s="1"/>
      <c r="U342" s="1"/>
      <c r="V342" s="1"/>
      <c r="W342" s="1"/>
      <c r="X342" s="1"/>
      <c r="Y342" s="1"/>
      <c r="Z342" s="1"/>
      <c r="AA342" s="1"/>
      <c r="AB342" s="1"/>
      <c r="AC342" s="1"/>
      <c r="AD342" s="1"/>
      <c r="AE342" s="1"/>
      <c r="AF342" s="1"/>
      <c r="AG342" s="1"/>
      <c r="AH342" s="1"/>
    </row>
    <row r="343">
      <c r="A343" s="1"/>
      <c r="B343" s="1"/>
      <c r="C343" s="1"/>
      <c r="D343" s="1"/>
      <c r="E343" s="1"/>
      <c r="F343" s="1"/>
      <c r="G343" s="1"/>
      <c r="H343" s="1"/>
      <c r="I343" s="1"/>
      <c r="J343" s="5"/>
      <c r="K343" s="2"/>
      <c r="L343" s="1"/>
      <c r="M343" s="1"/>
      <c r="N343" s="1"/>
      <c r="O343" s="1"/>
      <c r="P343" s="1"/>
      <c r="Q343" s="1"/>
      <c r="R343" s="1"/>
      <c r="S343" s="1"/>
      <c r="T343" s="1"/>
      <c r="U343" s="1"/>
      <c r="V343" s="1"/>
      <c r="W343" s="1"/>
      <c r="X343" s="1"/>
      <c r="Y343" s="1"/>
      <c r="Z343" s="1"/>
      <c r="AA343" s="1"/>
      <c r="AB343" s="1"/>
      <c r="AC343" s="1"/>
      <c r="AD343" s="1"/>
      <c r="AE343" s="1"/>
      <c r="AF343" s="1"/>
      <c r="AG343" s="1"/>
      <c r="AH343" s="1"/>
    </row>
    <row r="344">
      <c r="A344" s="1"/>
      <c r="B344" s="1"/>
      <c r="C344" s="1"/>
      <c r="D344" s="1"/>
      <c r="E344" s="1"/>
      <c r="F344" s="1"/>
      <c r="G344" s="1"/>
      <c r="H344" s="1"/>
      <c r="I344" s="1"/>
      <c r="J344" s="5"/>
      <c r="K344" s="2"/>
      <c r="L344" s="1"/>
      <c r="M344" s="1"/>
      <c r="N344" s="1"/>
      <c r="O344" s="1"/>
      <c r="P344" s="1"/>
      <c r="Q344" s="1"/>
      <c r="R344" s="1"/>
      <c r="S344" s="1"/>
      <c r="T344" s="1"/>
      <c r="U344" s="1"/>
      <c r="V344" s="1"/>
      <c r="W344" s="1"/>
      <c r="X344" s="1"/>
      <c r="Y344" s="1"/>
      <c r="Z344" s="1"/>
      <c r="AA344" s="1"/>
      <c r="AB344" s="1"/>
      <c r="AC344" s="1"/>
      <c r="AD344" s="1"/>
      <c r="AE344" s="1"/>
      <c r="AF344" s="1"/>
      <c r="AG344" s="1"/>
      <c r="AH344" s="1"/>
    </row>
    <row r="345">
      <c r="A345" s="1"/>
      <c r="B345" s="1"/>
      <c r="C345" s="1"/>
      <c r="D345" s="1"/>
      <c r="E345" s="1"/>
      <c r="F345" s="1"/>
      <c r="G345" s="1"/>
      <c r="H345" s="1"/>
      <c r="I345" s="1"/>
      <c r="J345" s="5"/>
      <c r="K345" s="2"/>
      <c r="L345" s="1"/>
      <c r="M345" s="1"/>
      <c r="N345" s="1"/>
      <c r="O345" s="1"/>
      <c r="P345" s="1"/>
      <c r="Q345" s="1"/>
      <c r="R345" s="1"/>
      <c r="S345" s="1"/>
      <c r="T345" s="1"/>
      <c r="U345" s="1"/>
      <c r="V345" s="1"/>
      <c r="W345" s="1"/>
      <c r="X345" s="1"/>
      <c r="Y345" s="1"/>
      <c r="Z345" s="1"/>
      <c r="AA345" s="1"/>
      <c r="AB345" s="1"/>
      <c r="AC345" s="1"/>
      <c r="AD345" s="1"/>
      <c r="AE345" s="1"/>
      <c r="AF345" s="1"/>
      <c r="AG345" s="1"/>
      <c r="AH345" s="1"/>
    </row>
    <row r="346">
      <c r="A346" s="1"/>
      <c r="B346" s="1"/>
      <c r="C346" s="1"/>
      <c r="D346" s="1"/>
      <c r="E346" s="1"/>
      <c r="F346" s="1"/>
      <c r="G346" s="1"/>
      <c r="H346" s="1"/>
      <c r="I346" s="1"/>
      <c r="J346" s="5"/>
      <c r="K346" s="2"/>
      <c r="L346" s="1"/>
      <c r="M346" s="1"/>
      <c r="N346" s="1"/>
      <c r="O346" s="1"/>
      <c r="P346" s="1"/>
      <c r="Q346" s="1"/>
      <c r="R346" s="1"/>
      <c r="S346" s="1"/>
      <c r="T346" s="1"/>
      <c r="U346" s="1"/>
      <c r="V346" s="1"/>
      <c r="W346" s="1"/>
      <c r="X346" s="1"/>
      <c r="Y346" s="1"/>
      <c r="Z346" s="1"/>
      <c r="AA346" s="1"/>
      <c r="AB346" s="1"/>
      <c r="AC346" s="1"/>
      <c r="AD346" s="1"/>
      <c r="AE346" s="1"/>
      <c r="AF346" s="1"/>
      <c r="AG346" s="1"/>
      <c r="AH346" s="1"/>
    </row>
    <row r="347">
      <c r="A347" s="1"/>
      <c r="B347" s="1"/>
      <c r="C347" s="1"/>
      <c r="D347" s="1"/>
      <c r="E347" s="1"/>
      <c r="F347" s="1"/>
      <c r="G347" s="1"/>
      <c r="H347" s="1"/>
      <c r="I347" s="1"/>
      <c r="J347" s="5"/>
      <c r="K347" s="2"/>
      <c r="L347" s="1"/>
      <c r="M347" s="1"/>
      <c r="N347" s="1"/>
      <c r="O347" s="1"/>
      <c r="P347" s="1"/>
      <c r="Q347" s="1"/>
      <c r="R347" s="1"/>
      <c r="S347" s="1"/>
      <c r="T347" s="1"/>
      <c r="U347" s="1"/>
      <c r="V347" s="1"/>
      <c r="W347" s="1"/>
      <c r="X347" s="1"/>
      <c r="Y347" s="1"/>
      <c r="Z347" s="1"/>
      <c r="AA347" s="1"/>
      <c r="AB347" s="1"/>
      <c r="AC347" s="1"/>
      <c r="AD347" s="1"/>
      <c r="AE347" s="1"/>
      <c r="AF347" s="1"/>
      <c r="AG347" s="1"/>
      <c r="AH347" s="1"/>
    </row>
    <row r="348">
      <c r="A348" s="1"/>
      <c r="B348" s="1"/>
      <c r="C348" s="1"/>
      <c r="D348" s="1"/>
      <c r="E348" s="1"/>
      <c r="F348" s="1"/>
      <c r="G348" s="1"/>
      <c r="H348" s="1"/>
      <c r="I348" s="1"/>
      <c r="J348" s="5"/>
      <c r="K348" s="2"/>
      <c r="L348" s="1"/>
      <c r="M348" s="1"/>
      <c r="N348" s="1"/>
      <c r="O348" s="1"/>
      <c r="P348" s="1"/>
      <c r="Q348" s="1"/>
      <c r="R348" s="1"/>
      <c r="S348" s="1"/>
      <c r="T348" s="1"/>
      <c r="U348" s="1"/>
      <c r="V348" s="1"/>
      <c r="W348" s="1"/>
      <c r="X348" s="1"/>
      <c r="Y348" s="1"/>
      <c r="Z348" s="1"/>
      <c r="AA348" s="1"/>
      <c r="AB348" s="1"/>
      <c r="AC348" s="1"/>
      <c r="AD348" s="1"/>
      <c r="AE348" s="1"/>
      <c r="AF348" s="1"/>
      <c r="AG348" s="1"/>
      <c r="AH348" s="1"/>
    </row>
    <row r="349">
      <c r="A349" s="1"/>
      <c r="B349" s="1"/>
      <c r="C349" s="1"/>
      <c r="D349" s="1"/>
      <c r="E349" s="1"/>
      <c r="F349" s="1"/>
      <c r="G349" s="1"/>
      <c r="H349" s="1"/>
      <c r="I349" s="1"/>
      <c r="J349" s="5"/>
      <c r="K349" s="2"/>
      <c r="L349" s="1"/>
      <c r="M349" s="1"/>
      <c r="N349" s="1"/>
      <c r="O349" s="1"/>
      <c r="P349" s="1"/>
      <c r="Q349" s="1"/>
      <c r="R349" s="1"/>
      <c r="S349" s="1"/>
      <c r="T349" s="1"/>
      <c r="U349" s="1"/>
      <c r="V349" s="1"/>
      <c r="W349" s="1"/>
      <c r="X349" s="1"/>
      <c r="Y349" s="1"/>
      <c r="Z349" s="1"/>
      <c r="AA349" s="1"/>
      <c r="AB349" s="1"/>
      <c r="AC349" s="1"/>
      <c r="AD349" s="1"/>
      <c r="AE349" s="1"/>
      <c r="AF349" s="1"/>
      <c r="AG349" s="1"/>
      <c r="AH349" s="1"/>
    </row>
    <row r="350">
      <c r="A350" s="1"/>
      <c r="B350" s="1"/>
      <c r="C350" s="1"/>
      <c r="D350" s="1"/>
      <c r="E350" s="1"/>
      <c r="F350" s="1"/>
      <c r="G350" s="1"/>
      <c r="H350" s="1"/>
      <c r="I350" s="1"/>
      <c r="J350" s="5"/>
      <c r="K350" s="2"/>
      <c r="L350" s="1"/>
      <c r="M350" s="1"/>
      <c r="N350" s="1"/>
      <c r="O350" s="1"/>
      <c r="P350" s="1"/>
      <c r="Q350" s="1"/>
      <c r="R350" s="1"/>
      <c r="S350" s="1"/>
      <c r="T350" s="1"/>
      <c r="U350" s="1"/>
      <c r="V350" s="1"/>
      <c r="W350" s="1"/>
      <c r="X350" s="1"/>
      <c r="Y350" s="1"/>
      <c r="Z350" s="1"/>
      <c r="AA350" s="1"/>
      <c r="AB350" s="1"/>
      <c r="AC350" s="1"/>
      <c r="AD350" s="1"/>
      <c r="AE350" s="1"/>
      <c r="AF350" s="1"/>
      <c r="AG350" s="1"/>
      <c r="AH350" s="1"/>
    </row>
    <row r="351">
      <c r="A351" s="1"/>
      <c r="B351" s="1"/>
      <c r="C351" s="1"/>
      <c r="D351" s="1"/>
      <c r="E351" s="1"/>
      <c r="F351" s="1"/>
      <c r="G351" s="1"/>
      <c r="H351" s="1"/>
      <c r="I351" s="1"/>
      <c r="J351" s="5"/>
      <c r="K351" s="2"/>
      <c r="L351" s="1"/>
      <c r="M351" s="1"/>
      <c r="N351" s="1"/>
      <c r="O351" s="1"/>
      <c r="P351" s="1"/>
      <c r="Q351" s="1"/>
      <c r="R351" s="1"/>
      <c r="S351" s="1"/>
      <c r="T351" s="1"/>
      <c r="U351" s="1"/>
      <c r="V351" s="1"/>
      <c r="W351" s="1"/>
      <c r="X351" s="1"/>
      <c r="Y351" s="1"/>
      <c r="Z351" s="1"/>
      <c r="AA351" s="1"/>
      <c r="AB351" s="1"/>
      <c r="AC351" s="1"/>
      <c r="AD351" s="1"/>
      <c r="AE351" s="1"/>
      <c r="AF351" s="1"/>
      <c r="AG351" s="1"/>
      <c r="AH351" s="1"/>
    </row>
    <row r="352">
      <c r="A352" s="1"/>
      <c r="B352" s="1"/>
      <c r="C352" s="1"/>
      <c r="D352" s="1"/>
      <c r="E352" s="1"/>
      <c r="F352" s="1"/>
      <c r="G352" s="1"/>
      <c r="H352" s="1"/>
      <c r="I352" s="1"/>
      <c r="J352" s="5"/>
      <c r="K352" s="2"/>
      <c r="L352" s="1"/>
      <c r="M352" s="1"/>
      <c r="N352" s="1"/>
      <c r="O352" s="1"/>
      <c r="P352" s="1"/>
      <c r="Q352" s="1"/>
      <c r="R352" s="1"/>
      <c r="S352" s="1"/>
      <c r="T352" s="1"/>
      <c r="U352" s="1"/>
      <c r="V352" s="1"/>
      <c r="W352" s="1"/>
      <c r="X352" s="1"/>
      <c r="Y352" s="1"/>
      <c r="Z352" s="1"/>
      <c r="AA352" s="1"/>
      <c r="AB352" s="1"/>
      <c r="AC352" s="1"/>
      <c r="AD352" s="1"/>
      <c r="AE352" s="1"/>
      <c r="AF352" s="1"/>
      <c r="AG352" s="1"/>
      <c r="AH352" s="1"/>
    </row>
    <row r="353">
      <c r="A353" s="1"/>
      <c r="B353" s="1"/>
      <c r="C353" s="1"/>
      <c r="D353" s="1"/>
      <c r="E353" s="1"/>
      <c r="F353" s="1"/>
      <c r="G353" s="1"/>
      <c r="H353" s="1"/>
      <c r="I353" s="1"/>
      <c r="J353" s="5"/>
      <c r="K353" s="2"/>
      <c r="L353" s="1"/>
      <c r="M353" s="1"/>
      <c r="N353" s="1"/>
      <c r="O353" s="1"/>
      <c r="P353" s="1"/>
      <c r="Q353" s="1"/>
      <c r="R353" s="1"/>
      <c r="S353" s="1"/>
      <c r="T353" s="1"/>
      <c r="U353" s="1"/>
      <c r="V353" s="1"/>
      <c r="W353" s="1"/>
      <c r="X353" s="1"/>
      <c r="Y353" s="1"/>
      <c r="Z353" s="1"/>
      <c r="AA353" s="1"/>
      <c r="AB353" s="1"/>
      <c r="AC353" s="1"/>
      <c r="AD353" s="1"/>
      <c r="AE353" s="1"/>
      <c r="AF353" s="1"/>
      <c r="AG353" s="1"/>
      <c r="AH353" s="1"/>
    </row>
    <row r="354">
      <c r="A354" s="1"/>
      <c r="B354" s="1"/>
      <c r="C354" s="1"/>
      <c r="D354" s="1"/>
      <c r="E354" s="1"/>
      <c r="F354" s="1"/>
      <c r="G354" s="1"/>
      <c r="H354" s="1"/>
      <c r="I354" s="1"/>
      <c r="J354" s="5"/>
      <c r="K354" s="2"/>
      <c r="L354" s="1"/>
      <c r="M354" s="1"/>
      <c r="N354" s="1"/>
      <c r="O354" s="1"/>
      <c r="P354" s="1"/>
      <c r="Q354" s="1"/>
      <c r="R354" s="1"/>
      <c r="S354" s="1"/>
      <c r="T354" s="1"/>
      <c r="U354" s="1"/>
      <c r="V354" s="1"/>
      <c r="W354" s="1"/>
      <c r="X354" s="1"/>
      <c r="Y354" s="1"/>
      <c r="Z354" s="1"/>
      <c r="AA354" s="1"/>
      <c r="AB354" s="1"/>
      <c r="AC354" s="1"/>
      <c r="AD354" s="1"/>
      <c r="AE354" s="1"/>
      <c r="AF354" s="1"/>
      <c r="AG354" s="1"/>
      <c r="AH354" s="1"/>
    </row>
    <row r="355">
      <c r="A355" s="1"/>
      <c r="B355" s="1"/>
      <c r="C355" s="1"/>
      <c r="D355" s="1"/>
      <c r="E355" s="1"/>
      <c r="F355" s="1"/>
      <c r="G355" s="1"/>
      <c r="H355" s="1"/>
      <c r="I355" s="1"/>
      <c r="J355" s="5"/>
      <c r="K355" s="2"/>
      <c r="L355" s="1"/>
      <c r="M355" s="1"/>
      <c r="N355" s="1"/>
      <c r="O355" s="1"/>
      <c r="P355" s="1"/>
      <c r="Q355" s="1"/>
      <c r="R355" s="1"/>
      <c r="S355" s="1"/>
      <c r="T355" s="1"/>
      <c r="U355" s="1"/>
      <c r="V355" s="1"/>
      <c r="W355" s="1"/>
      <c r="X355" s="1"/>
      <c r="Y355" s="1"/>
      <c r="Z355" s="1"/>
      <c r="AA355" s="1"/>
      <c r="AB355" s="1"/>
      <c r="AC355" s="1"/>
      <c r="AD355" s="1"/>
      <c r="AE355" s="1"/>
      <c r="AF355" s="1"/>
      <c r="AG355" s="1"/>
      <c r="AH355" s="1"/>
    </row>
    <row r="356">
      <c r="A356" s="1"/>
      <c r="B356" s="1"/>
      <c r="C356" s="1"/>
      <c r="D356" s="1"/>
      <c r="E356" s="1"/>
      <c r="F356" s="1"/>
      <c r="G356" s="1"/>
      <c r="H356" s="1"/>
      <c r="I356" s="1"/>
      <c r="J356" s="5"/>
      <c r="K356" s="2"/>
      <c r="L356" s="1"/>
      <c r="M356" s="1"/>
      <c r="N356" s="1"/>
      <c r="O356" s="1"/>
      <c r="P356" s="1"/>
      <c r="Q356" s="1"/>
      <c r="R356" s="1"/>
      <c r="S356" s="1"/>
      <c r="T356" s="1"/>
      <c r="U356" s="1"/>
      <c r="V356" s="1"/>
      <c r="W356" s="1"/>
      <c r="X356" s="1"/>
      <c r="Y356" s="1"/>
      <c r="Z356" s="1"/>
      <c r="AA356" s="1"/>
      <c r="AB356" s="1"/>
      <c r="AC356" s="1"/>
      <c r="AD356" s="1"/>
      <c r="AE356" s="1"/>
      <c r="AF356" s="1"/>
      <c r="AG356" s="1"/>
      <c r="AH356" s="1"/>
    </row>
    <row r="357">
      <c r="A357" s="1"/>
      <c r="B357" s="1"/>
      <c r="C357" s="1"/>
      <c r="D357" s="1"/>
      <c r="E357" s="1"/>
      <c r="F357" s="1"/>
      <c r="G357" s="1"/>
      <c r="H357" s="1"/>
      <c r="I357" s="1"/>
      <c r="J357" s="5"/>
      <c r="K357" s="2"/>
      <c r="L357" s="1"/>
      <c r="M357" s="1"/>
      <c r="N357" s="1"/>
      <c r="O357" s="1"/>
      <c r="P357" s="1"/>
      <c r="Q357" s="1"/>
      <c r="R357" s="1"/>
      <c r="S357" s="1"/>
      <c r="T357" s="1"/>
      <c r="U357" s="1"/>
      <c r="V357" s="1"/>
      <c r="W357" s="1"/>
      <c r="X357" s="1"/>
      <c r="Y357" s="1"/>
      <c r="Z357" s="1"/>
      <c r="AA357" s="1"/>
      <c r="AB357" s="1"/>
      <c r="AC357" s="1"/>
      <c r="AD357" s="1"/>
      <c r="AE357" s="1"/>
      <c r="AF357" s="1"/>
      <c r="AG357" s="1"/>
      <c r="AH357" s="1"/>
    </row>
    <row r="358">
      <c r="A358" s="1"/>
      <c r="B358" s="1"/>
      <c r="C358" s="1"/>
      <c r="D358" s="1"/>
      <c r="E358" s="1"/>
      <c r="F358" s="1"/>
      <c r="G358" s="1"/>
      <c r="H358" s="1"/>
      <c r="I358" s="1"/>
      <c r="J358" s="5"/>
      <c r="K358" s="2"/>
      <c r="L358" s="1"/>
      <c r="M358" s="1"/>
      <c r="N358" s="1"/>
      <c r="O358" s="1"/>
      <c r="P358" s="1"/>
      <c r="Q358" s="1"/>
      <c r="R358" s="1"/>
      <c r="S358" s="1"/>
      <c r="T358" s="1"/>
      <c r="U358" s="1"/>
      <c r="V358" s="1"/>
      <c r="W358" s="1"/>
      <c r="X358" s="1"/>
      <c r="Y358" s="1"/>
      <c r="Z358" s="1"/>
      <c r="AA358" s="1"/>
      <c r="AB358" s="1"/>
      <c r="AC358" s="1"/>
      <c r="AD358" s="1"/>
      <c r="AE358" s="1"/>
      <c r="AF358" s="1"/>
      <c r="AG358" s="1"/>
      <c r="AH358" s="1"/>
    </row>
    <row r="359">
      <c r="A359" s="1"/>
      <c r="B359" s="1"/>
      <c r="C359" s="1"/>
      <c r="D359" s="1"/>
      <c r="E359" s="1"/>
      <c r="F359" s="1"/>
      <c r="G359" s="1"/>
      <c r="H359" s="1"/>
      <c r="I359" s="1"/>
      <c r="J359" s="5"/>
      <c r="K359" s="2"/>
      <c r="L359" s="1"/>
      <c r="M359" s="1"/>
      <c r="N359" s="1"/>
      <c r="O359" s="1"/>
      <c r="P359" s="1"/>
      <c r="Q359" s="1"/>
      <c r="R359" s="1"/>
      <c r="S359" s="1"/>
      <c r="T359" s="1"/>
      <c r="U359" s="1"/>
      <c r="V359" s="1"/>
      <c r="W359" s="1"/>
      <c r="X359" s="1"/>
      <c r="Y359" s="1"/>
      <c r="Z359" s="1"/>
      <c r="AA359" s="1"/>
      <c r="AB359" s="1"/>
      <c r="AC359" s="1"/>
      <c r="AD359" s="1"/>
      <c r="AE359" s="1"/>
      <c r="AF359" s="1"/>
      <c r="AG359" s="1"/>
      <c r="AH359" s="1"/>
    </row>
    <row r="360">
      <c r="A360" s="1"/>
      <c r="B360" s="1"/>
      <c r="C360" s="1"/>
      <c r="D360" s="1"/>
      <c r="E360" s="1"/>
      <c r="F360" s="1"/>
      <c r="G360" s="1"/>
      <c r="H360" s="1"/>
      <c r="I360" s="1"/>
      <c r="J360" s="5"/>
      <c r="K360" s="2"/>
      <c r="L360" s="1"/>
      <c r="M360" s="1"/>
      <c r="N360" s="1"/>
      <c r="O360" s="1"/>
      <c r="P360" s="1"/>
      <c r="Q360" s="1"/>
      <c r="R360" s="1"/>
      <c r="S360" s="1"/>
      <c r="T360" s="1"/>
      <c r="U360" s="1"/>
      <c r="V360" s="1"/>
      <c r="W360" s="1"/>
      <c r="X360" s="1"/>
      <c r="Y360" s="1"/>
      <c r="Z360" s="1"/>
      <c r="AA360" s="1"/>
      <c r="AB360" s="1"/>
      <c r="AC360" s="1"/>
      <c r="AD360" s="1"/>
      <c r="AE360" s="1"/>
      <c r="AF360" s="1"/>
      <c r="AG360" s="1"/>
      <c r="AH360" s="1"/>
    </row>
    <row r="361">
      <c r="A361" s="1"/>
      <c r="B361" s="1"/>
      <c r="C361" s="1"/>
      <c r="D361" s="1"/>
      <c r="E361" s="1"/>
      <c r="F361" s="1"/>
      <c r="G361" s="1"/>
      <c r="H361" s="1"/>
      <c r="I361" s="1"/>
      <c r="J361" s="5"/>
      <c r="K361" s="2"/>
      <c r="L361" s="1"/>
      <c r="M361" s="1"/>
      <c r="N361" s="1"/>
      <c r="O361" s="1"/>
      <c r="P361" s="1"/>
      <c r="Q361" s="1"/>
      <c r="R361" s="1"/>
      <c r="S361" s="1"/>
      <c r="T361" s="1"/>
      <c r="U361" s="1"/>
      <c r="V361" s="1"/>
      <c r="W361" s="1"/>
      <c r="X361" s="1"/>
      <c r="Y361" s="1"/>
      <c r="Z361" s="1"/>
      <c r="AA361" s="1"/>
      <c r="AB361" s="1"/>
      <c r="AC361" s="1"/>
      <c r="AD361" s="1"/>
      <c r="AE361" s="1"/>
      <c r="AF361" s="1"/>
      <c r="AG361" s="1"/>
      <c r="AH361" s="1"/>
    </row>
    <row r="362">
      <c r="A362" s="1"/>
      <c r="B362" s="1"/>
      <c r="C362" s="1"/>
      <c r="D362" s="1"/>
      <c r="E362" s="1"/>
      <c r="F362" s="1"/>
      <c r="G362" s="1"/>
      <c r="H362" s="1"/>
      <c r="I362" s="1"/>
      <c r="J362" s="5"/>
      <c r="K362" s="2"/>
      <c r="L362" s="1"/>
      <c r="M362" s="1"/>
      <c r="N362" s="1"/>
      <c r="O362" s="1"/>
      <c r="P362" s="1"/>
      <c r="Q362" s="1"/>
      <c r="R362" s="1"/>
      <c r="S362" s="1"/>
      <c r="T362" s="1"/>
      <c r="U362" s="1"/>
      <c r="V362" s="1"/>
      <c r="W362" s="1"/>
      <c r="X362" s="1"/>
      <c r="Y362" s="1"/>
      <c r="Z362" s="1"/>
      <c r="AA362" s="1"/>
      <c r="AB362" s="1"/>
      <c r="AC362" s="1"/>
      <c r="AD362" s="1"/>
      <c r="AE362" s="1"/>
      <c r="AF362" s="1"/>
      <c r="AG362" s="1"/>
      <c r="AH362" s="1"/>
    </row>
    <row r="363">
      <c r="A363" s="1"/>
      <c r="B363" s="1"/>
      <c r="C363" s="1"/>
      <c r="D363" s="1"/>
      <c r="E363" s="1"/>
      <c r="F363" s="1"/>
      <c r="G363" s="1"/>
      <c r="H363" s="1"/>
      <c r="I363" s="1"/>
      <c r="J363" s="5"/>
      <c r="K363" s="2"/>
      <c r="L363" s="1"/>
      <c r="M363" s="1"/>
      <c r="N363" s="1"/>
      <c r="O363" s="1"/>
      <c r="P363" s="1"/>
      <c r="Q363" s="1"/>
      <c r="R363" s="1"/>
      <c r="S363" s="1"/>
      <c r="T363" s="1"/>
      <c r="U363" s="1"/>
      <c r="V363" s="1"/>
      <c r="W363" s="1"/>
      <c r="X363" s="1"/>
      <c r="Y363" s="1"/>
      <c r="Z363" s="1"/>
      <c r="AA363" s="1"/>
      <c r="AB363" s="1"/>
      <c r="AC363" s="1"/>
      <c r="AD363" s="1"/>
      <c r="AE363" s="1"/>
      <c r="AF363" s="1"/>
      <c r="AG363" s="1"/>
      <c r="AH363" s="1"/>
    </row>
    <row r="364">
      <c r="A364" s="1"/>
      <c r="B364" s="1"/>
      <c r="C364" s="1"/>
      <c r="D364" s="1"/>
      <c r="E364" s="1"/>
      <c r="F364" s="1"/>
      <c r="G364" s="1"/>
      <c r="H364" s="1"/>
      <c r="I364" s="1"/>
      <c r="J364" s="5"/>
      <c r="K364" s="2"/>
      <c r="L364" s="1"/>
      <c r="M364" s="1"/>
      <c r="N364" s="1"/>
      <c r="O364" s="1"/>
      <c r="P364" s="1"/>
      <c r="Q364" s="1"/>
      <c r="R364" s="1"/>
      <c r="S364" s="1"/>
      <c r="T364" s="1"/>
      <c r="U364" s="1"/>
      <c r="V364" s="1"/>
      <c r="W364" s="1"/>
      <c r="X364" s="1"/>
      <c r="Y364" s="1"/>
      <c r="Z364" s="1"/>
      <c r="AA364" s="1"/>
      <c r="AB364" s="1"/>
      <c r="AC364" s="1"/>
      <c r="AD364" s="1"/>
      <c r="AE364" s="1"/>
      <c r="AF364" s="1"/>
      <c r="AG364" s="1"/>
      <c r="AH364" s="1"/>
    </row>
    <row r="365">
      <c r="A365" s="1"/>
      <c r="B365" s="1"/>
      <c r="C365" s="1"/>
      <c r="D365" s="1"/>
      <c r="E365" s="1"/>
      <c r="F365" s="1"/>
      <c r="G365" s="1"/>
      <c r="H365" s="1"/>
      <c r="I365" s="1"/>
      <c r="J365" s="5"/>
      <c r="K365" s="2"/>
      <c r="L365" s="1"/>
      <c r="M365" s="1"/>
      <c r="N365" s="1"/>
      <c r="O365" s="1"/>
      <c r="P365" s="1"/>
      <c r="Q365" s="1"/>
      <c r="R365" s="1"/>
      <c r="S365" s="1"/>
      <c r="T365" s="1"/>
      <c r="U365" s="1"/>
      <c r="V365" s="1"/>
      <c r="W365" s="1"/>
      <c r="X365" s="1"/>
      <c r="Y365" s="1"/>
      <c r="Z365" s="1"/>
      <c r="AA365" s="1"/>
      <c r="AB365" s="1"/>
      <c r="AC365" s="1"/>
      <c r="AD365" s="1"/>
      <c r="AE365" s="1"/>
      <c r="AF365" s="1"/>
      <c r="AG365" s="1"/>
      <c r="AH365" s="1"/>
    </row>
    <row r="366">
      <c r="A366" s="1"/>
      <c r="B366" s="1"/>
      <c r="C366" s="1"/>
      <c r="D366" s="1"/>
      <c r="E366" s="1"/>
      <c r="F366" s="1"/>
      <c r="G366" s="1"/>
      <c r="H366" s="1"/>
      <c r="I366" s="1"/>
      <c r="J366" s="5"/>
      <c r="K366" s="2"/>
      <c r="L366" s="1"/>
      <c r="M366" s="1"/>
      <c r="N366" s="1"/>
      <c r="O366" s="1"/>
      <c r="P366" s="1"/>
      <c r="Q366" s="1"/>
      <c r="R366" s="1"/>
      <c r="S366" s="1"/>
      <c r="T366" s="1"/>
      <c r="U366" s="1"/>
      <c r="V366" s="1"/>
      <c r="W366" s="1"/>
      <c r="X366" s="1"/>
      <c r="Y366" s="1"/>
      <c r="Z366" s="1"/>
      <c r="AA366" s="1"/>
      <c r="AB366" s="1"/>
      <c r="AC366" s="1"/>
      <c r="AD366" s="1"/>
      <c r="AE366" s="1"/>
      <c r="AF366" s="1"/>
      <c r="AG366" s="1"/>
      <c r="AH366" s="1"/>
    </row>
    <row r="367">
      <c r="A367" s="1"/>
      <c r="B367" s="1"/>
      <c r="C367" s="1"/>
      <c r="D367" s="1"/>
      <c r="E367" s="1"/>
      <c r="F367" s="1"/>
      <c r="G367" s="1"/>
      <c r="H367" s="1"/>
      <c r="I367" s="1"/>
      <c r="J367" s="5"/>
      <c r="K367" s="2"/>
      <c r="L367" s="1"/>
      <c r="M367" s="1"/>
      <c r="N367" s="1"/>
      <c r="O367" s="1"/>
      <c r="P367" s="1"/>
      <c r="Q367" s="1"/>
      <c r="R367" s="1"/>
      <c r="S367" s="1"/>
      <c r="T367" s="1"/>
      <c r="U367" s="1"/>
      <c r="V367" s="1"/>
      <c r="W367" s="1"/>
      <c r="X367" s="1"/>
      <c r="Y367" s="1"/>
      <c r="Z367" s="1"/>
      <c r="AA367" s="1"/>
      <c r="AB367" s="1"/>
      <c r="AC367" s="1"/>
      <c r="AD367" s="1"/>
      <c r="AE367" s="1"/>
      <c r="AF367" s="1"/>
      <c r="AG367" s="1"/>
      <c r="AH367" s="1"/>
    </row>
    <row r="368">
      <c r="A368" s="1"/>
      <c r="B368" s="1"/>
      <c r="C368" s="1"/>
      <c r="D368" s="1"/>
      <c r="E368" s="1"/>
      <c r="F368" s="1"/>
      <c r="G368" s="1"/>
      <c r="H368" s="1"/>
      <c r="I368" s="1"/>
      <c r="J368" s="5"/>
      <c r="K368" s="2"/>
      <c r="L368" s="1"/>
      <c r="M368" s="1"/>
      <c r="N368" s="1"/>
      <c r="O368" s="1"/>
      <c r="P368" s="1"/>
      <c r="Q368" s="1"/>
      <c r="R368" s="1"/>
      <c r="S368" s="1"/>
      <c r="T368" s="1"/>
      <c r="U368" s="1"/>
      <c r="V368" s="1"/>
      <c r="W368" s="1"/>
      <c r="X368" s="1"/>
      <c r="Y368" s="1"/>
      <c r="Z368" s="1"/>
      <c r="AA368" s="1"/>
      <c r="AB368" s="1"/>
      <c r="AC368" s="1"/>
      <c r="AD368" s="1"/>
      <c r="AE368" s="1"/>
      <c r="AF368" s="1"/>
      <c r="AG368" s="1"/>
      <c r="AH368" s="1"/>
    </row>
    <row r="369">
      <c r="A369" s="1"/>
      <c r="B369" s="1"/>
      <c r="C369" s="1"/>
      <c r="D369" s="1"/>
      <c r="E369" s="1"/>
      <c r="F369" s="1"/>
      <c r="G369" s="1"/>
      <c r="H369" s="1"/>
      <c r="I369" s="1"/>
      <c r="J369" s="5"/>
      <c r="K369" s="2"/>
      <c r="L369" s="1"/>
      <c r="M369" s="1"/>
      <c r="N369" s="1"/>
      <c r="O369" s="1"/>
      <c r="P369" s="1"/>
      <c r="Q369" s="1"/>
      <c r="R369" s="1"/>
      <c r="S369" s="1"/>
      <c r="T369" s="1"/>
      <c r="U369" s="1"/>
      <c r="V369" s="1"/>
      <c r="W369" s="1"/>
      <c r="X369" s="1"/>
      <c r="Y369" s="1"/>
      <c r="Z369" s="1"/>
      <c r="AA369" s="1"/>
      <c r="AB369" s="1"/>
      <c r="AC369" s="1"/>
      <c r="AD369" s="1"/>
      <c r="AE369" s="1"/>
      <c r="AF369" s="1"/>
      <c r="AG369" s="1"/>
      <c r="AH369" s="1"/>
    </row>
    <row r="370">
      <c r="A370" s="1"/>
      <c r="B370" s="1"/>
      <c r="C370" s="1"/>
      <c r="D370" s="1"/>
      <c r="E370" s="1"/>
      <c r="F370" s="1"/>
      <c r="G370" s="1"/>
      <c r="H370" s="1"/>
      <c r="I370" s="1"/>
      <c r="J370" s="5"/>
      <c r="K370" s="2"/>
      <c r="L370" s="1"/>
      <c r="M370" s="1"/>
      <c r="N370" s="1"/>
      <c r="O370" s="1"/>
      <c r="P370" s="1"/>
      <c r="Q370" s="1"/>
      <c r="R370" s="1"/>
      <c r="S370" s="1"/>
      <c r="T370" s="1"/>
      <c r="U370" s="1"/>
      <c r="V370" s="1"/>
      <c r="W370" s="1"/>
      <c r="X370" s="1"/>
      <c r="Y370" s="1"/>
      <c r="Z370" s="1"/>
      <c r="AA370" s="1"/>
      <c r="AB370" s="1"/>
      <c r="AC370" s="1"/>
      <c r="AD370" s="1"/>
      <c r="AE370" s="1"/>
      <c r="AF370" s="1"/>
      <c r="AG370" s="1"/>
      <c r="AH370" s="1"/>
    </row>
    <row r="371">
      <c r="A371" s="1"/>
      <c r="B371" s="1"/>
      <c r="C371" s="1"/>
      <c r="D371" s="1"/>
      <c r="E371" s="1"/>
      <c r="F371" s="1"/>
      <c r="G371" s="1"/>
      <c r="H371" s="1"/>
      <c r="I371" s="1"/>
      <c r="J371" s="5"/>
      <c r="K371" s="2"/>
      <c r="L371" s="1"/>
      <c r="M371" s="1"/>
      <c r="N371" s="1"/>
      <c r="O371" s="1"/>
      <c r="P371" s="1"/>
      <c r="Q371" s="1"/>
      <c r="R371" s="1"/>
      <c r="S371" s="1"/>
      <c r="T371" s="1"/>
      <c r="U371" s="1"/>
      <c r="V371" s="1"/>
      <c r="W371" s="1"/>
      <c r="X371" s="1"/>
      <c r="Y371" s="1"/>
      <c r="Z371" s="1"/>
      <c r="AA371" s="1"/>
      <c r="AB371" s="1"/>
      <c r="AC371" s="1"/>
      <c r="AD371" s="1"/>
      <c r="AE371" s="1"/>
      <c r="AF371" s="1"/>
      <c r="AG371" s="1"/>
      <c r="AH371" s="1"/>
    </row>
    <row r="372">
      <c r="A372" s="1"/>
      <c r="B372" s="1"/>
      <c r="C372" s="1"/>
      <c r="D372" s="1"/>
      <c r="E372" s="1"/>
      <c r="F372" s="1"/>
      <c r="G372" s="1"/>
      <c r="H372" s="1"/>
      <c r="I372" s="1"/>
      <c r="J372" s="5"/>
      <c r="K372" s="2"/>
      <c r="L372" s="1"/>
      <c r="M372" s="1"/>
      <c r="N372" s="1"/>
      <c r="O372" s="1"/>
      <c r="P372" s="1"/>
      <c r="Q372" s="1"/>
      <c r="R372" s="1"/>
      <c r="S372" s="1"/>
      <c r="T372" s="1"/>
      <c r="U372" s="1"/>
      <c r="V372" s="1"/>
      <c r="W372" s="1"/>
      <c r="X372" s="1"/>
      <c r="Y372" s="1"/>
      <c r="Z372" s="1"/>
      <c r="AA372" s="1"/>
      <c r="AB372" s="1"/>
      <c r="AC372" s="1"/>
      <c r="AD372" s="1"/>
      <c r="AE372" s="1"/>
      <c r="AF372" s="1"/>
      <c r="AG372" s="1"/>
      <c r="AH372" s="1"/>
    </row>
    <row r="373">
      <c r="A373" s="1"/>
      <c r="B373" s="1"/>
      <c r="C373" s="1"/>
      <c r="D373" s="1"/>
      <c r="E373" s="1"/>
      <c r="F373" s="1"/>
      <c r="G373" s="1"/>
      <c r="H373" s="1"/>
      <c r="I373" s="1"/>
      <c r="J373" s="5"/>
      <c r="K373" s="2"/>
      <c r="L373" s="1"/>
      <c r="M373" s="1"/>
      <c r="N373" s="1"/>
      <c r="O373" s="1"/>
      <c r="P373" s="1"/>
      <c r="Q373" s="1"/>
      <c r="R373" s="1"/>
      <c r="S373" s="1"/>
      <c r="T373" s="1"/>
      <c r="U373" s="1"/>
      <c r="V373" s="1"/>
      <c r="W373" s="1"/>
      <c r="X373" s="1"/>
      <c r="Y373" s="1"/>
      <c r="Z373" s="1"/>
      <c r="AA373" s="1"/>
      <c r="AB373" s="1"/>
      <c r="AC373" s="1"/>
      <c r="AD373" s="1"/>
      <c r="AE373" s="1"/>
      <c r="AF373" s="1"/>
      <c r="AG373" s="1"/>
      <c r="AH373" s="1"/>
    </row>
    <row r="374">
      <c r="A374" s="1"/>
      <c r="B374" s="1"/>
      <c r="C374" s="1"/>
      <c r="D374" s="1"/>
      <c r="E374" s="1"/>
      <c r="F374" s="1"/>
      <c r="G374" s="1"/>
      <c r="H374" s="1"/>
      <c r="I374" s="1"/>
      <c r="J374" s="5"/>
      <c r="K374" s="2"/>
      <c r="L374" s="1"/>
      <c r="M374" s="1"/>
      <c r="N374" s="1"/>
      <c r="O374" s="1"/>
      <c r="P374" s="1"/>
      <c r="Q374" s="1"/>
      <c r="R374" s="1"/>
      <c r="S374" s="1"/>
      <c r="T374" s="1"/>
      <c r="U374" s="1"/>
      <c r="V374" s="1"/>
      <c r="W374" s="1"/>
      <c r="X374" s="1"/>
      <c r="Y374" s="1"/>
      <c r="Z374" s="1"/>
      <c r="AA374" s="1"/>
      <c r="AB374" s="1"/>
      <c r="AC374" s="1"/>
      <c r="AD374" s="1"/>
      <c r="AE374" s="1"/>
      <c r="AF374" s="1"/>
      <c r="AG374" s="1"/>
      <c r="AH374" s="1"/>
    </row>
    <row r="375">
      <c r="A375" s="1"/>
      <c r="B375" s="1"/>
      <c r="C375" s="1"/>
      <c r="D375" s="1"/>
      <c r="E375" s="1"/>
      <c r="F375" s="1"/>
      <c r="G375" s="1"/>
      <c r="H375" s="1"/>
      <c r="I375" s="1"/>
      <c r="J375" s="5"/>
      <c r="K375" s="2"/>
      <c r="L375" s="1"/>
      <c r="M375" s="1"/>
      <c r="N375" s="1"/>
      <c r="O375" s="1"/>
      <c r="P375" s="1"/>
      <c r="Q375" s="1"/>
      <c r="R375" s="1"/>
      <c r="S375" s="1"/>
      <c r="T375" s="1"/>
      <c r="U375" s="1"/>
      <c r="V375" s="1"/>
      <c r="W375" s="1"/>
      <c r="X375" s="1"/>
      <c r="Y375" s="1"/>
      <c r="Z375" s="1"/>
      <c r="AA375" s="1"/>
      <c r="AB375" s="1"/>
      <c r="AC375" s="1"/>
      <c r="AD375" s="1"/>
      <c r="AE375" s="1"/>
      <c r="AF375" s="1"/>
      <c r="AG375" s="1"/>
      <c r="AH375" s="1"/>
    </row>
    <row r="376">
      <c r="A376" s="1"/>
      <c r="B376" s="1"/>
      <c r="C376" s="1"/>
      <c r="D376" s="1"/>
      <c r="E376" s="1"/>
      <c r="F376" s="1"/>
      <c r="G376" s="1"/>
      <c r="H376" s="1"/>
      <c r="I376" s="1"/>
      <c r="J376" s="5"/>
      <c r="K376" s="2"/>
      <c r="L376" s="1"/>
      <c r="M376" s="1"/>
      <c r="N376" s="1"/>
      <c r="O376" s="1"/>
      <c r="P376" s="1"/>
      <c r="Q376" s="1"/>
      <c r="R376" s="1"/>
      <c r="S376" s="1"/>
      <c r="T376" s="1"/>
      <c r="U376" s="1"/>
      <c r="V376" s="1"/>
      <c r="W376" s="1"/>
      <c r="X376" s="1"/>
      <c r="Y376" s="1"/>
      <c r="Z376" s="1"/>
      <c r="AA376" s="1"/>
      <c r="AB376" s="1"/>
      <c r="AC376" s="1"/>
      <c r="AD376" s="1"/>
      <c r="AE376" s="1"/>
      <c r="AF376" s="1"/>
      <c r="AG376" s="1"/>
      <c r="AH376" s="1"/>
    </row>
    <row r="377">
      <c r="A377" s="1"/>
      <c r="B377" s="1"/>
      <c r="C377" s="1"/>
      <c r="D377" s="1"/>
      <c r="E377" s="1"/>
      <c r="F377" s="1"/>
      <c r="G377" s="1"/>
      <c r="H377" s="1"/>
      <c r="I377" s="1"/>
      <c r="J377" s="5"/>
      <c r="K377" s="2"/>
      <c r="L377" s="1"/>
      <c r="M377" s="1"/>
      <c r="N377" s="1"/>
      <c r="O377" s="1"/>
      <c r="P377" s="1"/>
      <c r="Q377" s="1"/>
      <c r="R377" s="1"/>
      <c r="S377" s="1"/>
      <c r="T377" s="1"/>
      <c r="U377" s="1"/>
      <c r="V377" s="1"/>
      <c r="W377" s="1"/>
      <c r="X377" s="1"/>
      <c r="Y377" s="1"/>
      <c r="Z377" s="1"/>
      <c r="AA377" s="1"/>
      <c r="AB377" s="1"/>
      <c r="AC377" s="1"/>
      <c r="AD377" s="1"/>
      <c r="AE377" s="1"/>
      <c r="AF377" s="1"/>
      <c r="AG377" s="1"/>
      <c r="AH377" s="1"/>
    </row>
    <row r="378">
      <c r="A378" s="1"/>
      <c r="B378" s="1"/>
      <c r="C378" s="1"/>
      <c r="D378" s="1"/>
      <c r="E378" s="1"/>
      <c r="F378" s="1"/>
      <c r="G378" s="1"/>
      <c r="H378" s="1"/>
      <c r="I378" s="1"/>
      <c r="J378" s="5"/>
      <c r="K378" s="2"/>
      <c r="L378" s="1"/>
      <c r="M378" s="1"/>
      <c r="N378" s="1"/>
      <c r="O378" s="1"/>
      <c r="P378" s="1"/>
      <c r="Q378" s="1"/>
      <c r="R378" s="1"/>
      <c r="S378" s="1"/>
      <c r="T378" s="1"/>
      <c r="U378" s="1"/>
      <c r="V378" s="1"/>
      <c r="W378" s="1"/>
      <c r="X378" s="1"/>
      <c r="Y378" s="1"/>
      <c r="Z378" s="1"/>
      <c r="AA378" s="1"/>
      <c r="AB378" s="1"/>
      <c r="AC378" s="1"/>
      <c r="AD378" s="1"/>
      <c r="AE378" s="1"/>
      <c r="AF378" s="1"/>
      <c r="AG378" s="1"/>
      <c r="AH378" s="1"/>
    </row>
    <row r="379">
      <c r="A379" s="1"/>
      <c r="B379" s="1"/>
      <c r="C379" s="1"/>
      <c r="D379" s="1"/>
      <c r="E379" s="1"/>
      <c r="F379" s="1"/>
      <c r="G379" s="1"/>
      <c r="H379" s="1"/>
      <c r="I379" s="1"/>
      <c r="J379" s="5"/>
      <c r="K379" s="2"/>
      <c r="L379" s="1"/>
      <c r="M379" s="1"/>
      <c r="N379" s="1"/>
      <c r="O379" s="1"/>
      <c r="P379" s="1"/>
      <c r="Q379" s="1"/>
      <c r="R379" s="1"/>
      <c r="S379" s="1"/>
      <c r="T379" s="1"/>
      <c r="U379" s="1"/>
      <c r="V379" s="1"/>
      <c r="W379" s="1"/>
      <c r="X379" s="1"/>
      <c r="Y379" s="1"/>
      <c r="Z379" s="1"/>
      <c r="AA379" s="1"/>
      <c r="AB379" s="1"/>
      <c r="AC379" s="1"/>
      <c r="AD379" s="1"/>
      <c r="AE379" s="1"/>
      <c r="AF379" s="1"/>
      <c r="AG379" s="1"/>
      <c r="AH379" s="1"/>
    </row>
    <row r="380">
      <c r="A380" s="1"/>
      <c r="B380" s="1"/>
      <c r="C380" s="1"/>
      <c r="D380" s="1"/>
      <c r="E380" s="1"/>
      <c r="F380" s="1"/>
      <c r="G380" s="1"/>
      <c r="H380" s="1"/>
      <c r="I380" s="1"/>
      <c r="J380" s="5"/>
      <c r="K380" s="2"/>
      <c r="L380" s="1"/>
      <c r="M380" s="1"/>
      <c r="N380" s="1"/>
      <c r="O380" s="1"/>
      <c r="P380" s="1"/>
      <c r="Q380" s="1"/>
      <c r="R380" s="1"/>
      <c r="S380" s="1"/>
      <c r="T380" s="1"/>
      <c r="U380" s="1"/>
      <c r="V380" s="1"/>
      <c r="W380" s="1"/>
      <c r="X380" s="1"/>
      <c r="Y380" s="1"/>
      <c r="Z380" s="1"/>
      <c r="AA380" s="1"/>
      <c r="AB380" s="1"/>
      <c r="AC380" s="1"/>
      <c r="AD380" s="1"/>
      <c r="AE380" s="1"/>
      <c r="AF380" s="1"/>
      <c r="AG380" s="1"/>
      <c r="AH380" s="1"/>
    </row>
    <row r="381">
      <c r="A381" s="1"/>
      <c r="B381" s="1"/>
      <c r="C381" s="1"/>
      <c r="D381" s="1"/>
      <c r="E381" s="1"/>
      <c r="F381" s="1"/>
      <c r="G381" s="1"/>
      <c r="H381" s="1"/>
      <c r="I381" s="1"/>
      <c r="J381" s="5"/>
      <c r="K381" s="2"/>
      <c r="L381" s="1"/>
      <c r="M381" s="1"/>
      <c r="N381" s="1"/>
      <c r="O381" s="1"/>
      <c r="P381" s="1"/>
      <c r="Q381" s="1"/>
      <c r="R381" s="1"/>
      <c r="S381" s="1"/>
      <c r="T381" s="1"/>
      <c r="U381" s="1"/>
      <c r="V381" s="1"/>
      <c r="W381" s="1"/>
      <c r="X381" s="1"/>
      <c r="Y381" s="1"/>
      <c r="Z381" s="1"/>
      <c r="AA381" s="1"/>
      <c r="AB381" s="1"/>
      <c r="AC381" s="1"/>
      <c r="AD381" s="1"/>
      <c r="AE381" s="1"/>
      <c r="AF381" s="1"/>
      <c r="AG381" s="1"/>
      <c r="AH381" s="1"/>
    </row>
    <row r="382">
      <c r="A382" s="1"/>
      <c r="B382" s="1"/>
      <c r="C382" s="1"/>
      <c r="D382" s="1"/>
      <c r="E382" s="1"/>
      <c r="F382" s="1"/>
      <c r="G382" s="1"/>
      <c r="H382" s="1"/>
      <c r="I382" s="1"/>
      <c r="J382" s="5"/>
      <c r="K382" s="2"/>
      <c r="L382" s="1"/>
      <c r="M382" s="1"/>
      <c r="N382" s="1"/>
      <c r="O382" s="1"/>
      <c r="P382" s="1"/>
      <c r="Q382" s="1"/>
      <c r="R382" s="1"/>
      <c r="S382" s="1"/>
      <c r="T382" s="1"/>
      <c r="U382" s="1"/>
      <c r="V382" s="1"/>
      <c r="W382" s="1"/>
      <c r="X382" s="1"/>
      <c r="Y382" s="1"/>
      <c r="Z382" s="1"/>
      <c r="AA382" s="1"/>
      <c r="AB382" s="1"/>
      <c r="AC382" s="1"/>
      <c r="AD382" s="1"/>
      <c r="AE382" s="1"/>
      <c r="AF382" s="1"/>
      <c r="AG382" s="1"/>
      <c r="AH382" s="1"/>
    </row>
    <row r="383">
      <c r="A383" s="1"/>
      <c r="B383" s="1"/>
      <c r="C383" s="1"/>
      <c r="D383" s="1"/>
      <c r="E383" s="1"/>
      <c r="F383" s="1"/>
      <c r="G383" s="1"/>
      <c r="H383" s="1"/>
      <c r="I383" s="1"/>
      <c r="J383" s="5"/>
      <c r="K383" s="2"/>
      <c r="L383" s="1"/>
      <c r="M383" s="1"/>
      <c r="N383" s="1"/>
      <c r="O383" s="1"/>
      <c r="P383" s="1"/>
      <c r="Q383" s="1"/>
      <c r="R383" s="1"/>
      <c r="S383" s="1"/>
      <c r="T383" s="1"/>
      <c r="U383" s="1"/>
      <c r="V383" s="1"/>
      <c r="W383" s="1"/>
      <c r="X383" s="1"/>
      <c r="Y383" s="1"/>
      <c r="Z383" s="1"/>
      <c r="AA383" s="1"/>
      <c r="AB383" s="1"/>
      <c r="AC383" s="1"/>
      <c r="AD383" s="1"/>
      <c r="AE383" s="1"/>
      <c r="AF383" s="1"/>
      <c r="AG383" s="1"/>
      <c r="AH383" s="1"/>
    </row>
    <row r="384">
      <c r="A384" s="1"/>
      <c r="B384" s="1"/>
      <c r="C384" s="1"/>
      <c r="D384" s="1"/>
      <c r="E384" s="1"/>
      <c r="F384" s="1"/>
      <c r="G384" s="1"/>
      <c r="H384" s="1"/>
      <c r="I384" s="1"/>
      <c r="J384" s="5"/>
      <c r="K384" s="2"/>
      <c r="L384" s="1"/>
      <c r="M384" s="1"/>
      <c r="N384" s="1"/>
      <c r="O384" s="1"/>
      <c r="P384" s="1"/>
      <c r="Q384" s="1"/>
      <c r="R384" s="1"/>
      <c r="S384" s="1"/>
      <c r="T384" s="1"/>
      <c r="U384" s="1"/>
      <c r="V384" s="1"/>
      <c r="W384" s="1"/>
      <c r="X384" s="1"/>
      <c r="Y384" s="1"/>
      <c r="Z384" s="1"/>
      <c r="AA384" s="1"/>
      <c r="AB384" s="1"/>
      <c r="AC384" s="1"/>
      <c r="AD384" s="1"/>
      <c r="AE384" s="1"/>
      <c r="AF384" s="1"/>
      <c r="AG384" s="1"/>
      <c r="AH384" s="1"/>
    </row>
    <row r="385">
      <c r="A385" s="1"/>
      <c r="B385" s="1"/>
      <c r="C385" s="1"/>
      <c r="D385" s="1"/>
      <c r="E385" s="1"/>
      <c r="F385" s="1"/>
      <c r="G385" s="1"/>
      <c r="H385" s="1"/>
      <c r="I385" s="1"/>
      <c r="J385" s="5"/>
      <c r="K385" s="2"/>
      <c r="L385" s="1"/>
      <c r="M385" s="1"/>
      <c r="N385" s="1"/>
      <c r="O385" s="1"/>
      <c r="P385" s="1"/>
      <c r="Q385" s="1"/>
      <c r="R385" s="1"/>
      <c r="S385" s="1"/>
      <c r="T385" s="1"/>
      <c r="U385" s="1"/>
      <c r="V385" s="1"/>
      <c r="W385" s="1"/>
      <c r="X385" s="1"/>
      <c r="Y385" s="1"/>
      <c r="Z385" s="1"/>
      <c r="AA385" s="1"/>
      <c r="AB385" s="1"/>
      <c r="AC385" s="1"/>
      <c r="AD385" s="1"/>
      <c r="AE385" s="1"/>
      <c r="AF385" s="1"/>
      <c r="AG385" s="1"/>
      <c r="AH385" s="1"/>
    </row>
    <row r="386">
      <c r="A386" s="1"/>
      <c r="B386" s="1"/>
      <c r="C386" s="1"/>
      <c r="D386" s="1"/>
      <c r="E386" s="1"/>
      <c r="F386" s="1"/>
      <c r="G386" s="1"/>
      <c r="H386" s="1"/>
      <c r="I386" s="1"/>
      <c r="J386" s="5"/>
      <c r="K386" s="2"/>
      <c r="L386" s="1"/>
      <c r="M386" s="1"/>
      <c r="N386" s="1"/>
      <c r="O386" s="1"/>
      <c r="P386" s="1"/>
      <c r="Q386" s="1"/>
      <c r="R386" s="1"/>
      <c r="S386" s="1"/>
      <c r="T386" s="1"/>
      <c r="U386" s="1"/>
      <c r="V386" s="1"/>
      <c r="W386" s="1"/>
      <c r="X386" s="1"/>
      <c r="Y386" s="1"/>
      <c r="Z386" s="1"/>
      <c r="AA386" s="1"/>
      <c r="AB386" s="1"/>
      <c r="AC386" s="1"/>
      <c r="AD386" s="1"/>
      <c r="AE386" s="1"/>
      <c r="AF386" s="1"/>
      <c r="AG386" s="1"/>
      <c r="AH386" s="1"/>
    </row>
    <row r="387">
      <c r="A387" s="1"/>
      <c r="B387" s="1"/>
      <c r="C387" s="1"/>
      <c r="D387" s="1"/>
      <c r="E387" s="1"/>
      <c r="F387" s="1"/>
      <c r="G387" s="1"/>
      <c r="H387" s="1"/>
      <c r="I387" s="1"/>
      <c r="J387" s="5"/>
      <c r="K387" s="2"/>
      <c r="L387" s="1"/>
      <c r="M387" s="1"/>
      <c r="N387" s="1"/>
      <c r="O387" s="1"/>
      <c r="P387" s="1"/>
      <c r="Q387" s="1"/>
      <c r="R387" s="1"/>
      <c r="S387" s="1"/>
      <c r="T387" s="1"/>
      <c r="U387" s="1"/>
      <c r="V387" s="1"/>
      <c r="W387" s="1"/>
      <c r="X387" s="1"/>
      <c r="Y387" s="1"/>
      <c r="Z387" s="1"/>
      <c r="AA387" s="1"/>
      <c r="AB387" s="1"/>
      <c r="AC387" s="1"/>
      <c r="AD387" s="1"/>
      <c r="AE387" s="1"/>
      <c r="AF387" s="1"/>
      <c r="AG387" s="1"/>
      <c r="AH387" s="1"/>
    </row>
    <row r="388">
      <c r="A388" s="1"/>
      <c r="B388" s="1"/>
      <c r="C388" s="1"/>
      <c r="D388" s="1"/>
      <c r="E388" s="1"/>
      <c r="F388" s="1"/>
      <c r="G388" s="1"/>
      <c r="H388" s="1"/>
      <c r="I388" s="1"/>
      <c r="J388" s="5"/>
      <c r="K388" s="2"/>
      <c r="L388" s="1"/>
      <c r="M388" s="1"/>
      <c r="N388" s="1"/>
      <c r="O388" s="1"/>
      <c r="P388" s="1"/>
      <c r="Q388" s="1"/>
      <c r="R388" s="1"/>
      <c r="S388" s="1"/>
      <c r="T388" s="1"/>
      <c r="U388" s="1"/>
      <c r="V388" s="1"/>
      <c r="W388" s="1"/>
      <c r="X388" s="1"/>
      <c r="Y388" s="1"/>
      <c r="Z388" s="1"/>
      <c r="AA388" s="1"/>
      <c r="AB388" s="1"/>
      <c r="AC388" s="1"/>
      <c r="AD388" s="1"/>
      <c r="AE388" s="1"/>
      <c r="AF388" s="1"/>
      <c r="AG388" s="1"/>
      <c r="AH388" s="1"/>
    </row>
    <row r="389">
      <c r="A389" s="1"/>
      <c r="B389" s="1"/>
      <c r="C389" s="1"/>
      <c r="D389" s="1"/>
      <c r="E389" s="1"/>
      <c r="F389" s="1"/>
      <c r="G389" s="1"/>
      <c r="H389" s="1"/>
      <c r="I389" s="1"/>
      <c r="J389" s="5"/>
      <c r="K389" s="2"/>
      <c r="L389" s="1"/>
      <c r="M389" s="1"/>
      <c r="N389" s="1"/>
      <c r="O389" s="1"/>
      <c r="P389" s="1"/>
      <c r="Q389" s="1"/>
      <c r="R389" s="1"/>
      <c r="S389" s="1"/>
      <c r="T389" s="1"/>
      <c r="U389" s="1"/>
      <c r="V389" s="1"/>
      <c r="W389" s="1"/>
      <c r="X389" s="1"/>
      <c r="Y389" s="1"/>
      <c r="Z389" s="1"/>
      <c r="AA389" s="1"/>
      <c r="AB389" s="1"/>
      <c r="AC389" s="1"/>
      <c r="AD389" s="1"/>
      <c r="AE389" s="1"/>
      <c r="AF389" s="1"/>
      <c r="AG389" s="1"/>
      <c r="AH389" s="1"/>
    </row>
    <row r="390">
      <c r="A390" s="1"/>
      <c r="B390" s="1"/>
      <c r="C390" s="1"/>
      <c r="D390" s="1"/>
      <c r="E390" s="1"/>
      <c r="F390" s="1"/>
      <c r="G390" s="1"/>
      <c r="H390" s="1"/>
      <c r="I390" s="1"/>
      <c r="J390" s="5"/>
      <c r="K390" s="2"/>
      <c r="L390" s="1"/>
      <c r="M390" s="1"/>
      <c r="N390" s="1"/>
      <c r="O390" s="1"/>
      <c r="P390" s="1"/>
      <c r="Q390" s="1"/>
      <c r="R390" s="1"/>
      <c r="S390" s="1"/>
      <c r="T390" s="1"/>
      <c r="U390" s="1"/>
      <c r="V390" s="1"/>
      <c r="W390" s="1"/>
      <c r="X390" s="1"/>
      <c r="Y390" s="1"/>
      <c r="Z390" s="1"/>
      <c r="AA390" s="1"/>
      <c r="AB390" s="1"/>
      <c r="AC390" s="1"/>
      <c r="AD390" s="1"/>
      <c r="AE390" s="1"/>
      <c r="AF390" s="1"/>
      <c r="AG390" s="1"/>
      <c r="AH390" s="1"/>
    </row>
    <row r="391">
      <c r="A391" s="1"/>
      <c r="B391" s="1"/>
      <c r="C391" s="1"/>
      <c r="D391" s="1"/>
      <c r="E391" s="1"/>
      <c r="F391" s="1"/>
      <c r="G391" s="1"/>
      <c r="H391" s="1"/>
      <c r="I391" s="1"/>
      <c r="J391" s="5"/>
      <c r="K391" s="2"/>
      <c r="L391" s="1"/>
      <c r="M391" s="1"/>
      <c r="N391" s="1"/>
      <c r="O391" s="1"/>
      <c r="P391" s="1"/>
      <c r="Q391" s="1"/>
      <c r="R391" s="1"/>
      <c r="S391" s="1"/>
      <c r="T391" s="1"/>
      <c r="U391" s="1"/>
      <c r="V391" s="1"/>
      <c r="W391" s="1"/>
      <c r="X391" s="1"/>
      <c r="Y391" s="1"/>
      <c r="Z391" s="1"/>
      <c r="AA391" s="1"/>
      <c r="AB391" s="1"/>
      <c r="AC391" s="1"/>
      <c r="AD391" s="1"/>
      <c r="AE391" s="1"/>
      <c r="AF391" s="1"/>
      <c r="AG391" s="1"/>
      <c r="AH391" s="1"/>
    </row>
    <row r="392">
      <c r="A392" s="1"/>
      <c r="B392" s="1"/>
      <c r="C392" s="1"/>
      <c r="D392" s="1"/>
      <c r="E392" s="1"/>
      <c r="F392" s="1"/>
      <c r="G392" s="1"/>
      <c r="H392" s="1"/>
      <c r="I392" s="1"/>
      <c r="J392" s="5"/>
      <c r="K392" s="2"/>
      <c r="L392" s="1"/>
      <c r="M392" s="1"/>
      <c r="N392" s="1"/>
      <c r="O392" s="1"/>
      <c r="P392" s="1"/>
      <c r="Q392" s="1"/>
      <c r="R392" s="1"/>
      <c r="S392" s="1"/>
      <c r="T392" s="1"/>
      <c r="U392" s="1"/>
      <c r="V392" s="1"/>
      <c r="W392" s="1"/>
      <c r="X392" s="1"/>
      <c r="Y392" s="1"/>
      <c r="Z392" s="1"/>
      <c r="AA392" s="1"/>
      <c r="AB392" s="1"/>
      <c r="AC392" s="1"/>
      <c r="AD392" s="1"/>
      <c r="AE392" s="1"/>
      <c r="AF392" s="1"/>
      <c r="AG392" s="1"/>
      <c r="AH392" s="1"/>
    </row>
    <row r="393">
      <c r="A393" s="1"/>
      <c r="B393" s="1"/>
      <c r="C393" s="1"/>
      <c r="D393" s="1"/>
      <c r="E393" s="1"/>
      <c r="F393" s="1"/>
      <c r="G393" s="1"/>
      <c r="H393" s="1"/>
      <c r="I393" s="1"/>
      <c r="J393" s="5"/>
      <c r="K393" s="2"/>
      <c r="L393" s="1"/>
      <c r="M393" s="1"/>
      <c r="N393" s="1"/>
      <c r="O393" s="1"/>
      <c r="P393" s="1"/>
      <c r="Q393" s="1"/>
      <c r="R393" s="1"/>
      <c r="S393" s="1"/>
      <c r="T393" s="1"/>
      <c r="U393" s="1"/>
      <c r="V393" s="1"/>
      <c r="W393" s="1"/>
      <c r="X393" s="1"/>
      <c r="Y393" s="1"/>
      <c r="Z393" s="1"/>
      <c r="AA393" s="1"/>
      <c r="AB393" s="1"/>
      <c r="AC393" s="1"/>
      <c r="AD393" s="1"/>
      <c r="AE393" s="1"/>
      <c r="AF393" s="1"/>
      <c r="AG393" s="1"/>
      <c r="AH393" s="1"/>
    </row>
    <row r="394">
      <c r="A394" s="1"/>
      <c r="B394" s="1"/>
      <c r="C394" s="1"/>
      <c r="D394" s="1"/>
      <c r="E394" s="1"/>
      <c r="F394" s="1"/>
      <c r="G394" s="1"/>
      <c r="H394" s="1"/>
      <c r="I394" s="1"/>
      <c r="J394" s="5"/>
      <c r="K394" s="2"/>
      <c r="L394" s="1"/>
      <c r="M394" s="1"/>
      <c r="N394" s="1"/>
      <c r="O394" s="1"/>
      <c r="P394" s="1"/>
      <c r="Q394" s="1"/>
      <c r="R394" s="1"/>
      <c r="S394" s="1"/>
      <c r="T394" s="1"/>
      <c r="U394" s="1"/>
      <c r="V394" s="1"/>
      <c r="W394" s="1"/>
      <c r="X394" s="1"/>
      <c r="Y394" s="1"/>
      <c r="Z394" s="1"/>
      <c r="AA394" s="1"/>
      <c r="AB394" s="1"/>
      <c r="AC394" s="1"/>
      <c r="AD394" s="1"/>
      <c r="AE394" s="1"/>
      <c r="AF394" s="1"/>
      <c r="AG394" s="1"/>
      <c r="AH394" s="1"/>
    </row>
    <row r="395">
      <c r="A395" s="1"/>
      <c r="B395" s="1"/>
      <c r="C395" s="1"/>
      <c r="D395" s="1"/>
      <c r="E395" s="1"/>
      <c r="F395" s="1"/>
      <c r="G395" s="1"/>
      <c r="H395" s="1"/>
      <c r="I395" s="1"/>
      <c r="J395" s="5"/>
      <c r="K395" s="2"/>
      <c r="L395" s="1"/>
      <c r="M395" s="1"/>
      <c r="N395" s="1"/>
      <c r="O395" s="1"/>
      <c r="P395" s="1"/>
      <c r="Q395" s="1"/>
      <c r="R395" s="1"/>
      <c r="S395" s="1"/>
      <c r="T395" s="1"/>
      <c r="U395" s="1"/>
      <c r="V395" s="1"/>
      <c r="W395" s="1"/>
      <c r="X395" s="1"/>
      <c r="Y395" s="1"/>
      <c r="Z395" s="1"/>
      <c r="AA395" s="1"/>
      <c r="AB395" s="1"/>
      <c r="AC395" s="1"/>
      <c r="AD395" s="1"/>
      <c r="AE395" s="1"/>
      <c r="AF395" s="1"/>
      <c r="AG395" s="1"/>
      <c r="AH395" s="1"/>
    </row>
    <row r="396">
      <c r="A396" s="1"/>
      <c r="B396" s="1"/>
      <c r="C396" s="1"/>
      <c r="D396" s="1"/>
      <c r="E396" s="1"/>
      <c r="F396" s="1"/>
      <c r="G396" s="1"/>
      <c r="H396" s="1"/>
      <c r="I396" s="1"/>
      <c r="J396" s="5"/>
      <c r="K396" s="2"/>
      <c r="L396" s="1"/>
      <c r="M396" s="1"/>
      <c r="N396" s="1"/>
      <c r="O396" s="1"/>
      <c r="P396" s="1"/>
      <c r="Q396" s="1"/>
      <c r="R396" s="1"/>
      <c r="S396" s="1"/>
      <c r="T396" s="1"/>
      <c r="U396" s="1"/>
      <c r="V396" s="1"/>
      <c r="W396" s="1"/>
      <c r="X396" s="1"/>
      <c r="Y396" s="1"/>
      <c r="Z396" s="1"/>
      <c r="AA396" s="1"/>
      <c r="AB396" s="1"/>
      <c r="AC396" s="1"/>
      <c r="AD396" s="1"/>
      <c r="AE396" s="1"/>
      <c r="AF396" s="1"/>
      <c r="AG396" s="1"/>
      <c r="AH396" s="1"/>
    </row>
    <row r="397">
      <c r="A397" s="1"/>
      <c r="B397" s="1"/>
      <c r="C397" s="1"/>
      <c r="D397" s="1"/>
      <c r="E397" s="1"/>
      <c r="F397" s="1"/>
      <c r="G397" s="1"/>
      <c r="H397" s="1"/>
      <c r="I397" s="1"/>
      <c r="J397" s="5"/>
      <c r="K397" s="2"/>
      <c r="L397" s="1"/>
      <c r="M397" s="1"/>
      <c r="N397" s="1"/>
      <c r="O397" s="1"/>
      <c r="P397" s="1"/>
      <c r="Q397" s="1"/>
      <c r="R397" s="1"/>
      <c r="S397" s="1"/>
      <c r="T397" s="1"/>
      <c r="U397" s="1"/>
      <c r="V397" s="1"/>
      <c r="W397" s="1"/>
      <c r="X397" s="1"/>
      <c r="Y397" s="1"/>
      <c r="Z397" s="1"/>
      <c r="AA397" s="1"/>
      <c r="AB397" s="1"/>
      <c r="AC397" s="1"/>
      <c r="AD397" s="1"/>
      <c r="AE397" s="1"/>
      <c r="AF397" s="1"/>
      <c r="AG397" s="1"/>
      <c r="AH397" s="1"/>
    </row>
    <row r="398">
      <c r="A398" s="1"/>
      <c r="B398" s="1"/>
      <c r="C398" s="1"/>
      <c r="D398" s="1"/>
      <c r="E398" s="1"/>
      <c r="F398" s="1"/>
      <c r="G398" s="1"/>
      <c r="H398" s="1"/>
      <c r="I398" s="1"/>
      <c r="J398" s="5"/>
      <c r="K398" s="2"/>
      <c r="L398" s="1"/>
      <c r="M398" s="1"/>
      <c r="N398" s="1"/>
      <c r="O398" s="1"/>
      <c r="P398" s="1"/>
      <c r="Q398" s="1"/>
      <c r="R398" s="1"/>
      <c r="S398" s="1"/>
      <c r="T398" s="1"/>
      <c r="U398" s="1"/>
      <c r="V398" s="1"/>
      <c r="W398" s="1"/>
      <c r="X398" s="1"/>
      <c r="Y398" s="1"/>
      <c r="Z398" s="1"/>
      <c r="AA398" s="1"/>
      <c r="AB398" s="1"/>
      <c r="AC398" s="1"/>
      <c r="AD398" s="1"/>
      <c r="AE398" s="1"/>
      <c r="AF398" s="1"/>
      <c r="AG398" s="1"/>
      <c r="AH398" s="1"/>
    </row>
    <row r="399">
      <c r="A399" s="1"/>
      <c r="B399" s="1"/>
      <c r="C399" s="1"/>
      <c r="D399" s="1"/>
      <c r="E399" s="1"/>
      <c r="F399" s="1"/>
      <c r="G399" s="1"/>
      <c r="H399" s="1"/>
      <c r="I399" s="1"/>
      <c r="J399" s="5"/>
      <c r="K399" s="2"/>
      <c r="L399" s="1"/>
      <c r="M399" s="1"/>
      <c r="N399" s="1"/>
      <c r="O399" s="1"/>
      <c r="P399" s="1"/>
      <c r="Q399" s="1"/>
      <c r="R399" s="1"/>
      <c r="S399" s="1"/>
      <c r="T399" s="1"/>
      <c r="U399" s="1"/>
      <c r="V399" s="1"/>
      <c r="W399" s="1"/>
      <c r="X399" s="1"/>
      <c r="Y399" s="1"/>
      <c r="Z399" s="1"/>
      <c r="AA399" s="1"/>
      <c r="AB399" s="1"/>
      <c r="AC399" s="1"/>
      <c r="AD399" s="1"/>
      <c r="AE399" s="1"/>
      <c r="AF399" s="1"/>
      <c r="AG399" s="1"/>
      <c r="AH399" s="1"/>
    </row>
    <row r="400">
      <c r="A400" s="1"/>
      <c r="B400" s="1"/>
      <c r="C400" s="1"/>
      <c r="D400" s="1"/>
      <c r="E400" s="1"/>
      <c r="F400" s="1"/>
      <c r="G400" s="1"/>
      <c r="H400" s="1"/>
      <c r="I400" s="1"/>
      <c r="J400" s="5"/>
      <c r="K400" s="2"/>
      <c r="L400" s="1"/>
      <c r="M400" s="1"/>
      <c r="N400" s="1"/>
      <c r="O400" s="1"/>
      <c r="P400" s="1"/>
      <c r="Q400" s="1"/>
      <c r="R400" s="1"/>
      <c r="S400" s="1"/>
      <c r="T400" s="1"/>
      <c r="U400" s="1"/>
      <c r="V400" s="1"/>
      <c r="W400" s="1"/>
      <c r="X400" s="1"/>
      <c r="Y400" s="1"/>
      <c r="Z400" s="1"/>
      <c r="AA400" s="1"/>
      <c r="AB400" s="1"/>
      <c r="AC400" s="1"/>
      <c r="AD400" s="1"/>
      <c r="AE400" s="1"/>
      <c r="AF400" s="1"/>
      <c r="AG400" s="1"/>
      <c r="AH400" s="1"/>
    </row>
    <row r="401">
      <c r="A401" s="1"/>
      <c r="B401" s="1"/>
      <c r="C401" s="1"/>
      <c r="D401" s="1"/>
      <c r="E401" s="1"/>
      <c r="F401" s="1"/>
      <c r="G401" s="1"/>
      <c r="H401" s="1"/>
      <c r="I401" s="1"/>
      <c r="J401" s="5"/>
      <c r="K401" s="2"/>
      <c r="L401" s="1"/>
      <c r="M401" s="1"/>
      <c r="N401" s="1"/>
      <c r="O401" s="1"/>
      <c r="P401" s="1"/>
      <c r="Q401" s="1"/>
      <c r="R401" s="1"/>
      <c r="S401" s="1"/>
      <c r="T401" s="1"/>
      <c r="U401" s="1"/>
      <c r="V401" s="1"/>
      <c r="W401" s="1"/>
      <c r="X401" s="1"/>
      <c r="Y401" s="1"/>
      <c r="Z401" s="1"/>
      <c r="AA401" s="1"/>
      <c r="AB401" s="1"/>
      <c r="AC401" s="1"/>
      <c r="AD401" s="1"/>
      <c r="AE401" s="1"/>
      <c r="AF401" s="1"/>
      <c r="AG401" s="1"/>
      <c r="AH401" s="1"/>
    </row>
    <row r="402">
      <c r="A402" s="1"/>
      <c r="B402" s="1"/>
      <c r="C402" s="1"/>
      <c r="D402" s="1"/>
      <c r="E402" s="1"/>
      <c r="F402" s="1"/>
      <c r="G402" s="1"/>
      <c r="H402" s="1"/>
      <c r="I402" s="1"/>
      <c r="J402" s="5"/>
      <c r="K402" s="2"/>
      <c r="L402" s="1"/>
      <c r="M402" s="1"/>
      <c r="N402" s="1"/>
      <c r="O402" s="1"/>
      <c r="P402" s="1"/>
      <c r="Q402" s="1"/>
      <c r="R402" s="1"/>
      <c r="S402" s="1"/>
      <c r="T402" s="1"/>
      <c r="U402" s="1"/>
      <c r="V402" s="1"/>
      <c r="W402" s="1"/>
      <c r="X402" s="1"/>
      <c r="Y402" s="1"/>
      <c r="Z402" s="1"/>
      <c r="AA402" s="1"/>
      <c r="AB402" s="1"/>
      <c r="AC402" s="1"/>
      <c r="AD402" s="1"/>
      <c r="AE402" s="1"/>
      <c r="AF402" s="1"/>
      <c r="AG402" s="1"/>
      <c r="AH402" s="1"/>
    </row>
    <row r="403">
      <c r="A403" s="1"/>
      <c r="B403" s="1"/>
      <c r="C403" s="1"/>
      <c r="D403" s="1"/>
      <c r="E403" s="1"/>
      <c r="F403" s="1"/>
      <c r="G403" s="1"/>
      <c r="H403" s="1"/>
      <c r="I403" s="1"/>
      <c r="J403" s="5"/>
      <c r="K403" s="2"/>
      <c r="L403" s="1"/>
      <c r="M403" s="1"/>
      <c r="N403" s="1"/>
      <c r="O403" s="1"/>
      <c r="P403" s="1"/>
      <c r="Q403" s="1"/>
      <c r="R403" s="1"/>
      <c r="S403" s="1"/>
      <c r="T403" s="1"/>
      <c r="U403" s="1"/>
      <c r="V403" s="1"/>
      <c r="W403" s="1"/>
      <c r="X403" s="1"/>
      <c r="Y403" s="1"/>
      <c r="Z403" s="1"/>
      <c r="AA403" s="1"/>
      <c r="AB403" s="1"/>
      <c r="AC403" s="1"/>
      <c r="AD403" s="1"/>
      <c r="AE403" s="1"/>
      <c r="AF403" s="1"/>
      <c r="AG403" s="1"/>
      <c r="AH403" s="1"/>
    </row>
    <row r="404">
      <c r="A404" s="1"/>
      <c r="B404" s="1"/>
      <c r="C404" s="1"/>
      <c r="D404" s="1"/>
      <c r="E404" s="1"/>
      <c r="F404" s="1"/>
      <c r="G404" s="1"/>
      <c r="H404" s="1"/>
      <c r="I404" s="1"/>
      <c r="J404" s="5"/>
      <c r="K404" s="2"/>
      <c r="L404" s="1"/>
      <c r="M404" s="1"/>
      <c r="N404" s="1"/>
      <c r="O404" s="1"/>
      <c r="P404" s="1"/>
      <c r="Q404" s="1"/>
      <c r="R404" s="1"/>
      <c r="S404" s="1"/>
      <c r="T404" s="1"/>
      <c r="U404" s="1"/>
      <c r="V404" s="1"/>
      <c r="W404" s="1"/>
      <c r="X404" s="1"/>
      <c r="Y404" s="1"/>
      <c r="Z404" s="1"/>
      <c r="AA404" s="1"/>
      <c r="AB404" s="1"/>
      <c r="AC404" s="1"/>
      <c r="AD404" s="1"/>
      <c r="AE404" s="1"/>
      <c r="AF404" s="1"/>
      <c r="AG404" s="1"/>
      <c r="AH404" s="1"/>
    </row>
    <row r="405">
      <c r="A405" s="1"/>
      <c r="B405" s="1"/>
      <c r="C405" s="1"/>
      <c r="D405" s="1"/>
      <c r="E405" s="1"/>
      <c r="F405" s="1"/>
      <c r="G405" s="1"/>
      <c r="H405" s="1"/>
      <c r="I405" s="1"/>
      <c r="J405" s="5"/>
      <c r="K405" s="2"/>
      <c r="L405" s="1"/>
      <c r="M405" s="1"/>
      <c r="N405" s="1"/>
      <c r="O405" s="1"/>
      <c r="P405" s="1"/>
      <c r="Q405" s="1"/>
      <c r="R405" s="1"/>
      <c r="S405" s="1"/>
      <c r="T405" s="1"/>
      <c r="U405" s="1"/>
      <c r="V405" s="1"/>
      <c r="W405" s="1"/>
      <c r="X405" s="1"/>
      <c r="Y405" s="1"/>
      <c r="Z405" s="1"/>
      <c r="AA405" s="1"/>
      <c r="AB405" s="1"/>
      <c r="AC405" s="1"/>
      <c r="AD405" s="1"/>
      <c r="AE405" s="1"/>
      <c r="AF405" s="1"/>
      <c r="AG405" s="1"/>
      <c r="AH405" s="1"/>
    </row>
    <row r="406">
      <c r="A406" s="1"/>
      <c r="B406" s="1"/>
      <c r="C406" s="1"/>
      <c r="D406" s="1"/>
      <c r="E406" s="1"/>
      <c r="F406" s="1"/>
      <c r="G406" s="1"/>
      <c r="H406" s="1"/>
      <c r="I406" s="1"/>
      <c r="J406" s="5"/>
      <c r="K406" s="2"/>
      <c r="L406" s="1"/>
      <c r="M406" s="1"/>
      <c r="N406" s="1"/>
      <c r="O406" s="1"/>
      <c r="P406" s="1"/>
      <c r="Q406" s="1"/>
      <c r="R406" s="1"/>
      <c r="S406" s="1"/>
      <c r="T406" s="1"/>
      <c r="U406" s="1"/>
      <c r="V406" s="1"/>
      <c r="W406" s="1"/>
      <c r="X406" s="1"/>
      <c r="Y406" s="1"/>
      <c r="Z406" s="1"/>
      <c r="AA406" s="1"/>
      <c r="AB406" s="1"/>
      <c r="AC406" s="1"/>
      <c r="AD406" s="1"/>
      <c r="AE406" s="1"/>
      <c r="AF406" s="1"/>
      <c r="AG406" s="1"/>
      <c r="AH406" s="1"/>
    </row>
    <row r="407">
      <c r="A407" s="1"/>
      <c r="B407" s="1"/>
      <c r="C407" s="1"/>
      <c r="D407" s="1"/>
      <c r="E407" s="1"/>
      <c r="F407" s="1"/>
      <c r="G407" s="1"/>
      <c r="H407" s="1"/>
      <c r="I407" s="1"/>
      <c r="J407" s="5"/>
      <c r="K407" s="2"/>
      <c r="L407" s="1"/>
      <c r="M407" s="1"/>
      <c r="N407" s="1"/>
      <c r="O407" s="1"/>
      <c r="P407" s="1"/>
      <c r="Q407" s="1"/>
      <c r="R407" s="1"/>
      <c r="S407" s="1"/>
      <c r="T407" s="1"/>
      <c r="U407" s="1"/>
      <c r="V407" s="1"/>
      <c r="W407" s="1"/>
      <c r="X407" s="1"/>
      <c r="Y407" s="1"/>
      <c r="Z407" s="1"/>
      <c r="AA407" s="1"/>
      <c r="AB407" s="1"/>
      <c r="AC407" s="1"/>
      <c r="AD407" s="1"/>
      <c r="AE407" s="1"/>
      <c r="AF407" s="1"/>
      <c r="AG407" s="1"/>
      <c r="AH407" s="1"/>
    </row>
    <row r="408">
      <c r="A408" s="1"/>
      <c r="B408" s="1"/>
      <c r="C408" s="1"/>
      <c r="D408" s="1"/>
      <c r="E408" s="1"/>
      <c r="F408" s="1"/>
      <c r="G408" s="1"/>
      <c r="H408" s="1"/>
      <c r="I408" s="1"/>
      <c r="J408" s="5"/>
      <c r="K408" s="2"/>
      <c r="L408" s="1"/>
      <c r="M408" s="1"/>
      <c r="N408" s="1"/>
      <c r="O408" s="1"/>
      <c r="P408" s="1"/>
      <c r="Q408" s="1"/>
      <c r="R408" s="1"/>
      <c r="S408" s="1"/>
      <c r="T408" s="1"/>
      <c r="U408" s="1"/>
      <c r="V408" s="1"/>
      <c r="W408" s="1"/>
      <c r="X408" s="1"/>
      <c r="Y408" s="1"/>
      <c r="Z408" s="1"/>
      <c r="AA408" s="1"/>
      <c r="AB408" s="1"/>
      <c r="AC408" s="1"/>
      <c r="AD408" s="1"/>
      <c r="AE408" s="1"/>
      <c r="AF408" s="1"/>
      <c r="AG408" s="1"/>
      <c r="AH408" s="1"/>
    </row>
    <row r="409">
      <c r="A409" s="1"/>
      <c r="B409" s="1"/>
      <c r="C409" s="1"/>
      <c r="D409" s="1"/>
      <c r="E409" s="1"/>
      <c r="F409" s="1"/>
      <c r="G409" s="1"/>
      <c r="H409" s="1"/>
      <c r="I409" s="1"/>
      <c r="J409" s="5"/>
      <c r="K409" s="2"/>
      <c r="L409" s="1"/>
      <c r="M409" s="1"/>
      <c r="N409" s="1"/>
      <c r="O409" s="1"/>
      <c r="P409" s="1"/>
      <c r="Q409" s="1"/>
      <c r="R409" s="1"/>
      <c r="S409" s="1"/>
      <c r="T409" s="1"/>
      <c r="U409" s="1"/>
      <c r="V409" s="1"/>
      <c r="W409" s="1"/>
      <c r="X409" s="1"/>
      <c r="Y409" s="1"/>
      <c r="Z409" s="1"/>
      <c r="AA409" s="1"/>
      <c r="AB409" s="1"/>
      <c r="AC409" s="1"/>
      <c r="AD409" s="1"/>
      <c r="AE409" s="1"/>
      <c r="AF409" s="1"/>
      <c r="AG409" s="1"/>
      <c r="AH409" s="1"/>
    </row>
    <row r="410">
      <c r="A410" s="1"/>
      <c r="B410" s="1"/>
      <c r="C410" s="1"/>
      <c r="D410" s="1"/>
      <c r="E410" s="1"/>
      <c r="F410" s="1"/>
      <c r="G410" s="1"/>
      <c r="H410" s="1"/>
      <c r="I410" s="1"/>
      <c r="J410" s="5"/>
      <c r="K410" s="2"/>
      <c r="L410" s="1"/>
      <c r="M410" s="1"/>
      <c r="N410" s="1"/>
      <c r="O410" s="1"/>
      <c r="P410" s="1"/>
      <c r="Q410" s="1"/>
      <c r="R410" s="1"/>
      <c r="S410" s="1"/>
      <c r="T410" s="1"/>
      <c r="U410" s="1"/>
      <c r="V410" s="1"/>
      <c r="W410" s="1"/>
      <c r="X410" s="1"/>
      <c r="Y410" s="1"/>
      <c r="Z410" s="1"/>
      <c r="AA410" s="1"/>
      <c r="AB410" s="1"/>
      <c r="AC410" s="1"/>
      <c r="AD410" s="1"/>
      <c r="AE410" s="1"/>
      <c r="AF410" s="1"/>
      <c r="AG410" s="1"/>
      <c r="AH410" s="1"/>
    </row>
    <row r="411">
      <c r="A411" s="1"/>
      <c r="B411" s="1"/>
      <c r="C411" s="1"/>
      <c r="D411" s="1"/>
      <c r="E411" s="1"/>
      <c r="F411" s="1"/>
      <c r="G411" s="1"/>
      <c r="H411" s="1"/>
      <c r="I411" s="1"/>
      <c r="J411" s="5"/>
      <c r="K411" s="2"/>
      <c r="L411" s="1"/>
      <c r="M411" s="1"/>
      <c r="N411" s="1"/>
      <c r="O411" s="1"/>
      <c r="P411" s="1"/>
      <c r="Q411" s="1"/>
      <c r="R411" s="1"/>
      <c r="S411" s="1"/>
      <c r="T411" s="1"/>
      <c r="U411" s="1"/>
      <c r="V411" s="1"/>
      <c r="W411" s="1"/>
      <c r="X411" s="1"/>
      <c r="Y411" s="1"/>
      <c r="Z411" s="1"/>
      <c r="AA411" s="1"/>
      <c r="AB411" s="1"/>
      <c r="AC411" s="1"/>
      <c r="AD411" s="1"/>
      <c r="AE411" s="1"/>
      <c r="AF411" s="1"/>
      <c r="AG411" s="1"/>
      <c r="AH411" s="1"/>
    </row>
    <row r="412">
      <c r="A412" s="1"/>
      <c r="B412" s="1"/>
      <c r="C412" s="1"/>
      <c r="D412" s="1"/>
      <c r="E412" s="1"/>
      <c r="F412" s="1"/>
      <c r="G412" s="1"/>
      <c r="H412" s="1"/>
      <c r="I412" s="1"/>
      <c r="J412" s="5"/>
      <c r="K412" s="2"/>
      <c r="L412" s="1"/>
      <c r="M412" s="1"/>
      <c r="N412" s="1"/>
      <c r="O412" s="1"/>
      <c r="P412" s="1"/>
      <c r="Q412" s="1"/>
      <c r="R412" s="1"/>
      <c r="S412" s="1"/>
      <c r="T412" s="1"/>
      <c r="U412" s="1"/>
      <c r="V412" s="1"/>
      <c r="W412" s="1"/>
      <c r="X412" s="1"/>
      <c r="Y412" s="1"/>
      <c r="Z412" s="1"/>
      <c r="AA412" s="1"/>
      <c r="AB412" s="1"/>
      <c r="AC412" s="1"/>
      <c r="AD412" s="1"/>
      <c r="AE412" s="1"/>
      <c r="AF412" s="1"/>
      <c r="AG412" s="1"/>
      <c r="AH412" s="1"/>
    </row>
    <row r="413">
      <c r="A413" s="1"/>
      <c r="B413" s="1"/>
      <c r="C413" s="1"/>
      <c r="D413" s="1"/>
      <c r="E413" s="1"/>
      <c r="F413" s="1"/>
      <c r="G413" s="1"/>
      <c r="H413" s="1"/>
      <c r="I413" s="1"/>
      <c r="J413" s="5"/>
      <c r="K413" s="2"/>
      <c r="L413" s="1"/>
      <c r="M413" s="1"/>
      <c r="N413" s="1"/>
      <c r="O413" s="1"/>
      <c r="P413" s="1"/>
      <c r="Q413" s="1"/>
      <c r="R413" s="1"/>
      <c r="S413" s="1"/>
      <c r="T413" s="1"/>
      <c r="U413" s="1"/>
      <c r="V413" s="1"/>
      <c r="W413" s="1"/>
      <c r="X413" s="1"/>
      <c r="Y413" s="1"/>
      <c r="Z413" s="1"/>
      <c r="AA413" s="1"/>
      <c r="AB413" s="1"/>
      <c r="AC413" s="1"/>
      <c r="AD413" s="1"/>
      <c r="AE413" s="1"/>
      <c r="AF413" s="1"/>
      <c r="AG413" s="1"/>
      <c r="AH413" s="1"/>
    </row>
    <row r="414">
      <c r="A414" s="1"/>
      <c r="B414" s="1"/>
      <c r="C414" s="1"/>
      <c r="D414" s="1"/>
      <c r="E414" s="1"/>
      <c r="F414" s="1"/>
      <c r="G414" s="1"/>
      <c r="H414" s="1"/>
      <c r="I414" s="1"/>
      <c r="J414" s="5"/>
      <c r="K414" s="2"/>
      <c r="L414" s="1"/>
      <c r="M414" s="1"/>
      <c r="N414" s="1"/>
      <c r="O414" s="1"/>
      <c r="P414" s="1"/>
      <c r="Q414" s="1"/>
      <c r="R414" s="1"/>
      <c r="S414" s="1"/>
      <c r="T414" s="1"/>
      <c r="U414" s="1"/>
      <c r="V414" s="1"/>
      <c r="W414" s="1"/>
      <c r="X414" s="1"/>
      <c r="Y414" s="1"/>
      <c r="Z414" s="1"/>
      <c r="AA414" s="1"/>
      <c r="AB414" s="1"/>
      <c r="AC414" s="1"/>
      <c r="AD414" s="1"/>
      <c r="AE414" s="1"/>
      <c r="AF414" s="1"/>
      <c r="AG414" s="1"/>
      <c r="AH414" s="1"/>
    </row>
    <row r="415">
      <c r="A415" s="1"/>
      <c r="B415" s="1"/>
      <c r="C415" s="1"/>
      <c r="D415" s="1"/>
      <c r="E415" s="1"/>
      <c r="F415" s="1"/>
      <c r="G415" s="1"/>
      <c r="H415" s="1"/>
      <c r="I415" s="1"/>
      <c r="J415" s="5"/>
      <c r="K415" s="2"/>
      <c r="L415" s="1"/>
      <c r="M415" s="1"/>
      <c r="N415" s="1"/>
      <c r="O415" s="1"/>
      <c r="P415" s="1"/>
      <c r="Q415" s="1"/>
      <c r="R415" s="1"/>
      <c r="S415" s="1"/>
      <c r="T415" s="1"/>
      <c r="U415" s="1"/>
      <c r="V415" s="1"/>
      <c r="W415" s="1"/>
      <c r="X415" s="1"/>
      <c r="Y415" s="1"/>
      <c r="Z415" s="1"/>
      <c r="AA415" s="1"/>
      <c r="AB415" s="1"/>
      <c r="AC415" s="1"/>
      <c r="AD415" s="1"/>
      <c r="AE415" s="1"/>
      <c r="AF415" s="1"/>
      <c r="AG415" s="1"/>
      <c r="AH415" s="1"/>
    </row>
    <row r="416">
      <c r="A416" s="1"/>
      <c r="B416" s="1"/>
      <c r="C416" s="1"/>
      <c r="D416" s="1"/>
      <c r="E416" s="1"/>
      <c r="F416" s="1"/>
      <c r="G416" s="1"/>
      <c r="H416" s="1"/>
      <c r="I416" s="1"/>
      <c r="J416" s="5"/>
      <c r="K416" s="2"/>
      <c r="L416" s="1"/>
      <c r="M416" s="1"/>
      <c r="N416" s="1"/>
      <c r="O416" s="1"/>
      <c r="P416" s="1"/>
      <c r="Q416" s="1"/>
      <c r="R416" s="1"/>
      <c r="S416" s="1"/>
      <c r="T416" s="1"/>
      <c r="U416" s="1"/>
      <c r="V416" s="1"/>
      <c r="W416" s="1"/>
      <c r="X416" s="1"/>
      <c r="Y416" s="1"/>
      <c r="Z416" s="1"/>
      <c r="AA416" s="1"/>
      <c r="AB416" s="1"/>
      <c r="AC416" s="1"/>
      <c r="AD416" s="1"/>
      <c r="AE416" s="1"/>
      <c r="AF416" s="1"/>
      <c r="AG416" s="1"/>
      <c r="AH416" s="1"/>
    </row>
    <row r="417">
      <c r="A417" s="1"/>
      <c r="B417" s="1"/>
      <c r="C417" s="1"/>
      <c r="D417" s="1"/>
      <c r="E417" s="1"/>
      <c r="F417" s="1"/>
      <c r="G417" s="1"/>
      <c r="H417" s="1"/>
      <c r="I417" s="1"/>
      <c r="J417" s="5"/>
      <c r="K417" s="2"/>
      <c r="L417" s="1"/>
      <c r="M417" s="1"/>
      <c r="N417" s="1"/>
      <c r="O417" s="1"/>
      <c r="P417" s="1"/>
      <c r="Q417" s="1"/>
      <c r="R417" s="1"/>
      <c r="S417" s="1"/>
      <c r="T417" s="1"/>
      <c r="U417" s="1"/>
      <c r="V417" s="1"/>
      <c r="W417" s="1"/>
      <c r="X417" s="1"/>
      <c r="Y417" s="1"/>
      <c r="Z417" s="1"/>
      <c r="AA417" s="1"/>
      <c r="AB417" s="1"/>
      <c r="AC417" s="1"/>
      <c r="AD417" s="1"/>
      <c r="AE417" s="1"/>
      <c r="AF417" s="1"/>
      <c r="AG417" s="1"/>
      <c r="AH417" s="1"/>
    </row>
    <row r="418">
      <c r="A418" s="1"/>
      <c r="B418" s="1"/>
      <c r="C418" s="1"/>
      <c r="D418" s="1"/>
      <c r="E418" s="1"/>
      <c r="F418" s="1"/>
      <c r="G418" s="1"/>
      <c r="H418" s="1"/>
      <c r="I418" s="1"/>
      <c r="J418" s="5"/>
      <c r="K418" s="2"/>
      <c r="L418" s="1"/>
      <c r="M418" s="1"/>
      <c r="N418" s="1"/>
      <c r="O418" s="1"/>
      <c r="P418" s="1"/>
      <c r="Q418" s="1"/>
      <c r="R418" s="1"/>
      <c r="S418" s="1"/>
      <c r="T418" s="1"/>
      <c r="U418" s="1"/>
      <c r="V418" s="1"/>
      <c r="W418" s="1"/>
      <c r="X418" s="1"/>
      <c r="Y418" s="1"/>
      <c r="Z418" s="1"/>
      <c r="AA418" s="1"/>
      <c r="AB418" s="1"/>
      <c r="AC418" s="1"/>
      <c r="AD418" s="1"/>
      <c r="AE418" s="1"/>
      <c r="AF418" s="1"/>
      <c r="AG418" s="1"/>
      <c r="AH418" s="1"/>
    </row>
    <row r="419">
      <c r="A419" s="1"/>
      <c r="B419" s="1"/>
      <c r="C419" s="1"/>
      <c r="D419" s="1"/>
      <c r="E419" s="1"/>
      <c r="F419" s="1"/>
      <c r="G419" s="1"/>
      <c r="H419" s="1"/>
      <c r="I419" s="1"/>
      <c r="J419" s="5"/>
      <c r="K419" s="2"/>
      <c r="L419" s="1"/>
      <c r="M419" s="1"/>
      <c r="N419" s="1"/>
      <c r="O419" s="1"/>
      <c r="P419" s="1"/>
      <c r="Q419" s="1"/>
      <c r="R419" s="1"/>
      <c r="S419" s="1"/>
      <c r="T419" s="1"/>
      <c r="U419" s="1"/>
      <c r="V419" s="1"/>
      <c r="W419" s="1"/>
      <c r="X419" s="1"/>
      <c r="Y419" s="1"/>
      <c r="Z419" s="1"/>
      <c r="AA419" s="1"/>
      <c r="AB419" s="1"/>
      <c r="AC419" s="1"/>
      <c r="AD419" s="1"/>
      <c r="AE419" s="1"/>
      <c r="AF419" s="1"/>
      <c r="AG419" s="1"/>
      <c r="AH419" s="1"/>
    </row>
    <row r="420">
      <c r="A420" s="1"/>
      <c r="B420" s="1"/>
      <c r="C420" s="1"/>
      <c r="D420" s="1"/>
      <c r="E420" s="1"/>
      <c r="F420" s="1"/>
      <c r="G420" s="1"/>
      <c r="H420" s="1"/>
      <c r="I420" s="1"/>
      <c r="J420" s="5"/>
      <c r="K420" s="2"/>
      <c r="L420" s="1"/>
      <c r="M420" s="1"/>
      <c r="N420" s="1"/>
      <c r="O420" s="1"/>
      <c r="P420" s="1"/>
      <c r="Q420" s="1"/>
      <c r="R420" s="1"/>
      <c r="S420" s="1"/>
      <c r="T420" s="1"/>
      <c r="U420" s="1"/>
      <c r="V420" s="1"/>
      <c r="W420" s="1"/>
      <c r="X420" s="1"/>
      <c r="Y420" s="1"/>
      <c r="Z420" s="1"/>
      <c r="AA420" s="1"/>
      <c r="AB420" s="1"/>
      <c r="AC420" s="1"/>
      <c r="AD420" s="1"/>
      <c r="AE420" s="1"/>
      <c r="AF420" s="1"/>
      <c r="AG420" s="1"/>
      <c r="AH420" s="1"/>
    </row>
    <row r="421">
      <c r="A421" s="1"/>
      <c r="B421" s="1"/>
      <c r="C421" s="1"/>
      <c r="D421" s="1"/>
      <c r="E421" s="1"/>
      <c r="F421" s="1"/>
      <c r="G421" s="1"/>
      <c r="H421" s="1"/>
      <c r="I421" s="1"/>
      <c r="J421" s="5"/>
      <c r="K421" s="2"/>
      <c r="L421" s="1"/>
      <c r="M421" s="1"/>
      <c r="N421" s="1"/>
      <c r="O421" s="1"/>
      <c r="P421" s="1"/>
      <c r="Q421" s="1"/>
      <c r="R421" s="1"/>
      <c r="S421" s="1"/>
      <c r="T421" s="1"/>
      <c r="U421" s="1"/>
      <c r="V421" s="1"/>
      <c r="W421" s="1"/>
      <c r="X421" s="1"/>
      <c r="Y421" s="1"/>
      <c r="Z421" s="1"/>
      <c r="AA421" s="1"/>
      <c r="AB421" s="1"/>
      <c r="AC421" s="1"/>
      <c r="AD421" s="1"/>
      <c r="AE421" s="1"/>
      <c r="AF421" s="1"/>
      <c r="AG421" s="1"/>
      <c r="AH421" s="1"/>
    </row>
    <row r="422">
      <c r="A422" s="1"/>
      <c r="B422" s="1"/>
      <c r="C422" s="1"/>
      <c r="D422" s="1"/>
      <c r="E422" s="1"/>
      <c r="F422" s="1"/>
      <c r="G422" s="1"/>
      <c r="H422" s="1"/>
      <c r="I422" s="1"/>
      <c r="J422" s="5"/>
      <c r="K422" s="2"/>
      <c r="L422" s="1"/>
      <c r="M422" s="1"/>
      <c r="N422" s="1"/>
      <c r="O422" s="1"/>
      <c r="P422" s="1"/>
      <c r="Q422" s="1"/>
      <c r="R422" s="1"/>
      <c r="S422" s="1"/>
      <c r="T422" s="1"/>
      <c r="U422" s="1"/>
      <c r="V422" s="1"/>
      <c r="W422" s="1"/>
      <c r="X422" s="1"/>
      <c r="Y422" s="1"/>
      <c r="Z422" s="1"/>
      <c r="AA422" s="1"/>
      <c r="AB422" s="1"/>
      <c r="AC422" s="1"/>
      <c r="AD422" s="1"/>
      <c r="AE422" s="1"/>
      <c r="AF422" s="1"/>
      <c r="AG422" s="1"/>
      <c r="AH422" s="1"/>
    </row>
    <row r="423">
      <c r="A423" s="1"/>
      <c r="B423" s="1"/>
      <c r="C423" s="1"/>
      <c r="D423" s="1"/>
      <c r="E423" s="1"/>
      <c r="F423" s="1"/>
      <c r="G423" s="1"/>
      <c r="H423" s="1"/>
      <c r="I423" s="1"/>
      <c r="J423" s="5"/>
      <c r="K423" s="2"/>
      <c r="L423" s="1"/>
      <c r="M423" s="1"/>
      <c r="N423" s="1"/>
      <c r="O423" s="1"/>
      <c r="P423" s="1"/>
      <c r="Q423" s="1"/>
      <c r="R423" s="1"/>
      <c r="S423" s="1"/>
      <c r="T423" s="1"/>
      <c r="U423" s="1"/>
      <c r="V423" s="1"/>
      <c r="W423" s="1"/>
      <c r="X423" s="1"/>
      <c r="Y423" s="1"/>
      <c r="Z423" s="1"/>
      <c r="AA423" s="1"/>
      <c r="AB423" s="1"/>
      <c r="AC423" s="1"/>
      <c r="AD423" s="1"/>
      <c r="AE423" s="1"/>
      <c r="AF423" s="1"/>
      <c r="AG423" s="1"/>
      <c r="AH423" s="1"/>
    </row>
    <row r="424">
      <c r="A424" s="1"/>
      <c r="B424" s="1"/>
      <c r="C424" s="1"/>
      <c r="D424" s="1"/>
      <c r="E424" s="1"/>
      <c r="F424" s="1"/>
      <c r="G424" s="1"/>
      <c r="H424" s="1"/>
      <c r="I424" s="1"/>
      <c r="J424" s="5"/>
      <c r="K424" s="2"/>
      <c r="L424" s="1"/>
      <c r="M424" s="1"/>
      <c r="N424" s="1"/>
      <c r="O424" s="1"/>
      <c r="P424" s="1"/>
      <c r="Q424" s="1"/>
      <c r="R424" s="1"/>
      <c r="S424" s="1"/>
      <c r="T424" s="1"/>
      <c r="U424" s="1"/>
      <c r="V424" s="1"/>
      <c r="W424" s="1"/>
      <c r="X424" s="1"/>
      <c r="Y424" s="1"/>
      <c r="Z424" s="1"/>
      <c r="AA424" s="1"/>
      <c r="AB424" s="1"/>
      <c r="AC424" s="1"/>
      <c r="AD424" s="1"/>
      <c r="AE424" s="1"/>
      <c r="AF424" s="1"/>
      <c r="AG424" s="1"/>
      <c r="AH424" s="1"/>
    </row>
    <row r="425">
      <c r="A425" s="1"/>
      <c r="B425" s="1"/>
      <c r="C425" s="1"/>
      <c r="D425" s="1"/>
      <c r="E425" s="1"/>
      <c r="F425" s="1"/>
      <c r="G425" s="1"/>
      <c r="H425" s="1"/>
      <c r="I425" s="1"/>
      <c r="J425" s="5"/>
      <c r="K425" s="2"/>
      <c r="L425" s="1"/>
      <c r="M425" s="1"/>
      <c r="N425" s="1"/>
      <c r="O425" s="1"/>
      <c r="P425" s="1"/>
      <c r="Q425" s="1"/>
      <c r="R425" s="1"/>
      <c r="S425" s="1"/>
      <c r="T425" s="1"/>
      <c r="U425" s="1"/>
      <c r="V425" s="1"/>
      <c r="W425" s="1"/>
      <c r="X425" s="1"/>
      <c r="Y425" s="1"/>
      <c r="Z425" s="1"/>
      <c r="AA425" s="1"/>
      <c r="AB425" s="1"/>
      <c r="AC425" s="1"/>
      <c r="AD425" s="1"/>
      <c r="AE425" s="1"/>
      <c r="AF425" s="1"/>
      <c r="AG425" s="1"/>
      <c r="AH425" s="1"/>
    </row>
    <row r="426">
      <c r="A426" s="1"/>
      <c r="B426" s="1"/>
      <c r="C426" s="1"/>
      <c r="D426" s="1"/>
      <c r="E426" s="1"/>
      <c r="F426" s="1"/>
      <c r="G426" s="1"/>
      <c r="H426" s="1"/>
      <c r="I426" s="1"/>
      <c r="J426" s="5"/>
      <c r="K426" s="2"/>
      <c r="L426" s="1"/>
      <c r="M426" s="1"/>
      <c r="N426" s="1"/>
      <c r="O426" s="1"/>
      <c r="P426" s="1"/>
      <c r="Q426" s="1"/>
      <c r="R426" s="1"/>
      <c r="S426" s="1"/>
      <c r="T426" s="1"/>
      <c r="U426" s="1"/>
      <c r="V426" s="1"/>
      <c r="W426" s="1"/>
      <c r="X426" s="1"/>
      <c r="Y426" s="1"/>
      <c r="Z426" s="1"/>
      <c r="AA426" s="1"/>
      <c r="AB426" s="1"/>
      <c r="AC426" s="1"/>
      <c r="AD426" s="1"/>
      <c r="AE426" s="1"/>
      <c r="AF426" s="1"/>
      <c r="AG426" s="1"/>
      <c r="AH426" s="1"/>
    </row>
    <row r="427">
      <c r="A427" s="1"/>
      <c r="B427" s="1"/>
      <c r="C427" s="1"/>
      <c r="D427" s="1"/>
      <c r="E427" s="1"/>
      <c r="F427" s="1"/>
      <c r="G427" s="1"/>
      <c r="H427" s="1"/>
      <c r="I427" s="1"/>
      <c r="J427" s="5"/>
      <c r="K427" s="2"/>
      <c r="L427" s="1"/>
      <c r="M427" s="1"/>
      <c r="N427" s="1"/>
      <c r="O427" s="1"/>
      <c r="P427" s="1"/>
      <c r="Q427" s="1"/>
      <c r="R427" s="1"/>
      <c r="S427" s="1"/>
      <c r="T427" s="1"/>
      <c r="U427" s="1"/>
      <c r="V427" s="1"/>
      <c r="W427" s="1"/>
      <c r="X427" s="1"/>
      <c r="Y427" s="1"/>
      <c r="Z427" s="1"/>
      <c r="AA427" s="1"/>
      <c r="AB427" s="1"/>
      <c r="AC427" s="1"/>
      <c r="AD427" s="1"/>
      <c r="AE427" s="1"/>
      <c r="AF427" s="1"/>
      <c r="AG427" s="1"/>
      <c r="AH427" s="1"/>
    </row>
    <row r="428">
      <c r="A428" s="1"/>
      <c r="B428" s="1"/>
      <c r="C428" s="1"/>
      <c r="D428" s="1"/>
      <c r="E428" s="1"/>
      <c r="F428" s="1"/>
      <c r="G428" s="1"/>
      <c r="H428" s="1"/>
      <c r="I428" s="1"/>
      <c r="J428" s="5"/>
      <c r="K428" s="2"/>
      <c r="L428" s="1"/>
      <c r="M428" s="1"/>
      <c r="N428" s="1"/>
      <c r="O428" s="1"/>
      <c r="P428" s="1"/>
      <c r="Q428" s="1"/>
      <c r="R428" s="1"/>
      <c r="S428" s="1"/>
      <c r="T428" s="1"/>
      <c r="U428" s="1"/>
      <c r="V428" s="1"/>
      <c r="W428" s="1"/>
      <c r="X428" s="1"/>
      <c r="Y428" s="1"/>
      <c r="Z428" s="1"/>
      <c r="AA428" s="1"/>
      <c r="AB428" s="1"/>
      <c r="AC428" s="1"/>
      <c r="AD428" s="1"/>
      <c r="AE428" s="1"/>
      <c r="AF428" s="1"/>
      <c r="AG428" s="1"/>
      <c r="AH428" s="1"/>
    </row>
    <row r="429">
      <c r="A429" s="1"/>
      <c r="B429" s="1"/>
      <c r="C429" s="1"/>
      <c r="D429" s="1"/>
      <c r="E429" s="1"/>
      <c r="F429" s="1"/>
      <c r="G429" s="1"/>
      <c r="H429" s="1"/>
      <c r="I429" s="1"/>
      <c r="J429" s="5"/>
      <c r="K429" s="2"/>
      <c r="L429" s="1"/>
      <c r="M429" s="1"/>
      <c r="N429" s="1"/>
      <c r="O429" s="1"/>
      <c r="P429" s="1"/>
      <c r="Q429" s="1"/>
      <c r="R429" s="1"/>
      <c r="S429" s="1"/>
      <c r="T429" s="1"/>
      <c r="U429" s="1"/>
      <c r="V429" s="1"/>
      <c r="W429" s="1"/>
      <c r="X429" s="1"/>
      <c r="Y429" s="1"/>
      <c r="Z429" s="1"/>
      <c r="AA429" s="1"/>
      <c r="AB429" s="1"/>
      <c r="AC429" s="1"/>
      <c r="AD429" s="1"/>
      <c r="AE429" s="1"/>
      <c r="AF429" s="1"/>
      <c r="AG429" s="1"/>
      <c r="AH429" s="1"/>
    </row>
    <row r="430">
      <c r="A430" s="1"/>
      <c r="B430" s="1"/>
      <c r="C430" s="1"/>
      <c r="D430" s="1"/>
      <c r="E430" s="1"/>
      <c r="F430" s="1"/>
      <c r="G430" s="1"/>
      <c r="H430" s="1"/>
      <c r="I430" s="1"/>
      <c r="J430" s="5"/>
      <c r="K430" s="2"/>
      <c r="L430" s="1"/>
      <c r="M430" s="1"/>
      <c r="N430" s="1"/>
      <c r="O430" s="1"/>
      <c r="P430" s="1"/>
      <c r="Q430" s="1"/>
      <c r="R430" s="1"/>
      <c r="S430" s="1"/>
      <c r="T430" s="1"/>
      <c r="U430" s="1"/>
      <c r="V430" s="1"/>
      <c r="W430" s="1"/>
      <c r="X430" s="1"/>
      <c r="Y430" s="1"/>
      <c r="Z430" s="1"/>
      <c r="AA430" s="1"/>
      <c r="AB430" s="1"/>
      <c r="AC430" s="1"/>
      <c r="AD430" s="1"/>
      <c r="AE430" s="1"/>
      <c r="AF430" s="1"/>
      <c r="AG430" s="1"/>
      <c r="AH430" s="1"/>
    </row>
    <row r="431">
      <c r="A431" s="1"/>
      <c r="B431" s="1"/>
      <c r="C431" s="1"/>
      <c r="D431" s="1"/>
      <c r="E431" s="1"/>
      <c r="F431" s="1"/>
      <c r="G431" s="1"/>
      <c r="H431" s="1"/>
      <c r="I431" s="1"/>
      <c r="J431" s="5"/>
      <c r="K431" s="2"/>
      <c r="L431" s="1"/>
      <c r="M431" s="1"/>
      <c r="N431" s="1"/>
      <c r="O431" s="1"/>
      <c r="P431" s="1"/>
      <c r="Q431" s="1"/>
      <c r="R431" s="1"/>
      <c r="S431" s="1"/>
      <c r="T431" s="1"/>
      <c r="U431" s="1"/>
      <c r="V431" s="1"/>
      <c r="W431" s="1"/>
      <c r="X431" s="1"/>
      <c r="Y431" s="1"/>
      <c r="Z431" s="1"/>
      <c r="AA431" s="1"/>
      <c r="AB431" s="1"/>
      <c r="AC431" s="1"/>
      <c r="AD431" s="1"/>
      <c r="AE431" s="1"/>
      <c r="AF431" s="1"/>
      <c r="AG431" s="1"/>
      <c r="AH431" s="1"/>
    </row>
    <row r="432">
      <c r="A432" s="1"/>
      <c r="B432" s="1"/>
      <c r="C432" s="1"/>
      <c r="D432" s="1"/>
      <c r="E432" s="1"/>
      <c r="F432" s="1"/>
      <c r="G432" s="1"/>
      <c r="H432" s="1"/>
      <c r="I432" s="1"/>
      <c r="J432" s="5"/>
      <c r="K432" s="2"/>
      <c r="L432" s="1"/>
      <c r="M432" s="1"/>
      <c r="N432" s="1"/>
      <c r="O432" s="1"/>
      <c r="P432" s="1"/>
      <c r="Q432" s="1"/>
      <c r="R432" s="1"/>
      <c r="S432" s="1"/>
      <c r="T432" s="1"/>
      <c r="U432" s="1"/>
      <c r="V432" s="1"/>
      <c r="W432" s="1"/>
      <c r="X432" s="1"/>
      <c r="Y432" s="1"/>
      <c r="Z432" s="1"/>
      <c r="AA432" s="1"/>
      <c r="AB432" s="1"/>
      <c r="AC432" s="1"/>
      <c r="AD432" s="1"/>
      <c r="AE432" s="1"/>
      <c r="AF432" s="1"/>
      <c r="AG432" s="1"/>
      <c r="AH432" s="1"/>
    </row>
    <row r="433">
      <c r="A433" s="1"/>
      <c r="B433" s="1"/>
      <c r="C433" s="1"/>
      <c r="D433" s="1"/>
      <c r="E433" s="1"/>
      <c r="F433" s="1"/>
      <c r="G433" s="1"/>
      <c r="H433" s="1"/>
      <c r="I433" s="1"/>
      <c r="J433" s="5"/>
      <c r="K433" s="2"/>
      <c r="L433" s="1"/>
      <c r="M433" s="1"/>
      <c r="N433" s="1"/>
      <c r="O433" s="1"/>
      <c r="P433" s="1"/>
      <c r="Q433" s="1"/>
      <c r="R433" s="1"/>
      <c r="S433" s="1"/>
      <c r="T433" s="1"/>
      <c r="U433" s="1"/>
      <c r="V433" s="1"/>
      <c r="W433" s="1"/>
      <c r="X433" s="1"/>
      <c r="Y433" s="1"/>
      <c r="Z433" s="1"/>
      <c r="AA433" s="1"/>
      <c r="AB433" s="1"/>
      <c r="AC433" s="1"/>
      <c r="AD433" s="1"/>
      <c r="AE433" s="1"/>
      <c r="AF433" s="1"/>
      <c r="AG433" s="1"/>
      <c r="AH433" s="1"/>
    </row>
    <row r="434">
      <c r="A434" s="1"/>
      <c r="B434" s="1"/>
      <c r="C434" s="1"/>
      <c r="D434" s="1"/>
      <c r="E434" s="1"/>
      <c r="F434" s="1"/>
      <c r="G434" s="1"/>
      <c r="H434" s="1"/>
      <c r="I434" s="1"/>
      <c r="J434" s="5"/>
      <c r="K434" s="2"/>
      <c r="L434" s="1"/>
      <c r="M434" s="1"/>
      <c r="N434" s="1"/>
      <c r="O434" s="1"/>
      <c r="P434" s="1"/>
      <c r="Q434" s="1"/>
      <c r="R434" s="1"/>
      <c r="S434" s="1"/>
      <c r="T434" s="1"/>
      <c r="U434" s="1"/>
      <c r="V434" s="1"/>
      <c r="W434" s="1"/>
      <c r="X434" s="1"/>
      <c r="Y434" s="1"/>
      <c r="Z434" s="1"/>
      <c r="AA434" s="1"/>
      <c r="AB434" s="1"/>
      <c r="AC434" s="1"/>
      <c r="AD434" s="1"/>
      <c r="AE434" s="1"/>
      <c r="AF434" s="1"/>
      <c r="AG434" s="1"/>
      <c r="AH434" s="1"/>
    </row>
    <row r="435">
      <c r="A435" s="1"/>
      <c r="B435" s="1"/>
      <c r="C435" s="1"/>
      <c r="D435" s="1"/>
      <c r="E435" s="1"/>
      <c r="F435" s="1"/>
      <c r="G435" s="1"/>
      <c r="H435" s="1"/>
      <c r="I435" s="1"/>
      <c r="J435" s="5"/>
      <c r="K435" s="2"/>
      <c r="L435" s="1"/>
      <c r="M435" s="1"/>
      <c r="N435" s="1"/>
      <c r="O435" s="1"/>
      <c r="P435" s="1"/>
      <c r="Q435" s="1"/>
      <c r="R435" s="1"/>
      <c r="S435" s="1"/>
      <c r="T435" s="1"/>
      <c r="U435" s="1"/>
      <c r="V435" s="1"/>
      <c r="W435" s="1"/>
      <c r="X435" s="1"/>
      <c r="Y435" s="1"/>
      <c r="Z435" s="1"/>
      <c r="AA435" s="1"/>
      <c r="AB435" s="1"/>
      <c r="AC435" s="1"/>
      <c r="AD435" s="1"/>
      <c r="AE435" s="1"/>
      <c r="AF435" s="1"/>
      <c r="AG435" s="1"/>
      <c r="AH435" s="1"/>
    </row>
    <row r="436">
      <c r="A436" s="1"/>
      <c r="B436" s="1"/>
      <c r="C436" s="1"/>
      <c r="D436" s="1"/>
      <c r="E436" s="1"/>
      <c r="F436" s="1"/>
      <c r="G436" s="1"/>
      <c r="H436" s="1"/>
      <c r="I436" s="1"/>
      <c r="J436" s="5"/>
      <c r="K436" s="2"/>
      <c r="L436" s="1"/>
      <c r="M436" s="1"/>
      <c r="N436" s="1"/>
      <c r="O436" s="1"/>
      <c r="P436" s="1"/>
      <c r="Q436" s="1"/>
      <c r="R436" s="1"/>
      <c r="S436" s="1"/>
      <c r="T436" s="1"/>
      <c r="U436" s="1"/>
      <c r="V436" s="1"/>
      <c r="W436" s="1"/>
      <c r="X436" s="1"/>
      <c r="Y436" s="1"/>
      <c r="Z436" s="1"/>
      <c r="AA436" s="1"/>
      <c r="AB436" s="1"/>
      <c r="AC436" s="1"/>
      <c r="AD436" s="1"/>
      <c r="AE436" s="1"/>
      <c r="AF436" s="1"/>
      <c r="AG436" s="1"/>
      <c r="AH436" s="1"/>
    </row>
    <row r="437">
      <c r="A437" s="1"/>
      <c r="B437" s="1"/>
      <c r="C437" s="1"/>
      <c r="D437" s="1"/>
      <c r="E437" s="1"/>
      <c r="F437" s="1"/>
      <c r="G437" s="1"/>
      <c r="H437" s="1"/>
      <c r="I437" s="1"/>
      <c r="J437" s="5"/>
      <c r="K437" s="2"/>
      <c r="L437" s="1"/>
      <c r="M437" s="1"/>
      <c r="N437" s="1"/>
      <c r="O437" s="1"/>
      <c r="P437" s="1"/>
      <c r="Q437" s="1"/>
      <c r="R437" s="1"/>
      <c r="S437" s="1"/>
      <c r="T437" s="1"/>
      <c r="U437" s="1"/>
      <c r="V437" s="1"/>
      <c r="W437" s="1"/>
      <c r="X437" s="1"/>
      <c r="Y437" s="1"/>
      <c r="Z437" s="1"/>
      <c r="AA437" s="1"/>
      <c r="AB437" s="1"/>
      <c r="AC437" s="1"/>
      <c r="AD437" s="1"/>
      <c r="AE437" s="1"/>
      <c r="AF437" s="1"/>
      <c r="AG437" s="1"/>
      <c r="AH437" s="1"/>
    </row>
    <row r="438">
      <c r="A438" s="1"/>
      <c r="B438" s="1"/>
      <c r="C438" s="1"/>
      <c r="D438" s="1"/>
      <c r="E438" s="1"/>
      <c r="F438" s="1"/>
      <c r="G438" s="1"/>
      <c r="H438" s="1"/>
      <c r="I438" s="1"/>
      <c r="J438" s="5"/>
      <c r="K438" s="2"/>
      <c r="L438" s="1"/>
      <c r="M438" s="1"/>
      <c r="N438" s="1"/>
      <c r="O438" s="1"/>
      <c r="P438" s="1"/>
      <c r="Q438" s="1"/>
      <c r="R438" s="1"/>
      <c r="S438" s="1"/>
      <c r="T438" s="1"/>
      <c r="U438" s="1"/>
      <c r="V438" s="1"/>
      <c r="W438" s="1"/>
      <c r="X438" s="1"/>
      <c r="Y438" s="1"/>
      <c r="Z438" s="1"/>
      <c r="AA438" s="1"/>
      <c r="AB438" s="1"/>
      <c r="AC438" s="1"/>
      <c r="AD438" s="1"/>
      <c r="AE438" s="1"/>
      <c r="AF438" s="1"/>
      <c r="AG438" s="1"/>
      <c r="AH438" s="1"/>
    </row>
    <row r="439">
      <c r="A439" s="1"/>
      <c r="B439" s="1"/>
      <c r="C439" s="1"/>
      <c r="D439" s="1"/>
      <c r="E439" s="1"/>
      <c r="F439" s="1"/>
      <c r="G439" s="1"/>
      <c r="H439" s="1"/>
      <c r="I439" s="1"/>
      <c r="J439" s="5"/>
      <c r="K439" s="2"/>
      <c r="L439" s="1"/>
      <c r="M439" s="1"/>
      <c r="N439" s="1"/>
      <c r="O439" s="1"/>
      <c r="P439" s="1"/>
      <c r="Q439" s="1"/>
      <c r="R439" s="1"/>
      <c r="S439" s="1"/>
      <c r="T439" s="1"/>
      <c r="U439" s="1"/>
      <c r="V439" s="1"/>
      <c r="W439" s="1"/>
      <c r="X439" s="1"/>
      <c r="Y439" s="1"/>
      <c r="Z439" s="1"/>
      <c r="AA439" s="1"/>
      <c r="AB439" s="1"/>
      <c r="AC439" s="1"/>
      <c r="AD439" s="1"/>
      <c r="AE439" s="1"/>
      <c r="AF439" s="1"/>
      <c r="AG439" s="1"/>
      <c r="AH439" s="1"/>
    </row>
    <row r="440">
      <c r="A440" s="1"/>
      <c r="B440" s="1"/>
      <c r="C440" s="1"/>
      <c r="D440" s="1"/>
      <c r="E440" s="1"/>
      <c r="F440" s="1"/>
      <c r="G440" s="1"/>
      <c r="H440" s="1"/>
      <c r="I440" s="1"/>
      <c r="J440" s="5"/>
      <c r="K440" s="2"/>
      <c r="L440" s="1"/>
      <c r="M440" s="1"/>
      <c r="N440" s="1"/>
      <c r="O440" s="1"/>
      <c r="P440" s="1"/>
      <c r="Q440" s="1"/>
      <c r="R440" s="1"/>
      <c r="S440" s="1"/>
      <c r="T440" s="1"/>
      <c r="U440" s="1"/>
      <c r="V440" s="1"/>
      <c r="W440" s="1"/>
      <c r="X440" s="1"/>
      <c r="Y440" s="1"/>
      <c r="Z440" s="1"/>
      <c r="AA440" s="1"/>
      <c r="AB440" s="1"/>
      <c r="AC440" s="1"/>
      <c r="AD440" s="1"/>
      <c r="AE440" s="1"/>
      <c r="AF440" s="1"/>
      <c r="AG440" s="1"/>
      <c r="AH440" s="1"/>
    </row>
    <row r="441">
      <c r="A441" s="1"/>
      <c r="B441" s="1"/>
      <c r="C441" s="1"/>
      <c r="D441" s="1"/>
      <c r="E441" s="1"/>
      <c r="F441" s="1"/>
      <c r="G441" s="1"/>
      <c r="H441" s="1"/>
      <c r="I441" s="1"/>
      <c r="J441" s="5"/>
      <c r="K441" s="2"/>
      <c r="L441" s="1"/>
      <c r="M441" s="1"/>
      <c r="N441" s="1"/>
      <c r="O441" s="1"/>
      <c r="P441" s="1"/>
      <c r="Q441" s="1"/>
      <c r="R441" s="1"/>
      <c r="S441" s="1"/>
      <c r="T441" s="1"/>
      <c r="U441" s="1"/>
      <c r="V441" s="1"/>
      <c r="W441" s="1"/>
      <c r="X441" s="1"/>
      <c r="Y441" s="1"/>
      <c r="Z441" s="1"/>
      <c r="AA441" s="1"/>
      <c r="AB441" s="1"/>
      <c r="AC441" s="1"/>
      <c r="AD441" s="1"/>
      <c r="AE441" s="1"/>
      <c r="AF441" s="1"/>
      <c r="AG441" s="1"/>
      <c r="AH441" s="1"/>
    </row>
    <row r="442">
      <c r="A442" s="1"/>
      <c r="B442" s="1"/>
      <c r="C442" s="1"/>
      <c r="D442" s="1"/>
      <c r="E442" s="1"/>
      <c r="F442" s="1"/>
      <c r="G442" s="1"/>
      <c r="H442" s="1"/>
      <c r="I442" s="1"/>
      <c r="J442" s="5"/>
      <c r="K442" s="2"/>
      <c r="L442" s="1"/>
      <c r="M442" s="1"/>
      <c r="N442" s="1"/>
      <c r="O442" s="1"/>
      <c r="P442" s="1"/>
      <c r="Q442" s="1"/>
      <c r="R442" s="1"/>
      <c r="S442" s="1"/>
      <c r="T442" s="1"/>
      <c r="U442" s="1"/>
      <c r="V442" s="1"/>
      <c r="W442" s="1"/>
      <c r="X442" s="1"/>
      <c r="Y442" s="1"/>
      <c r="Z442" s="1"/>
      <c r="AA442" s="1"/>
      <c r="AB442" s="1"/>
      <c r="AC442" s="1"/>
      <c r="AD442" s="1"/>
      <c r="AE442" s="1"/>
      <c r="AF442" s="1"/>
      <c r="AG442" s="1"/>
      <c r="AH442" s="1"/>
    </row>
    <row r="443">
      <c r="A443" s="1"/>
      <c r="B443" s="1"/>
      <c r="C443" s="1"/>
      <c r="D443" s="1"/>
      <c r="E443" s="1"/>
      <c r="F443" s="1"/>
      <c r="G443" s="1"/>
      <c r="H443" s="1"/>
      <c r="I443" s="1"/>
      <c r="J443" s="5"/>
      <c r="K443" s="2"/>
      <c r="L443" s="1"/>
      <c r="M443" s="1"/>
      <c r="N443" s="1"/>
      <c r="O443" s="1"/>
      <c r="P443" s="1"/>
      <c r="Q443" s="1"/>
      <c r="R443" s="1"/>
      <c r="S443" s="1"/>
      <c r="T443" s="1"/>
      <c r="U443" s="1"/>
      <c r="V443" s="1"/>
      <c r="W443" s="1"/>
      <c r="X443" s="1"/>
      <c r="Y443" s="1"/>
      <c r="Z443" s="1"/>
      <c r="AA443" s="1"/>
      <c r="AB443" s="1"/>
      <c r="AC443" s="1"/>
      <c r="AD443" s="1"/>
      <c r="AE443" s="1"/>
      <c r="AF443" s="1"/>
      <c r="AG443" s="1"/>
      <c r="AH443" s="1"/>
    </row>
    <row r="444">
      <c r="A444" s="1"/>
      <c r="B444" s="1"/>
      <c r="C444" s="1"/>
      <c r="D444" s="1"/>
      <c r="E444" s="1"/>
      <c r="F444" s="1"/>
      <c r="G444" s="1"/>
      <c r="H444" s="1"/>
      <c r="I444" s="1"/>
      <c r="J444" s="5"/>
      <c r="K444" s="2"/>
      <c r="L444" s="1"/>
      <c r="M444" s="1"/>
      <c r="N444" s="1"/>
      <c r="O444" s="1"/>
      <c r="P444" s="1"/>
      <c r="Q444" s="1"/>
      <c r="R444" s="1"/>
      <c r="S444" s="1"/>
      <c r="T444" s="1"/>
      <c r="U444" s="1"/>
      <c r="V444" s="1"/>
      <c r="W444" s="1"/>
      <c r="X444" s="1"/>
      <c r="Y444" s="1"/>
      <c r="Z444" s="1"/>
      <c r="AA444" s="1"/>
      <c r="AB444" s="1"/>
      <c r="AC444" s="1"/>
      <c r="AD444" s="1"/>
      <c r="AE444" s="1"/>
      <c r="AF444" s="1"/>
      <c r="AG444" s="1"/>
      <c r="AH444" s="1"/>
    </row>
    <row r="445">
      <c r="A445" s="1"/>
      <c r="B445" s="1"/>
      <c r="C445" s="1"/>
      <c r="D445" s="1"/>
      <c r="E445" s="1"/>
      <c r="F445" s="1"/>
      <c r="G445" s="1"/>
      <c r="H445" s="1"/>
      <c r="I445" s="1"/>
      <c r="J445" s="5"/>
      <c r="K445" s="2"/>
      <c r="L445" s="1"/>
      <c r="M445" s="1"/>
      <c r="N445" s="1"/>
      <c r="O445" s="1"/>
      <c r="P445" s="1"/>
      <c r="Q445" s="1"/>
      <c r="R445" s="1"/>
      <c r="S445" s="1"/>
      <c r="T445" s="1"/>
      <c r="U445" s="1"/>
      <c r="V445" s="1"/>
      <c r="W445" s="1"/>
      <c r="X445" s="1"/>
      <c r="Y445" s="1"/>
      <c r="Z445" s="1"/>
      <c r="AA445" s="1"/>
      <c r="AB445" s="1"/>
      <c r="AC445" s="1"/>
      <c r="AD445" s="1"/>
      <c r="AE445" s="1"/>
      <c r="AF445" s="1"/>
      <c r="AG445" s="1"/>
      <c r="AH445" s="1"/>
    </row>
    <row r="446">
      <c r="A446" s="1"/>
      <c r="B446" s="1"/>
      <c r="C446" s="1"/>
      <c r="D446" s="1"/>
      <c r="E446" s="1"/>
      <c r="F446" s="1"/>
      <c r="G446" s="1"/>
      <c r="H446" s="1"/>
      <c r="I446" s="1"/>
      <c r="J446" s="5"/>
      <c r="K446" s="2"/>
      <c r="L446" s="1"/>
      <c r="M446" s="1"/>
      <c r="N446" s="1"/>
      <c r="O446" s="1"/>
      <c r="P446" s="1"/>
      <c r="Q446" s="1"/>
      <c r="R446" s="1"/>
      <c r="S446" s="1"/>
      <c r="T446" s="1"/>
      <c r="U446" s="1"/>
      <c r="V446" s="1"/>
      <c r="W446" s="1"/>
      <c r="X446" s="1"/>
      <c r="Y446" s="1"/>
      <c r="Z446" s="1"/>
      <c r="AA446" s="1"/>
      <c r="AB446" s="1"/>
      <c r="AC446" s="1"/>
      <c r="AD446" s="1"/>
      <c r="AE446" s="1"/>
      <c r="AF446" s="1"/>
      <c r="AG446" s="1"/>
      <c r="AH446" s="1"/>
    </row>
    <row r="447">
      <c r="A447" s="1"/>
      <c r="B447" s="1"/>
      <c r="C447" s="1"/>
      <c r="D447" s="1"/>
      <c r="E447" s="1"/>
      <c r="F447" s="1"/>
      <c r="G447" s="1"/>
      <c r="H447" s="1"/>
      <c r="I447" s="1"/>
      <c r="J447" s="5"/>
      <c r="K447" s="2"/>
      <c r="L447" s="1"/>
      <c r="M447" s="1"/>
      <c r="N447" s="1"/>
      <c r="O447" s="1"/>
      <c r="P447" s="1"/>
      <c r="Q447" s="1"/>
      <c r="R447" s="1"/>
      <c r="S447" s="1"/>
      <c r="T447" s="1"/>
      <c r="U447" s="1"/>
      <c r="V447" s="1"/>
      <c r="W447" s="1"/>
      <c r="X447" s="1"/>
      <c r="Y447" s="1"/>
      <c r="Z447" s="1"/>
      <c r="AA447" s="1"/>
      <c r="AB447" s="1"/>
      <c r="AC447" s="1"/>
      <c r="AD447" s="1"/>
      <c r="AE447" s="1"/>
      <c r="AF447" s="1"/>
      <c r="AG447" s="1"/>
      <c r="AH447" s="1"/>
    </row>
    <row r="448">
      <c r="A448" s="1"/>
      <c r="B448" s="1"/>
      <c r="C448" s="1"/>
      <c r="D448" s="1"/>
      <c r="E448" s="1"/>
      <c r="F448" s="1"/>
      <c r="G448" s="1"/>
      <c r="H448" s="1"/>
      <c r="I448" s="1"/>
      <c r="J448" s="5"/>
      <c r="K448" s="2"/>
      <c r="L448" s="1"/>
      <c r="M448" s="1"/>
      <c r="N448" s="1"/>
      <c r="O448" s="1"/>
      <c r="P448" s="1"/>
      <c r="Q448" s="1"/>
      <c r="R448" s="1"/>
      <c r="S448" s="1"/>
      <c r="T448" s="1"/>
      <c r="U448" s="1"/>
      <c r="V448" s="1"/>
      <c r="W448" s="1"/>
      <c r="X448" s="1"/>
      <c r="Y448" s="1"/>
      <c r="Z448" s="1"/>
      <c r="AA448" s="1"/>
      <c r="AB448" s="1"/>
      <c r="AC448" s="1"/>
      <c r="AD448" s="1"/>
      <c r="AE448" s="1"/>
      <c r="AF448" s="1"/>
      <c r="AG448" s="1"/>
      <c r="AH448" s="1"/>
    </row>
    <row r="449">
      <c r="A449" s="1"/>
      <c r="B449" s="1"/>
      <c r="C449" s="1"/>
      <c r="D449" s="1"/>
      <c r="E449" s="1"/>
      <c r="F449" s="1"/>
      <c r="G449" s="1"/>
      <c r="H449" s="1"/>
      <c r="I449" s="1"/>
      <c r="J449" s="5"/>
      <c r="K449" s="2"/>
      <c r="L449" s="1"/>
      <c r="M449" s="1"/>
      <c r="N449" s="1"/>
      <c r="O449" s="1"/>
      <c r="P449" s="1"/>
      <c r="Q449" s="1"/>
      <c r="R449" s="1"/>
      <c r="S449" s="1"/>
      <c r="T449" s="1"/>
      <c r="U449" s="1"/>
      <c r="V449" s="1"/>
      <c r="W449" s="1"/>
      <c r="X449" s="1"/>
      <c r="Y449" s="1"/>
      <c r="Z449" s="1"/>
      <c r="AA449" s="1"/>
      <c r="AB449" s="1"/>
      <c r="AC449" s="1"/>
      <c r="AD449" s="1"/>
      <c r="AE449" s="1"/>
      <c r="AF449" s="1"/>
      <c r="AG449" s="1"/>
      <c r="AH449" s="1"/>
    </row>
    <row r="450">
      <c r="A450" s="1"/>
      <c r="B450" s="1"/>
      <c r="C450" s="1"/>
      <c r="D450" s="1"/>
      <c r="E450" s="1"/>
      <c r="F450" s="1"/>
      <c r="G450" s="1"/>
      <c r="H450" s="1"/>
      <c r="I450" s="1"/>
      <c r="J450" s="5"/>
      <c r="K450" s="2"/>
      <c r="L450" s="1"/>
      <c r="M450" s="1"/>
      <c r="N450" s="1"/>
      <c r="O450" s="1"/>
      <c r="P450" s="1"/>
      <c r="Q450" s="1"/>
      <c r="R450" s="1"/>
      <c r="S450" s="1"/>
      <c r="T450" s="1"/>
      <c r="U450" s="1"/>
      <c r="V450" s="1"/>
      <c r="W450" s="1"/>
      <c r="X450" s="1"/>
      <c r="Y450" s="1"/>
      <c r="Z450" s="1"/>
      <c r="AA450" s="1"/>
      <c r="AB450" s="1"/>
      <c r="AC450" s="1"/>
      <c r="AD450" s="1"/>
      <c r="AE450" s="1"/>
      <c r="AF450" s="1"/>
      <c r="AG450" s="1"/>
      <c r="AH450" s="1"/>
    </row>
    <row r="451">
      <c r="A451" s="1"/>
      <c r="B451" s="1"/>
      <c r="C451" s="1"/>
      <c r="D451" s="1"/>
      <c r="E451" s="1"/>
      <c r="F451" s="1"/>
      <c r="G451" s="1"/>
      <c r="H451" s="1"/>
      <c r="I451" s="1"/>
      <c r="J451" s="5"/>
      <c r="K451" s="2"/>
      <c r="L451" s="1"/>
      <c r="M451" s="1"/>
      <c r="N451" s="1"/>
      <c r="O451" s="1"/>
      <c r="P451" s="1"/>
      <c r="Q451" s="1"/>
      <c r="R451" s="1"/>
      <c r="S451" s="1"/>
      <c r="T451" s="1"/>
      <c r="U451" s="1"/>
      <c r="V451" s="1"/>
      <c r="W451" s="1"/>
      <c r="X451" s="1"/>
      <c r="Y451" s="1"/>
      <c r="Z451" s="1"/>
      <c r="AA451" s="1"/>
      <c r="AB451" s="1"/>
      <c r="AC451" s="1"/>
      <c r="AD451" s="1"/>
      <c r="AE451" s="1"/>
      <c r="AF451" s="1"/>
      <c r="AG451" s="1"/>
      <c r="AH451" s="1"/>
    </row>
    <row r="452">
      <c r="A452" s="1"/>
      <c r="B452" s="1"/>
      <c r="C452" s="1"/>
      <c r="D452" s="1"/>
      <c r="E452" s="1"/>
      <c r="F452" s="1"/>
      <c r="G452" s="1"/>
      <c r="H452" s="1"/>
      <c r="I452" s="1"/>
      <c r="J452" s="5"/>
      <c r="K452" s="2"/>
      <c r="L452" s="1"/>
      <c r="M452" s="1"/>
      <c r="N452" s="1"/>
      <c r="O452" s="1"/>
      <c r="P452" s="1"/>
      <c r="Q452" s="1"/>
      <c r="R452" s="1"/>
      <c r="S452" s="1"/>
      <c r="T452" s="1"/>
      <c r="U452" s="1"/>
      <c r="V452" s="1"/>
      <c r="W452" s="1"/>
      <c r="X452" s="1"/>
      <c r="Y452" s="1"/>
      <c r="Z452" s="1"/>
      <c r="AA452" s="1"/>
      <c r="AB452" s="1"/>
      <c r="AC452" s="1"/>
      <c r="AD452" s="1"/>
      <c r="AE452" s="1"/>
      <c r="AF452" s="1"/>
      <c r="AG452" s="1"/>
      <c r="AH452" s="1"/>
    </row>
    <row r="453">
      <c r="A453" s="1"/>
      <c r="B453" s="1"/>
      <c r="C453" s="1"/>
      <c r="D453" s="1"/>
      <c r="E453" s="1"/>
      <c r="F453" s="1"/>
      <c r="G453" s="1"/>
      <c r="H453" s="1"/>
      <c r="I453" s="1"/>
      <c r="J453" s="5"/>
      <c r="K453" s="2"/>
      <c r="L453" s="1"/>
      <c r="M453" s="1"/>
      <c r="N453" s="1"/>
      <c r="O453" s="1"/>
      <c r="P453" s="1"/>
      <c r="Q453" s="1"/>
      <c r="R453" s="1"/>
      <c r="S453" s="1"/>
      <c r="T453" s="1"/>
      <c r="U453" s="1"/>
      <c r="V453" s="1"/>
      <c r="W453" s="1"/>
      <c r="X453" s="1"/>
      <c r="Y453" s="1"/>
      <c r="Z453" s="1"/>
      <c r="AA453" s="1"/>
      <c r="AB453" s="1"/>
      <c r="AC453" s="1"/>
      <c r="AD453" s="1"/>
      <c r="AE453" s="1"/>
      <c r="AF453" s="1"/>
      <c r="AG453" s="1"/>
      <c r="AH453" s="1"/>
    </row>
    <row r="454">
      <c r="A454" s="1"/>
      <c r="B454" s="1"/>
      <c r="C454" s="1"/>
      <c r="D454" s="1"/>
      <c r="E454" s="1"/>
      <c r="F454" s="1"/>
      <c r="G454" s="1"/>
      <c r="H454" s="1"/>
      <c r="I454" s="1"/>
      <c r="J454" s="5"/>
      <c r="K454" s="2"/>
      <c r="L454" s="1"/>
      <c r="M454" s="1"/>
      <c r="N454" s="1"/>
      <c r="O454" s="1"/>
      <c r="P454" s="1"/>
      <c r="Q454" s="1"/>
      <c r="R454" s="1"/>
      <c r="S454" s="1"/>
      <c r="T454" s="1"/>
      <c r="U454" s="1"/>
      <c r="V454" s="1"/>
      <c r="W454" s="1"/>
      <c r="X454" s="1"/>
      <c r="Y454" s="1"/>
      <c r="Z454" s="1"/>
      <c r="AA454" s="1"/>
      <c r="AB454" s="1"/>
      <c r="AC454" s="1"/>
      <c r="AD454" s="1"/>
      <c r="AE454" s="1"/>
      <c r="AF454" s="1"/>
      <c r="AG454" s="1"/>
      <c r="AH454" s="1"/>
    </row>
    <row r="455">
      <c r="A455" s="1"/>
      <c r="B455" s="1"/>
      <c r="C455" s="1"/>
      <c r="D455" s="1"/>
      <c r="E455" s="1"/>
      <c r="F455" s="1"/>
      <c r="G455" s="1"/>
      <c r="H455" s="1"/>
      <c r="I455" s="1"/>
      <c r="J455" s="5"/>
      <c r="K455" s="2"/>
      <c r="L455" s="1"/>
      <c r="M455" s="1"/>
      <c r="N455" s="1"/>
      <c r="O455" s="1"/>
      <c r="P455" s="1"/>
      <c r="Q455" s="1"/>
      <c r="R455" s="1"/>
      <c r="S455" s="1"/>
      <c r="T455" s="1"/>
      <c r="U455" s="1"/>
      <c r="V455" s="1"/>
      <c r="W455" s="1"/>
      <c r="X455" s="1"/>
      <c r="Y455" s="1"/>
      <c r="Z455" s="1"/>
      <c r="AA455" s="1"/>
      <c r="AB455" s="1"/>
      <c r="AC455" s="1"/>
      <c r="AD455" s="1"/>
      <c r="AE455" s="1"/>
      <c r="AF455" s="1"/>
      <c r="AG455" s="1"/>
      <c r="AH455" s="1"/>
    </row>
    <row r="456">
      <c r="A456" s="1"/>
      <c r="B456" s="1"/>
      <c r="C456" s="1"/>
      <c r="D456" s="1"/>
      <c r="E456" s="1"/>
      <c r="F456" s="1"/>
      <c r="G456" s="1"/>
      <c r="H456" s="1"/>
      <c r="I456" s="1"/>
      <c r="J456" s="5"/>
      <c r="K456" s="2"/>
      <c r="L456" s="1"/>
      <c r="M456" s="1"/>
      <c r="N456" s="1"/>
      <c r="O456" s="1"/>
      <c r="P456" s="1"/>
      <c r="Q456" s="1"/>
      <c r="R456" s="1"/>
      <c r="S456" s="1"/>
      <c r="T456" s="1"/>
      <c r="U456" s="1"/>
      <c r="V456" s="1"/>
      <c r="W456" s="1"/>
      <c r="X456" s="1"/>
      <c r="Y456" s="1"/>
      <c r="Z456" s="1"/>
      <c r="AA456" s="1"/>
      <c r="AB456" s="1"/>
      <c r="AC456" s="1"/>
      <c r="AD456" s="1"/>
      <c r="AE456" s="1"/>
      <c r="AF456" s="1"/>
      <c r="AG456" s="1"/>
      <c r="AH456" s="1"/>
    </row>
    <row r="457">
      <c r="A457" s="1"/>
      <c r="B457" s="1"/>
      <c r="C457" s="1"/>
      <c r="D457" s="1"/>
      <c r="E457" s="1"/>
      <c r="F457" s="1"/>
      <c r="G457" s="1"/>
      <c r="H457" s="1"/>
      <c r="I457" s="1"/>
      <c r="J457" s="5"/>
      <c r="K457" s="2"/>
      <c r="L457" s="1"/>
      <c r="M457" s="1"/>
      <c r="N457" s="1"/>
      <c r="O457" s="1"/>
      <c r="P457" s="1"/>
      <c r="Q457" s="1"/>
      <c r="R457" s="1"/>
      <c r="S457" s="1"/>
      <c r="T457" s="1"/>
      <c r="U457" s="1"/>
      <c r="V457" s="1"/>
      <c r="W457" s="1"/>
      <c r="X457" s="1"/>
      <c r="Y457" s="1"/>
      <c r="Z457" s="1"/>
      <c r="AA457" s="1"/>
      <c r="AB457" s="1"/>
      <c r="AC457" s="1"/>
      <c r="AD457" s="1"/>
      <c r="AE457" s="1"/>
      <c r="AF457" s="1"/>
      <c r="AG457" s="1"/>
      <c r="AH457" s="1"/>
    </row>
    <row r="458">
      <c r="A458" s="1"/>
      <c r="B458" s="1"/>
      <c r="C458" s="1"/>
      <c r="D458" s="1"/>
      <c r="E458" s="1"/>
      <c r="F458" s="1"/>
      <c r="G458" s="1"/>
      <c r="H458" s="1"/>
      <c r="I458" s="1"/>
      <c r="J458" s="5"/>
      <c r="K458" s="2"/>
      <c r="L458" s="1"/>
      <c r="M458" s="1"/>
      <c r="N458" s="1"/>
      <c r="O458" s="1"/>
      <c r="P458" s="1"/>
      <c r="Q458" s="1"/>
      <c r="R458" s="1"/>
      <c r="S458" s="1"/>
      <c r="T458" s="1"/>
      <c r="U458" s="1"/>
      <c r="V458" s="1"/>
      <c r="W458" s="1"/>
      <c r="X458" s="1"/>
      <c r="Y458" s="1"/>
      <c r="Z458" s="1"/>
      <c r="AA458" s="1"/>
      <c r="AB458" s="1"/>
      <c r="AC458" s="1"/>
      <c r="AD458" s="1"/>
      <c r="AE458" s="1"/>
      <c r="AF458" s="1"/>
      <c r="AG458" s="1"/>
      <c r="AH458" s="1"/>
    </row>
    <row r="459">
      <c r="A459" s="1"/>
      <c r="B459" s="1"/>
      <c r="C459" s="1"/>
      <c r="D459" s="1"/>
      <c r="E459" s="1"/>
      <c r="F459" s="1"/>
      <c r="G459" s="1"/>
      <c r="H459" s="1"/>
      <c r="I459" s="1"/>
      <c r="J459" s="5"/>
      <c r="K459" s="2"/>
      <c r="L459" s="1"/>
      <c r="M459" s="1"/>
      <c r="N459" s="1"/>
      <c r="O459" s="1"/>
      <c r="P459" s="1"/>
      <c r="Q459" s="1"/>
      <c r="R459" s="1"/>
      <c r="S459" s="1"/>
      <c r="T459" s="1"/>
      <c r="U459" s="1"/>
      <c r="V459" s="1"/>
      <c r="W459" s="1"/>
      <c r="X459" s="1"/>
      <c r="Y459" s="1"/>
      <c r="Z459" s="1"/>
      <c r="AA459" s="1"/>
      <c r="AB459" s="1"/>
      <c r="AC459" s="1"/>
      <c r="AD459" s="1"/>
      <c r="AE459" s="1"/>
      <c r="AF459" s="1"/>
      <c r="AG459" s="1"/>
      <c r="AH459" s="1"/>
    </row>
    <row r="460">
      <c r="A460" s="1"/>
      <c r="B460" s="1"/>
      <c r="C460" s="1"/>
      <c r="D460" s="1"/>
      <c r="E460" s="1"/>
      <c r="F460" s="1"/>
      <c r="G460" s="1"/>
      <c r="H460" s="1"/>
      <c r="I460" s="1"/>
      <c r="J460" s="5"/>
      <c r="K460" s="2"/>
      <c r="L460" s="1"/>
      <c r="M460" s="1"/>
      <c r="N460" s="1"/>
      <c r="O460" s="1"/>
      <c r="P460" s="1"/>
      <c r="Q460" s="1"/>
      <c r="R460" s="1"/>
      <c r="S460" s="1"/>
      <c r="T460" s="1"/>
      <c r="U460" s="1"/>
      <c r="V460" s="1"/>
      <c r="W460" s="1"/>
      <c r="X460" s="1"/>
      <c r="Y460" s="1"/>
      <c r="Z460" s="1"/>
      <c r="AA460" s="1"/>
      <c r="AB460" s="1"/>
      <c r="AC460" s="1"/>
      <c r="AD460" s="1"/>
      <c r="AE460" s="1"/>
      <c r="AF460" s="1"/>
      <c r="AG460" s="1"/>
      <c r="AH460" s="1"/>
    </row>
    <row r="461">
      <c r="A461" s="1"/>
      <c r="B461" s="1"/>
      <c r="C461" s="1"/>
      <c r="D461" s="1"/>
      <c r="E461" s="1"/>
      <c r="F461" s="1"/>
      <c r="G461" s="1"/>
      <c r="H461" s="1"/>
      <c r="I461" s="1"/>
      <c r="J461" s="5"/>
      <c r="K461" s="2"/>
      <c r="L461" s="1"/>
      <c r="M461" s="1"/>
      <c r="N461" s="1"/>
      <c r="O461" s="1"/>
      <c r="P461" s="1"/>
      <c r="Q461" s="1"/>
      <c r="R461" s="1"/>
      <c r="S461" s="1"/>
      <c r="T461" s="1"/>
      <c r="U461" s="1"/>
      <c r="V461" s="1"/>
      <c r="W461" s="1"/>
      <c r="X461" s="1"/>
      <c r="Y461" s="1"/>
      <c r="Z461" s="1"/>
      <c r="AA461" s="1"/>
      <c r="AB461" s="1"/>
      <c r="AC461" s="1"/>
      <c r="AD461" s="1"/>
      <c r="AE461" s="1"/>
      <c r="AF461" s="1"/>
      <c r="AG461" s="1"/>
      <c r="AH461" s="1"/>
    </row>
    <row r="462">
      <c r="A462" s="1"/>
      <c r="B462" s="1"/>
      <c r="C462" s="1"/>
      <c r="D462" s="1"/>
      <c r="E462" s="1"/>
      <c r="F462" s="1"/>
      <c r="G462" s="1"/>
      <c r="H462" s="1"/>
      <c r="I462" s="1"/>
      <c r="J462" s="5"/>
      <c r="K462" s="2"/>
      <c r="L462" s="1"/>
      <c r="M462" s="1"/>
      <c r="N462" s="1"/>
      <c r="O462" s="1"/>
      <c r="P462" s="1"/>
      <c r="Q462" s="1"/>
      <c r="R462" s="1"/>
      <c r="S462" s="1"/>
      <c r="T462" s="1"/>
      <c r="U462" s="1"/>
      <c r="V462" s="1"/>
      <c r="W462" s="1"/>
      <c r="X462" s="1"/>
      <c r="Y462" s="1"/>
      <c r="Z462" s="1"/>
      <c r="AA462" s="1"/>
      <c r="AB462" s="1"/>
      <c r="AC462" s="1"/>
      <c r="AD462" s="1"/>
      <c r="AE462" s="1"/>
      <c r="AF462" s="1"/>
      <c r="AG462" s="1"/>
      <c r="AH462" s="1"/>
    </row>
    <row r="463">
      <c r="A463" s="1"/>
      <c r="B463" s="1"/>
      <c r="C463" s="1"/>
      <c r="D463" s="1"/>
      <c r="E463" s="1"/>
      <c r="F463" s="1"/>
      <c r="G463" s="1"/>
      <c r="H463" s="1"/>
      <c r="I463" s="1"/>
      <c r="J463" s="5"/>
      <c r="K463" s="2"/>
      <c r="L463" s="1"/>
      <c r="M463" s="1"/>
      <c r="N463" s="1"/>
      <c r="O463" s="1"/>
      <c r="P463" s="1"/>
      <c r="Q463" s="1"/>
      <c r="R463" s="1"/>
      <c r="S463" s="1"/>
      <c r="T463" s="1"/>
      <c r="U463" s="1"/>
      <c r="V463" s="1"/>
      <c r="W463" s="1"/>
      <c r="X463" s="1"/>
      <c r="Y463" s="1"/>
      <c r="Z463" s="1"/>
      <c r="AA463" s="1"/>
      <c r="AB463" s="1"/>
      <c r="AC463" s="1"/>
      <c r="AD463" s="1"/>
      <c r="AE463" s="1"/>
      <c r="AF463" s="1"/>
      <c r="AG463" s="1"/>
      <c r="AH463" s="1"/>
    </row>
    <row r="464">
      <c r="A464" s="1"/>
      <c r="B464" s="1"/>
      <c r="C464" s="1"/>
      <c r="D464" s="1"/>
      <c r="E464" s="1"/>
      <c r="F464" s="1"/>
      <c r="G464" s="1"/>
      <c r="H464" s="1"/>
      <c r="I464" s="1"/>
      <c r="J464" s="5"/>
      <c r="K464" s="2"/>
      <c r="L464" s="1"/>
      <c r="M464" s="1"/>
      <c r="N464" s="1"/>
      <c r="O464" s="1"/>
      <c r="P464" s="1"/>
      <c r="Q464" s="1"/>
      <c r="R464" s="1"/>
      <c r="S464" s="1"/>
      <c r="T464" s="1"/>
      <c r="U464" s="1"/>
      <c r="V464" s="1"/>
      <c r="W464" s="1"/>
      <c r="X464" s="1"/>
      <c r="Y464" s="1"/>
      <c r="Z464" s="1"/>
      <c r="AA464" s="1"/>
      <c r="AB464" s="1"/>
      <c r="AC464" s="1"/>
      <c r="AD464" s="1"/>
      <c r="AE464" s="1"/>
      <c r="AF464" s="1"/>
      <c r="AG464" s="1"/>
      <c r="AH464" s="1"/>
    </row>
    <row r="465">
      <c r="A465" s="1"/>
      <c r="B465" s="1"/>
      <c r="C465" s="1"/>
      <c r="D465" s="1"/>
      <c r="E465" s="1"/>
      <c r="F465" s="1"/>
      <c r="G465" s="1"/>
      <c r="H465" s="1"/>
      <c r="I465" s="1"/>
      <c r="J465" s="5"/>
      <c r="K465" s="2"/>
      <c r="L465" s="1"/>
      <c r="M465" s="1"/>
      <c r="N465" s="1"/>
      <c r="O465" s="1"/>
      <c r="P465" s="1"/>
      <c r="Q465" s="1"/>
      <c r="R465" s="1"/>
      <c r="S465" s="1"/>
      <c r="T465" s="1"/>
      <c r="U465" s="1"/>
      <c r="V465" s="1"/>
      <c r="W465" s="1"/>
      <c r="X465" s="1"/>
      <c r="Y465" s="1"/>
      <c r="Z465" s="1"/>
      <c r="AA465" s="1"/>
      <c r="AB465" s="1"/>
      <c r="AC465" s="1"/>
      <c r="AD465" s="1"/>
      <c r="AE465" s="1"/>
      <c r="AF465" s="1"/>
      <c r="AG465" s="1"/>
      <c r="AH465" s="1"/>
    </row>
    <row r="466">
      <c r="A466" s="1"/>
      <c r="B466" s="1"/>
      <c r="C466" s="1"/>
      <c r="D466" s="1"/>
      <c r="E466" s="1"/>
      <c r="F466" s="1"/>
      <c r="G466" s="1"/>
      <c r="H466" s="1"/>
      <c r="I466" s="1"/>
      <c r="J466" s="5"/>
      <c r="K466" s="2"/>
      <c r="L466" s="1"/>
      <c r="M466" s="1"/>
      <c r="N466" s="1"/>
      <c r="O466" s="1"/>
      <c r="P466" s="1"/>
      <c r="Q466" s="1"/>
      <c r="R466" s="1"/>
      <c r="S466" s="1"/>
      <c r="T466" s="1"/>
      <c r="U466" s="1"/>
      <c r="V466" s="1"/>
      <c r="W466" s="1"/>
      <c r="X466" s="1"/>
      <c r="Y466" s="1"/>
      <c r="Z466" s="1"/>
      <c r="AA466" s="1"/>
      <c r="AB466" s="1"/>
      <c r="AC466" s="1"/>
      <c r="AD466" s="1"/>
      <c r="AE466" s="1"/>
      <c r="AF466" s="1"/>
      <c r="AG466" s="1"/>
      <c r="AH466" s="1"/>
    </row>
    <row r="467">
      <c r="A467" s="1"/>
      <c r="B467" s="1"/>
      <c r="C467" s="1"/>
      <c r="D467" s="1"/>
      <c r="E467" s="1"/>
      <c r="F467" s="1"/>
      <c r="G467" s="1"/>
      <c r="H467" s="1"/>
      <c r="I467" s="1"/>
      <c r="J467" s="5"/>
      <c r="K467" s="2"/>
      <c r="L467" s="1"/>
      <c r="M467" s="1"/>
      <c r="N467" s="1"/>
      <c r="O467" s="1"/>
      <c r="P467" s="1"/>
      <c r="Q467" s="1"/>
      <c r="R467" s="1"/>
      <c r="S467" s="1"/>
      <c r="T467" s="1"/>
      <c r="U467" s="1"/>
      <c r="V467" s="1"/>
      <c r="W467" s="1"/>
      <c r="X467" s="1"/>
      <c r="Y467" s="1"/>
      <c r="Z467" s="1"/>
      <c r="AA467" s="1"/>
      <c r="AB467" s="1"/>
      <c r="AC467" s="1"/>
      <c r="AD467" s="1"/>
      <c r="AE467" s="1"/>
      <c r="AF467" s="1"/>
      <c r="AG467" s="1"/>
      <c r="AH467" s="1"/>
    </row>
    <row r="468">
      <c r="A468" s="1"/>
      <c r="B468" s="1"/>
      <c r="C468" s="1"/>
      <c r="D468" s="1"/>
      <c r="E468" s="1"/>
      <c r="F468" s="1"/>
      <c r="G468" s="1"/>
      <c r="H468" s="1"/>
      <c r="I468" s="1"/>
      <c r="J468" s="5"/>
      <c r="K468" s="2"/>
      <c r="L468" s="1"/>
      <c r="M468" s="1"/>
      <c r="N468" s="1"/>
      <c r="O468" s="1"/>
      <c r="P468" s="1"/>
      <c r="Q468" s="1"/>
      <c r="R468" s="1"/>
      <c r="S468" s="1"/>
      <c r="T468" s="1"/>
      <c r="U468" s="1"/>
      <c r="V468" s="1"/>
      <c r="W468" s="1"/>
      <c r="X468" s="1"/>
      <c r="Y468" s="1"/>
      <c r="Z468" s="1"/>
      <c r="AA468" s="1"/>
      <c r="AB468" s="1"/>
      <c r="AC468" s="1"/>
      <c r="AD468" s="1"/>
      <c r="AE468" s="1"/>
      <c r="AF468" s="1"/>
      <c r="AG468" s="1"/>
      <c r="AH468" s="1"/>
    </row>
    <row r="469">
      <c r="A469" s="1"/>
      <c r="B469" s="1"/>
      <c r="C469" s="1"/>
      <c r="D469" s="1"/>
      <c r="E469" s="1"/>
      <c r="F469" s="1"/>
      <c r="G469" s="1"/>
      <c r="H469" s="1"/>
      <c r="I469" s="1"/>
      <c r="J469" s="5"/>
      <c r="K469" s="2"/>
      <c r="L469" s="1"/>
      <c r="M469" s="1"/>
      <c r="N469" s="1"/>
      <c r="O469" s="1"/>
      <c r="P469" s="1"/>
      <c r="Q469" s="1"/>
      <c r="R469" s="1"/>
      <c r="S469" s="1"/>
      <c r="T469" s="1"/>
      <c r="U469" s="1"/>
      <c r="V469" s="1"/>
      <c r="W469" s="1"/>
      <c r="X469" s="1"/>
      <c r="Y469" s="1"/>
      <c r="Z469" s="1"/>
      <c r="AA469" s="1"/>
      <c r="AB469" s="1"/>
      <c r="AC469" s="1"/>
      <c r="AD469" s="1"/>
      <c r="AE469" s="1"/>
      <c r="AF469" s="1"/>
      <c r="AG469" s="1"/>
      <c r="AH469" s="1"/>
    </row>
    <row r="470">
      <c r="A470" s="1"/>
      <c r="B470" s="1"/>
      <c r="C470" s="1"/>
      <c r="D470" s="1"/>
      <c r="E470" s="1"/>
      <c r="F470" s="1"/>
      <c r="G470" s="1"/>
      <c r="H470" s="1"/>
      <c r="I470" s="1"/>
      <c r="J470" s="5"/>
      <c r="K470" s="2"/>
      <c r="L470" s="1"/>
      <c r="M470" s="1"/>
      <c r="N470" s="1"/>
      <c r="O470" s="1"/>
      <c r="P470" s="1"/>
      <c r="Q470" s="1"/>
      <c r="R470" s="1"/>
      <c r="S470" s="1"/>
      <c r="T470" s="1"/>
      <c r="U470" s="1"/>
      <c r="V470" s="1"/>
      <c r="W470" s="1"/>
      <c r="X470" s="1"/>
      <c r="Y470" s="1"/>
      <c r="Z470" s="1"/>
      <c r="AA470" s="1"/>
      <c r="AB470" s="1"/>
      <c r="AC470" s="1"/>
      <c r="AD470" s="1"/>
      <c r="AE470" s="1"/>
      <c r="AF470" s="1"/>
      <c r="AG470" s="1"/>
      <c r="AH470" s="1"/>
    </row>
    <row r="471">
      <c r="A471" s="1"/>
      <c r="B471" s="1"/>
      <c r="C471" s="1"/>
      <c r="D471" s="1"/>
      <c r="E471" s="1"/>
      <c r="F471" s="1"/>
      <c r="G471" s="1"/>
      <c r="H471" s="1"/>
      <c r="I471" s="1"/>
      <c r="J471" s="5"/>
      <c r="K471" s="2"/>
      <c r="L471" s="1"/>
      <c r="M471" s="1"/>
      <c r="N471" s="1"/>
      <c r="O471" s="1"/>
      <c r="P471" s="1"/>
      <c r="Q471" s="1"/>
      <c r="R471" s="1"/>
      <c r="S471" s="1"/>
      <c r="T471" s="1"/>
      <c r="U471" s="1"/>
      <c r="V471" s="1"/>
      <c r="W471" s="1"/>
      <c r="X471" s="1"/>
      <c r="Y471" s="1"/>
      <c r="Z471" s="1"/>
      <c r="AA471" s="1"/>
      <c r="AB471" s="1"/>
      <c r="AC471" s="1"/>
      <c r="AD471" s="1"/>
      <c r="AE471" s="1"/>
      <c r="AF471" s="1"/>
      <c r="AG471" s="1"/>
      <c r="AH471" s="1"/>
    </row>
    <row r="472">
      <c r="A472" s="1"/>
      <c r="B472" s="1"/>
      <c r="C472" s="1"/>
      <c r="D472" s="1"/>
      <c r="E472" s="1"/>
      <c r="F472" s="1"/>
      <c r="G472" s="1"/>
      <c r="H472" s="1"/>
      <c r="I472" s="1"/>
      <c r="J472" s="5"/>
      <c r="K472" s="2"/>
      <c r="L472" s="1"/>
      <c r="M472" s="1"/>
      <c r="N472" s="1"/>
      <c r="O472" s="1"/>
      <c r="P472" s="1"/>
      <c r="Q472" s="1"/>
      <c r="R472" s="1"/>
      <c r="S472" s="1"/>
      <c r="T472" s="1"/>
      <c r="U472" s="1"/>
      <c r="V472" s="1"/>
      <c r="W472" s="1"/>
      <c r="X472" s="1"/>
      <c r="Y472" s="1"/>
      <c r="Z472" s="1"/>
      <c r="AA472" s="1"/>
      <c r="AB472" s="1"/>
      <c r="AC472" s="1"/>
      <c r="AD472" s="1"/>
      <c r="AE472" s="1"/>
      <c r="AF472" s="1"/>
      <c r="AG472" s="1"/>
      <c r="AH472" s="1"/>
    </row>
    <row r="473">
      <c r="A473" s="1"/>
      <c r="B473" s="1"/>
      <c r="C473" s="1"/>
      <c r="D473" s="1"/>
      <c r="E473" s="1"/>
      <c r="F473" s="1"/>
      <c r="G473" s="1"/>
      <c r="H473" s="1"/>
      <c r="I473" s="1"/>
      <c r="J473" s="5"/>
      <c r="K473" s="2"/>
      <c r="L473" s="1"/>
      <c r="M473" s="1"/>
      <c r="N473" s="1"/>
      <c r="O473" s="1"/>
      <c r="P473" s="1"/>
      <c r="Q473" s="1"/>
      <c r="R473" s="1"/>
      <c r="S473" s="1"/>
      <c r="T473" s="1"/>
      <c r="U473" s="1"/>
      <c r="V473" s="1"/>
      <c r="W473" s="1"/>
      <c r="X473" s="1"/>
      <c r="Y473" s="1"/>
      <c r="Z473" s="1"/>
      <c r="AA473" s="1"/>
      <c r="AB473" s="1"/>
      <c r="AC473" s="1"/>
      <c r="AD473" s="1"/>
      <c r="AE473" s="1"/>
      <c r="AF473" s="1"/>
      <c r="AG473" s="1"/>
      <c r="AH473" s="1"/>
    </row>
    <row r="474">
      <c r="A474" s="1"/>
      <c r="B474" s="1"/>
      <c r="C474" s="1"/>
      <c r="D474" s="1"/>
      <c r="E474" s="1"/>
      <c r="F474" s="1"/>
      <c r="G474" s="1"/>
      <c r="H474" s="1"/>
      <c r="I474" s="1"/>
      <c r="J474" s="5"/>
      <c r="K474" s="2"/>
      <c r="L474" s="1"/>
      <c r="M474" s="1"/>
      <c r="N474" s="1"/>
      <c r="O474" s="1"/>
      <c r="P474" s="1"/>
      <c r="Q474" s="1"/>
      <c r="R474" s="1"/>
      <c r="S474" s="1"/>
      <c r="T474" s="1"/>
      <c r="U474" s="1"/>
      <c r="V474" s="1"/>
      <c r="W474" s="1"/>
      <c r="X474" s="1"/>
      <c r="Y474" s="1"/>
      <c r="Z474" s="1"/>
      <c r="AA474" s="1"/>
      <c r="AB474" s="1"/>
      <c r="AC474" s="1"/>
      <c r="AD474" s="1"/>
      <c r="AE474" s="1"/>
      <c r="AF474" s="1"/>
      <c r="AG474" s="1"/>
      <c r="AH474" s="1"/>
    </row>
    <row r="475">
      <c r="A475" s="1"/>
      <c r="B475" s="1"/>
      <c r="C475" s="1"/>
      <c r="D475" s="1"/>
      <c r="E475" s="1"/>
      <c r="F475" s="1"/>
      <c r="G475" s="1"/>
      <c r="H475" s="1"/>
      <c r="I475" s="1"/>
      <c r="J475" s="5"/>
      <c r="K475" s="2"/>
      <c r="L475" s="1"/>
      <c r="M475" s="1"/>
      <c r="N475" s="1"/>
      <c r="O475" s="1"/>
      <c r="P475" s="1"/>
      <c r="Q475" s="1"/>
      <c r="R475" s="1"/>
      <c r="S475" s="1"/>
      <c r="T475" s="1"/>
      <c r="U475" s="1"/>
      <c r="V475" s="1"/>
      <c r="W475" s="1"/>
      <c r="X475" s="1"/>
      <c r="Y475" s="1"/>
      <c r="Z475" s="1"/>
      <c r="AA475" s="1"/>
      <c r="AB475" s="1"/>
      <c r="AC475" s="1"/>
      <c r="AD475" s="1"/>
      <c r="AE475" s="1"/>
      <c r="AF475" s="1"/>
      <c r="AG475" s="1"/>
      <c r="AH475" s="1"/>
    </row>
    <row r="476">
      <c r="A476" s="1"/>
      <c r="B476" s="1"/>
      <c r="C476" s="1"/>
      <c r="D476" s="1"/>
      <c r="E476" s="1"/>
      <c r="F476" s="1"/>
      <c r="G476" s="1"/>
      <c r="H476" s="1"/>
      <c r="I476" s="1"/>
      <c r="J476" s="5"/>
      <c r="K476" s="2"/>
      <c r="L476" s="1"/>
      <c r="M476" s="1"/>
      <c r="N476" s="1"/>
      <c r="O476" s="1"/>
      <c r="P476" s="1"/>
      <c r="Q476" s="1"/>
      <c r="R476" s="1"/>
      <c r="S476" s="1"/>
      <c r="T476" s="1"/>
      <c r="U476" s="1"/>
      <c r="V476" s="1"/>
      <c r="W476" s="1"/>
      <c r="X476" s="1"/>
      <c r="Y476" s="1"/>
      <c r="Z476" s="1"/>
      <c r="AA476" s="1"/>
      <c r="AB476" s="1"/>
      <c r="AC476" s="1"/>
      <c r="AD476" s="1"/>
      <c r="AE476" s="1"/>
      <c r="AF476" s="1"/>
      <c r="AG476" s="1"/>
      <c r="AH476" s="1"/>
    </row>
    <row r="477">
      <c r="A477" s="1"/>
      <c r="B477" s="1"/>
      <c r="C477" s="1"/>
      <c r="D477" s="1"/>
      <c r="E477" s="1"/>
      <c r="F477" s="1"/>
      <c r="G477" s="1"/>
      <c r="H477" s="1"/>
      <c r="I477" s="1"/>
      <c r="J477" s="5"/>
      <c r="K477" s="2"/>
      <c r="L477" s="1"/>
      <c r="M477" s="1"/>
      <c r="N477" s="1"/>
      <c r="O477" s="1"/>
      <c r="P477" s="1"/>
      <c r="Q477" s="1"/>
      <c r="R477" s="1"/>
      <c r="S477" s="1"/>
      <c r="T477" s="1"/>
      <c r="U477" s="1"/>
      <c r="V477" s="1"/>
      <c r="W477" s="1"/>
      <c r="X477" s="1"/>
      <c r="Y477" s="1"/>
      <c r="Z477" s="1"/>
      <c r="AA477" s="1"/>
      <c r="AB477" s="1"/>
      <c r="AC477" s="1"/>
      <c r="AD477" s="1"/>
      <c r="AE477" s="1"/>
      <c r="AF477" s="1"/>
      <c r="AG477" s="1"/>
      <c r="AH477" s="1"/>
    </row>
    <row r="478">
      <c r="A478" s="1"/>
      <c r="B478" s="1"/>
      <c r="C478" s="1"/>
      <c r="D478" s="1"/>
      <c r="E478" s="1"/>
      <c r="F478" s="1"/>
      <c r="G478" s="1"/>
      <c r="H478" s="1"/>
      <c r="I478" s="1"/>
      <c r="J478" s="5"/>
      <c r="K478" s="2"/>
      <c r="L478" s="1"/>
      <c r="M478" s="1"/>
      <c r="N478" s="1"/>
      <c r="O478" s="1"/>
      <c r="P478" s="1"/>
      <c r="Q478" s="1"/>
      <c r="R478" s="1"/>
      <c r="S478" s="1"/>
      <c r="T478" s="1"/>
      <c r="U478" s="1"/>
      <c r="V478" s="1"/>
      <c r="W478" s="1"/>
      <c r="X478" s="1"/>
      <c r="Y478" s="1"/>
      <c r="Z478" s="1"/>
      <c r="AA478" s="1"/>
      <c r="AB478" s="1"/>
      <c r="AC478" s="1"/>
      <c r="AD478" s="1"/>
      <c r="AE478" s="1"/>
      <c r="AF478" s="1"/>
      <c r="AG478" s="1"/>
      <c r="AH478" s="1"/>
    </row>
    <row r="479">
      <c r="A479" s="1"/>
      <c r="B479" s="1"/>
      <c r="C479" s="1"/>
      <c r="D479" s="1"/>
      <c r="E479" s="1"/>
      <c r="F479" s="1"/>
      <c r="G479" s="1"/>
      <c r="H479" s="1"/>
      <c r="I479" s="1"/>
      <c r="J479" s="5"/>
      <c r="K479" s="2"/>
      <c r="L479" s="1"/>
      <c r="M479" s="1"/>
      <c r="N479" s="1"/>
      <c r="O479" s="1"/>
      <c r="P479" s="1"/>
      <c r="Q479" s="1"/>
      <c r="R479" s="1"/>
      <c r="S479" s="1"/>
      <c r="T479" s="1"/>
      <c r="U479" s="1"/>
      <c r="V479" s="1"/>
      <c r="W479" s="1"/>
      <c r="X479" s="1"/>
      <c r="Y479" s="1"/>
      <c r="Z479" s="1"/>
      <c r="AA479" s="1"/>
      <c r="AB479" s="1"/>
      <c r="AC479" s="1"/>
      <c r="AD479" s="1"/>
      <c r="AE479" s="1"/>
      <c r="AF479" s="1"/>
      <c r="AG479" s="1"/>
      <c r="AH479" s="1"/>
    </row>
    <row r="480">
      <c r="A480" s="1"/>
      <c r="B480" s="1"/>
      <c r="C480" s="1"/>
      <c r="D480" s="1"/>
      <c r="E480" s="1"/>
      <c r="F480" s="1"/>
      <c r="G480" s="1"/>
      <c r="H480" s="1"/>
      <c r="I480" s="1"/>
      <c r="J480" s="5"/>
      <c r="K480" s="2"/>
      <c r="L480" s="1"/>
      <c r="M480" s="1"/>
      <c r="N480" s="1"/>
      <c r="O480" s="1"/>
      <c r="P480" s="1"/>
      <c r="Q480" s="1"/>
      <c r="R480" s="1"/>
      <c r="S480" s="1"/>
      <c r="T480" s="1"/>
      <c r="U480" s="1"/>
      <c r="V480" s="1"/>
      <c r="W480" s="1"/>
      <c r="X480" s="1"/>
      <c r="Y480" s="1"/>
      <c r="Z480" s="1"/>
      <c r="AA480" s="1"/>
      <c r="AB480" s="1"/>
      <c r="AC480" s="1"/>
      <c r="AD480" s="1"/>
      <c r="AE480" s="1"/>
      <c r="AF480" s="1"/>
      <c r="AG480" s="1"/>
      <c r="AH480" s="1"/>
    </row>
    <row r="481">
      <c r="A481" s="1"/>
      <c r="B481" s="1"/>
      <c r="C481" s="1"/>
      <c r="D481" s="1"/>
      <c r="E481" s="1"/>
      <c r="F481" s="1"/>
      <c r="G481" s="1"/>
      <c r="H481" s="1"/>
      <c r="I481" s="1"/>
      <c r="J481" s="5"/>
      <c r="K481" s="2"/>
      <c r="L481" s="1"/>
      <c r="M481" s="1"/>
      <c r="N481" s="1"/>
      <c r="O481" s="1"/>
      <c r="P481" s="1"/>
      <c r="Q481" s="1"/>
      <c r="R481" s="1"/>
      <c r="S481" s="1"/>
      <c r="T481" s="1"/>
      <c r="U481" s="1"/>
      <c r="V481" s="1"/>
      <c r="W481" s="1"/>
      <c r="X481" s="1"/>
      <c r="Y481" s="1"/>
      <c r="Z481" s="1"/>
      <c r="AA481" s="1"/>
      <c r="AB481" s="1"/>
      <c r="AC481" s="1"/>
      <c r="AD481" s="1"/>
      <c r="AE481" s="1"/>
      <c r="AF481" s="1"/>
      <c r="AG481" s="1"/>
      <c r="AH481" s="1"/>
    </row>
    <row r="482">
      <c r="A482" s="1"/>
      <c r="B482" s="1"/>
      <c r="C482" s="1"/>
      <c r="D482" s="1"/>
      <c r="E482" s="1"/>
      <c r="F482" s="1"/>
      <c r="G482" s="1"/>
      <c r="H482" s="1"/>
      <c r="I482" s="1"/>
      <c r="J482" s="5"/>
      <c r="K482" s="2"/>
      <c r="L482" s="1"/>
      <c r="M482" s="1"/>
      <c r="N482" s="1"/>
      <c r="O482" s="1"/>
      <c r="P482" s="1"/>
      <c r="Q482" s="1"/>
      <c r="R482" s="1"/>
      <c r="S482" s="1"/>
      <c r="T482" s="1"/>
      <c r="U482" s="1"/>
      <c r="V482" s="1"/>
      <c r="W482" s="1"/>
      <c r="X482" s="1"/>
      <c r="Y482" s="1"/>
      <c r="Z482" s="1"/>
      <c r="AA482" s="1"/>
      <c r="AB482" s="1"/>
      <c r="AC482" s="1"/>
      <c r="AD482" s="1"/>
      <c r="AE482" s="1"/>
      <c r="AF482" s="1"/>
      <c r="AG482" s="1"/>
      <c r="AH482" s="1"/>
    </row>
    <row r="483">
      <c r="A483" s="1"/>
      <c r="B483" s="1"/>
      <c r="C483" s="1"/>
      <c r="D483" s="1"/>
      <c r="E483" s="1"/>
      <c r="F483" s="1"/>
      <c r="G483" s="1"/>
      <c r="H483" s="1"/>
      <c r="I483" s="1"/>
      <c r="J483" s="5"/>
      <c r="K483" s="2"/>
      <c r="L483" s="1"/>
      <c r="M483" s="1"/>
      <c r="N483" s="1"/>
      <c r="O483" s="1"/>
      <c r="P483" s="1"/>
      <c r="Q483" s="1"/>
      <c r="R483" s="1"/>
      <c r="S483" s="1"/>
      <c r="T483" s="1"/>
      <c r="U483" s="1"/>
      <c r="V483" s="1"/>
      <c r="W483" s="1"/>
      <c r="X483" s="1"/>
      <c r="Y483" s="1"/>
      <c r="Z483" s="1"/>
      <c r="AA483" s="1"/>
      <c r="AB483" s="1"/>
      <c r="AC483" s="1"/>
      <c r="AD483" s="1"/>
      <c r="AE483" s="1"/>
      <c r="AF483" s="1"/>
      <c r="AG483" s="1"/>
      <c r="AH483" s="1"/>
    </row>
    <row r="484">
      <c r="A484" s="1"/>
      <c r="B484" s="1"/>
      <c r="C484" s="1"/>
      <c r="D484" s="1"/>
      <c r="E484" s="1"/>
      <c r="F484" s="1"/>
      <c r="G484" s="1"/>
      <c r="H484" s="1"/>
      <c r="I484" s="1"/>
      <c r="J484" s="5"/>
      <c r="K484" s="2"/>
      <c r="L484" s="1"/>
      <c r="M484" s="1"/>
      <c r="N484" s="1"/>
      <c r="O484" s="1"/>
      <c r="P484" s="1"/>
      <c r="Q484" s="1"/>
      <c r="R484" s="1"/>
      <c r="S484" s="1"/>
      <c r="T484" s="1"/>
      <c r="U484" s="1"/>
      <c r="V484" s="1"/>
      <c r="W484" s="1"/>
      <c r="X484" s="1"/>
      <c r="Y484" s="1"/>
      <c r="Z484" s="1"/>
      <c r="AA484" s="1"/>
      <c r="AB484" s="1"/>
      <c r="AC484" s="1"/>
      <c r="AD484" s="1"/>
      <c r="AE484" s="1"/>
      <c r="AF484" s="1"/>
      <c r="AG484" s="1"/>
      <c r="AH484" s="1"/>
    </row>
    <row r="485">
      <c r="A485" s="1"/>
      <c r="B485" s="1"/>
      <c r="C485" s="1"/>
      <c r="D485" s="1"/>
      <c r="E485" s="1"/>
      <c r="F485" s="1"/>
      <c r="G485" s="1"/>
      <c r="H485" s="1"/>
      <c r="I485" s="1"/>
      <c r="J485" s="5"/>
      <c r="K485" s="2"/>
      <c r="L485" s="1"/>
      <c r="M485" s="1"/>
      <c r="N485" s="1"/>
      <c r="O485" s="1"/>
      <c r="P485" s="1"/>
      <c r="Q485" s="1"/>
      <c r="R485" s="1"/>
      <c r="S485" s="1"/>
      <c r="T485" s="1"/>
      <c r="U485" s="1"/>
      <c r="V485" s="1"/>
      <c r="W485" s="1"/>
      <c r="X485" s="1"/>
      <c r="Y485" s="1"/>
      <c r="Z485" s="1"/>
      <c r="AA485" s="1"/>
      <c r="AB485" s="1"/>
      <c r="AC485" s="1"/>
      <c r="AD485" s="1"/>
      <c r="AE485" s="1"/>
      <c r="AF485" s="1"/>
      <c r="AG485" s="1"/>
      <c r="AH485" s="1"/>
    </row>
    <row r="486">
      <c r="A486" s="1"/>
      <c r="B486" s="1"/>
      <c r="C486" s="1"/>
      <c r="D486" s="1"/>
      <c r="E486" s="1"/>
      <c r="F486" s="1"/>
      <c r="G486" s="1"/>
      <c r="H486" s="1"/>
      <c r="I486" s="1"/>
      <c r="J486" s="5"/>
      <c r="K486" s="2"/>
      <c r="L486" s="1"/>
      <c r="M486" s="1"/>
      <c r="N486" s="1"/>
      <c r="O486" s="1"/>
      <c r="P486" s="1"/>
      <c r="Q486" s="1"/>
      <c r="R486" s="1"/>
      <c r="S486" s="1"/>
      <c r="T486" s="1"/>
      <c r="U486" s="1"/>
      <c r="V486" s="1"/>
      <c r="W486" s="1"/>
      <c r="X486" s="1"/>
      <c r="Y486" s="1"/>
      <c r="Z486" s="1"/>
      <c r="AA486" s="1"/>
      <c r="AB486" s="1"/>
      <c r="AC486" s="1"/>
      <c r="AD486" s="1"/>
      <c r="AE486" s="1"/>
      <c r="AF486" s="1"/>
      <c r="AG486" s="1"/>
      <c r="AH486" s="1"/>
    </row>
    <row r="487">
      <c r="A487" s="1"/>
      <c r="B487" s="1"/>
      <c r="C487" s="1"/>
      <c r="D487" s="1"/>
      <c r="E487" s="1"/>
      <c r="F487" s="1"/>
      <c r="G487" s="1"/>
      <c r="H487" s="1"/>
      <c r="I487" s="1"/>
      <c r="J487" s="5"/>
      <c r="K487" s="2"/>
      <c r="L487" s="1"/>
      <c r="M487" s="1"/>
      <c r="N487" s="1"/>
      <c r="O487" s="1"/>
      <c r="P487" s="1"/>
      <c r="Q487" s="1"/>
      <c r="R487" s="1"/>
      <c r="S487" s="1"/>
      <c r="T487" s="1"/>
      <c r="U487" s="1"/>
      <c r="V487" s="1"/>
      <c r="W487" s="1"/>
      <c r="X487" s="1"/>
      <c r="Y487" s="1"/>
      <c r="Z487" s="1"/>
      <c r="AA487" s="1"/>
      <c r="AB487" s="1"/>
      <c r="AC487" s="1"/>
      <c r="AD487" s="1"/>
      <c r="AE487" s="1"/>
      <c r="AF487" s="1"/>
      <c r="AG487" s="1"/>
      <c r="AH487" s="1"/>
    </row>
    <row r="488">
      <c r="A488" s="1"/>
      <c r="B488" s="1"/>
      <c r="C488" s="1"/>
      <c r="D488" s="1"/>
      <c r="E488" s="1"/>
      <c r="F488" s="1"/>
      <c r="G488" s="1"/>
      <c r="H488" s="1"/>
      <c r="I488" s="1"/>
      <c r="J488" s="5"/>
      <c r="K488" s="2"/>
      <c r="L488" s="1"/>
      <c r="M488" s="1"/>
      <c r="N488" s="1"/>
      <c r="O488" s="1"/>
      <c r="P488" s="1"/>
      <c r="Q488" s="1"/>
      <c r="R488" s="1"/>
      <c r="S488" s="1"/>
      <c r="T488" s="1"/>
      <c r="U488" s="1"/>
      <c r="V488" s="1"/>
      <c r="W488" s="1"/>
      <c r="X488" s="1"/>
      <c r="Y488" s="1"/>
      <c r="Z488" s="1"/>
      <c r="AA488" s="1"/>
      <c r="AB488" s="1"/>
      <c r="AC488" s="1"/>
      <c r="AD488" s="1"/>
      <c r="AE488" s="1"/>
      <c r="AF488" s="1"/>
      <c r="AG488" s="1"/>
      <c r="AH488" s="1"/>
    </row>
    <row r="489">
      <c r="A489" s="1"/>
      <c r="B489" s="1"/>
      <c r="C489" s="1"/>
      <c r="D489" s="1"/>
      <c r="E489" s="1"/>
      <c r="F489" s="1"/>
      <c r="G489" s="1"/>
      <c r="H489" s="1"/>
      <c r="I489" s="1"/>
      <c r="J489" s="5"/>
      <c r="K489" s="2"/>
      <c r="L489" s="1"/>
      <c r="M489" s="1"/>
      <c r="N489" s="1"/>
      <c r="O489" s="1"/>
      <c r="P489" s="1"/>
      <c r="Q489" s="1"/>
      <c r="R489" s="1"/>
      <c r="S489" s="1"/>
      <c r="T489" s="1"/>
      <c r="U489" s="1"/>
      <c r="V489" s="1"/>
      <c r="W489" s="1"/>
      <c r="X489" s="1"/>
      <c r="Y489" s="1"/>
      <c r="Z489" s="1"/>
      <c r="AA489" s="1"/>
      <c r="AB489" s="1"/>
      <c r="AC489" s="1"/>
      <c r="AD489" s="1"/>
      <c r="AE489" s="1"/>
      <c r="AF489" s="1"/>
      <c r="AG489" s="1"/>
      <c r="AH489" s="1"/>
    </row>
    <row r="490">
      <c r="A490" s="1"/>
      <c r="B490" s="1"/>
      <c r="C490" s="1"/>
      <c r="D490" s="1"/>
      <c r="E490" s="1"/>
      <c r="F490" s="1"/>
      <c r="G490" s="1"/>
      <c r="H490" s="1"/>
      <c r="I490" s="1"/>
      <c r="J490" s="5"/>
      <c r="K490" s="2"/>
      <c r="L490" s="1"/>
      <c r="M490" s="1"/>
      <c r="N490" s="1"/>
      <c r="O490" s="1"/>
      <c r="P490" s="1"/>
      <c r="Q490" s="1"/>
      <c r="R490" s="1"/>
      <c r="S490" s="1"/>
      <c r="T490" s="1"/>
      <c r="U490" s="1"/>
      <c r="V490" s="1"/>
      <c r="W490" s="1"/>
      <c r="X490" s="1"/>
      <c r="Y490" s="1"/>
      <c r="Z490" s="1"/>
      <c r="AA490" s="1"/>
      <c r="AB490" s="1"/>
      <c r="AC490" s="1"/>
      <c r="AD490" s="1"/>
      <c r="AE490" s="1"/>
      <c r="AF490" s="1"/>
      <c r="AG490" s="1"/>
      <c r="AH490" s="1"/>
    </row>
    <row r="491">
      <c r="A491" s="1"/>
      <c r="B491" s="1"/>
      <c r="C491" s="1"/>
      <c r="D491" s="1"/>
      <c r="E491" s="1"/>
      <c r="F491" s="1"/>
      <c r="G491" s="1"/>
      <c r="H491" s="1"/>
      <c r="I491" s="1"/>
      <c r="J491" s="5"/>
      <c r="K491" s="2"/>
      <c r="L491" s="1"/>
      <c r="M491" s="1"/>
      <c r="N491" s="1"/>
      <c r="O491" s="1"/>
      <c r="P491" s="1"/>
      <c r="Q491" s="1"/>
      <c r="R491" s="1"/>
      <c r="S491" s="1"/>
      <c r="T491" s="1"/>
      <c r="U491" s="1"/>
      <c r="V491" s="1"/>
      <c r="W491" s="1"/>
      <c r="X491" s="1"/>
      <c r="Y491" s="1"/>
      <c r="Z491" s="1"/>
      <c r="AA491" s="1"/>
      <c r="AB491" s="1"/>
      <c r="AC491" s="1"/>
      <c r="AD491" s="1"/>
      <c r="AE491" s="1"/>
      <c r="AF491" s="1"/>
      <c r="AG491" s="1"/>
      <c r="AH491" s="1"/>
    </row>
    <row r="492">
      <c r="A492" s="1"/>
      <c r="B492" s="1"/>
      <c r="C492" s="1"/>
      <c r="D492" s="1"/>
      <c r="E492" s="1"/>
      <c r="F492" s="1"/>
      <c r="G492" s="1"/>
      <c r="H492" s="1"/>
      <c r="I492" s="1"/>
      <c r="J492" s="5"/>
      <c r="K492" s="2"/>
      <c r="L492" s="1"/>
      <c r="M492" s="1"/>
      <c r="N492" s="1"/>
      <c r="O492" s="1"/>
      <c r="P492" s="1"/>
      <c r="Q492" s="1"/>
      <c r="R492" s="1"/>
      <c r="S492" s="1"/>
      <c r="T492" s="1"/>
      <c r="U492" s="1"/>
      <c r="V492" s="1"/>
      <c r="W492" s="1"/>
      <c r="X492" s="1"/>
      <c r="Y492" s="1"/>
      <c r="Z492" s="1"/>
      <c r="AA492" s="1"/>
      <c r="AB492" s="1"/>
      <c r="AC492" s="1"/>
      <c r="AD492" s="1"/>
      <c r="AE492" s="1"/>
      <c r="AF492" s="1"/>
      <c r="AG492" s="1"/>
      <c r="AH492" s="1"/>
    </row>
    <row r="493">
      <c r="A493" s="1"/>
      <c r="B493" s="1"/>
      <c r="C493" s="1"/>
      <c r="D493" s="1"/>
      <c r="E493" s="1"/>
      <c r="F493" s="1"/>
      <c r="G493" s="1"/>
      <c r="H493" s="1"/>
      <c r="I493" s="1"/>
      <c r="J493" s="5"/>
      <c r="K493" s="2"/>
      <c r="L493" s="1"/>
      <c r="M493" s="1"/>
      <c r="N493" s="1"/>
      <c r="O493" s="1"/>
      <c r="P493" s="1"/>
      <c r="Q493" s="1"/>
      <c r="R493" s="1"/>
      <c r="S493" s="1"/>
      <c r="T493" s="1"/>
      <c r="U493" s="1"/>
      <c r="V493" s="1"/>
      <c r="W493" s="1"/>
      <c r="X493" s="1"/>
      <c r="Y493" s="1"/>
      <c r="Z493" s="1"/>
      <c r="AA493" s="1"/>
      <c r="AB493" s="1"/>
      <c r="AC493" s="1"/>
      <c r="AD493" s="1"/>
      <c r="AE493" s="1"/>
      <c r="AF493" s="1"/>
      <c r="AG493" s="1"/>
      <c r="AH493" s="1"/>
    </row>
    <row r="494">
      <c r="A494" s="1"/>
      <c r="B494" s="1"/>
      <c r="C494" s="1"/>
      <c r="D494" s="1"/>
      <c r="E494" s="1"/>
      <c r="F494" s="1"/>
      <c r="G494" s="1"/>
      <c r="H494" s="1"/>
      <c r="I494" s="1"/>
      <c r="J494" s="5"/>
      <c r="K494" s="2"/>
      <c r="L494" s="1"/>
      <c r="M494" s="1"/>
      <c r="N494" s="1"/>
      <c r="O494" s="1"/>
      <c r="P494" s="1"/>
      <c r="Q494" s="1"/>
      <c r="R494" s="1"/>
      <c r="S494" s="1"/>
      <c r="T494" s="1"/>
      <c r="U494" s="1"/>
      <c r="V494" s="1"/>
      <c r="W494" s="1"/>
      <c r="X494" s="1"/>
      <c r="Y494" s="1"/>
      <c r="Z494" s="1"/>
      <c r="AA494" s="1"/>
      <c r="AB494" s="1"/>
      <c r="AC494" s="1"/>
      <c r="AD494" s="1"/>
      <c r="AE494" s="1"/>
      <c r="AF494" s="1"/>
      <c r="AG494" s="1"/>
      <c r="AH494" s="1"/>
    </row>
    <row r="495">
      <c r="A495" s="1"/>
      <c r="B495" s="1"/>
      <c r="C495" s="1"/>
      <c r="D495" s="1"/>
      <c r="E495" s="1"/>
      <c r="F495" s="1"/>
      <c r="G495" s="1"/>
      <c r="H495" s="1"/>
      <c r="I495" s="1"/>
      <c r="J495" s="5"/>
      <c r="K495" s="2"/>
      <c r="L495" s="1"/>
      <c r="M495" s="1"/>
      <c r="N495" s="1"/>
      <c r="O495" s="1"/>
      <c r="P495" s="1"/>
      <c r="Q495" s="1"/>
      <c r="R495" s="1"/>
      <c r="S495" s="1"/>
      <c r="T495" s="1"/>
      <c r="U495" s="1"/>
      <c r="V495" s="1"/>
      <c r="W495" s="1"/>
      <c r="X495" s="1"/>
      <c r="Y495" s="1"/>
      <c r="Z495" s="1"/>
      <c r="AA495" s="1"/>
      <c r="AB495" s="1"/>
      <c r="AC495" s="1"/>
      <c r="AD495" s="1"/>
      <c r="AE495" s="1"/>
      <c r="AF495" s="1"/>
      <c r="AG495" s="1"/>
      <c r="AH495" s="1"/>
    </row>
    <row r="496">
      <c r="A496" s="1"/>
      <c r="B496" s="1"/>
      <c r="C496" s="1"/>
      <c r="D496" s="1"/>
      <c r="E496" s="1"/>
      <c r="F496" s="1"/>
      <c r="G496" s="1"/>
      <c r="H496" s="1"/>
      <c r="I496" s="1"/>
      <c r="J496" s="5"/>
      <c r="K496" s="2"/>
      <c r="L496" s="1"/>
      <c r="M496" s="1"/>
      <c r="N496" s="1"/>
      <c r="O496" s="1"/>
      <c r="P496" s="1"/>
      <c r="Q496" s="1"/>
      <c r="R496" s="1"/>
      <c r="S496" s="1"/>
      <c r="T496" s="1"/>
      <c r="U496" s="1"/>
      <c r="V496" s="1"/>
      <c r="W496" s="1"/>
      <c r="X496" s="1"/>
      <c r="Y496" s="1"/>
      <c r="Z496" s="1"/>
      <c r="AA496" s="1"/>
      <c r="AB496" s="1"/>
      <c r="AC496" s="1"/>
      <c r="AD496" s="1"/>
      <c r="AE496" s="1"/>
      <c r="AF496" s="1"/>
      <c r="AG496" s="1"/>
      <c r="AH496" s="1"/>
    </row>
    <row r="497">
      <c r="A497" s="1"/>
      <c r="B497" s="1"/>
      <c r="C497" s="1"/>
      <c r="D497" s="1"/>
      <c r="E497" s="1"/>
      <c r="F497" s="1"/>
      <c r="G497" s="1"/>
      <c r="H497" s="1"/>
      <c r="I497" s="1"/>
      <c r="J497" s="5"/>
      <c r="K497" s="2"/>
      <c r="L497" s="1"/>
      <c r="M497" s="1"/>
      <c r="N497" s="1"/>
      <c r="O497" s="1"/>
      <c r="P497" s="1"/>
      <c r="Q497" s="1"/>
      <c r="R497" s="1"/>
      <c r="S497" s="1"/>
      <c r="T497" s="1"/>
      <c r="U497" s="1"/>
      <c r="V497" s="1"/>
      <c r="W497" s="1"/>
      <c r="X497" s="1"/>
      <c r="Y497" s="1"/>
      <c r="Z497" s="1"/>
      <c r="AA497" s="1"/>
      <c r="AB497" s="1"/>
      <c r="AC497" s="1"/>
      <c r="AD497" s="1"/>
      <c r="AE497" s="1"/>
      <c r="AF497" s="1"/>
      <c r="AG497" s="1"/>
      <c r="AH497" s="1"/>
    </row>
    <row r="498">
      <c r="A498" s="1"/>
      <c r="B498" s="1"/>
      <c r="C498" s="1"/>
      <c r="D498" s="1"/>
      <c r="E498" s="1"/>
      <c r="F498" s="1"/>
      <c r="G498" s="1"/>
      <c r="H498" s="1"/>
      <c r="I498" s="1"/>
      <c r="J498" s="5"/>
      <c r="K498" s="2"/>
      <c r="L498" s="1"/>
      <c r="M498" s="1"/>
      <c r="N498" s="1"/>
      <c r="O498" s="1"/>
      <c r="P498" s="1"/>
      <c r="Q498" s="1"/>
      <c r="R498" s="1"/>
      <c r="S498" s="1"/>
      <c r="T498" s="1"/>
      <c r="U498" s="1"/>
      <c r="V498" s="1"/>
      <c r="W498" s="1"/>
      <c r="X498" s="1"/>
      <c r="Y498" s="1"/>
      <c r="Z498" s="1"/>
      <c r="AA498" s="1"/>
      <c r="AB498" s="1"/>
      <c r="AC498" s="1"/>
      <c r="AD498" s="1"/>
      <c r="AE498" s="1"/>
      <c r="AF498" s="1"/>
      <c r="AG498" s="1"/>
      <c r="AH498" s="1"/>
    </row>
    <row r="499">
      <c r="A499" s="1"/>
      <c r="B499" s="1"/>
      <c r="C499" s="1"/>
      <c r="D499" s="1"/>
      <c r="E499" s="1"/>
      <c r="F499" s="1"/>
      <c r="G499" s="1"/>
      <c r="H499" s="1"/>
      <c r="I499" s="1"/>
      <c r="J499" s="5"/>
      <c r="K499" s="2"/>
      <c r="L499" s="1"/>
      <c r="M499" s="1"/>
      <c r="N499" s="1"/>
      <c r="O499" s="1"/>
      <c r="P499" s="1"/>
      <c r="Q499" s="1"/>
      <c r="R499" s="1"/>
      <c r="S499" s="1"/>
      <c r="T499" s="1"/>
      <c r="U499" s="1"/>
      <c r="V499" s="1"/>
      <c r="W499" s="1"/>
      <c r="X499" s="1"/>
      <c r="Y499" s="1"/>
      <c r="Z499" s="1"/>
      <c r="AA499" s="1"/>
      <c r="AB499" s="1"/>
      <c r="AC499" s="1"/>
      <c r="AD499" s="1"/>
      <c r="AE499" s="1"/>
      <c r="AF499" s="1"/>
      <c r="AG499" s="1"/>
      <c r="AH499" s="1"/>
    </row>
    <row r="500">
      <c r="A500" s="1"/>
      <c r="B500" s="1"/>
      <c r="C500" s="1"/>
      <c r="D500" s="1"/>
      <c r="E500" s="1"/>
      <c r="F500" s="1"/>
      <c r="G500" s="1"/>
      <c r="H500" s="1"/>
      <c r="I500" s="1"/>
      <c r="J500" s="5"/>
      <c r="K500" s="2"/>
      <c r="L500" s="1"/>
      <c r="M500" s="1"/>
      <c r="N500" s="1"/>
      <c r="O500" s="1"/>
      <c r="P500" s="1"/>
      <c r="Q500" s="1"/>
      <c r="R500" s="1"/>
      <c r="S500" s="1"/>
      <c r="T500" s="1"/>
      <c r="U500" s="1"/>
      <c r="V500" s="1"/>
      <c r="W500" s="1"/>
      <c r="X500" s="1"/>
      <c r="Y500" s="1"/>
      <c r="Z500" s="1"/>
      <c r="AA500" s="1"/>
      <c r="AB500" s="1"/>
      <c r="AC500" s="1"/>
      <c r="AD500" s="1"/>
      <c r="AE500" s="1"/>
      <c r="AF500" s="1"/>
      <c r="AG500" s="1"/>
      <c r="AH500" s="1"/>
    </row>
    <row r="501">
      <c r="A501" s="1"/>
      <c r="B501" s="1"/>
      <c r="C501" s="1"/>
      <c r="D501" s="1"/>
      <c r="E501" s="1"/>
      <c r="F501" s="1"/>
      <c r="G501" s="1"/>
      <c r="H501" s="1"/>
      <c r="I501" s="1"/>
      <c r="J501" s="5"/>
      <c r="K501" s="2"/>
      <c r="L501" s="1"/>
      <c r="M501" s="1"/>
      <c r="N501" s="1"/>
      <c r="O501" s="1"/>
      <c r="P501" s="1"/>
      <c r="Q501" s="1"/>
      <c r="R501" s="1"/>
      <c r="S501" s="1"/>
      <c r="T501" s="1"/>
      <c r="U501" s="1"/>
      <c r="V501" s="1"/>
      <c r="W501" s="1"/>
      <c r="X501" s="1"/>
      <c r="Y501" s="1"/>
      <c r="Z501" s="1"/>
      <c r="AA501" s="1"/>
      <c r="AB501" s="1"/>
      <c r="AC501" s="1"/>
      <c r="AD501" s="1"/>
      <c r="AE501" s="1"/>
      <c r="AF501" s="1"/>
      <c r="AG501" s="1"/>
      <c r="AH501" s="1"/>
    </row>
    <row r="502">
      <c r="A502" s="1"/>
      <c r="B502" s="1"/>
      <c r="C502" s="1"/>
      <c r="D502" s="1"/>
      <c r="E502" s="1"/>
      <c r="F502" s="1"/>
      <c r="G502" s="1"/>
      <c r="H502" s="1"/>
      <c r="I502" s="1"/>
      <c r="J502" s="5"/>
      <c r="K502" s="2"/>
      <c r="L502" s="1"/>
      <c r="M502" s="1"/>
      <c r="N502" s="1"/>
      <c r="O502" s="1"/>
      <c r="P502" s="1"/>
      <c r="Q502" s="1"/>
      <c r="R502" s="1"/>
      <c r="S502" s="1"/>
      <c r="T502" s="1"/>
      <c r="U502" s="1"/>
      <c r="V502" s="1"/>
      <c r="W502" s="1"/>
      <c r="X502" s="1"/>
      <c r="Y502" s="1"/>
      <c r="Z502" s="1"/>
      <c r="AA502" s="1"/>
      <c r="AB502" s="1"/>
      <c r="AC502" s="1"/>
      <c r="AD502" s="1"/>
      <c r="AE502" s="1"/>
      <c r="AF502" s="1"/>
      <c r="AG502" s="1"/>
      <c r="AH502" s="1"/>
    </row>
    <row r="503">
      <c r="A503" s="1"/>
      <c r="B503" s="1"/>
      <c r="C503" s="1"/>
      <c r="D503" s="1"/>
      <c r="E503" s="1"/>
      <c r="F503" s="1"/>
      <c r="G503" s="1"/>
      <c r="H503" s="1"/>
      <c r="I503" s="1"/>
      <c r="J503" s="5"/>
      <c r="K503" s="2"/>
      <c r="L503" s="1"/>
      <c r="M503" s="1"/>
      <c r="N503" s="1"/>
      <c r="O503" s="1"/>
      <c r="P503" s="1"/>
      <c r="Q503" s="1"/>
      <c r="R503" s="1"/>
      <c r="S503" s="1"/>
      <c r="T503" s="1"/>
      <c r="U503" s="1"/>
      <c r="V503" s="1"/>
      <c r="W503" s="1"/>
      <c r="X503" s="1"/>
      <c r="Y503" s="1"/>
      <c r="Z503" s="1"/>
      <c r="AA503" s="1"/>
      <c r="AB503" s="1"/>
      <c r="AC503" s="1"/>
      <c r="AD503" s="1"/>
      <c r="AE503" s="1"/>
      <c r="AF503" s="1"/>
      <c r="AG503" s="1"/>
      <c r="AH503" s="1"/>
    </row>
    <row r="504">
      <c r="A504" s="1"/>
      <c r="B504" s="1"/>
      <c r="C504" s="1"/>
      <c r="D504" s="1"/>
      <c r="E504" s="1"/>
      <c r="F504" s="1"/>
      <c r="G504" s="1"/>
      <c r="H504" s="1"/>
      <c r="I504" s="1"/>
      <c r="J504" s="5"/>
      <c r="K504" s="2"/>
      <c r="L504" s="1"/>
      <c r="M504" s="1"/>
      <c r="N504" s="1"/>
      <c r="O504" s="1"/>
      <c r="P504" s="1"/>
      <c r="Q504" s="1"/>
      <c r="R504" s="1"/>
      <c r="S504" s="1"/>
      <c r="T504" s="1"/>
      <c r="U504" s="1"/>
      <c r="V504" s="1"/>
      <c r="W504" s="1"/>
      <c r="X504" s="1"/>
      <c r="Y504" s="1"/>
      <c r="Z504" s="1"/>
      <c r="AA504" s="1"/>
      <c r="AB504" s="1"/>
      <c r="AC504" s="1"/>
      <c r="AD504" s="1"/>
      <c r="AE504" s="1"/>
      <c r="AF504" s="1"/>
      <c r="AG504" s="1"/>
      <c r="AH504" s="1"/>
    </row>
    <row r="505">
      <c r="A505" s="1"/>
      <c r="B505" s="1"/>
      <c r="C505" s="1"/>
      <c r="D505" s="1"/>
      <c r="E505" s="1"/>
      <c r="F505" s="1"/>
      <c r="G505" s="1"/>
      <c r="H505" s="1"/>
      <c r="I505" s="1"/>
      <c r="J505" s="5"/>
      <c r="K505" s="2"/>
      <c r="L505" s="1"/>
      <c r="M505" s="1"/>
      <c r="N505" s="1"/>
      <c r="O505" s="1"/>
      <c r="P505" s="1"/>
      <c r="Q505" s="1"/>
      <c r="R505" s="1"/>
      <c r="S505" s="1"/>
      <c r="T505" s="1"/>
      <c r="U505" s="1"/>
      <c r="V505" s="1"/>
      <c r="W505" s="1"/>
      <c r="X505" s="1"/>
      <c r="Y505" s="1"/>
      <c r="Z505" s="1"/>
      <c r="AA505" s="1"/>
      <c r="AB505" s="1"/>
      <c r="AC505" s="1"/>
      <c r="AD505" s="1"/>
      <c r="AE505" s="1"/>
      <c r="AF505" s="1"/>
      <c r="AG505" s="1"/>
      <c r="AH505" s="1"/>
    </row>
    <row r="506">
      <c r="A506" s="1"/>
      <c r="B506" s="1"/>
      <c r="C506" s="1"/>
      <c r="D506" s="1"/>
      <c r="E506" s="1"/>
      <c r="F506" s="1"/>
      <c r="G506" s="1"/>
      <c r="H506" s="1"/>
      <c r="I506" s="1"/>
      <c r="J506" s="5"/>
      <c r="K506" s="2"/>
      <c r="L506" s="1"/>
      <c r="M506" s="1"/>
      <c r="N506" s="1"/>
      <c r="O506" s="1"/>
      <c r="P506" s="1"/>
      <c r="Q506" s="1"/>
      <c r="R506" s="1"/>
      <c r="S506" s="1"/>
      <c r="T506" s="1"/>
      <c r="U506" s="1"/>
      <c r="V506" s="1"/>
      <c r="W506" s="1"/>
      <c r="X506" s="1"/>
      <c r="Y506" s="1"/>
      <c r="Z506" s="1"/>
      <c r="AA506" s="1"/>
      <c r="AB506" s="1"/>
      <c r="AC506" s="1"/>
      <c r="AD506" s="1"/>
      <c r="AE506" s="1"/>
      <c r="AF506" s="1"/>
      <c r="AG506" s="1"/>
      <c r="AH506" s="1"/>
    </row>
    <row r="507">
      <c r="A507" s="1"/>
      <c r="B507" s="1"/>
      <c r="C507" s="1"/>
      <c r="D507" s="1"/>
      <c r="E507" s="1"/>
      <c r="F507" s="1"/>
      <c r="G507" s="1"/>
      <c r="H507" s="1"/>
      <c r="I507" s="1"/>
      <c r="J507" s="5"/>
      <c r="K507" s="2"/>
      <c r="L507" s="1"/>
      <c r="M507" s="1"/>
      <c r="N507" s="1"/>
      <c r="O507" s="1"/>
      <c r="P507" s="1"/>
      <c r="Q507" s="1"/>
      <c r="R507" s="1"/>
      <c r="S507" s="1"/>
      <c r="T507" s="1"/>
      <c r="U507" s="1"/>
      <c r="V507" s="1"/>
      <c r="W507" s="1"/>
      <c r="X507" s="1"/>
      <c r="Y507" s="1"/>
      <c r="Z507" s="1"/>
      <c r="AA507" s="1"/>
      <c r="AB507" s="1"/>
      <c r="AC507" s="1"/>
      <c r="AD507" s="1"/>
      <c r="AE507" s="1"/>
      <c r="AF507" s="1"/>
      <c r="AG507" s="1"/>
      <c r="AH507" s="1"/>
    </row>
    <row r="508">
      <c r="A508" s="1"/>
      <c r="B508" s="1"/>
      <c r="C508" s="1"/>
      <c r="D508" s="1"/>
      <c r="E508" s="1"/>
      <c r="F508" s="1"/>
      <c r="G508" s="1"/>
      <c r="H508" s="1"/>
      <c r="I508" s="1"/>
      <c r="J508" s="5"/>
      <c r="K508" s="2"/>
      <c r="L508" s="1"/>
      <c r="M508" s="1"/>
      <c r="N508" s="1"/>
      <c r="O508" s="1"/>
      <c r="P508" s="1"/>
      <c r="Q508" s="1"/>
      <c r="R508" s="1"/>
      <c r="S508" s="1"/>
      <c r="T508" s="1"/>
      <c r="U508" s="1"/>
      <c r="V508" s="1"/>
      <c r="W508" s="1"/>
      <c r="X508" s="1"/>
      <c r="Y508" s="1"/>
      <c r="Z508" s="1"/>
      <c r="AA508" s="1"/>
      <c r="AB508" s="1"/>
      <c r="AC508" s="1"/>
      <c r="AD508" s="1"/>
      <c r="AE508" s="1"/>
      <c r="AF508" s="1"/>
      <c r="AG508" s="1"/>
      <c r="AH508" s="1"/>
    </row>
    <row r="509">
      <c r="A509" s="1"/>
      <c r="B509" s="1"/>
      <c r="C509" s="1"/>
      <c r="D509" s="1"/>
      <c r="E509" s="1"/>
      <c r="F509" s="1"/>
      <c r="G509" s="1"/>
      <c r="H509" s="1"/>
      <c r="I509" s="1"/>
      <c r="J509" s="5"/>
      <c r="K509" s="2"/>
      <c r="L509" s="1"/>
      <c r="M509" s="1"/>
      <c r="N509" s="1"/>
      <c r="O509" s="1"/>
      <c r="P509" s="1"/>
      <c r="Q509" s="1"/>
      <c r="R509" s="1"/>
      <c r="S509" s="1"/>
      <c r="T509" s="1"/>
      <c r="U509" s="1"/>
      <c r="V509" s="1"/>
      <c r="W509" s="1"/>
      <c r="X509" s="1"/>
      <c r="Y509" s="1"/>
      <c r="Z509" s="1"/>
      <c r="AA509" s="1"/>
      <c r="AB509" s="1"/>
      <c r="AC509" s="1"/>
      <c r="AD509" s="1"/>
      <c r="AE509" s="1"/>
      <c r="AF509" s="1"/>
      <c r="AG509" s="1"/>
      <c r="AH509" s="1"/>
    </row>
    <row r="510">
      <c r="A510" s="1"/>
      <c r="B510" s="1"/>
      <c r="C510" s="1"/>
      <c r="D510" s="1"/>
      <c r="E510" s="1"/>
      <c r="F510" s="1"/>
      <c r="G510" s="1"/>
      <c r="H510" s="1"/>
      <c r="I510" s="1"/>
      <c r="J510" s="5"/>
      <c r="K510" s="2"/>
      <c r="L510" s="1"/>
      <c r="M510" s="1"/>
      <c r="N510" s="1"/>
      <c r="O510" s="1"/>
      <c r="P510" s="1"/>
      <c r="Q510" s="1"/>
      <c r="R510" s="1"/>
      <c r="S510" s="1"/>
      <c r="T510" s="1"/>
      <c r="U510" s="1"/>
      <c r="V510" s="1"/>
      <c r="W510" s="1"/>
      <c r="X510" s="1"/>
      <c r="Y510" s="1"/>
      <c r="Z510" s="1"/>
      <c r="AA510" s="1"/>
      <c r="AB510" s="1"/>
      <c r="AC510" s="1"/>
      <c r="AD510" s="1"/>
      <c r="AE510" s="1"/>
      <c r="AF510" s="1"/>
      <c r="AG510" s="1"/>
      <c r="AH510" s="1"/>
    </row>
    <row r="511">
      <c r="A511" s="1"/>
      <c r="B511" s="1"/>
      <c r="C511" s="1"/>
      <c r="D511" s="1"/>
      <c r="E511" s="1"/>
      <c r="F511" s="1"/>
      <c r="G511" s="1"/>
      <c r="H511" s="1"/>
      <c r="I511" s="1"/>
      <c r="J511" s="5"/>
      <c r="K511" s="2"/>
      <c r="L511" s="1"/>
      <c r="M511" s="1"/>
      <c r="N511" s="1"/>
      <c r="O511" s="1"/>
      <c r="P511" s="1"/>
      <c r="Q511" s="1"/>
      <c r="R511" s="1"/>
      <c r="S511" s="1"/>
      <c r="T511" s="1"/>
      <c r="U511" s="1"/>
      <c r="V511" s="1"/>
      <c r="W511" s="1"/>
      <c r="X511" s="1"/>
      <c r="Y511" s="1"/>
      <c r="Z511" s="1"/>
      <c r="AA511" s="1"/>
      <c r="AB511" s="1"/>
      <c r="AC511" s="1"/>
      <c r="AD511" s="1"/>
      <c r="AE511" s="1"/>
      <c r="AF511" s="1"/>
      <c r="AG511" s="1"/>
      <c r="AH511" s="1"/>
    </row>
    <row r="512">
      <c r="A512" s="1"/>
      <c r="B512" s="1"/>
      <c r="C512" s="1"/>
      <c r="D512" s="1"/>
      <c r="E512" s="1"/>
      <c r="F512" s="1"/>
      <c r="G512" s="1"/>
      <c r="H512" s="1"/>
      <c r="I512" s="1"/>
      <c r="J512" s="5"/>
      <c r="K512" s="2"/>
      <c r="L512" s="1"/>
      <c r="M512" s="1"/>
      <c r="N512" s="1"/>
      <c r="O512" s="1"/>
      <c r="P512" s="1"/>
      <c r="Q512" s="1"/>
      <c r="R512" s="1"/>
      <c r="S512" s="1"/>
      <c r="T512" s="1"/>
      <c r="U512" s="1"/>
      <c r="V512" s="1"/>
      <c r="W512" s="1"/>
      <c r="X512" s="1"/>
      <c r="Y512" s="1"/>
      <c r="Z512" s="1"/>
      <c r="AA512" s="1"/>
      <c r="AB512" s="1"/>
      <c r="AC512" s="1"/>
      <c r="AD512" s="1"/>
      <c r="AE512" s="1"/>
      <c r="AF512" s="1"/>
      <c r="AG512" s="1"/>
      <c r="AH512" s="1"/>
    </row>
    <row r="513">
      <c r="A513" s="1"/>
      <c r="B513" s="1"/>
      <c r="C513" s="1"/>
      <c r="D513" s="1"/>
      <c r="E513" s="1"/>
      <c r="F513" s="1"/>
      <c r="G513" s="1"/>
      <c r="H513" s="1"/>
      <c r="I513" s="1"/>
      <c r="J513" s="5"/>
      <c r="K513" s="2"/>
      <c r="L513" s="1"/>
      <c r="M513" s="1"/>
      <c r="N513" s="1"/>
      <c r="O513" s="1"/>
      <c r="P513" s="1"/>
      <c r="Q513" s="1"/>
      <c r="R513" s="1"/>
      <c r="S513" s="1"/>
      <c r="T513" s="1"/>
      <c r="U513" s="1"/>
      <c r="V513" s="1"/>
      <c r="W513" s="1"/>
      <c r="X513" s="1"/>
      <c r="Y513" s="1"/>
      <c r="Z513" s="1"/>
      <c r="AA513" s="1"/>
      <c r="AB513" s="1"/>
      <c r="AC513" s="1"/>
      <c r="AD513" s="1"/>
      <c r="AE513" s="1"/>
      <c r="AF513" s="1"/>
      <c r="AG513" s="1"/>
      <c r="AH513" s="1"/>
    </row>
    <row r="514">
      <c r="A514" s="1"/>
      <c r="B514" s="1"/>
      <c r="C514" s="1"/>
      <c r="D514" s="1"/>
      <c r="E514" s="1"/>
      <c r="F514" s="1"/>
      <c r="G514" s="1"/>
      <c r="H514" s="1"/>
      <c r="I514" s="1"/>
      <c r="J514" s="5"/>
      <c r="K514" s="2"/>
      <c r="L514" s="1"/>
      <c r="M514" s="1"/>
      <c r="N514" s="1"/>
      <c r="O514" s="1"/>
      <c r="P514" s="1"/>
      <c r="Q514" s="1"/>
      <c r="R514" s="1"/>
      <c r="S514" s="1"/>
      <c r="T514" s="1"/>
      <c r="U514" s="1"/>
      <c r="V514" s="1"/>
      <c r="W514" s="1"/>
      <c r="X514" s="1"/>
      <c r="Y514" s="1"/>
      <c r="Z514" s="1"/>
      <c r="AA514" s="1"/>
      <c r="AB514" s="1"/>
      <c r="AC514" s="1"/>
      <c r="AD514" s="1"/>
      <c r="AE514" s="1"/>
      <c r="AF514" s="1"/>
      <c r="AG514" s="1"/>
      <c r="AH514" s="1"/>
    </row>
    <row r="515">
      <c r="A515" s="1"/>
      <c r="B515" s="1"/>
      <c r="C515" s="1"/>
      <c r="D515" s="1"/>
      <c r="E515" s="1"/>
      <c r="F515" s="1"/>
      <c r="G515" s="1"/>
      <c r="H515" s="1"/>
      <c r="I515" s="1"/>
      <c r="J515" s="5"/>
      <c r="K515" s="2"/>
      <c r="L515" s="1"/>
      <c r="M515" s="1"/>
      <c r="N515" s="1"/>
      <c r="O515" s="1"/>
      <c r="P515" s="1"/>
      <c r="Q515" s="1"/>
      <c r="R515" s="1"/>
      <c r="S515" s="1"/>
      <c r="T515" s="1"/>
      <c r="U515" s="1"/>
      <c r="V515" s="1"/>
      <c r="W515" s="1"/>
      <c r="X515" s="1"/>
      <c r="Y515" s="1"/>
      <c r="Z515" s="1"/>
      <c r="AA515" s="1"/>
      <c r="AB515" s="1"/>
      <c r="AC515" s="1"/>
      <c r="AD515" s="1"/>
      <c r="AE515" s="1"/>
      <c r="AF515" s="1"/>
      <c r="AG515" s="1"/>
      <c r="AH515" s="1"/>
    </row>
    <row r="516">
      <c r="A516" s="1"/>
      <c r="B516" s="1"/>
      <c r="C516" s="1"/>
      <c r="D516" s="1"/>
      <c r="E516" s="1"/>
      <c r="F516" s="1"/>
      <c r="G516" s="1"/>
      <c r="H516" s="1"/>
      <c r="I516" s="1"/>
      <c r="J516" s="5"/>
      <c r="K516" s="2"/>
      <c r="L516" s="1"/>
      <c r="M516" s="1"/>
      <c r="N516" s="1"/>
      <c r="O516" s="1"/>
      <c r="P516" s="1"/>
      <c r="Q516" s="1"/>
      <c r="R516" s="1"/>
      <c r="S516" s="1"/>
      <c r="T516" s="1"/>
      <c r="U516" s="1"/>
      <c r="V516" s="1"/>
      <c r="W516" s="1"/>
      <c r="X516" s="1"/>
      <c r="Y516" s="1"/>
      <c r="Z516" s="1"/>
      <c r="AA516" s="1"/>
      <c r="AB516" s="1"/>
      <c r="AC516" s="1"/>
      <c r="AD516" s="1"/>
      <c r="AE516" s="1"/>
      <c r="AF516" s="1"/>
      <c r="AG516" s="1"/>
      <c r="AH516" s="1"/>
    </row>
    <row r="517">
      <c r="A517" s="1"/>
      <c r="B517" s="1"/>
      <c r="C517" s="1"/>
      <c r="D517" s="1"/>
      <c r="E517" s="1"/>
      <c r="F517" s="1"/>
      <c r="G517" s="1"/>
      <c r="H517" s="1"/>
      <c r="I517" s="1"/>
      <c r="J517" s="5"/>
      <c r="K517" s="2"/>
      <c r="L517" s="1"/>
      <c r="M517" s="1"/>
      <c r="N517" s="1"/>
      <c r="O517" s="1"/>
      <c r="P517" s="1"/>
      <c r="Q517" s="1"/>
      <c r="R517" s="1"/>
      <c r="S517" s="1"/>
      <c r="T517" s="1"/>
      <c r="U517" s="1"/>
      <c r="V517" s="1"/>
      <c r="W517" s="1"/>
      <c r="X517" s="1"/>
      <c r="Y517" s="1"/>
      <c r="Z517" s="1"/>
      <c r="AA517" s="1"/>
      <c r="AB517" s="1"/>
      <c r="AC517" s="1"/>
      <c r="AD517" s="1"/>
      <c r="AE517" s="1"/>
      <c r="AF517" s="1"/>
      <c r="AG517" s="1"/>
      <c r="AH517" s="1"/>
    </row>
    <row r="518">
      <c r="A518" s="1"/>
      <c r="B518" s="1"/>
      <c r="C518" s="1"/>
      <c r="D518" s="1"/>
      <c r="E518" s="1"/>
      <c r="F518" s="1"/>
      <c r="G518" s="1"/>
      <c r="H518" s="1"/>
      <c r="I518" s="1"/>
      <c r="J518" s="5"/>
      <c r="K518" s="2"/>
      <c r="L518" s="1"/>
      <c r="M518" s="1"/>
      <c r="N518" s="1"/>
      <c r="O518" s="1"/>
      <c r="P518" s="1"/>
      <c r="Q518" s="1"/>
      <c r="R518" s="1"/>
      <c r="S518" s="1"/>
      <c r="T518" s="1"/>
      <c r="U518" s="1"/>
      <c r="V518" s="1"/>
      <c r="W518" s="1"/>
      <c r="X518" s="1"/>
      <c r="Y518" s="1"/>
      <c r="Z518" s="1"/>
      <c r="AA518" s="1"/>
      <c r="AB518" s="1"/>
      <c r="AC518" s="1"/>
      <c r="AD518" s="1"/>
      <c r="AE518" s="1"/>
      <c r="AF518" s="1"/>
      <c r="AG518" s="1"/>
      <c r="AH518" s="1"/>
    </row>
    <row r="519">
      <c r="A519" s="1"/>
      <c r="B519" s="1"/>
      <c r="C519" s="1"/>
      <c r="D519" s="1"/>
      <c r="E519" s="1"/>
      <c r="F519" s="1"/>
      <c r="G519" s="1"/>
      <c r="H519" s="1"/>
      <c r="I519" s="1"/>
      <c r="J519" s="5"/>
      <c r="K519" s="2"/>
      <c r="L519" s="1"/>
      <c r="M519" s="1"/>
      <c r="N519" s="1"/>
      <c r="O519" s="1"/>
      <c r="P519" s="1"/>
      <c r="Q519" s="1"/>
      <c r="R519" s="1"/>
      <c r="S519" s="1"/>
      <c r="T519" s="1"/>
      <c r="U519" s="1"/>
      <c r="V519" s="1"/>
      <c r="W519" s="1"/>
      <c r="X519" s="1"/>
      <c r="Y519" s="1"/>
      <c r="Z519" s="1"/>
      <c r="AA519" s="1"/>
      <c r="AB519" s="1"/>
      <c r="AC519" s="1"/>
      <c r="AD519" s="1"/>
      <c r="AE519" s="1"/>
      <c r="AF519" s="1"/>
      <c r="AG519" s="1"/>
      <c r="AH519" s="1"/>
    </row>
    <row r="520">
      <c r="A520" s="1"/>
      <c r="B520" s="1"/>
      <c r="C520" s="1"/>
      <c r="D520" s="1"/>
      <c r="E520" s="1"/>
      <c r="F520" s="1"/>
      <c r="G520" s="1"/>
      <c r="H520" s="1"/>
      <c r="I520" s="1"/>
      <c r="J520" s="5"/>
      <c r="K520" s="2"/>
      <c r="L520" s="1"/>
      <c r="M520" s="1"/>
      <c r="N520" s="1"/>
      <c r="O520" s="1"/>
      <c r="P520" s="1"/>
      <c r="Q520" s="1"/>
      <c r="R520" s="1"/>
      <c r="S520" s="1"/>
      <c r="T520" s="1"/>
      <c r="U520" s="1"/>
      <c r="V520" s="1"/>
      <c r="W520" s="1"/>
      <c r="X520" s="1"/>
      <c r="Y520" s="1"/>
      <c r="Z520" s="1"/>
      <c r="AA520" s="1"/>
      <c r="AB520" s="1"/>
      <c r="AC520" s="1"/>
      <c r="AD520" s="1"/>
      <c r="AE520" s="1"/>
      <c r="AF520" s="1"/>
      <c r="AG520" s="1"/>
      <c r="AH520" s="1"/>
    </row>
    <row r="521">
      <c r="A521" s="1"/>
      <c r="B521" s="1"/>
      <c r="C521" s="1"/>
      <c r="D521" s="1"/>
      <c r="E521" s="1"/>
      <c r="F521" s="1"/>
      <c r="G521" s="1"/>
      <c r="H521" s="1"/>
      <c r="I521" s="1"/>
      <c r="J521" s="5"/>
      <c r="K521" s="2"/>
      <c r="L521" s="1"/>
      <c r="M521" s="1"/>
      <c r="N521" s="1"/>
      <c r="O521" s="1"/>
      <c r="P521" s="1"/>
      <c r="Q521" s="1"/>
      <c r="R521" s="1"/>
      <c r="S521" s="1"/>
      <c r="T521" s="1"/>
      <c r="U521" s="1"/>
      <c r="V521" s="1"/>
      <c r="W521" s="1"/>
      <c r="X521" s="1"/>
      <c r="Y521" s="1"/>
      <c r="Z521" s="1"/>
      <c r="AA521" s="1"/>
      <c r="AB521" s="1"/>
      <c r="AC521" s="1"/>
      <c r="AD521" s="1"/>
      <c r="AE521" s="1"/>
      <c r="AF521" s="1"/>
      <c r="AG521" s="1"/>
      <c r="AH521" s="1"/>
    </row>
    <row r="522">
      <c r="A522" s="1"/>
      <c r="B522" s="1"/>
      <c r="C522" s="1"/>
      <c r="D522" s="1"/>
      <c r="E522" s="1"/>
      <c r="F522" s="1"/>
      <c r="G522" s="1"/>
      <c r="H522" s="1"/>
      <c r="I522" s="1"/>
      <c r="J522" s="5"/>
      <c r="K522" s="2"/>
      <c r="L522" s="1"/>
      <c r="M522" s="1"/>
      <c r="N522" s="1"/>
      <c r="O522" s="1"/>
      <c r="P522" s="1"/>
      <c r="Q522" s="1"/>
      <c r="R522" s="1"/>
      <c r="S522" s="1"/>
      <c r="T522" s="1"/>
      <c r="U522" s="1"/>
      <c r="V522" s="1"/>
      <c r="W522" s="1"/>
      <c r="X522" s="1"/>
      <c r="Y522" s="1"/>
      <c r="Z522" s="1"/>
      <c r="AA522" s="1"/>
      <c r="AB522" s="1"/>
      <c r="AC522" s="1"/>
      <c r="AD522" s="1"/>
      <c r="AE522" s="1"/>
      <c r="AF522" s="1"/>
      <c r="AG522" s="1"/>
      <c r="AH522" s="1"/>
    </row>
    <row r="523">
      <c r="A523" s="1"/>
      <c r="B523" s="1"/>
      <c r="C523" s="1"/>
      <c r="D523" s="1"/>
      <c r="E523" s="1"/>
      <c r="F523" s="1"/>
      <c r="G523" s="1"/>
      <c r="H523" s="1"/>
      <c r="I523" s="1"/>
      <c r="J523" s="5"/>
      <c r="K523" s="2"/>
      <c r="L523" s="1"/>
      <c r="M523" s="1"/>
      <c r="N523" s="1"/>
      <c r="O523" s="1"/>
      <c r="P523" s="1"/>
      <c r="Q523" s="1"/>
      <c r="R523" s="1"/>
      <c r="S523" s="1"/>
      <c r="T523" s="1"/>
      <c r="U523" s="1"/>
      <c r="V523" s="1"/>
      <c r="W523" s="1"/>
      <c r="X523" s="1"/>
      <c r="Y523" s="1"/>
      <c r="Z523" s="1"/>
      <c r="AA523" s="1"/>
      <c r="AB523" s="1"/>
      <c r="AC523" s="1"/>
      <c r="AD523" s="1"/>
      <c r="AE523" s="1"/>
      <c r="AF523" s="1"/>
      <c r="AG523" s="1"/>
      <c r="AH523" s="1"/>
    </row>
    <row r="524">
      <c r="A524" s="1"/>
      <c r="B524" s="1"/>
      <c r="C524" s="1"/>
      <c r="D524" s="1"/>
      <c r="E524" s="1"/>
      <c r="F524" s="1"/>
      <c r="G524" s="1"/>
      <c r="H524" s="1"/>
      <c r="I524" s="1"/>
      <c r="J524" s="5"/>
      <c r="K524" s="2"/>
      <c r="L524" s="1"/>
      <c r="M524" s="1"/>
      <c r="N524" s="1"/>
      <c r="O524" s="1"/>
      <c r="P524" s="1"/>
      <c r="Q524" s="1"/>
      <c r="R524" s="1"/>
      <c r="S524" s="1"/>
      <c r="T524" s="1"/>
      <c r="U524" s="1"/>
      <c r="V524" s="1"/>
      <c r="W524" s="1"/>
      <c r="X524" s="1"/>
      <c r="Y524" s="1"/>
      <c r="Z524" s="1"/>
      <c r="AA524" s="1"/>
      <c r="AB524" s="1"/>
      <c r="AC524" s="1"/>
      <c r="AD524" s="1"/>
      <c r="AE524" s="1"/>
      <c r="AF524" s="1"/>
      <c r="AG524" s="1"/>
      <c r="AH524" s="1"/>
    </row>
    <row r="525">
      <c r="A525" s="1"/>
      <c r="B525" s="1"/>
      <c r="C525" s="1"/>
      <c r="D525" s="1"/>
      <c r="E525" s="1"/>
      <c r="F525" s="1"/>
      <c r="G525" s="1"/>
      <c r="H525" s="1"/>
      <c r="I525" s="1"/>
      <c r="J525" s="5"/>
      <c r="K525" s="2"/>
      <c r="L525" s="1"/>
      <c r="M525" s="1"/>
      <c r="N525" s="1"/>
      <c r="O525" s="1"/>
      <c r="P525" s="1"/>
      <c r="Q525" s="1"/>
      <c r="R525" s="1"/>
      <c r="S525" s="1"/>
      <c r="T525" s="1"/>
      <c r="U525" s="1"/>
      <c r="V525" s="1"/>
      <c r="W525" s="1"/>
      <c r="X525" s="1"/>
      <c r="Y525" s="1"/>
      <c r="Z525" s="1"/>
      <c r="AA525" s="1"/>
      <c r="AB525" s="1"/>
      <c r="AC525" s="1"/>
      <c r="AD525" s="1"/>
      <c r="AE525" s="1"/>
      <c r="AF525" s="1"/>
      <c r="AG525" s="1"/>
      <c r="AH525" s="1"/>
    </row>
    <row r="526">
      <c r="A526" s="1"/>
      <c r="B526" s="1"/>
      <c r="C526" s="1"/>
      <c r="D526" s="1"/>
      <c r="E526" s="1"/>
      <c r="F526" s="1"/>
      <c r="G526" s="1"/>
      <c r="H526" s="1"/>
      <c r="I526" s="1"/>
      <c r="J526" s="5"/>
      <c r="K526" s="2"/>
      <c r="L526" s="1"/>
      <c r="M526" s="1"/>
      <c r="N526" s="1"/>
      <c r="O526" s="1"/>
      <c r="P526" s="1"/>
      <c r="Q526" s="1"/>
      <c r="R526" s="1"/>
      <c r="S526" s="1"/>
      <c r="T526" s="1"/>
      <c r="U526" s="1"/>
      <c r="V526" s="1"/>
      <c r="W526" s="1"/>
      <c r="X526" s="1"/>
      <c r="Y526" s="1"/>
      <c r="Z526" s="1"/>
      <c r="AA526" s="1"/>
      <c r="AB526" s="1"/>
      <c r="AC526" s="1"/>
      <c r="AD526" s="1"/>
      <c r="AE526" s="1"/>
      <c r="AF526" s="1"/>
      <c r="AG526" s="1"/>
      <c r="AH526" s="1"/>
    </row>
    <row r="527">
      <c r="A527" s="1"/>
      <c r="B527" s="1"/>
      <c r="C527" s="1"/>
      <c r="D527" s="1"/>
      <c r="E527" s="1"/>
      <c r="F527" s="1"/>
      <c r="G527" s="1"/>
      <c r="H527" s="1"/>
      <c r="I527" s="1"/>
      <c r="J527" s="5"/>
      <c r="K527" s="2"/>
      <c r="L527" s="1"/>
      <c r="M527" s="1"/>
      <c r="N527" s="1"/>
      <c r="O527" s="1"/>
      <c r="P527" s="1"/>
      <c r="Q527" s="1"/>
      <c r="R527" s="1"/>
      <c r="S527" s="1"/>
      <c r="T527" s="1"/>
      <c r="U527" s="1"/>
      <c r="V527" s="1"/>
      <c r="W527" s="1"/>
      <c r="X527" s="1"/>
      <c r="Y527" s="1"/>
      <c r="Z527" s="1"/>
      <c r="AA527" s="1"/>
      <c r="AB527" s="1"/>
      <c r="AC527" s="1"/>
      <c r="AD527" s="1"/>
      <c r="AE527" s="1"/>
      <c r="AF527" s="1"/>
      <c r="AG527" s="1"/>
      <c r="AH527" s="1"/>
    </row>
    <row r="528">
      <c r="A528" s="1"/>
      <c r="B528" s="1"/>
      <c r="C528" s="1"/>
      <c r="D528" s="1"/>
      <c r="E528" s="1"/>
      <c r="F528" s="1"/>
      <c r="G528" s="1"/>
      <c r="H528" s="1"/>
      <c r="I528" s="1"/>
      <c r="J528" s="5"/>
      <c r="K528" s="2"/>
      <c r="L528" s="1"/>
      <c r="M528" s="1"/>
      <c r="N528" s="1"/>
      <c r="O528" s="1"/>
      <c r="P528" s="1"/>
      <c r="Q528" s="1"/>
      <c r="R528" s="1"/>
      <c r="S528" s="1"/>
      <c r="T528" s="1"/>
      <c r="U528" s="1"/>
      <c r="V528" s="1"/>
      <c r="W528" s="1"/>
      <c r="X528" s="1"/>
      <c r="Y528" s="1"/>
      <c r="Z528" s="1"/>
      <c r="AA528" s="1"/>
      <c r="AB528" s="1"/>
      <c r="AC528" s="1"/>
      <c r="AD528" s="1"/>
      <c r="AE528" s="1"/>
      <c r="AF528" s="1"/>
      <c r="AG528" s="1"/>
      <c r="AH528" s="1"/>
    </row>
    <row r="529">
      <c r="A529" s="1"/>
      <c r="B529" s="1"/>
      <c r="C529" s="1"/>
      <c r="D529" s="1"/>
      <c r="E529" s="1"/>
      <c r="F529" s="1"/>
      <c r="G529" s="1"/>
      <c r="H529" s="1"/>
      <c r="I529" s="1"/>
      <c r="J529" s="5"/>
      <c r="K529" s="2"/>
      <c r="L529" s="1"/>
      <c r="M529" s="1"/>
      <c r="N529" s="1"/>
      <c r="O529" s="1"/>
      <c r="P529" s="1"/>
      <c r="Q529" s="1"/>
      <c r="R529" s="1"/>
      <c r="S529" s="1"/>
      <c r="T529" s="1"/>
      <c r="U529" s="1"/>
      <c r="V529" s="1"/>
      <c r="W529" s="1"/>
      <c r="X529" s="1"/>
      <c r="Y529" s="1"/>
      <c r="Z529" s="1"/>
      <c r="AA529" s="1"/>
      <c r="AB529" s="1"/>
      <c r="AC529" s="1"/>
      <c r="AD529" s="1"/>
      <c r="AE529" s="1"/>
      <c r="AF529" s="1"/>
      <c r="AG529" s="1"/>
      <c r="AH529" s="1"/>
    </row>
    <row r="530">
      <c r="A530" s="1"/>
      <c r="B530" s="1"/>
      <c r="C530" s="1"/>
      <c r="D530" s="1"/>
      <c r="E530" s="1"/>
      <c r="F530" s="1"/>
      <c r="G530" s="1"/>
      <c r="H530" s="1"/>
      <c r="I530" s="1"/>
      <c r="J530" s="5"/>
      <c r="K530" s="2"/>
      <c r="L530" s="1"/>
      <c r="M530" s="1"/>
      <c r="N530" s="1"/>
      <c r="O530" s="1"/>
      <c r="P530" s="1"/>
      <c r="Q530" s="1"/>
      <c r="R530" s="1"/>
      <c r="S530" s="1"/>
      <c r="T530" s="1"/>
      <c r="U530" s="1"/>
      <c r="V530" s="1"/>
      <c r="W530" s="1"/>
      <c r="X530" s="1"/>
      <c r="Y530" s="1"/>
      <c r="Z530" s="1"/>
      <c r="AA530" s="1"/>
      <c r="AB530" s="1"/>
      <c r="AC530" s="1"/>
      <c r="AD530" s="1"/>
      <c r="AE530" s="1"/>
      <c r="AF530" s="1"/>
      <c r="AG530" s="1"/>
      <c r="AH530" s="1"/>
    </row>
    <row r="531">
      <c r="A531" s="1"/>
      <c r="B531" s="1"/>
      <c r="C531" s="1"/>
      <c r="D531" s="1"/>
      <c r="E531" s="1"/>
      <c r="F531" s="1"/>
      <c r="G531" s="1"/>
      <c r="H531" s="1"/>
      <c r="I531" s="1"/>
      <c r="J531" s="5"/>
      <c r="K531" s="2"/>
      <c r="L531" s="1"/>
      <c r="M531" s="1"/>
      <c r="N531" s="1"/>
      <c r="O531" s="1"/>
      <c r="P531" s="1"/>
      <c r="Q531" s="1"/>
      <c r="R531" s="1"/>
      <c r="S531" s="1"/>
      <c r="T531" s="1"/>
      <c r="U531" s="1"/>
      <c r="V531" s="1"/>
      <c r="W531" s="1"/>
      <c r="X531" s="1"/>
      <c r="Y531" s="1"/>
      <c r="Z531" s="1"/>
      <c r="AA531" s="1"/>
      <c r="AB531" s="1"/>
      <c r="AC531" s="1"/>
      <c r="AD531" s="1"/>
      <c r="AE531" s="1"/>
      <c r="AF531" s="1"/>
      <c r="AG531" s="1"/>
      <c r="AH531" s="1"/>
    </row>
    <row r="532">
      <c r="A532" s="1"/>
      <c r="B532" s="1"/>
      <c r="C532" s="1"/>
      <c r="D532" s="1"/>
      <c r="E532" s="1"/>
      <c r="F532" s="1"/>
      <c r="G532" s="1"/>
      <c r="H532" s="1"/>
      <c r="I532" s="1"/>
      <c r="J532" s="5"/>
      <c r="K532" s="2"/>
      <c r="L532" s="1"/>
      <c r="M532" s="1"/>
      <c r="N532" s="1"/>
      <c r="O532" s="1"/>
      <c r="P532" s="1"/>
      <c r="Q532" s="1"/>
      <c r="R532" s="1"/>
      <c r="S532" s="1"/>
      <c r="T532" s="1"/>
      <c r="U532" s="1"/>
      <c r="V532" s="1"/>
      <c r="W532" s="1"/>
      <c r="X532" s="1"/>
      <c r="Y532" s="1"/>
      <c r="Z532" s="1"/>
      <c r="AA532" s="1"/>
      <c r="AB532" s="1"/>
      <c r="AC532" s="1"/>
      <c r="AD532" s="1"/>
      <c r="AE532" s="1"/>
      <c r="AF532" s="1"/>
      <c r="AG532" s="1"/>
      <c r="AH532" s="1"/>
    </row>
    <row r="533">
      <c r="A533" s="1"/>
      <c r="B533" s="1"/>
      <c r="C533" s="1"/>
      <c r="D533" s="1"/>
      <c r="E533" s="1"/>
      <c r="F533" s="1"/>
      <c r="G533" s="1"/>
      <c r="H533" s="1"/>
      <c r="I533" s="1"/>
      <c r="J533" s="5"/>
      <c r="K533" s="2"/>
      <c r="L533" s="1"/>
      <c r="M533" s="1"/>
      <c r="N533" s="1"/>
      <c r="O533" s="1"/>
      <c r="P533" s="1"/>
      <c r="Q533" s="1"/>
      <c r="R533" s="1"/>
      <c r="S533" s="1"/>
      <c r="T533" s="1"/>
      <c r="U533" s="1"/>
      <c r="V533" s="1"/>
      <c r="W533" s="1"/>
      <c r="X533" s="1"/>
      <c r="Y533" s="1"/>
      <c r="Z533" s="1"/>
      <c r="AA533" s="1"/>
      <c r="AB533" s="1"/>
      <c r="AC533" s="1"/>
      <c r="AD533" s="1"/>
      <c r="AE533" s="1"/>
      <c r="AF533" s="1"/>
      <c r="AG533" s="1"/>
      <c r="AH533" s="1"/>
    </row>
    <row r="534">
      <c r="A534" s="1"/>
      <c r="B534" s="1"/>
      <c r="C534" s="1"/>
      <c r="D534" s="1"/>
      <c r="E534" s="1"/>
      <c r="F534" s="1"/>
      <c r="G534" s="1"/>
      <c r="H534" s="1"/>
      <c r="I534" s="1"/>
      <c r="J534" s="5"/>
      <c r="K534" s="2"/>
      <c r="L534" s="1"/>
      <c r="M534" s="1"/>
      <c r="N534" s="1"/>
      <c r="O534" s="1"/>
      <c r="P534" s="1"/>
      <c r="Q534" s="1"/>
      <c r="R534" s="1"/>
      <c r="S534" s="1"/>
      <c r="T534" s="1"/>
      <c r="U534" s="1"/>
      <c r="V534" s="1"/>
      <c r="W534" s="1"/>
      <c r="X534" s="1"/>
      <c r="Y534" s="1"/>
      <c r="Z534" s="1"/>
      <c r="AA534" s="1"/>
      <c r="AB534" s="1"/>
      <c r="AC534" s="1"/>
      <c r="AD534" s="1"/>
      <c r="AE534" s="1"/>
      <c r="AF534" s="1"/>
      <c r="AG534" s="1"/>
      <c r="AH534" s="1"/>
    </row>
    <row r="535">
      <c r="A535" s="1"/>
      <c r="B535" s="1"/>
      <c r="C535" s="1"/>
      <c r="D535" s="1"/>
      <c r="E535" s="1"/>
      <c r="F535" s="1"/>
      <c r="G535" s="1"/>
      <c r="H535" s="1"/>
      <c r="I535" s="1"/>
      <c r="J535" s="5"/>
      <c r="K535" s="2"/>
      <c r="L535" s="1"/>
      <c r="M535" s="1"/>
      <c r="N535" s="1"/>
      <c r="O535" s="1"/>
      <c r="P535" s="1"/>
      <c r="Q535" s="1"/>
      <c r="R535" s="1"/>
      <c r="S535" s="1"/>
      <c r="T535" s="1"/>
      <c r="U535" s="1"/>
      <c r="V535" s="1"/>
      <c r="W535" s="1"/>
      <c r="X535" s="1"/>
      <c r="Y535" s="1"/>
      <c r="Z535" s="1"/>
      <c r="AA535" s="1"/>
      <c r="AB535" s="1"/>
      <c r="AC535" s="1"/>
      <c r="AD535" s="1"/>
      <c r="AE535" s="1"/>
      <c r="AF535" s="1"/>
      <c r="AG535" s="1"/>
      <c r="AH535" s="1"/>
    </row>
    <row r="536">
      <c r="A536" s="1"/>
      <c r="B536" s="1"/>
      <c r="C536" s="1"/>
      <c r="D536" s="1"/>
      <c r="E536" s="1"/>
      <c r="F536" s="1"/>
      <c r="G536" s="1"/>
      <c r="H536" s="1"/>
      <c r="I536" s="1"/>
      <c r="J536" s="5"/>
      <c r="K536" s="2"/>
      <c r="L536" s="1"/>
      <c r="M536" s="1"/>
      <c r="N536" s="1"/>
      <c r="O536" s="1"/>
      <c r="P536" s="1"/>
      <c r="Q536" s="1"/>
      <c r="R536" s="1"/>
      <c r="S536" s="1"/>
      <c r="T536" s="1"/>
      <c r="U536" s="1"/>
      <c r="V536" s="1"/>
      <c r="W536" s="1"/>
      <c r="X536" s="1"/>
      <c r="Y536" s="1"/>
      <c r="Z536" s="1"/>
      <c r="AA536" s="1"/>
      <c r="AB536" s="1"/>
      <c r="AC536" s="1"/>
      <c r="AD536" s="1"/>
      <c r="AE536" s="1"/>
      <c r="AF536" s="1"/>
      <c r="AG536" s="1"/>
      <c r="AH536" s="1"/>
    </row>
    <row r="537">
      <c r="A537" s="1"/>
      <c r="B537" s="1"/>
      <c r="C537" s="1"/>
      <c r="D537" s="1"/>
      <c r="E537" s="1"/>
      <c r="F537" s="1"/>
      <c r="G537" s="1"/>
      <c r="H537" s="1"/>
      <c r="I537" s="1"/>
      <c r="J537" s="5"/>
      <c r="K537" s="2"/>
      <c r="L537" s="1"/>
      <c r="M537" s="1"/>
      <c r="N537" s="1"/>
      <c r="O537" s="1"/>
      <c r="P537" s="1"/>
      <c r="Q537" s="1"/>
      <c r="R537" s="1"/>
      <c r="S537" s="1"/>
      <c r="T537" s="1"/>
      <c r="U537" s="1"/>
      <c r="V537" s="1"/>
      <c r="W537" s="1"/>
      <c r="X537" s="1"/>
      <c r="Y537" s="1"/>
      <c r="Z537" s="1"/>
      <c r="AA537" s="1"/>
      <c r="AB537" s="1"/>
      <c r="AC537" s="1"/>
      <c r="AD537" s="1"/>
      <c r="AE537" s="1"/>
      <c r="AF537" s="1"/>
      <c r="AG537" s="1"/>
      <c r="AH537" s="1"/>
    </row>
    <row r="538">
      <c r="A538" s="1"/>
      <c r="B538" s="1"/>
      <c r="C538" s="1"/>
      <c r="D538" s="1"/>
      <c r="E538" s="1"/>
      <c r="F538" s="1"/>
      <c r="G538" s="1"/>
      <c r="H538" s="1"/>
      <c r="I538" s="1"/>
      <c r="J538" s="5"/>
      <c r="K538" s="2"/>
      <c r="L538" s="1"/>
      <c r="M538" s="1"/>
      <c r="N538" s="1"/>
      <c r="O538" s="1"/>
      <c r="P538" s="1"/>
      <c r="Q538" s="1"/>
      <c r="R538" s="1"/>
      <c r="S538" s="1"/>
      <c r="T538" s="1"/>
      <c r="U538" s="1"/>
      <c r="V538" s="1"/>
      <c r="W538" s="1"/>
      <c r="X538" s="1"/>
      <c r="Y538" s="1"/>
      <c r="Z538" s="1"/>
      <c r="AA538" s="1"/>
      <c r="AB538" s="1"/>
      <c r="AC538" s="1"/>
      <c r="AD538" s="1"/>
      <c r="AE538" s="1"/>
      <c r="AF538" s="1"/>
      <c r="AG538" s="1"/>
      <c r="AH538" s="1"/>
    </row>
    <row r="539">
      <c r="A539" s="1"/>
      <c r="B539" s="1"/>
      <c r="C539" s="1"/>
      <c r="D539" s="1"/>
      <c r="E539" s="1"/>
      <c r="F539" s="1"/>
      <c r="G539" s="1"/>
      <c r="H539" s="1"/>
      <c r="I539" s="1"/>
      <c r="J539" s="5"/>
      <c r="K539" s="2"/>
      <c r="L539" s="1"/>
      <c r="M539" s="1"/>
      <c r="N539" s="1"/>
      <c r="O539" s="1"/>
      <c r="P539" s="1"/>
      <c r="Q539" s="1"/>
      <c r="R539" s="1"/>
      <c r="S539" s="1"/>
      <c r="T539" s="1"/>
      <c r="U539" s="1"/>
      <c r="V539" s="1"/>
      <c r="W539" s="1"/>
      <c r="X539" s="1"/>
      <c r="Y539" s="1"/>
      <c r="Z539" s="1"/>
      <c r="AA539" s="1"/>
      <c r="AB539" s="1"/>
      <c r="AC539" s="1"/>
      <c r="AD539" s="1"/>
      <c r="AE539" s="1"/>
      <c r="AF539" s="1"/>
      <c r="AG539" s="1"/>
      <c r="AH539" s="1"/>
    </row>
    <row r="540">
      <c r="A540" s="1"/>
      <c r="B540" s="1"/>
      <c r="C540" s="1"/>
      <c r="D540" s="1"/>
      <c r="E540" s="1"/>
      <c r="F540" s="1"/>
      <c r="G540" s="1"/>
      <c r="H540" s="1"/>
      <c r="I540" s="1"/>
      <c r="J540" s="5"/>
      <c r="K540" s="2"/>
      <c r="L540" s="1"/>
      <c r="M540" s="1"/>
      <c r="N540" s="1"/>
      <c r="O540" s="1"/>
      <c r="P540" s="1"/>
      <c r="Q540" s="1"/>
      <c r="R540" s="1"/>
      <c r="S540" s="1"/>
      <c r="T540" s="1"/>
      <c r="U540" s="1"/>
      <c r="V540" s="1"/>
      <c r="W540" s="1"/>
      <c r="X540" s="1"/>
      <c r="Y540" s="1"/>
      <c r="Z540" s="1"/>
      <c r="AA540" s="1"/>
      <c r="AB540" s="1"/>
      <c r="AC540" s="1"/>
      <c r="AD540" s="1"/>
      <c r="AE540" s="1"/>
      <c r="AF540" s="1"/>
      <c r="AG540" s="1"/>
      <c r="AH540" s="1"/>
    </row>
    <row r="541">
      <c r="A541" s="1"/>
      <c r="B541" s="1"/>
      <c r="C541" s="1"/>
      <c r="D541" s="1"/>
      <c r="E541" s="1"/>
      <c r="F541" s="1"/>
      <c r="G541" s="1"/>
      <c r="H541" s="1"/>
      <c r="I541" s="1"/>
      <c r="J541" s="5"/>
      <c r="K541" s="2"/>
      <c r="L541" s="1"/>
      <c r="M541" s="1"/>
      <c r="N541" s="1"/>
      <c r="O541" s="1"/>
      <c r="P541" s="1"/>
      <c r="Q541" s="1"/>
      <c r="R541" s="1"/>
      <c r="S541" s="1"/>
      <c r="T541" s="1"/>
      <c r="U541" s="1"/>
      <c r="V541" s="1"/>
      <c r="W541" s="1"/>
      <c r="X541" s="1"/>
      <c r="Y541" s="1"/>
      <c r="Z541" s="1"/>
      <c r="AA541" s="1"/>
      <c r="AB541" s="1"/>
      <c r="AC541" s="1"/>
      <c r="AD541" s="1"/>
      <c r="AE541" s="1"/>
      <c r="AF541" s="1"/>
      <c r="AG541" s="1"/>
      <c r="AH541" s="1"/>
    </row>
    <row r="542">
      <c r="A542" s="1"/>
      <c r="B542" s="1"/>
      <c r="C542" s="1"/>
      <c r="D542" s="1"/>
      <c r="E542" s="1"/>
      <c r="F542" s="1"/>
      <c r="G542" s="1"/>
      <c r="H542" s="1"/>
      <c r="I542" s="1"/>
      <c r="J542" s="5"/>
      <c r="K542" s="2"/>
      <c r="L542" s="1"/>
      <c r="M542" s="1"/>
      <c r="N542" s="1"/>
      <c r="O542" s="1"/>
      <c r="P542" s="1"/>
      <c r="Q542" s="1"/>
      <c r="R542" s="1"/>
      <c r="S542" s="1"/>
      <c r="T542" s="1"/>
      <c r="U542" s="1"/>
      <c r="V542" s="1"/>
      <c r="W542" s="1"/>
      <c r="X542" s="1"/>
      <c r="Y542" s="1"/>
      <c r="Z542" s="1"/>
      <c r="AA542" s="1"/>
      <c r="AB542" s="1"/>
      <c r="AC542" s="1"/>
      <c r="AD542" s="1"/>
      <c r="AE542" s="1"/>
      <c r="AF542" s="1"/>
      <c r="AG542" s="1"/>
      <c r="AH542" s="1"/>
    </row>
    <row r="543">
      <c r="A543" s="1"/>
      <c r="B543" s="1"/>
      <c r="C543" s="1"/>
      <c r="D543" s="1"/>
      <c r="E543" s="1"/>
      <c r="F543" s="1"/>
      <c r="G543" s="1"/>
      <c r="H543" s="1"/>
      <c r="I543" s="1"/>
      <c r="J543" s="5"/>
      <c r="K543" s="2"/>
      <c r="L543" s="1"/>
      <c r="M543" s="1"/>
      <c r="N543" s="1"/>
      <c r="O543" s="1"/>
      <c r="P543" s="1"/>
      <c r="Q543" s="1"/>
      <c r="R543" s="1"/>
      <c r="S543" s="1"/>
      <c r="T543" s="1"/>
      <c r="U543" s="1"/>
      <c r="V543" s="1"/>
      <c r="W543" s="1"/>
      <c r="X543" s="1"/>
      <c r="Y543" s="1"/>
      <c r="Z543" s="1"/>
      <c r="AA543" s="1"/>
      <c r="AB543" s="1"/>
      <c r="AC543" s="1"/>
      <c r="AD543" s="1"/>
      <c r="AE543" s="1"/>
      <c r="AF543" s="1"/>
      <c r="AG543" s="1"/>
      <c r="AH543" s="1"/>
    </row>
    <row r="544">
      <c r="A544" s="1"/>
      <c r="B544" s="1"/>
      <c r="C544" s="1"/>
      <c r="D544" s="1"/>
      <c r="E544" s="1"/>
      <c r="F544" s="1"/>
      <c r="G544" s="1"/>
      <c r="H544" s="1"/>
      <c r="I544" s="1"/>
      <c r="J544" s="5"/>
      <c r="K544" s="2"/>
      <c r="L544" s="1"/>
      <c r="M544" s="1"/>
      <c r="N544" s="1"/>
      <c r="O544" s="1"/>
      <c r="P544" s="1"/>
      <c r="Q544" s="1"/>
      <c r="R544" s="1"/>
      <c r="S544" s="1"/>
      <c r="T544" s="1"/>
      <c r="U544" s="1"/>
      <c r="V544" s="1"/>
      <c r="W544" s="1"/>
      <c r="X544" s="1"/>
      <c r="Y544" s="1"/>
      <c r="Z544" s="1"/>
      <c r="AA544" s="1"/>
      <c r="AB544" s="1"/>
      <c r="AC544" s="1"/>
      <c r="AD544" s="1"/>
      <c r="AE544" s="1"/>
      <c r="AF544" s="1"/>
      <c r="AG544" s="1"/>
      <c r="AH544" s="1"/>
    </row>
    <row r="545">
      <c r="A545" s="1"/>
      <c r="B545" s="1"/>
      <c r="C545" s="1"/>
      <c r="D545" s="1"/>
      <c r="E545" s="1"/>
      <c r="F545" s="1"/>
      <c r="G545" s="1"/>
      <c r="H545" s="1"/>
      <c r="I545" s="1"/>
      <c r="J545" s="5"/>
      <c r="K545" s="2"/>
      <c r="L545" s="1"/>
      <c r="M545" s="1"/>
      <c r="N545" s="1"/>
      <c r="O545" s="1"/>
      <c r="P545" s="1"/>
      <c r="Q545" s="1"/>
      <c r="R545" s="1"/>
      <c r="S545" s="1"/>
      <c r="T545" s="1"/>
      <c r="U545" s="1"/>
      <c r="V545" s="1"/>
      <c r="W545" s="1"/>
      <c r="X545" s="1"/>
      <c r="Y545" s="1"/>
      <c r="Z545" s="1"/>
      <c r="AA545" s="1"/>
      <c r="AB545" s="1"/>
      <c r="AC545" s="1"/>
      <c r="AD545" s="1"/>
      <c r="AE545" s="1"/>
      <c r="AF545" s="1"/>
      <c r="AG545" s="1"/>
      <c r="AH545" s="1"/>
    </row>
    <row r="546">
      <c r="A546" s="1"/>
      <c r="B546" s="1"/>
      <c r="C546" s="1"/>
      <c r="D546" s="1"/>
      <c r="E546" s="1"/>
      <c r="F546" s="1"/>
      <c r="G546" s="1"/>
      <c r="H546" s="1"/>
      <c r="I546" s="1"/>
      <c r="J546" s="5"/>
      <c r="K546" s="2"/>
      <c r="L546" s="1"/>
      <c r="M546" s="1"/>
      <c r="N546" s="1"/>
      <c r="O546" s="1"/>
      <c r="P546" s="1"/>
      <c r="Q546" s="1"/>
      <c r="R546" s="1"/>
      <c r="S546" s="1"/>
      <c r="T546" s="1"/>
      <c r="U546" s="1"/>
      <c r="V546" s="1"/>
      <c r="W546" s="1"/>
      <c r="X546" s="1"/>
      <c r="Y546" s="1"/>
      <c r="Z546" s="1"/>
      <c r="AA546" s="1"/>
      <c r="AB546" s="1"/>
      <c r="AC546" s="1"/>
      <c r="AD546" s="1"/>
      <c r="AE546" s="1"/>
      <c r="AF546" s="1"/>
      <c r="AG546" s="1"/>
      <c r="AH546" s="1"/>
    </row>
    <row r="547">
      <c r="A547" s="1"/>
      <c r="B547" s="1"/>
      <c r="C547" s="1"/>
      <c r="D547" s="1"/>
      <c r="E547" s="1"/>
      <c r="F547" s="1"/>
      <c r="G547" s="1"/>
      <c r="H547" s="1"/>
      <c r="I547" s="1"/>
      <c r="J547" s="5"/>
      <c r="K547" s="2"/>
      <c r="L547" s="1"/>
      <c r="M547" s="1"/>
      <c r="N547" s="1"/>
      <c r="O547" s="1"/>
      <c r="P547" s="1"/>
      <c r="Q547" s="1"/>
      <c r="R547" s="1"/>
      <c r="S547" s="1"/>
      <c r="T547" s="1"/>
      <c r="U547" s="1"/>
      <c r="V547" s="1"/>
      <c r="W547" s="1"/>
      <c r="X547" s="1"/>
      <c r="Y547" s="1"/>
      <c r="Z547" s="1"/>
      <c r="AA547" s="1"/>
      <c r="AB547" s="1"/>
      <c r="AC547" s="1"/>
      <c r="AD547" s="1"/>
      <c r="AE547" s="1"/>
      <c r="AF547" s="1"/>
      <c r="AG547" s="1"/>
      <c r="AH547" s="1"/>
    </row>
    <row r="548">
      <c r="A548" s="1"/>
      <c r="B548" s="1"/>
      <c r="C548" s="1"/>
      <c r="D548" s="1"/>
      <c r="E548" s="1"/>
      <c r="F548" s="1"/>
      <c r="G548" s="1"/>
      <c r="H548" s="1"/>
      <c r="I548" s="1"/>
      <c r="J548" s="5"/>
      <c r="K548" s="2"/>
      <c r="L548" s="1"/>
      <c r="M548" s="1"/>
      <c r="N548" s="1"/>
      <c r="O548" s="1"/>
      <c r="P548" s="1"/>
      <c r="Q548" s="1"/>
      <c r="R548" s="1"/>
      <c r="S548" s="1"/>
      <c r="T548" s="1"/>
      <c r="U548" s="1"/>
      <c r="V548" s="1"/>
      <c r="W548" s="1"/>
      <c r="X548" s="1"/>
      <c r="Y548" s="1"/>
      <c r="Z548" s="1"/>
      <c r="AA548" s="1"/>
      <c r="AB548" s="1"/>
      <c r="AC548" s="1"/>
      <c r="AD548" s="1"/>
      <c r="AE548" s="1"/>
      <c r="AF548" s="1"/>
      <c r="AG548" s="1"/>
      <c r="AH548" s="1"/>
    </row>
    <row r="549">
      <c r="A549" s="1"/>
      <c r="B549" s="1"/>
      <c r="C549" s="1"/>
      <c r="D549" s="1"/>
      <c r="E549" s="1"/>
      <c r="F549" s="1"/>
      <c r="G549" s="1"/>
      <c r="H549" s="1"/>
      <c r="I549" s="1"/>
      <c r="J549" s="5"/>
      <c r="K549" s="2"/>
      <c r="L549" s="1"/>
      <c r="M549" s="1"/>
      <c r="N549" s="1"/>
      <c r="O549" s="1"/>
      <c r="P549" s="1"/>
      <c r="Q549" s="1"/>
      <c r="R549" s="1"/>
      <c r="S549" s="1"/>
      <c r="T549" s="1"/>
      <c r="U549" s="1"/>
      <c r="V549" s="1"/>
      <c r="W549" s="1"/>
      <c r="X549" s="1"/>
      <c r="Y549" s="1"/>
      <c r="Z549" s="1"/>
      <c r="AA549" s="1"/>
      <c r="AB549" s="1"/>
      <c r="AC549" s="1"/>
      <c r="AD549" s="1"/>
      <c r="AE549" s="1"/>
      <c r="AF549" s="1"/>
      <c r="AG549" s="1"/>
      <c r="AH549" s="1"/>
    </row>
    <row r="550">
      <c r="A550" s="1"/>
      <c r="B550" s="1"/>
      <c r="C550" s="1"/>
      <c r="D550" s="1"/>
      <c r="E550" s="1"/>
      <c r="F550" s="1"/>
      <c r="G550" s="1"/>
      <c r="H550" s="1"/>
      <c r="I550" s="1"/>
      <c r="J550" s="5"/>
      <c r="K550" s="2"/>
      <c r="L550" s="1"/>
      <c r="M550" s="1"/>
      <c r="N550" s="1"/>
      <c r="O550" s="1"/>
      <c r="P550" s="1"/>
      <c r="Q550" s="1"/>
      <c r="R550" s="1"/>
      <c r="S550" s="1"/>
      <c r="T550" s="1"/>
      <c r="U550" s="1"/>
      <c r="V550" s="1"/>
      <c r="W550" s="1"/>
      <c r="X550" s="1"/>
      <c r="Y550" s="1"/>
      <c r="Z550" s="1"/>
      <c r="AA550" s="1"/>
      <c r="AB550" s="1"/>
      <c r="AC550" s="1"/>
      <c r="AD550" s="1"/>
      <c r="AE550" s="1"/>
      <c r="AF550" s="1"/>
      <c r="AG550" s="1"/>
      <c r="AH550" s="1"/>
    </row>
    <row r="551">
      <c r="A551" s="1"/>
      <c r="B551" s="1"/>
      <c r="C551" s="1"/>
      <c r="D551" s="1"/>
      <c r="E551" s="1"/>
      <c r="F551" s="1"/>
      <c r="G551" s="1"/>
      <c r="H551" s="1"/>
      <c r="I551" s="1"/>
      <c r="J551" s="5"/>
      <c r="K551" s="2"/>
      <c r="L551" s="1"/>
      <c r="M551" s="1"/>
      <c r="N551" s="1"/>
      <c r="O551" s="1"/>
      <c r="P551" s="1"/>
      <c r="Q551" s="1"/>
      <c r="R551" s="1"/>
      <c r="S551" s="1"/>
      <c r="T551" s="1"/>
      <c r="U551" s="1"/>
      <c r="V551" s="1"/>
      <c r="W551" s="1"/>
      <c r="X551" s="1"/>
      <c r="Y551" s="1"/>
      <c r="Z551" s="1"/>
      <c r="AA551" s="1"/>
      <c r="AB551" s="1"/>
      <c r="AC551" s="1"/>
      <c r="AD551" s="1"/>
      <c r="AE551" s="1"/>
      <c r="AF551" s="1"/>
      <c r="AG551" s="1"/>
      <c r="AH551" s="1"/>
    </row>
    <row r="552">
      <c r="A552" s="1"/>
      <c r="B552" s="1"/>
      <c r="C552" s="1"/>
      <c r="D552" s="1"/>
      <c r="E552" s="1"/>
      <c r="F552" s="1"/>
      <c r="G552" s="1"/>
      <c r="H552" s="1"/>
      <c r="I552" s="1"/>
      <c r="J552" s="5"/>
      <c r="K552" s="2"/>
      <c r="L552" s="1"/>
      <c r="M552" s="1"/>
      <c r="N552" s="1"/>
      <c r="O552" s="1"/>
      <c r="P552" s="1"/>
      <c r="Q552" s="1"/>
      <c r="R552" s="1"/>
      <c r="S552" s="1"/>
      <c r="T552" s="1"/>
      <c r="U552" s="1"/>
      <c r="V552" s="1"/>
      <c r="W552" s="1"/>
      <c r="X552" s="1"/>
      <c r="Y552" s="1"/>
      <c r="Z552" s="1"/>
      <c r="AA552" s="1"/>
      <c r="AB552" s="1"/>
      <c r="AC552" s="1"/>
      <c r="AD552" s="1"/>
      <c r="AE552" s="1"/>
      <c r="AF552" s="1"/>
      <c r="AG552" s="1"/>
      <c r="AH552" s="1"/>
    </row>
    <row r="553">
      <c r="A553" s="1"/>
      <c r="B553" s="1"/>
      <c r="C553" s="1"/>
      <c r="D553" s="1"/>
      <c r="E553" s="1"/>
      <c r="F553" s="1"/>
      <c r="G553" s="1"/>
      <c r="H553" s="1"/>
      <c r="I553" s="1"/>
      <c r="J553" s="5"/>
      <c r="K553" s="2"/>
      <c r="L553" s="1"/>
      <c r="M553" s="1"/>
      <c r="N553" s="1"/>
      <c r="O553" s="1"/>
      <c r="P553" s="1"/>
      <c r="Q553" s="1"/>
      <c r="R553" s="1"/>
      <c r="S553" s="1"/>
      <c r="T553" s="1"/>
      <c r="U553" s="1"/>
      <c r="V553" s="1"/>
      <c r="W553" s="1"/>
      <c r="X553" s="1"/>
      <c r="Y553" s="1"/>
      <c r="Z553" s="1"/>
      <c r="AA553" s="1"/>
      <c r="AB553" s="1"/>
      <c r="AC553" s="1"/>
      <c r="AD553" s="1"/>
      <c r="AE553" s="1"/>
      <c r="AF553" s="1"/>
      <c r="AG553" s="1"/>
      <c r="AH553" s="1"/>
    </row>
    <row r="554">
      <c r="A554" s="1"/>
      <c r="B554" s="1"/>
      <c r="C554" s="1"/>
      <c r="D554" s="1"/>
      <c r="E554" s="1"/>
      <c r="F554" s="1"/>
      <c r="G554" s="1"/>
      <c r="H554" s="1"/>
      <c r="I554" s="1"/>
      <c r="J554" s="5"/>
      <c r="K554" s="2"/>
      <c r="L554" s="1"/>
      <c r="M554" s="1"/>
      <c r="N554" s="1"/>
      <c r="O554" s="1"/>
      <c r="P554" s="1"/>
      <c r="Q554" s="1"/>
      <c r="R554" s="1"/>
      <c r="S554" s="1"/>
      <c r="T554" s="1"/>
      <c r="U554" s="1"/>
      <c r="V554" s="1"/>
      <c r="W554" s="1"/>
      <c r="X554" s="1"/>
      <c r="Y554" s="1"/>
      <c r="Z554" s="1"/>
      <c r="AA554" s="1"/>
      <c r="AB554" s="1"/>
      <c r="AC554" s="1"/>
      <c r="AD554" s="1"/>
      <c r="AE554" s="1"/>
      <c r="AF554" s="1"/>
      <c r="AG554" s="1"/>
      <c r="AH554" s="1"/>
    </row>
    <row r="555">
      <c r="A555" s="1"/>
      <c r="B555" s="1"/>
      <c r="C555" s="1"/>
      <c r="D555" s="1"/>
      <c r="E555" s="1"/>
      <c r="F555" s="1"/>
      <c r="G555" s="1"/>
      <c r="H555" s="1"/>
      <c r="I555" s="1"/>
      <c r="J555" s="5"/>
      <c r="K555" s="2"/>
      <c r="L555" s="1"/>
      <c r="M555" s="1"/>
      <c r="N555" s="1"/>
      <c r="O555" s="1"/>
      <c r="P555" s="1"/>
      <c r="Q555" s="1"/>
      <c r="R555" s="1"/>
      <c r="S555" s="1"/>
      <c r="T555" s="1"/>
      <c r="U555" s="1"/>
      <c r="V555" s="1"/>
      <c r="W555" s="1"/>
      <c r="X555" s="1"/>
      <c r="Y555" s="1"/>
      <c r="Z555" s="1"/>
      <c r="AA555" s="1"/>
      <c r="AB555" s="1"/>
      <c r="AC555" s="1"/>
      <c r="AD555" s="1"/>
      <c r="AE555" s="1"/>
      <c r="AF555" s="1"/>
      <c r="AG555" s="1"/>
      <c r="AH555" s="1"/>
    </row>
    <row r="556">
      <c r="A556" s="1"/>
      <c r="B556" s="1"/>
      <c r="C556" s="1"/>
      <c r="D556" s="1"/>
      <c r="E556" s="1"/>
      <c r="F556" s="1"/>
      <c r="G556" s="1"/>
      <c r="H556" s="1"/>
      <c r="I556" s="1"/>
      <c r="J556" s="5"/>
      <c r="K556" s="2"/>
      <c r="L556" s="1"/>
      <c r="M556" s="1"/>
      <c r="N556" s="1"/>
      <c r="O556" s="1"/>
      <c r="P556" s="1"/>
      <c r="Q556" s="1"/>
      <c r="R556" s="1"/>
      <c r="S556" s="1"/>
      <c r="T556" s="1"/>
      <c r="U556" s="1"/>
      <c r="V556" s="1"/>
      <c r="W556" s="1"/>
      <c r="X556" s="1"/>
      <c r="Y556" s="1"/>
      <c r="Z556" s="1"/>
      <c r="AA556" s="1"/>
      <c r="AB556" s="1"/>
      <c r="AC556" s="1"/>
      <c r="AD556" s="1"/>
      <c r="AE556" s="1"/>
      <c r="AF556" s="1"/>
      <c r="AG556" s="1"/>
      <c r="AH556" s="1"/>
    </row>
    <row r="557">
      <c r="A557" s="1"/>
      <c r="B557" s="1"/>
      <c r="C557" s="1"/>
      <c r="D557" s="1"/>
      <c r="E557" s="1"/>
      <c r="F557" s="1"/>
      <c r="G557" s="1"/>
      <c r="H557" s="1"/>
      <c r="I557" s="1"/>
      <c r="J557" s="5"/>
      <c r="K557" s="2"/>
      <c r="L557" s="1"/>
      <c r="M557" s="1"/>
      <c r="N557" s="1"/>
      <c r="O557" s="1"/>
      <c r="P557" s="1"/>
      <c r="Q557" s="1"/>
      <c r="R557" s="1"/>
      <c r="S557" s="1"/>
      <c r="T557" s="1"/>
      <c r="U557" s="1"/>
      <c r="V557" s="1"/>
      <c r="W557" s="1"/>
      <c r="X557" s="1"/>
      <c r="Y557" s="1"/>
      <c r="Z557" s="1"/>
      <c r="AA557" s="1"/>
      <c r="AB557" s="1"/>
      <c r="AC557" s="1"/>
      <c r="AD557" s="1"/>
      <c r="AE557" s="1"/>
      <c r="AF557" s="1"/>
      <c r="AG557" s="1"/>
      <c r="AH557" s="1"/>
    </row>
    <row r="558">
      <c r="A558" s="1"/>
      <c r="B558" s="1"/>
      <c r="C558" s="1"/>
      <c r="D558" s="1"/>
      <c r="E558" s="1"/>
      <c r="F558" s="1"/>
      <c r="G558" s="1"/>
      <c r="H558" s="1"/>
      <c r="I558" s="1"/>
      <c r="J558" s="5"/>
      <c r="K558" s="2"/>
      <c r="L558" s="1"/>
      <c r="M558" s="1"/>
      <c r="N558" s="1"/>
      <c r="O558" s="1"/>
      <c r="P558" s="1"/>
      <c r="Q558" s="1"/>
      <c r="R558" s="1"/>
      <c r="S558" s="1"/>
      <c r="T558" s="1"/>
      <c r="U558" s="1"/>
      <c r="V558" s="1"/>
      <c r="W558" s="1"/>
      <c r="X558" s="1"/>
      <c r="Y558" s="1"/>
      <c r="Z558" s="1"/>
      <c r="AA558" s="1"/>
      <c r="AB558" s="1"/>
      <c r="AC558" s="1"/>
      <c r="AD558" s="1"/>
      <c r="AE558" s="1"/>
      <c r="AF558" s="1"/>
      <c r="AG558" s="1"/>
      <c r="AH558" s="1"/>
    </row>
    <row r="559">
      <c r="A559" s="1"/>
      <c r="B559" s="1"/>
      <c r="C559" s="1"/>
      <c r="D559" s="1"/>
      <c r="E559" s="1"/>
      <c r="F559" s="1"/>
      <c r="G559" s="1"/>
      <c r="H559" s="1"/>
      <c r="I559" s="1"/>
      <c r="J559" s="5"/>
      <c r="K559" s="2"/>
      <c r="L559" s="1"/>
      <c r="M559" s="1"/>
      <c r="N559" s="1"/>
      <c r="O559" s="1"/>
      <c r="P559" s="1"/>
      <c r="Q559" s="1"/>
      <c r="R559" s="1"/>
      <c r="S559" s="1"/>
      <c r="T559" s="1"/>
      <c r="U559" s="1"/>
      <c r="V559" s="1"/>
      <c r="W559" s="1"/>
      <c r="X559" s="1"/>
      <c r="Y559" s="1"/>
      <c r="Z559" s="1"/>
      <c r="AA559" s="1"/>
      <c r="AB559" s="1"/>
      <c r="AC559" s="1"/>
      <c r="AD559" s="1"/>
      <c r="AE559" s="1"/>
      <c r="AF559" s="1"/>
      <c r="AG559" s="1"/>
      <c r="AH559" s="1"/>
    </row>
    <row r="560">
      <c r="A560" s="1"/>
      <c r="B560" s="1"/>
      <c r="C560" s="1"/>
      <c r="D560" s="1"/>
      <c r="E560" s="1"/>
      <c r="F560" s="1"/>
      <c r="G560" s="1"/>
      <c r="H560" s="1"/>
      <c r="I560" s="1"/>
      <c r="J560" s="5"/>
      <c r="K560" s="2"/>
      <c r="L560" s="1"/>
      <c r="M560" s="1"/>
      <c r="N560" s="1"/>
      <c r="O560" s="1"/>
      <c r="P560" s="1"/>
      <c r="Q560" s="1"/>
      <c r="R560" s="1"/>
      <c r="S560" s="1"/>
      <c r="T560" s="1"/>
      <c r="U560" s="1"/>
      <c r="V560" s="1"/>
      <c r="W560" s="1"/>
      <c r="X560" s="1"/>
      <c r="Y560" s="1"/>
      <c r="Z560" s="1"/>
      <c r="AA560" s="1"/>
      <c r="AB560" s="1"/>
      <c r="AC560" s="1"/>
      <c r="AD560" s="1"/>
      <c r="AE560" s="1"/>
      <c r="AF560" s="1"/>
      <c r="AG560" s="1"/>
      <c r="AH560" s="1"/>
    </row>
    <row r="561">
      <c r="A561" s="1"/>
      <c r="B561" s="1"/>
      <c r="C561" s="1"/>
      <c r="D561" s="1"/>
      <c r="E561" s="1"/>
      <c r="F561" s="1"/>
      <c r="G561" s="1"/>
      <c r="H561" s="1"/>
      <c r="I561" s="1"/>
      <c r="J561" s="5"/>
      <c r="K561" s="2"/>
      <c r="L561" s="1"/>
      <c r="M561" s="1"/>
      <c r="N561" s="1"/>
      <c r="O561" s="1"/>
      <c r="P561" s="1"/>
      <c r="Q561" s="1"/>
      <c r="R561" s="1"/>
      <c r="S561" s="1"/>
      <c r="T561" s="1"/>
      <c r="U561" s="1"/>
      <c r="V561" s="1"/>
      <c r="W561" s="1"/>
      <c r="X561" s="1"/>
      <c r="Y561" s="1"/>
      <c r="Z561" s="1"/>
      <c r="AA561" s="1"/>
      <c r="AB561" s="1"/>
      <c r="AC561" s="1"/>
      <c r="AD561" s="1"/>
      <c r="AE561" s="1"/>
      <c r="AF561" s="1"/>
      <c r="AG561" s="1"/>
      <c r="AH561" s="1"/>
    </row>
    <row r="562">
      <c r="A562" s="1"/>
      <c r="B562" s="1"/>
      <c r="C562" s="1"/>
      <c r="D562" s="1"/>
      <c r="E562" s="1"/>
      <c r="F562" s="1"/>
      <c r="G562" s="1"/>
      <c r="H562" s="1"/>
      <c r="I562" s="1"/>
      <c r="J562" s="5"/>
      <c r="K562" s="2"/>
      <c r="L562" s="1"/>
      <c r="M562" s="1"/>
      <c r="N562" s="1"/>
      <c r="O562" s="1"/>
      <c r="P562" s="1"/>
      <c r="Q562" s="1"/>
      <c r="R562" s="1"/>
      <c r="S562" s="1"/>
      <c r="T562" s="1"/>
      <c r="U562" s="1"/>
      <c r="V562" s="1"/>
      <c r="W562" s="1"/>
      <c r="X562" s="1"/>
      <c r="Y562" s="1"/>
      <c r="Z562" s="1"/>
      <c r="AA562" s="1"/>
      <c r="AB562" s="1"/>
      <c r="AC562" s="1"/>
      <c r="AD562" s="1"/>
      <c r="AE562" s="1"/>
      <c r="AF562" s="1"/>
      <c r="AG562" s="1"/>
      <c r="AH562" s="1"/>
    </row>
    <row r="563">
      <c r="A563" s="1"/>
      <c r="B563" s="1"/>
      <c r="C563" s="1"/>
      <c r="D563" s="1"/>
      <c r="E563" s="1"/>
      <c r="F563" s="1"/>
      <c r="G563" s="1"/>
      <c r="H563" s="1"/>
      <c r="I563" s="1"/>
      <c r="J563" s="5"/>
      <c r="K563" s="2"/>
      <c r="L563" s="1"/>
      <c r="M563" s="1"/>
      <c r="N563" s="1"/>
      <c r="O563" s="1"/>
      <c r="P563" s="1"/>
      <c r="Q563" s="1"/>
      <c r="R563" s="1"/>
      <c r="S563" s="1"/>
      <c r="T563" s="1"/>
      <c r="U563" s="1"/>
      <c r="V563" s="1"/>
      <c r="W563" s="1"/>
      <c r="X563" s="1"/>
      <c r="Y563" s="1"/>
      <c r="Z563" s="1"/>
      <c r="AA563" s="1"/>
      <c r="AB563" s="1"/>
      <c r="AC563" s="1"/>
      <c r="AD563" s="1"/>
      <c r="AE563" s="1"/>
      <c r="AF563" s="1"/>
      <c r="AG563" s="1"/>
      <c r="AH563" s="1"/>
    </row>
    <row r="564">
      <c r="A564" s="1"/>
      <c r="B564" s="1"/>
      <c r="C564" s="1"/>
      <c r="D564" s="1"/>
      <c r="E564" s="1"/>
      <c r="F564" s="1"/>
      <c r="G564" s="1"/>
      <c r="H564" s="1"/>
      <c r="I564" s="1"/>
      <c r="J564" s="5"/>
      <c r="K564" s="2"/>
      <c r="L564" s="1"/>
      <c r="M564" s="1"/>
      <c r="N564" s="1"/>
      <c r="O564" s="1"/>
      <c r="P564" s="1"/>
      <c r="Q564" s="1"/>
      <c r="R564" s="1"/>
      <c r="S564" s="1"/>
      <c r="T564" s="1"/>
      <c r="U564" s="1"/>
      <c r="V564" s="1"/>
      <c r="W564" s="1"/>
      <c r="X564" s="1"/>
      <c r="Y564" s="1"/>
      <c r="Z564" s="1"/>
      <c r="AA564" s="1"/>
      <c r="AB564" s="1"/>
      <c r="AC564" s="1"/>
      <c r="AD564" s="1"/>
      <c r="AE564" s="1"/>
      <c r="AF564" s="1"/>
      <c r="AG564" s="1"/>
      <c r="AH564" s="1"/>
    </row>
    <row r="565">
      <c r="A565" s="1"/>
      <c r="B565" s="1"/>
      <c r="C565" s="1"/>
      <c r="D565" s="1"/>
      <c r="E565" s="1"/>
      <c r="F565" s="1"/>
      <c r="G565" s="1"/>
      <c r="H565" s="1"/>
      <c r="I565" s="1"/>
      <c r="J565" s="5"/>
      <c r="K565" s="2"/>
      <c r="L565" s="1"/>
      <c r="M565" s="1"/>
      <c r="N565" s="1"/>
      <c r="O565" s="1"/>
      <c r="P565" s="1"/>
      <c r="Q565" s="1"/>
      <c r="R565" s="1"/>
      <c r="S565" s="1"/>
      <c r="T565" s="1"/>
      <c r="U565" s="1"/>
      <c r="V565" s="1"/>
      <c r="W565" s="1"/>
      <c r="X565" s="1"/>
      <c r="Y565" s="1"/>
      <c r="Z565" s="1"/>
      <c r="AA565" s="1"/>
      <c r="AB565" s="1"/>
      <c r="AC565" s="1"/>
      <c r="AD565" s="1"/>
      <c r="AE565" s="1"/>
      <c r="AF565" s="1"/>
      <c r="AG565" s="1"/>
      <c r="AH565" s="1"/>
    </row>
    <row r="566">
      <c r="A566" s="1"/>
      <c r="B566" s="1"/>
      <c r="C566" s="1"/>
      <c r="D566" s="1"/>
      <c r="E566" s="1"/>
      <c r="F566" s="1"/>
      <c r="G566" s="1"/>
      <c r="H566" s="1"/>
      <c r="I566" s="1"/>
      <c r="J566" s="5"/>
      <c r="K566" s="2"/>
      <c r="L566" s="1"/>
      <c r="M566" s="1"/>
      <c r="N566" s="1"/>
      <c r="O566" s="1"/>
      <c r="P566" s="1"/>
      <c r="Q566" s="1"/>
      <c r="R566" s="1"/>
      <c r="S566" s="1"/>
      <c r="T566" s="1"/>
      <c r="U566" s="1"/>
      <c r="V566" s="1"/>
      <c r="W566" s="1"/>
      <c r="X566" s="1"/>
      <c r="Y566" s="1"/>
      <c r="Z566" s="1"/>
      <c r="AA566" s="1"/>
      <c r="AB566" s="1"/>
      <c r="AC566" s="1"/>
      <c r="AD566" s="1"/>
      <c r="AE566" s="1"/>
      <c r="AF566" s="1"/>
      <c r="AG566" s="1"/>
      <c r="AH566" s="1"/>
    </row>
    <row r="567">
      <c r="A567" s="1"/>
      <c r="B567" s="1"/>
      <c r="C567" s="1"/>
      <c r="D567" s="1"/>
      <c r="E567" s="1"/>
      <c r="F567" s="1"/>
      <c r="G567" s="1"/>
      <c r="H567" s="1"/>
      <c r="I567" s="1"/>
      <c r="J567" s="5"/>
      <c r="K567" s="2"/>
      <c r="L567" s="1"/>
      <c r="M567" s="1"/>
      <c r="N567" s="1"/>
      <c r="O567" s="1"/>
      <c r="P567" s="1"/>
      <c r="Q567" s="1"/>
      <c r="R567" s="1"/>
      <c r="S567" s="1"/>
      <c r="T567" s="1"/>
      <c r="U567" s="1"/>
      <c r="V567" s="1"/>
      <c r="W567" s="1"/>
      <c r="X567" s="1"/>
      <c r="Y567" s="1"/>
      <c r="Z567" s="1"/>
      <c r="AA567" s="1"/>
      <c r="AB567" s="1"/>
      <c r="AC567" s="1"/>
      <c r="AD567" s="1"/>
      <c r="AE567" s="1"/>
      <c r="AF567" s="1"/>
      <c r="AG567" s="1"/>
      <c r="AH567" s="1"/>
    </row>
    <row r="568">
      <c r="A568" s="1"/>
      <c r="B568" s="1"/>
      <c r="C568" s="1"/>
      <c r="D568" s="1"/>
      <c r="E568" s="1"/>
      <c r="F568" s="1"/>
      <c r="G568" s="1"/>
      <c r="H568" s="1"/>
      <c r="I568" s="1"/>
      <c r="J568" s="5"/>
      <c r="K568" s="2"/>
      <c r="L568" s="1"/>
      <c r="M568" s="1"/>
      <c r="N568" s="1"/>
      <c r="O568" s="1"/>
      <c r="P568" s="1"/>
      <c r="Q568" s="1"/>
      <c r="R568" s="1"/>
      <c r="S568" s="1"/>
      <c r="T568" s="1"/>
      <c r="U568" s="1"/>
      <c r="V568" s="1"/>
      <c r="W568" s="1"/>
      <c r="X568" s="1"/>
      <c r="Y568" s="1"/>
      <c r="Z568" s="1"/>
      <c r="AA568" s="1"/>
      <c r="AB568" s="1"/>
      <c r="AC568" s="1"/>
      <c r="AD568" s="1"/>
      <c r="AE568" s="1"/>
      <c r="AF568" s="1"/>
      <c r="AG568" s="1"/>
      <c r="AH568" s="1"/>
    </row>
    <row r="569">
      <c r="A569" s="1"/>
      <c r="B569" s="1"/>
      <c r="C569" s="1"/>
      <c r="D569" s="1"/>
      <c r="E569" s="1"/>
      <c r="F569" s="1"/>
      <c r="G569" s="1"/>
      <c r="H569" s="1"/>
      <c r="I569" s="1"/>
      <c r="J569" s="5"/>
      <c r="K569" s="2"/>
      <c r="L569" s="1"/>
      <c r="M569" s="1"/>
      <c r="N569" s="1"/>
      <c r="O569" s="1"/>
      <c r="P569" s="1"/>
      <c r="Q569" s="1"/>
      <c r="R569" s="1"/>
      <c r="S569" s="1"/>
      <c r="T569" s="1"/>
      <c r="U569" s="1"/>
      <c r="V569" s="1"/>
      <c r="W569" s="1"/>
      <c r="X569" s="1"/>
      <c r="Y569" s="1"/>
      <c r="Z569" s="1"/>
      <c r="AA569" s="1"/>
      <c r="AB569" s="1"/>
      <c r="AC569" s="1"/>
      <c r="AD569" s="1"/>
      <c r="AE569" s="1"/>
      <c r="AF569" s="1"/>
      <c r="AG569" s="1"/>
      <c r="AH569" s="1"/>
    </row>
    <row r="570">
      <c r="A570" s="1"/>
      <c r="B570" s="1"/>
      <c r="C570" s="1"/>
      <c r="D570" s="1"/>
      <c r="E570" s="1"/>
      <c r="F570" s="1"/>
      <c r="G570" s="1"/>
      <c r="H570" s="1"/>
      <c r="I570" s="1"/>
      <c r="J570" s="5"/>
      <c r="K570" s="2"/>
      <c r="L570" s="1"/>
      <c r="M570" s="1"/>
      <c r="N570" s="1"/>
      <c r="O570" s="1"/>
      <c r="P570" s="1"/>
      <c r="Q570" s="1"/>
      <c r="R570" s="1"/>
      <c r="S570" s="1"/>
      <c r="T570" s="1"/>
      <c r="U570" s="1"/>
      <c r="V570" s="1"/>
      <c r="W570" s="1"/>
      <c r="X570" s="1"/>
      <c r="Y570" s="1"/>
      <c r="Z570" s="1"/>
      <c r="AA570" s="1"/>
      <c r="AB570" s="1"/>
      <c r="AC570" s="1"/>
      <c r="AD570" s="1"/>
      <c r="AE570" s="1"/>
      <c r="AF570" s="1"/>
      <c r="AG570" s="1"/>
      <c r="AH570" s="1"/>
    </row>
    <row r="571">
      <c r="A571" s="1"/>
      <c r="B571" s="1"/>
      <c r="C571" s="1"/>
      <c r="D571" s="1"/>
      <c r="E571" s="1"/>
      <c r="F571" s="1"/>
      <c r="G571" s="1"/>
      <c r="H571" s="1"/>
      <c r="I571" s="1"/>
      <c r="J571" s="5"/>
      <c r="K571" s="2"/>
      <c r="L571" s="1"/>
      <c r="M571" s="1"/>
      <c r="N571" s="1"/>
      <c r="O571" s="1"/>
      <c r="P571" s="1"/>
      <c r="Q571" s="1"/>
      <c r="R571" s="1"/>
      <c r="S571" s="1"/>
      <c r="T571" s="1"/>
      <c r="U571" s="1"/>
      <c r="V571" s="1"/>
      <c r="W571" s="1"/>
      <c r="X571" s="1"/>
      <c r="Y571" s="1"/>
      <c r="Z571" s="1"/>
      <c r="AA571" s="1"/>
      <c r="AB571" s="1"/>
      <c r="AC571" s="1"/>
      <c r="AD571" s="1"/>
      <c r="AE571" s="1"/>
      <c r="AF571" s="1"/>
      <c r="AG571" s="1"/>
      <c r="AH571" s="1"/>
    </row>
    <row r="572">
      <c r="A572" s="1"/>
      <c r="B572" s="1"/>
      <c r="C572" s="1"/>
      <c r="D572" s="1"/>
      <c r="E572" s="1"/>
      <c r="F572" s="1"/>
      <c r="G572" s="1"/>
      <c r="H572" s="1"/>
      <c r="I572" s="1"/>
      <c r="J572" s="5"/>
      <c r="K572" s="2"/>
      <c r="L572" s="1"/>
      <c r="M572" s="1"/>
      <c r="N572" s="1"/>
      <c r="O572" s="1"/>
      <c r="P572" s="1"/>
      <c r="Q572" s="1"/>
      <c r="R572" s="1"/>
      <c r="S572" s="1"/>
      <c r="T572" s="1"/>
      <c r="U572" s="1"/>
      <c r="V572" s="1"/>
      <c r="W572" s="1"/>
      <c r="X572" s="1"/>
      <c r="Y572" s="1"/>
      <c r="Z572" s="1"/>
      <c r="AA572" s="1"/>
      <c r="AB572" s="1"/>
      <c r="AC572" s="1"/>
      <c r="AD572" s="1"/>
      <c r="AE572" s="1"/>
      <c r="AF572" s="1"/>
      <c r="AG572" s="1"/>
      <c r="AH572" s="1"/>
    </row>
    <row r="573">
      <c r="A573" s="1"/>
      <c r="B573" s="1"/>
      <c r="C573" s="1"/>
      <c r="D573" s="1"/>
      <c r="E573" s="1"/>
      <c r="F573" s="1"/>
      <c r="G573" s="1"/>
      <c r="H573" s="1"/>
      <c r="I573" s="1"/>
      <c r="J573" s="5"/>
      <c r="K573" s="2"/>
      <c r="L573" s="1"/>
      <c r="M573" s="1"/>
      <c r="N573" s="1"/>
      <c r="O573" s="1"/>
      <c r="P573" s="1"/>
      <c r="Q573" s="1"/>
      <c r="R573" s="1"/>
      <c r="S573" s="1"/>
      <c r="T573" s="1"/>
      <c r="U573" s="1"/>
      <c r="V573" s="1"/>
      <c r="W573" s="1"/>
      <c r="X573" s="1"/>
      <c r="Y573" s="1"/>
      <c r="Z573" s="1"/>
      <c r="AA573" s="1"/>
      <c r="AB573" s="1"/>
      <c r="AC573" s="1"/>
      <c r="AD573" s="1"/>
      <c r="AE573" s="1"/>
      <c r="AF573" s="1"/>
      <c r="AG573" s="1"/>
      <c r="AH573" s="1"/>
    </row>
    <row r="574">
      <c r="A574" s="1"/>
      <c r="B574" s="1"/>
      <c r="C574" s="1"/>
      <c r="D574" s="1"/>
      <c r="E574" s="1"/>
      <c r="F574" s="1"/>
      <c r="G574" s="1"/>
      <c r="H574" s="1"/>
      <c r="I574" s="1"/>
      <c r="J574" s="5"/>
      <c r="K574" s="2"/>
      <c r="L574" s="1"/>
      <c r="M574" s="1"/>
      <c r="N574" s="1"/>
      <c r="O574" s="1"/>
      <c r="P574" s="1"/>
      <c r="Q574" s="1"/>
      <c r="R574" s="1"/>
      <c r="S574" s="1"/>
      <c r="T574" s="1"/>
      <c r="U574" s="1"/>
      <c r="V574" s="1"/>
      <c r="W574" s="1"/>
      <c r="X574" s="1"/>
      <c r="Y574" s="1"/>
      <c r="Z574" s="1"/>
      <c r="AA574" s="1"/>
      <c r="AB574" s="1"/>
      <c r="AC574" s="1"/>
      <c r="AD574" s="1"/>
      <c r="AE574" s="1"/>
      <c r="AF574" s="1"/>
      <c r="AG574" s="1"/>
      <c r="AH574" s="1"/>
    </row>
    <row r="575">
      <c r="A575" s="1"/>
      <c r="B575" s="1"/>
      <c r="C575" s="1"/>
      <c r="D575" s="1"/>
      <c r="E575" s="1"/>
      <c r="F575" s="1"/>
      <c r="G575" s="1"/>
      <c r="H575" s="1"/>
      <c r="I575" s="1"/>
      <c r="J575" s="5"/>
      <c r="K575" s="2"/>
      <c r="L575" s="1"/>
      <c r="M575" s="1"/>
      <c r="N575" s="1"/>
      <c r="O575" s="1"/>
      <c r="P575" s="1"/>
      <c r="Q575" s="1"/>
      <c r="R575" s="1"/>
      <c r="S575" s="1"/>
      <c r="T575" s="1"/>
      <c r="U575" s="1"/>
      <c r="V575" s="1"/>
      <c r="W575" s="1"/>
      <c r="X575" s="1"/>
      <c r="Y575" s="1"/>
      <c r="Z575" s="1"/>
      <c r="AA575" s="1"/>
      <c r="AB575" s="1"/>
      <c r="AC575" s="1"/>
      <c r="AD575" s="1"/>
      <c r="AE575" s="1"/>
      <c r="AF575" s="1"/>
      <c r="AG575" s="1"/>
      <c r="AH575" s="1"/>
    </row>
    <row r="576">
      <c r="A576" s="1"/>
      <c r="B576" s="1"/>
      <c r="C576" s="1"/>
      <c r="D576" s="1"/>
      <c r="E576" s="1"/>
      <c r="F576" s="1"/>
      <c r="G576" s="1"/>
      <c r="H576" s="1"/>
      <c r="I576" s="1"/>
      <c r="J576" s="5"/>
      <c r="K576" s="2"/>
      <c r="L576" s="1"/>
      <c r="M576" s="1"/>
      <c r="N576" s="1"/>
      <c r="O576" s="1"/>
      <c r="P576" s="1"/>
      <c r="Q576" s="1"/>
      <c r="R576" s="1"/>
      <c r="S576" s="1"/>
      <c r="T576" s="1"/>
      <c r="U576" s="1"/>
      <c r="V576" s="1"/>
      <c r="W576" s="1"/>
      <c r="X576" s="1"/>
      <c r="Y576" s="1"/>
      <c r="Z576" s="1"/>
      <c r="AA576" s="1"/>
      <c r="AB576" s="1"/>
      <c r="AC576" s="1"/>
      <c r="AD576" s="1"/>
      <c r="AE576" s="1"/>
      <c r="AF576" s="1"/>
      <c r="AG576" s="1"/>
      <c r="AH576" s="1"/>
    </row>
    <row r="577">
      <c r="A577" s="1"/>
      <c r="B577" s="1"/>
      <c r="C577" s="1"/>
      <c r="D577" s="1"/>
      <c r="E577" s="1"/>
      <c r="F577" s="1"/>
      <c r="G577" s="1"/>
      <c r="H577" s="1"/>
      <c r="I577" s="1"/>
      <c r="J577" s="5"/>
      <c r="K577" s="2"/>
      <c r="L577" s="1"/>
      <c r="M577" s="1"/>
      <c r="N577" s="1"/>
      <c r="O577" s="1"/>
      <c r="P577" s="1"/>
      <c r="Q577" s="1"/>
      <c r="R577" s="1"/>
      <c r="S577" s="1"/>
      <c r="T577" s="1"/>
      <c r="U577" s="1"/>
      <c r="V577" s="1"/>
      <c r="W577" s="1"/>
      <c r="X577" s="1"/>
      <c r="Y577" s="1"/>
      <c r="Z577" s="1"/>
      <c r="AA577" s="1"/>
      <c r="AB577" s="1"/>
      <c r="AC577" s="1"/>
      <c r="AD577" s="1"/>
      <c r="AE577" s="1"/>
      <c r="AF577" s="1"/>
      <c r="AG577" s="1"/>
      <c r="AH577" s="1"/>
    </row>
    <row r="578">
      <c r="A578" s="1"/>
      <c r="B578" s="1"/>
      <c r="C578" s="1"/>
      <c r="D578" s="1"/>
      <c r="E578" s="1"/>
      <c r="F578" s="1"/>
      <c r="G578" s="1"/>
      <c r="H578" s="1"/>
      <c r="I578" s="1"/>
      <c r="J578" s="5"/>
      <c r="K578" s="2"/>
      <c r="L578" s="1"/>
      <c r="M578" s="1"/>
      <c r="N578" s="1"/>
      <c r="O578" s="1"/>
      <c r="P578" s="1"/>
      <c r="Q578" s="1"/>
      <c r="R578" s="1"/>
      <c r="S578" s="1"/>
      <c r="T578" s="1"/>
      <c r="U578" s="1"/>
      <c r="V578" s="1"/>
      <c r="W578" s="1"/>
      <c r="X578" s="1"/>
      <c r="Y578" s="1"/>
      <c r="Z578" s="1"/>
      <c r="AA578" s="1"/>
      <c r="AB578" s="1"/>
      <c r="AC578" s="1"/>
      <c r="AD578" s="1"/>
      <c r="AE578" s="1"/>
      <c r="AF578" s="1"/>
      <c r="AG578" s="1"/>
      <c r="AH578" s="1"/>
    </row>
    <row r="579">
      <c r="A579" s="1"/>
      <c r="B579" s="1"/>
      <c r="C579" s="1"/>
      <c r="D579" s="1"/>
      <c r="E579" s="1"/>
      <c r="F579" s="1"/>
      <c r="G579" s="1"/>
      <c r="H579" s="1"/>
      <c r="I579" s="1"/>
      <c r="J579" s="5"/>
      <c r="K579" s="2"/>
      <c r="L579" s="1"/>
      <c r="M579" s="1"/>
      <c r="N579" s="1"/>
      <c r="O579" s="1"/>
      <c r="P579" s="1"/>
      <c r="Q579" s="1"/>
      <c r="R579" s="1"/>
      <c r="S579" s="1"/>
      <c r="T579" s="1"/>
      <c r="U579" s="1"/>
      <c r="V579" s="1"/>
      <c r="W579" s="1"/>
      <c r="X579" s="1"/>
      <c r="Y579" s="1"/>
      <c r="Z579" s="1"/>
      <c r="AA579" s="1"/>
      <c r="AB579" s="1"/>
      <c r="AC579" s="1"/>
      <c r="AD579" s="1"/>
      <c r="AE579" s="1"/>
      <c r="AF579" s="1"/>
      <c r="AG579" s="1"/>
      <c r="AH579" s="1"/>
    </row>
    <row r="580">
      <c r="A580" s="1"/>
      <c r="B580" s="1"/>
      <c r="C580" s="1"/>
      <c r="D580" s="1"/>
      <c r="E580" s="1"/>
      <c r="F580" s="1"/>
      <c r="G580" s="1"/>
      <c r="H580" s="1"/>
      <c r="I580" s="1"/>
      <c r="J580" s="5"/>
      <c r="K580" s="2"/>
      <c r="L580" s="1"/>
      <c r="M580" s="1"/>
      <c r="N580" s="1"/>
      <c r="O580" s="1"/>
      <c r="P580" s="1"/>
      <c r="Q580" s="1"/>
      <c r="R580" s="1"/>
      <c r="S580" s="1"/>
      <c r="T580" s="1"/>
      <c r="U580" s="1"/>
      <c r="V580" s="1"/>
      <c r="W580" s="1"/>
      <c r="X580" s="1"/>
      <c r="Y580" s="1"/>
      <c r="Z580" s="1"/>
      <c r="AA580" s="1"/>
      <c r="AB580" s="1"/>
      <c r="AC580" s="1"/>
      <c r="AD580" s="1"/>
      <c r="AE580" s="1"/>
      <c r="AF580" s="1"/>
      <c r="AG580" s="1"/>
      <c r="AH580" s="1"/>
    </row>
    <row r="581">
      <c r="A581" s="1"/>
      <c r="B581" s="1"/>
      <c r="C581" s="1"/>
      <c r="D581" s="1"/>
      <c r="E581" s="1"/>
      <c r="F581" s="1"/>
      <c r="G581" s="1"/>
      <c r="H581" s="1"/>
      <c r="I581" s="1"/>
      <c r="J581" s="5"/>
      <c r="K581" s="2"/>
      <c r="L581" s="1"/>
      <c r="M581" s="1"/>
      <c r="N581" s="1"/>
      <c r="O581" s="1"/>
      <c r="P581" s="1"/>
      <c r="Q581" s="1"/>
      <c r="R581" s="1"/>
      <c r="S581" s="1"/>
      <c r="T581" s="1"/>
      <c r="U581" s="1"/>
      <c r="V581" s="1"/>
      <c r="W581" s="1"/>
      <c r="X581" s="1"/>
      <c r="Y581" s="1"/>
      <c r="Z581" s="1"/>
      <c r="AA581" s="1"/>
      <c r="AB581" s="1"/>
      <c r="AC581" s="1"/>
      <c r="AD581" s="1"/>
      <c r="AE581" s="1"/>
      <c r="AF581" s="1"/>
      <c r="AG581" s="1"/>
      <c r="AH581" s="1"/>
    </row>
    <row r="582">
      <c r="A582" s="1"/>
      <c r="B582" s="1"/>
      <c r="C582" s="1"/>
      <c r="D582" s="1"/>
      <c r="E582" s="1"/>
      <c r="F582" s="1"/>
      <c r="G582" s="1"/>
      <c r="H582" s="1"/>
      <c r="I582" s="1"/>
      <c r="J582" s="5"/>
      <c r="K582" s="2"/>
      <c r="L582" s="1"/>
      <c r="M582" s="1"/>
      <c r="N582" s="1"/>
      <c r="O582" s="1"/>
      <c r="P582" s="1"/>
      <c r="Q582" s="1"/>
      <c r="R582" s="1"/>
      <c r="S582" s="1"/>
      <c r="T582" s="1"/>
      <c r="U582" s="1"/>
      <c r="V582" s="1"/>
      <c r="W582" s="1"/>
      <c r="X582" s="1"/>
      <c r="Y582" s="1"/>
      <c r="Z582" s="1"/>
      <c r="AA582" s="1"/>
      <c r="AB582" s="1"/>
      <c r="AC582" s="1"/>
      <c r="AD582" s="1"/>
      <c r="AE582" s="1"/>
      <c r="AF582" s="1"/>
      <c r="AG582" s="1"/>
      <c r="AH582" s="1"/>
    </row>
    <row r="583">
      <c r="A583" s="1"/>
      <c r="B583" s="1"/>
      <c r="C583" s="1"/>
      <c r="D583" s="1"/>
      <c r="E583" s="1"/>
      <c r="F583" s="1"/>
      <c r="G583" s="1"/>
      <c r="H583" s="1"/>
      <c r="I583" s="1"/>
      <c r="J583" s="5"/>
      <c r="K583" s="2"/>
      <c r="L583" s="1"/>
      <c r="M583" s="1"/>
      <c r="N583" s="1"/>
      <c r="O583" s="1"/>
      <c r="P583" s="1"/>
      <c r="Q583" s="1"/>
      <c r="R583" s="1"/>
      <c r="S583" s="1"/>
      <c r="T583" s="1"/>
      <c r="U583" s="1"/>
      <c r="V583" s="1"/>
      <c r="W583" s="1"/>
      <c r="X583" s="1"/>
      <c r="Y583" s="1"/>
      <c r="Z583" s="1"/>
      <c r="AA583" s="1"/>
      <c r="AB583" s="1"/>
      <c r="AC583" s="1"/>
      <c r="AD583" s="1"/>
      <c r="AE583" s="1"/>
      <c r="AF583" s="1"/>
      <c r="AG583" s="1"/>
      <c r="AH583" s="1"/>
    </row>
    <row r="584">
      <c r="A584" s="1"/>
      <c r="B584" s="1"/>
      <c r="C584" s="1"/>
      <c r="D584" s="1"/>
      <c r="E584" s="1"/>
      <c r="F584" s="1"/>
      <c r="G584" s="1"/>
      <c r="H584" s="1"/>
      <c r="I584" s="1"/>
      <c r="J584" s="5"/>
      <c r="K584" s="2"/>
      <c r="L584" s="1"/>
      <c r="M584" s="1"/>
      <c r="N584" s="1"/>
      <c r="O584" s="1"/>
      <c r="P584" s="1"/>
      <c r="Q584" s="1"/>
      <c r="R584" s="1"/>
      <c r="S584" s="1"/>
      <c r="T584" s="1"/>
      <c r="U584" s="1"/>
      <c r="V584" s="1"/>
      <c r="W584" s="1"/>
      <c r="X584" s="1"/>
      <c r="Y584" s="1"/>
      <c r="Z584" s="1"/>
      <c r="AA584" s="1"/>
      <c r="AB584" s="1"/>
      <c r="AC584" s="1"/>
      <c r="AD584" s="1"/>
      <c r="AE584" s="1"/>
      <c r="AF584" s="1"/>
      <c r="AG584" s="1"/>
      <c r="AH584" s="1"/>
    </row>
    <row r="585">
      <c r="A585" s="1"/>
      <c r="B585" s="1"/>
      <c r="C585" s="1"/>
      <c r="D585" s="1"/>
      <c r="E585" s="1"/>
      <c r="F585" s="1"/>
      <c r="G585" s="1"/>
      <c r="H585" s="1"/>
      <c r="I585" s="1"/>
      <c r="J585" s="5"/>
      <c r="K585" s="2"/>
      <c r="L585" s="1"/>
      <c r="M585" s="1"/>
      <c r="N585" s="1"/>
      <c r="O585" s="1"/>
      <c r="P585" s="1"/>
      <c r="Q585" s="1"/>
      <c r="R585" s="1"/>
      <c r="S585" s="1"/>
      <c r="T585" s="1"/>
      <c r="U585" s="1"/>
      <c r="V585" s="1"/>
      <c r="W585" s="1"/>
      <c r="X585" s="1"/>
      <c r="Y585" s="1"/>
      <c r="Z585" s="1"/>
      <c r="AA585" s="1"/>
      <c r="AB585" s="1"/>
      <c r="AC585" s="1"/>
      <c r="AD585" s="1"/>
      <c r="AE585" s="1"/>
      <c r="AF585" s="1"/>
      <c r="AG585" s="1"/>
      <c r="AH585" s="1"/>
    </row>
    <row r="586">
      <c r="A586" s="1"/>
      <c r="B586" s="1"/>
      <c r="C586" s="1"/>
      <c r="D586" s="1"/>
      <c r="E586" s="1"/>
      <c r="F586" s="1"/>
      <c r="G586" s="1"/>
      <c r="H586" s="1"/>
      <c r="I586" s="1"/>
      <c r="J586" s="5"/>
      <c r="K586" s="2"/>
      <c r="L586" s="1"/>
      <c r="M586" s="1"/>
      <c r="N586" s="1"/>
      <c r="O586" s="1"/>
      <c r="P586" s="1"/>
      <c r="Q586" s="1"/>
      <c r="R586" s="1"/>
      <c r="S586" s="1"/>
      <c r="T586" s="1"/>
      <c r="U586" s="1"/>
      <c r="V586" s="1"/>
      <c r="W586" s="1"/>
      <c r="X586" s="1"/>
      <c r="Y586" s="1"/>
      <c r="Z586" s="1"/>
      <c r="AA586" s="1"/>
      <c r="AB586" s="1"/>
      <c r="AC586" s="1"/>
      <c r="AD586" s="1"/>
      <c r="AE586" s="1"/>
      <c r="AF586" s="1"/>
      <c r="AG586" s="1"/>
      <c r="AH586" s="1"/>
    </row>
    <row r="587">
      <c r="A587" s="1"/>
      <c r="B587" s="1"/>
      <c r="C587" s="1"/>
      <c r="D587" s="1"/>
      <c r="E587" s="1"/>
      <c r="F587" s="1"/>
      <c r="G587" s="1"/>
      <c r="H587" s="1"/>
      <c r="I587" s="1"/>
      <c r="J587" s="5"/>
      <c r="K587" s="2"/>
      <c r="L587" s="1"/>
      <c r="M587" s="1"/>
      <c r="N587" s="1"/>
      <c r="O587" s="1"/>
      <c r="P587" s="1"/>
      <c r="Q587" s="1"/>
      <c r="R587" s="1"/>
      <c r="S587" s="1"/>
      <c r="T587" s="1"/>
      <c r="U587" s="1"/>
      <c r="V587" s="1"/>
      <c r="W587" s="1"/>
      <c r="X587" s="1"/>
      <c r="Y587" s="1"/>
      <c r="Z587" s="1"/>
      <c r="AA587" s="1"/>
      <c r="AB587" s="1"/>
      <c r="AC587" s="1"/>
      <c r="AD587" s="1"/>
      <c r="AE587" s="1"/>
      <c r="AF587" s="1"/>
      <c r="AG587" s="1"/>
      <c r="AH587" s="1"/>
    </row>
    <row r="588">
      <c r="A588" s="1"/>
      <c r="B588" s="1"/>
      <c r="C588" s="1"/>
      <c r="D588" s="1"/>
      <c r="E588" s="1"/>
      <c r="F588" s="1"/>
      <c r="G588" s="1"/>
      <c r="H588" s="1"/>
      <c r="I588" s="1"/>
      <c r="J588" s="5"/>
      <c r="K588" s="2"/>
      <c r="L588" s="1"/>
      <c r="M588" s="1"/>
      <c r="N588" s="1"/>
      <c r="O588" s="1"/>
      <c r="P588" s="1"/>
      <c r="Q588" s="1"/>
      <c r="R588" s="1"/>
      <c r="S588" s="1"/>
      <c r="T588" s="1"/>
      <c r="U588" s="1"/>
      <c r="V588" s="1"/>
      <c r="W588" s="1"/>
      <c r="X588" s="1"/>
      <c r="Y588" s="1"/>
      <c r="Z588" s="1"/>
      <c r="AA588" s="1"/>
      <c r="AB588" s="1"/>
      <c r="AC588" s="1"/>
      <c r="AD588" s="1"/>
      <c r="AE588" s="1"/>
      <c r="AF588" s="1"/>
      <c r="AG588" s="1"/>
      <c r="AH588" s="1"/>
    </row>
    <row r="589">
      <c r="A589" s="1"/>
      <c r="B589" s="1"/>
      <c r="C589" s="1"/>
      <c r="D589" s="1"/>
      <c r="E589" s="1"/>
      <c r="F589" s="1"/>
      <c r="G589" s="1"/>
      <c r="H589" s="1"/>
      <c r="I589" s="1"/>
      <c r="J589" s="5"/>
      <c r="K589" s="2"/>
      <c r="L589" s="1"/>
      <c r="M589" s="1"/>
      <c r="N589" s="1"/>
      <c r="O589" s="1"/>
      <c r="P589" s="1"/>
      <c r="Q589" s="1"/>
      <c r="R589" s="1"/>
      <c r="S589" s="1"/>
      <c r="T589" s="1"/>
      <c r="U589" s="1"/>
      <c r="V589" s="1"/>
      <c r="W589" s="1"/>
      <c r="X589" s="1"/>
      <c r="Y589" s="1"/>
      <c r="Z589" s="1"/>
      <c r="AA589" s="1"/>
      <c r="AB589" s="1"/>
      <c r="AC589" s="1"/>
      <c r="AD589" s="1"/>
      <c r="AE589" s="1"/>
      <c r="AF589" s="1"/>
      <c r="AG589" s="1"/>
      <c r="AH589" s="1"/>
    </row>
    <row r="590">
      <c r="A590" s="1"/>
      <c r="B590" s="1"/>
      <c r="C590" s="1"/>
      <c r="D590" s="1"/>
      <c r="E590" s="1"/>
      <c r="F590" s="1"/>
      <c r="G590" s="1"/>
      <c r="H590" s="1"/>
      <c r="I590" s="1"/>
      <c r="J590" s="5"/>
      <c r="K590" s="2"/>
      <c r="L590" s="1"/>
      <c r="M590" s="1"/>
      <c r="N590" s="1"/>
      <c r="O590" s="1"/>
      <c r="P590" s="1"/>
      <c r="Q590" s="1"/>
      <c r="R590" s="1"/>
      <c r="S590" s="1"/>
      <c r="T590" s="1"/>
      <c r="U590" s="1"/>
      <c r="V590" s="1"/>
      <c r="W590" s="1"/>
      <c r="X590" s="1"/>
      <c r="Y590" s="1"/>
      <c r="Z590" s="1"/>
      <c r="AA590" s="1"/>
      <c r="AB590" s="1"/>
      <c r="AC590" s="1"/>
      <c r="AD590" s="1"/>
      <c r="AE590" s="1"/>
      <c r="AF590" s="1"/>
      <c r="AG590" s="1"/>
      <c r="AH590" s="1"/>
    </row>
    <row r="591">
      <c r="A591" s="1"/>
      <c r="B591" s="1"/>
      <c r="C591" s="1"/>
      <c r="D591" s="1"/>
      <c r="E591" s="1"/>
      <c r="F591" s="1"/>
      <c r="G591" s="1"/>
      <c r="H591" s="1"/>
      <c r="I591" s="1"/>
      <c r="J591" s="5"/>
      <c r="K591" s="2"/>
      <c r="L591" s="1"/>
      <c r="M591" s="1"/>
      <c r="N591" s="1"/>
      <c r="O591" s="1"/>
      <c r="P591" s="1"/>
      <c r="Q591" s="1"/>
      <c r="R591" s="1"/>
      <c r="S591" s="1"/>
      <c r="T591" s="1"/>
      <c r="U591" s="1"/>
      <c r="V591" s="1"/>
      <c r="W591" s="1"/>
      <c r="X591" s="1"/>
      <c r="Y591" s="1"/>
      <c r="Z591" s="1"/>
      <c r="AA591" s="1"/>
      <c r="AB591" s="1"/>
      <c r="AC591" s="1"/>
      <c r="AD591" s="1"/>
      <c r="AE591" s="1"/>
      <c r="AF591" s="1"/>
      <c r="AG591" s="1"/>
      <c r="AH591" s="1"/>
    </row>
    <row r="592">
      <c r="A592" s="1"/>
      <c r="B592" s="1"/>
      <c r="C592" s="1"/>
      <c r="D592" s="1"/>
      <c r="E592" s="1"/>
      <c r="F592" s="1"/>
      <c r="G592" s="1"/>
      <c r="H592" s="1"/>
      <c r="I592" s="1"/>
      <c r="J592" s="5"/>
      <c r="K592" s="2"/>
      <c r="L592" s="1"/>
      <c r="M592" s="1"/>
      <c r="N592" s="1"/>
      <c r="O592" s="1"/>
      <c r="P592" s="1"/>
      <c r="Q592" s="1"/>
      <c r="R592" s="1"/>
      <c r="S592" s="1"/>
      <c r="T592" s="1"/>
      <c r="U592" s="1"/>
      <c r="V592" s="1"/>
      <c r="W592" s="1"/>
      <c r="X592" s="1"/>
      <c r="Y592" s="1"/>
      <c r="Z592" s="1"/>
      <c r="AA592" s="1"/>
      <c r="AB592" s="1"/>
      <c r="AC592" s="1"/>
      <c r="AD592" s="1"/>
      <c r="AE592" s="1"/>
      <c r="AF592" s="1"/>
      <c r="AG592" s="1"/>
      <c r="AH592" s="1"/>
    </row>
    <row r="593">
      <c r="A593" s="1"/>
      <c r="B593" s="1"/>
      <c r="C593" s="1"/>
      <c r="D593" s="1"/>
      <c r="E593" s="1"/>
      <c r="F593" s="1"/>
      <c r="G593" s="1"/>
      <c r="H593" s="1"/>
      <c r="I593" s="1"/>
      <c r="J593" s="5"/>
      <c r="K593" s="2"/>
      <c r="L593" s="1"/>
      <c r="M593" s="1"/>
      <c r="N593" s="1"/>
      <c r="O593" s="1"/>
      <c r="P593" s="1"/>
      <c r="Q593" s="1"/>
      <c r="R593" s="1"/>
      <c r="S593" s="1"/>
      <c r="T593" s="1"/>
      <c r="U593" s="1"/>
      <c r="V593" s="1"/>
      <c r="W593" s="1"/>
      <c r="X593" s="1"/>
      <c r="Y593" s="1"/>
      <c r="Z593" s="1"/>
      <c r="AA593" s="1"/>
      <c r="AB593" s="1"/>
      <c r="AC593" s="1"/>
      <c r="AD593" s="1"/>
      <c r="AE593" s="1"/>
      <c r="AF593" s="1"/>
      <c r="AG593" s="1"/>
      <c r="AH593" s="1"/>
    </row>
    <row r="594">
      <c r="A594" s="1"/>
      <c r="B594" s="1"/>
      <c r="C594" s="1"/>
      <c r="D594" s="1"/>
      <c r="E594" s="1"/>
      <c r="F594" s="1"/>
      <c r="G594" s="1"/>
      <c r="H594" s="1"/>
      <c r="I594" s="1"/>
      <c r="J594" s="5"/>
      <c r="K594" s="2"/>
      <c r="L594" s="1"/>
      <c r="M594" s="1"/>
      <c r="N594" s="1"/>
      <c r="O594" s="1"/>
      <c r="P594" s="1"/>
      <c r="Q594" s="1"/>
      <c r="R594" s="1"/>
      <c r="S594" s="1"/>
      <c r="T594" s="1"/>
      <c r="U594" s="1"/>
      <c r="V594" s="1"/>
      <c r="W594" s="1"/>
      <c r="X594" s="1"/>
      <c r="Y594" s="1"/>
      <c r="Z594" s="1"/>
      <c r="AA594" s="1"/>
      <c r="AB594" s="1"/>
      <c r="AC594" s="1"/>
      <c r="AD594" s="1"/>
      <c r="AE594" s="1"/>
      <c r="AF594" s="1"/>
      <c r="AG594" s="1"/>
      <c r="AH594" s="1"/>
    </row>
    <row r="595">
      <c r="A595" s="1"/>
      <c r="B595" s="1"/>
      <c r="C595" s="1"/>
      <c r="D595" s="1"/>
      <c r="E595" s="1"/>
      <c r="F595" s="1"/>
      <c r="G595" s="1"/>
      <c r="H595" s="1"/>
      <c r="I595" s="1"/>
      <c r="J595" s="5"/>
      <c r="K595" s="2"/>
      <c r="L595" s="1"/>
      <c r="M595" s="1"/>
      <c r="N595" s="1"/>
      <c r="O595" s="1"/>
      <c r="P595" s="1"/>
      <c r="Q595" s="1"/>
      <c r="R595" s="1"/>
      <c r="S595" s="1"/>
      <c r="T595" s="1"/>
      <c r="U595" s="1"/>
      <c r="V595" s="1"/>
      <c r="W595" s="1"/>
      <c r="X595" s="1"/>
      <c r="Y595" s="1"/>
      <c r="Z595" s="1"/>
      <c r="AA595" s="1"/>
      <c r="AB595" s="1"/>
      <c r="AC595" s="1"/>
      <c r="AD595" s="1"/>
      <c r="AE595" s="1"/>
      <c r="AF595" s="1"/>
      <c r="AG595" s="1"/>
      <c r="AH595" s="1"/>
    </row>
    <row r="596">
      <c r="A596" s="1"/>
      <c r="B596" s="1"/>
      <c r="C596" s="1"/>
      <c r="D596" s="1"/>
      <c r="E596" s="1"/>
      <c r="F596" s="1"/>
      <c r="G596" s="1"/>
      <c r="H596" s="1"/>
      <c r="I596" s="1"/>
      <c r="J596" s="5"/>
      <c r="K596" s="2"/>
      <c r="L596" s="1"/>
      <c r="M596" s="1"/>
      <c r="N596" s="1"/>
      <c r="O596" s="1"/>
      <c r="P596" s="1"/>
      <c r="Q596" s="1"/>
      <c r="R596" s="1"/>
      <c r="S596" s="1"/>
      <c r="T596" s="1"/>
      <c r="U596" s="1"/>
      <c r="V596" s="1"/>
      <c r="W596" s="1"/>
      <c r="X596" s="1"/>
      <c r="Y596" s="1"/>
      <c r="Z596" s="1"/>
      <c r="AA596" s="1"/>
      <c r="AB596" s="1"/>
      <c r="AC596" s="1"/>
      <c r="AD596" s="1"/>
      <c r="AE596" s="1"/>
      <c r="AF596" s="1"/>
      <c r="AG596" s="1"/>
      <c r="AH596" s="1"/>
    </row>
    <row r="597">
      <c r="A597" s="1"/>
      <c r="B597" s="1"/>
      <c r="C597" s="1"/>
      <c r="D597" s="1"/>
      <c r="E597" s="1"/>
      <c r="F597" s="1"/>
      <c r="G597" s="1"/>
      <c r="H597" s="1"/>
      <c r="I597" s="1"/>
      <c r="J597" s="5"/>
      <c r="K597" s="2"/>
      <c r="L597" s="1"/>
      <c r="M597" s="1"/>
      <c r="N597" s="1"/>
      <c r="O597" s="1"/>
      <c r="P597" s="1"/>
      <c r="Q597" s="1"/>
      <c r="R597" s="1"/>
      <c r="S597" s="1"/>
      <c r="T597" s="1"/>
      <c r="U597" s="1"/>
      <c r="V597" s="1"/>
      <c r="W597" s="1"/>
      <c r="X597" s="1"/>
      <c r="Y597" s="1"/>
      <c r="Z597" s="1"/>
      <c r="AA597" s="1"/>
      <c r="AB597" s="1"/>
      <c r="AC597" s="1"/>
      <c r="AD597" s="1"/>
      <c r="AE597" s="1"/>
      <c r="AF597" s="1"/>
      <c r="AG597" s="1"/>
      <c r="AH597" s="1"/>
    </row>
    <row r="598">
      <c r="A598" s="1"/>
      <c r="B598" s="1"/>
      <c r="C598" s="1"/>
      <c r="D598" s="1"/>
      <c r="E598" s="1"/>
      <c r="F598" s="1"/>
      <c r="G598" s="1"/>
      <c r="H598" s="1"/>
      <c r="I598" s="1"/>
      <c r="J598" s="5"/>
      <c r="K598" s="2"/>
      <c r="L598" s="1"/>
      <c r="M598" s="1"/>
      <c r="N598" s="1"/>
      <c r="O598" s="1"/>
      <c r="P598" s="1"/>
      <c r="Q598" s="1"/>
      <c r="R598" s="1"/>
      <c r="S598" s="1"/>
      <c r="T598" s="1"/>
      <c r="U598" s="1"/>
      <c r="V598" s="1"/>
      <c r="W598" s="1"/>
      <c r="X598" s="1"/>
      <c r="Y598" s="1"/>
      <c r="Z598" s="1"/>
      <c r="AA598" s="1"/>
      <c r="AB598" s="1"/>
      <c r="AC598" s="1"/>
      <c r="AD598" s="1"/>
      <c r="AE598" s="1"/>
      <c r="AF598" s="1"/>
      <c r="AG598" s="1"/>
      <c r="AH598" s="1"/>
    </row>
    <row r="599">
      <c r="A599" s="1"/>
      <c r="B599" s="1"/>
      <c r="C599" s="1"/>
      <c r="D599" s="1"/>
      <c r="E599" s="1"/>
      <c r="F599" s="1"/>
      <c r="G599" s="1"/>
      <c r="H599" s="1"/>
      <c r="I599" s="1"/>
      <c r="J599" s="5"/>
      <c r="K599" s="2"/>
      <c r="L599" s="1"/>
      <c r="M599" s="1"/>
      <c r="N599" s="1"/>
      <c r="O599" s="1"/>
      <c r="P599" s="1"/>
      <c r="Q599" s="1"/>
      <c r="R599" s="1"/>
      <c r="S599" s="1"/>
      <c r="T599" s="1"/>
      <c r="U599" s="1"/>
      <c r="V599" s="1"/>
      <c r="W599" s="1"/>
      <c r="X599" s="1"/>
      <c r="Y599" s="1"/>
      <c r="Z599" s="1"/>
      <c r="AA599" s="1"/>
      <c r="AB599" s="1"/>
      <c r="AC599" s="1"/>
      <c r="AD599" s="1"/>
      <c r="AE599" s="1"/>
      <c r="AF599" s="1"/>
      <c r="AG599" s="1"/>
      <c r="AH599" s="1"/>
    </row>
    <row r="600">
      <c r="A600" s="1"/>
      <c r="B600" s="1"/>
      <c r="C600" s="1"/>
      <c r="D600" s="1"/>
      <c r="E600" s="1"/>
      <c r="F600" s="1"/>
      <c r="G600" s="1"/>
      <c r="H600" s="1"/>
      <c r="I600" s="1"/>
      <c r="J600" s="5"/>
      <c r="K600" s="2"/>
      <c r="L600" s="1"/>
      <c r="M600" s="1"/>
      <c r="N600" s="1"/>
      <c r="O600" s="1"/>
      <c r="P600" s="1"/>
      <c r="Q600" s="1"/>
      <c r="R600" s="1"/>
      <c r="S600" s="1"/>
      <c r="T600" s="1"/>
      <c r="U600" s="1"/>
      <c r="V600" s="1"/>
      <c r="W600" s="1"/>
      <c r="X600" s="1"/>
      <c r="Y600" s="1"/>
      <c r="Z600" s="1"/>
      <c r="AA600" s="1"/>
      <c r="AB600" s="1"/>
      <c r="AC600" s="1"/>
      <c r="AD600" s="1"/>
      <c r="AE600" s="1"/>
      <c r="AF600" s="1"/>
      <c r="AG600" s="1"/>
      <c r="AH600" s="1"/>
    </row>
    <row r="601">
      <c r="A601" s="1"/>
      <c r="B601" s="1"/>
      <c r="C601" s="1"/>
      <c r="D601" s="1"/>
      <c r="E601" s="1"/>
      <c r="F601" s="1"/>
      <c r="G601" s="1"/>
      <c r="H601" s="1"/>
      <c r="I601" s="1"/>
      <c r="J601" s="5"/>
      <c r="K601" s="2"/>
      <c r="L601" s="1"/>
      <c r="M601" s="1"/>
      <c r="N601" s="1"/>
      <c r="O601" s="1"/>
      <c r="P601" s="1"/>
      <c r="Q601" s="1"/>
      <c r="R601" s="1"/>
      <c r="S601" s="1"/>
      <c r="T601" s="1"/>
      <c r="U601" s="1"/>
      <c r="V601" s="1"/>
      <c r="W601" s="1"/>
      <c r="X601" s="1"/>
      <c r="Y601" s="1"/>
      <c r="Z601" s="1"/>
      <c r="AA601" s="1"/>
      <c r="AB601" s="1"/>
      <c r="AC601" s="1"/>
      <c r="AD601" s="1"/>
      <c r="AE601" s="1"/>
      <c r="AF601" s="1"/>
      <c r="AG601" s="1"/>
      <c r="AH601" s="1"/>
    </row>
    <row r="602">
      <c r="A602" s="1"/>
      <c r="B602" s="1"/>
      <c r="C602" s="1"/>
      <c r="D602" s="1"/>
      <c r="E602" s="1"/>
      <c r="F602" s="1"/>
      <c r="G602" s="1"/>
      <c r="H602" s="1"/>
      <c r="I602" s="1"/>
      <c r="J602" s="5"/>
      <c r="K602" s="2"/>
      <c r="L602" s="1"/>
      <c r="M602" s="1"/>
      <c r="N602" s="1"/>
      <c r="O602" s="1"/>
      <c r="P602" s="1"/>
      <c r="Q602" s="1"/>
      <c r="R602" s="1"/>
      <c r="S602" s="1"/>
      <c r="T602" s="1"/>
      <c r="U602" s="1"/>
      <c r="V602" s="1"/>
      <c r="W602" s="1"/>
      <c r="X602" s="1"/>
      <c r="Y602" s="1"/>
      <c r="Z602" s="1"/>
      <c r="AA602" s="1"/>
      <c r="AB602" s="1"/>
      <c r="AC602" s="1"/>
      <c r="AD602" s="1"/>
      <c r="AE602" s="1"/>
      <c r="AF602" s="1"/>
      <c r="AG602" s="1"/>
      <c r="AH602" s="1"/>
    </row>
    <row r="603">
      <c r="A603" s="1"/>
      <c r="B603" s="1"/>
      <c r="C603" s="1"/>
      <c r="D603" s="1"/>
      <c r="E603" s="1"/>
      <c r="F603" s="1"/>
      <c r="G603" s="1"/>
      <c r="H603" s="1"/>
      <c r="I603" s="1"/>
      <c r="J603" s="5"/>
      <c r="K603" s="2"/>
      <c r="L603" s="1"/>
      <c r="M603" s="1"/>
      <c r="N603" s="1"/>
      <c r="O603" s="1"/>
      <c r="P603" s="1"/>
      <c r="Q603" s="1"/>
      <c r="R603" s="1"/>
      <c r="S603" s="1"/>
      <c r="T603" s="1"/>
      <c r="U603" s="1"/>
      <c r="V603" s="1"/>
      <c r="W603" s="1"/>
      <c r="X603" s="1"/>
      <c r="Y603" s="1"/>
      <c r="Z603" s="1"/>
      <c r="AA603" s="1"/>
      <c r="AB603" s="1"/>
      <c r="AC603" s="1"/>
      <c r="AD603" s="1"/>
      <c r="AE603" s="1"/>
      <c r="AF603" s="1"/>
      <c r="AG603" s="1"/>
      <c r="AH603" s="1"/>
    </row>
    <row r="604">
      <c r="A604" s="1"/>
      <c r="B604" s="1"/>
      <c r="C604" s="1"/>
      <c r="D604" s="1"/>
      <c r="E604" s="1"/>
      <c r="F604" s="1"/>
      <c r="G604" s="1"/>
      <c r="H604" s="1"/>
      <c r="I604" s="1"/>
      <c r="J604" s="5"/>
      <c r="K604" s="2"/>
      <c r="L604" s="1"/>
      <c r="M604" s="1"/>
      <c r="N604" s="1"/>
      <c r="O604" s="1"/>
      <c r="P604" s="1"/>
      <c r="Q604" s="1"/>
      <c r="R604" s="1"/>
      <c r="S604" s="1"/>
      <c r="T604" s="1"/>
      <c r="U604" s="1"/>
      <c r="V604" s="1"/>
      <c r="W604" s="1"/>
      <c r="X604" s="1"/>
      <c r="Y604" s="1"/>
      <c r="Z604" s="1"/>
      <c r="AA604" s="1"/>
      <c r="AB604" s="1"/>
      <c r="AC604" s="1"/>
      <c r="AD604" s="1"/>
      <c r="AE604" s="1"/>
      <c r="AF604" s="1"/>
      <c r="AG604" s="1"/>
      <c r="AH604" s="1"/>
    </row>
    <row r="605">
      <c r="A605" s="1"/>
      <c r="B605" s="1"/>
      <c r="C605" s="1"/>
      <c r="D605" s="1"/>
      <c r="E605" s="1"/>
      <c r="F605" s="1"/>
      <c r="G605" s="1"/>
      <c r="H605" s="1"/>
      <c r="I605" s="1"/>
      <c r="J605" s="5"/>
      <c r="K605" s="2"/>
      <c r="L605" s="1"/>
      <c r="M605" s="1"/>
      <c r="N605" s="1"/>
      <c r="O605" s="1"/>
      <c r="P605" s="1"/>
      <c r="Q605" s="1"/>
      <c r="R605" s="1"/>
      <c r="S605" s="1"/>
      <c r="T605" s="1"/>
      <c r="U605" s="1"/>
      <c r="V605" s="1"/>
      <c r="W605" s="1"/>
      <c r="X605" s="1"/>
      <c r="Y605" s="1"/>
      <c r="Z605" s="1"/>
      <c r="AA605" s="1"/>
      <c r="AB605" s="1"/>
      <c r="AC605" s="1"/>
      <c r="AD605" s="1"/>
      <c r="AE605" s="1"/>
      <c r="AF605" s="1"/>
      <c r="AG605" s="1"/>
      <c r="AH605" s="1"/>
    </row>
    <row r="606">
      <c r="A606" s="1"/>
      <c r="B606" s="1"/>
      <c r="C606" s="1"/>
      <c r="D606" s="1"/>
      <c r="E606" s="1"/>
      <c r="F606" s="1"/>
      <c r="G606" s="1"/>
      <c r="H606" s="1"/>
      <c r="I606" s="1"/>
      <c r="J606" s="5"/>
      <c r="K606" s="2"/>
      <c r="L606" s="1"/>
      <c r="M606" s="1"/>
      <c r="N606" s="1"/>
      <c r="O606" s="1"/>
      <c r="P606" s="1"/>
      <c r="Q606" s="1"/>
      <c r="R606" s="1"/>
      <c r="S606" s="1"/>
      <c r="T606" s="1"/>
      <c r="U606" s="1"/>
      <c r="V606" s="1"/>
      <c r="W606" s="1"/>
      <c r="X606" s="1"/>
      <c r="Y606" s="1"/>
      <c r="Z606" s="1"/>
      <c r="AA606" s="1"/>
      <c r="AB606" s="1"/>
      <c r="AC606" s="1"/>
      <c r="AD606" s="1"/>
      <c r="AE606" s="1"/>
      <c r="AF606" s="1"/>
      <c r="AG606" s="1"/>
      <c r="AH606" s="1"/>
    </row>
    <row r="607">
      <c r="A607" s="1"/>
      <c r="B607" s="1"/>
      <c r="C607" s="1"/>
      <c r="D607" s="1"/>
      <c r="E607" s="1"/>
      <c r="F607" s="1"/>
      <c r="G607" s="1"/>
      <c r="H607" s="1"/>
      <c r="I607" s="1"/>
      <c r="J607" s="5"/>
      <c r="K607" s="2"/>
      <c r="L607" s="1"/>
      <c r="M607" s="1"/>
      <c r="N607" s="1"/>
      <c r="O607" s="1"/>
      <c r="P607" s="1"/>
      <c r="Q607" s="1"/>
      <c r="R607" s="1"/>
      <c r="S607" s="1"/>
      <c r="T607" s="1"/>
      <c r="U607" s="1"/>
      <c r="V607" s="1"/>
      <c r="W607" s="1"/>
      <c r="X607" s="1"/>
      <c r="Y607" s="1"/>
      <c r="Z607" s="1"/>
      <c r="AA607" s="1"/>
      <c r="AB607" s="1"/>
      <c r="AC607" s="1"/>
      <c r="AD607" s="1"/>
      <c r="AE607" s="1"/>
      <c r="AF607" s="1"/>
      <c r="AG607" s="1"/>
      <c r="AH607" s="1"/>
    </row>
    <row r="608">
      <c r="A608" s="1"/>
      <c r="B608" s="1"/>
      <c r="C608" s="1"/>
      <c r="D608" s="1"/>
      <c r="E608" s="1"/>
      <c r="F608" s="1"/>
      <c r="G608" s="1"/>
      <c r="H608" s="1"/>
      <c r="I608" s="1"/>
      <c r="J608" s="5"/>
      <c r="K608" s="2"/>
      <c r="L608" s="1"/>
      <c r="M608" s="1"/>
      <c r="N608" s="1"/>
      <c r="O608" s="1"/>
      <c r="P608" s="1"/>
      <c r="Q608" s="1"/>
      <c r="R608" s="1"/>
      <c r="S608" s="1"/>
      <c r="T608" s="1"/>
      <c r="U608" s="1"/>
      <c r="V608" s="1"/>
      <c r="W608" s="1"/>
      <c r="X608" s="1"/>
      <c r="Y608" s="1"/>
      <c r="Z608" s="1"/>
      <c r="AA608" s="1"/>
      <c r="AB608" s="1"/>
      <c r="AC608" s="1"/>
      <c r="AD608" s="1"/>
      <c r="AE608" s="1"/>
      <c r="AF608" s="1"/>
      <c r="AG608" s="1"/>
      <c r="AH608" s="1"/>
    </row>
    <row r="609">
      <c r="A609" s="1"/>
      <c r="B609" s="1"/>
      <c r="C609" s="1"/>
      <c r="D609" s="1"/>
      <c r="E609" s="1"/>
      <c r="F609" s="1"/>
      <c r="G609" s="1"/>
      <c r="H609" s="1"/>
      <c r="I609" s="1"/>
      <c r="J609" s="5"/>
      <c r="K609" s="2"/>
      <c r="L609" s="1"/>
      <c r="M609" s="1"/>
      <c r="N609" s="1"/>
      <c r="O609" s="1"/>
      <c r="P609" s="1"/>
      <c r="Q609" s="1"/>
      <c r="R609" s="1"/>
      <c r="S609" s="1"/>
      <c r="T609" s="1"/>
      <c r="U609" s="1"/>
      <c r="V609" s="1"/>
      <c r="W609" s="1"/>
      <c r="X609" s="1"/>
      <c r="Y609" s="1"/>
      <c r="Z609" s="1"/>
      <c r="AA609" s="1"/>
      <c r="AB609" s="1"/>
      <c r="AC609" s="1"/>
      <c r="AD609" s="1"/>
      <c r="AE609" s="1"/>
      <c r="AF609" s="1"/>
      <c r="AG609" s="1"/>
      <c r="AH609" s="1"/>
    </row>
    <row r="610">
      <c r="A610" s="1"/>
      <c r="B610" s="1"/>
      <c r="C610" s="1"/>
      <c r="D610" s="1"/>
      <c r="E610" s="1"/>
      <c r="F610" s="1"/>
      <c r="G610" s="1"/>
      <c r="H610" s="1"/>
      <c r="I610" s="1"/>
      <c r="J610" s="5"/>
      <c r="K610" s="2"/>
      <c r="L610" s="1"/>
      <c r="M610" s="1"/>
      <c r="N610" s="1"/>
      <c r="O610" s="1"/>
      <c r="P610" s="1"/>
      <c r="Q610" s="1"/>
      <c r="R610" s="1"/>
      <c r="S610" s="1"/>
      <c r="T610" s="1"/>
      <c r="U610" s="1"/>
      <c r="V610" s="1"/>
      <c r="W610" s="1"/>
      <c r="X610" s="1"/>
      <c r="Y610" s="1"/>
      <c r="Z610" s="1"/>
      <c r="AA610" s="1"/>
      <c r="AB610" s="1"/>
      <c r="AC610" s="1"/>
      <c r="AD610" s="1"/>
      <c r="AE610" s="1"/>
      <c r="AF610" s="1"/>
      <c r="AG610" s="1"/>
      <c r="AH610" s="1"/>
    </row>
    <row r="611">
      <c r="A611" s="1"/>
      <c r="B611" s="1"/>
      <c r="C611" s="1"/>
      <c r="D611" s="1"/>
      <c r="E611" s="1"/>
      <c r="F611" s="1"/>
      <c r="G611" s="1"/>
      <c r="H611" s="1"/>
      <c r="I611" s="1"/>
      <c r="J611" s="5"/>
      <c r="K611" s="2"/>
      <c r="L611" s="1"/>
      <c r="M611" s="1"/>
      <c r="N611" s="1"/>
      <c r="O611" s="1"/>
      <c r="P611" s="1"/>
      <c r="Q611" s="1"/>
      <c r="R611" s="1"/>
      <c r="S611" s="1"/>
      <c r="T611" s="1"/>
      <c r="U611" s="1"/>
      <c r="V611" s="1"/>
      <c r="W611" s="1"/>
      <c r="X611" s="1"/>
      <c r="Y611" s="1"/>
      <c r="Z611" s="1"/>
      <c r="AA611" s="1"/>
      <c r="AB611" s="1"/>
      <c r="AC611" s="1"/>
      <c r="AD611" s="1"/>
      <c r="AE611" s="1"/>
      <c r="AF611" s="1"/>
      <c r="AG611" s="1"/>
      <c r="AH611" s="1"/>
    </row>
    <row r="612">
      <c r="A612" s="1"/>
      <c r="B612" s="1"/>
      <c r="C612" s="1"/>
      <c r="D612" s="1"/>
      <c r="E612" s="1"/>
      <c r="F612" s="1"/>
      <c r="G612" s="1"/>
      <c r="H612" s="1"/>
      <c r="I612" s="1"/>
      <c r="J612" s="5"/>
      <c r="K612" s="2"/>
      <c r="L612" s="1"/>
      <c r="M612" s="1"/>
      <c r="N612" s="1"/>
      <c r="O612" s="1"/>
      <c r="P612" s="1"/>
      <c r="Q612" s="1"/>
      <c r="R612" s="1"/>
      <c r="S612" s="1"/>
      <c r="T612" s="1"/>
      <c r="U612" s="1"/>
      <c r="V612" s="1"/>
      <c r="W612" s="1"/>
      <c r="X612" s="1"/>
      <c r="Y612" s="1"/>
      <c r="Z612" s="1"/>
      <c r="AA612" s="1"/>
      <c r="AB612" s="1"/>
      <c r="AC612" s="1"/>
      <c r="AD612" s="1"/>
      <c r="AE612" s="1"/>
      <c r="AF612" s="1"/>
      <c r="AG612" s="1"/>
      <c r="AH612" s="1"/>
    </row>
    <row r="613">
      <c r="A613" s="1"/>
      <c r="B613" s="1"/>
      <c r="C613" s="1"/>
      <c r="D613" s="1"/>
      <c r="E613" s="1"/>
      <c r="F613" s="1"/>
      <c r="G613" s="1"/>
      <c r="H613" s="1"/>
      <c r="I613" s="1"/>
      <c r="J613" s="5"/>
      <c r="K613" s="2"/>
      <c r="L613" s="1"/>
      <c r="M613" s="1"/>
      <c r="N613" s="1"/>
      <c r="O613" s="1"/>
      <c r="P613" s="1"/>
      <c r="Q613" s="1"/>
      <c r="R613" s="1"/>
      <c r="S613" s="1"/>
      <c r="T613" s="1"/>
      <c r="U613" s="1"/>
      <c r="V613" s="1"/>
      <c r="W613" s="1"/>
      <c r="X613" s="1"/>
      <c r="Y613" s="1"/>
      <c r="Z613" s="1"/>
      <c r="AA613" s="1"/>
      <c r="AB613" s="1"/>
      <c r="AC613" s="1"/>
      <c r="AD613" s="1"/>
      <c r="AE613" s="1"/>
      <c r="AF613" s="1"/>
      <c r="AG613" s="1"/>
      <c r="AH613" s="1"/>
    </row>
    <row r="614">
      <c r="A614" s="1"/>
      <c r="B614" s="1"/>
      <c r="C614" s="1"/>
      <c r="D614" s="1"/>
      <c r="E614" s="1"/>
      <c r="F614" s="1"/>
      <c r="G614" s="1"/>
      <c r="H614" s="1"/>
      <c r="I614" s="1"/>
      <c r="J614" s="5"/>
      <c r="K614" s="2"/>
      <c r="L614" s="1"/>
      <c r="M614" s="1"/>
      <c r="N614" s="1"/>
      <c r="O614" s="1"/>
      <c r="P614" s="1"/>
      <c r="Q614" s="1"/>
      <c r="R614" s="1"/>
      <c r="S614" s="1"/>
      <c r="T614" s="1"/>
      <c r="U614" s="1"/>
      <c r="V614" s="1"/>
      <c r="W614" s="1"/>
      <c r="X614" s="1"/>
      <c r="Y614" s="1"/>
      <c r="Z614" s="1"/>
      <c r="AA614" s="1"/>
      <c r="AB614" s="1"/>
      <c r="AC614" s="1"/>
      <c r="AD614" s="1"/>
      <c r="AE614" s="1"/>
      <c r="AF614" s="1"/>
      <c r="AG614" s="1"/>
      <c r="AH614" s="1"/>
    </row>
    <row r="615">
      <c r="A615" s="1"/>
      <c r="B615" s="1"/>
      <c r="C615" s="1"/>
      <c r="D615" s="1"/>
      <c r="E615" s="1"/>
      <c r="F615" s="1"/>
      <c r="G615" s="1"/>
      <c r="H615" s="1"/>
      <c r="I615" s="1"/>
      <c r="J615" s="5"/>
      <c r="K615" s="2"/>
      <c r="L615" s="1"/>
      <c r="M615" s="1"/>
      <c r="N615" s="1"/>
      <c r="O615" s="1"/>
      <c r="P615" s="1"/>
      <c r="Q615" s="1"/>
      <c r="R615" s="1"/>
      <c r="S615" s="1"/>
      <c r="T615" s="1"/>
      <c r="U615" s="1"/>
      <c r="V615" s="1"/>
      <c r="W615" s="1"/>
      <c r="X615" s="1"/>
      <c r="Y615" s="1"/>
      <c r="Z615" s="1"/>
      <c r="AA615" s="1"/>
      <c r="AB615" s="1"/>
      <c r="AC615" s="1"/>
      <c r="AD615" s="1"/>
      <c r="AE615" s="1"/>
      <c r="AF615" s="1"/>
      <c r="AG615" s="1"/>
      <c r="AH615" s="1"/>
    </row>
    <row r="616">
      <c r="A616" s="1"/>
      <c r="B616" s="1"/>
      <c r="C616" s="1"/>
      <c r="D616" s="1"/>
      <c r="E616" s="1"/>
      <c r="F616" s="1"/>
      <c r="G616" s="1"/>
      <c r="H616" s="1"/>
      <c r="I616" s="1"/>
      <c r="J616" s="5"/>
      <c r="K616" s="2"/>
      <c r="L616" s="1"/>
      <c r="M616" s="1"/>
      <c r="N616" s="1"/>
      <c r="O616" s="1"/>
      <c r="P616" s="1"/>
      <c r="Q616" s="1"/>
      <c r="R616" s="1"/>
      <c r="S616" s="1"/>
      <c r="T616" s="1"/>
      <c r="U616" s="1"/>
      <c r="V616" s="1"/>
      <c r="W616" s="1"/>
      <c r="X616" s="1"/>
      <c r="Y616" s="1"/>
      <c r="Z616" s="1"/>
      <c r="AA616" s="1"/>
      <c r="AB616" s="1"/>
      <c r="AC616" s="1"/>
      <c r="AD616" s="1"/>
      <c r="AE616" s="1"/>
      <c r="AF616" s="1"/>
      <c r="AG616" s="1"/>
      <c r="AH616" s="1"/>
    </row>
    <row r="617">
      <c r="A617" s="1"/>
      <c r="B617" s="1"/>
      <c r="C617" s="1"/>
      <c r="D617" s="1"/>
      <c r="E617" s="1"/>
      <c r="F617" s="1"/>
      <c r="G617" s="1"/>
      <c r="H617" s="1"/>
      <c r="I617" s="1"/>
      <c r="J617" s="5"/>
      <c r="K617" s="2"/>
      <c r="L617" s="1"/>
      <c r="M617" s="1"/>
      <c r="N617" s="1"/>
      <c r="O617" s="1"/>
      <c r="P617" s="1"/>
      <c r="Q617" s="1"/>
      <c r="R617" s="1"/>
      <c r="S617" s="1"/>
      <c r="T617" s="1"/>
      <c r="U617" s="1"/>
      <c r="V617" s="1"/>
      <c r="W617" s="1"/>
      <c r="X617" s="1"/>
      <c r="Y617" s="1"/>
      <c r="Z617" s="1"/>
      <c r="AA617" s="1"/>
      <c r="AB617" s="1"/>
      <c r="AC617" s="1"/>
      <c r="AD617" s="1"/>
      <c r="AE617" s="1"/>
      <c r="AF617" s="1"/>
      <c r="AG617" s="1"/>
      <c r="AH617" s="1"/>
    </row>
    <row r="618">
      <c r="A618" s="1"/>
      <c r="B618" s="1"/>
      <c r="C618" s="1"/>
      <c r="D618" s="1"/>
      <c r="E618" s="1"/>
      <c r="F618" s="1"/>
      <c r="G618" s="1"/>
      <c r="H618" s="1"/>
      <c r="I618" s="1"/>
      <c r="J618" s="5"/>
      <c r="K618" s="2"/>
      <c r="L618" s="1"/>
      <c r="M618" s="1"/>
      <c r="N618" s="1"/>
      <c r="O618" s="1"/>
      <c r="P618" s="1"/>
      <c r="Q618" s="1"/>
      <c r="R618" s="1"/>
      <c r="S618" s="1"/>
      <c r="T618" s="1"/>
      <c r="U618" s="1"/>
      <c r="V618" s="1"/>
      <c r="W618" s="1"/>
      <c r="X618" s="1"/>
      <c r="Y618" s="1"/>
      <c r="Z618" s="1"/>
      <c r="AA618" s="1"/>
      <c r="AB618" s="1"/>
      <c r="AC618" s="1"/>
      <c r="AD618" s="1"/>
      <c r="AE618" s="1"/>
      <c r="AF618" s="1"/>
      <c r="AG618" s="1"/>
      <c r="AH618" s="1"/>
    </row>
    <row r="619">
      <c r="A619" s="1"/>
      <c r="B619" s="1"/>
      <c r="C619" s="1"/>
      <c r="D619" s="1"/>
      <c r="E619" s="1"/>
      <c r="F619" s="1"/>
      <c r="G619" s="1"/>
      <c r="H619" s="1"/>
      <c r="I619" s="1"/>
      <c r="J619" s="5"/>
      <c r="K619" s="2"/>
      <c r="L619" s="1"/>
      <c r="M619" s="1"/>
      <c r="N619" s="1"/>
      <c r="O619" s="1"/>
      <c r="P619" s="1"/>
      <c r="Q619" s="1"/>
      <c r="R619" s="1"/>
      <c r="S619" s="1"/>
      <c r="T619" s="1"/>
      <c r="U619" s="1"/>
      <c r="V619" s="1"/>
      <c r="W619" s="1"/>
      <c r="X619" s="1"/>
      <c r="Y619" s="1"/>
      <c r="Z619" s="1"/>
      <c r="AA619" s="1"/>
      <c r="AB619" s="1"/>
      <c r="AC619" s="1"/>
      <c r="AD619" s="1"/>
      <c r="AE619" s="1"/>
      <c r="AF619" s="1"/>
      <c r="AG619" s="1"/>
      <c r="AH619" s="1"/>
    </row>
    <row r="620">
      <c r="A620" s="1"/>
      <c r="B620" s="1"/>
      <c r="C620" s="1"/>
      <c r="D620" s="1"/>
      <c r="E620" s="1"/>
      <c r="F620" s="1"/>
      <c r="G620" s="1"/>
      <c r="H620" s="1"/>
      <c r="I620" s="1"/>
      <c r="J620" s="5"/>
      <c r="K620" s="2"/>
      <c r="L620" s="1"/>
      <c r="M620" s="1"/>
      <c r="N620" s="1"/>
      <c r="O620" s="1"/>
      <c r="P620" s="1"/>
      <c r="Q620" s="1"/>
      <c r="R620" s="1"/>
      <c r="S620" s="1"/>
      <c r="T620" s="1"/>
      <c r="U620" s="1"/>
      <c r="V620" s="1"/>
      <c r="W620" s="1"/>
      <c r="X620" s="1"/>
      <c r="Y620" s="1"/>
      <c r="Z620" s="1"/>
      <c r="AA620" s="1"/>
      <c r="AB620" s="1"/>
      <c r="AC620" s="1"/>
      <c r="AD620" s="1"/>
      <c r="AE620" s="1"/>
      <c r="AF620" s="1"/>
      <c r="AG620" s="1"/>
      <c r="AH620" s="1"/>
    </row>
    <row r="621">
      <c r="A621" s="1"/>
      <c r="B621" s="1"/>
      <c r="C621" s="1"/>
      <c r="D621" s="1"/>
      <c r="E621" s="1"/>
      <c r="F621" s="1"/>
      <c r="G621" s="1"/>
      <c r="H621" s="1"/>
      <c r="I621" s="1"/>
      <c r="J621" s="5"/>
      <c r="K621" s="2"/>
      <c r="L621" s="1"/>
      <c r="M621" s="1"/>
      <c r="N621" s="1"/>
      <c r="O621" s="1"/>
      <c r="P621" s="1"/>
      <c r="Q621" s="1"/>
      <c r="R621" s="1"/>
      <c r="S621" s="1"/>
      <c r="T621" s="1"/>
      <c r="U621" s="1"/>
      <c r="V621" s="1"/>
      <c r="W621" s="1"/>
      <c r="X621" s="1"/>
      <c r="Y621" s="1"/>
      <c r="Z621" s="1"/>
      <c r="AA621" s="1"/>
      <c r="AB621" s="1"/>
      <c r="AC621" s="1"/>
      <c r="AD621" s="1"/>
      <c r="AE621" s="1"/>
      <c r="AF621" s="1"/>
      <c r="AG621" s="1"/>
      <c r="AH621" s="1"/>
    </row>
    <row r="622">
      <c r="A622" s="1"/>
      <c r="B622" s="1"/>
      <c r="C622" s="1"/>
      <c r="D622" s="1"/>
      <c r="E622" s="1"/>
      <c r="F622" s="1"/>
      <c r="G622" s="1"/>
      <c r="H622" s="1"/>
      <c r="I622" s="1"/>
      <c r="J622" s="5"/>
      <c r="K622" s="2"/>
      <c r="L622" s="1"/>
      <c r="M622" s="1"/>
      <c r="N622" s="1"/>
      <c r="O622" s="1"/>
      <c r="P622" s="1"/>
      <c r="Q622" s="1"/>
      <c r="R622" s="1"/>
      <c r="S622" s="1"/>
      <c r="T622" s="1"/>
      <c r="U622" s="1"/>
      <c r="V622" s="1"/>
      <c r="W622" s="1"/>
      <c r="X622" s="1"/>
      <c r="Y622" s="1"/>
      <c r="Z622" s="1"/>
      <c r="AA622" s="1"/>
      <c r="AB622" s="1"/>
      <c r="AC622" s="1"/>
      <c r="AD622" s="1"/>
      <c r="AE622" s="1"/>
      <c r="AF622" s="1"/>
      <c r="AG622" s="1"/>
      <c r="AH622" s="1"/>
    </row>
    <row r="623">
      <c r="A623" s="1"/>
      <c r="B623" s="1"/>
      <c r="C623" s="1"/>
      <c r="D623" s="1"/>
      <c r="E623" s="1"/>
      <c r="F623" s="1"/>
      <c r="G623" s="1"/>
      <c r="H623" s="1"/>
      <c r="I623" s="1"/>
      <c r="J623" s="5"/>
      <c r="K623" s="2"/>
      <c r="L623" s="1"/>
      <c r="M623" s="1"/>
      <c r="N623" s="1"/>
      <c r="O623" s="1"/>
      <c r="P623" s="1"/>
      <c r="Q623" s="1"/>
      <c r="R623" s="1"/>
      <c r="S623" s="1"/>
      <c r="T623" s="1"/>
      <c r="U623" s="1"/>
      <c r="V623" s="1"/>
      <c r="W623" s="1"/>
      <c r="X623" s="1"/>
      <c r="Y623" s="1"/>
      <c r="Z623" s="1"/>
      <c r="AA623" s="1"/>
      <c r="AB623" s="1"/>
      <c r="AC623" s="1"/>
      <c r="AD623" s="1"/>
      <c r="AE623" s="1"/>
      <c r="AF623" s="1"/>
      <c r="AG623" s="1"/>
      <c r="AH623" s="1"/>
    </row>
    <row r="624">
      <c r="A624" s="1"/>
      <c r="B624" s="1"/>
      <c r="C624" s="1"/>
      <c r="D624" s="1"/>
      <c r="E624" s="1"/>
      <c r="F624" s="1"/>
      <c r="G624" s="1"/>
      <c r="H624" s="1"/>
      <c r="I624" s="1"/>
      <c r="J624" s="5"/>
      <c r="K624" s="2"/>
      <c r="L624" s="1"/>
      <c r="M624" s="1"/>
      <c r="N624" s="1"/>
      <c r="O624" s="1"/>
      <c r="P624" s="1"/>
      <c r="Q624" s="1"/>
      <c r="R624" s="1"/>
      <c r="S624" s="1"/>
      <c r="T624" s="1"/>
      <c r="U624" s="1"/>
      <c r="V624" s="1"/>
      <c r="W624" s="1"/>
      <c r="X624" s="1"/>
      <c r="Y624" s="1"/>
      <c r="Z624" s="1"/>
      <c r="AA624" s="1"/>
      <c r="AB624" s="1"/>
      <c r="AC624" s="1"/>
      <c r="AD624" s="1"/>
      <c r="AE624" s="1"/>
      <c r="AF624" s="1"/>
      <c r="AG624" s="1"/>
      <c r="AH624" s="1"/>
    </row>
    <row r="625">
      <c r="A625" s="1"/>
      <c r="B625" s="1"/>
      <c r="C625" s="1"/>
      <c r="D625" s="1"/>
      <c r="E625" s="1"/>
      <c r="F625" s="1"/>
      <c r="G625" s="1"/>
      <c r="H625" s="1"/>
      <c r="I625" s="1"/>
      <c r="J625" s="5"/>
      <c r="K625" s="2"/>
      <c r="L625" s="1"/>
      <c r="M625" s="1"/>
      <c r="N625" s="1"/>
      <c r="O625" s="1"/>
      <c r="P625" s="1"/>
      <c r="Q625" s="1"/>
      <c r="R625" s="1"/>
      <c r="S625" s="1"/>
      <c r="T625" s="1"/>
      <c r="U625" s="1"/>
      <c r="V625" s="1"/>
      <c r="W625" s="1"/>
      <c r="X625" s="1"/>
      <c r="Y625" s="1"/>
      <c r="Z625" s="1"/>
      <c r="AA625" s="1"/>
      <c r="AB625" s="1"/>
      <c r="AC625" s="1"/>
      <c r="AD625" s="1"/>
      <c r="AE625" s="1"/>
      <c r="AF625" s="1"/>
      <c r="AG625" s="1"/>
      <c r="AH625" s="1"/>
    </row>
    <row r="626">
      <c r="A626" s="1"/>
      <c r="B626" s="1"/>
      <c r="C626" s="1"/>
      <c r="D626" s="1"/>
      <c r="E626" s="1"/>
      <c r="F626" s="1"/>
      <c r="G626" s="1"/>
      <c r="H626" s="1"/>
      <c r="I626" s="1"/>
      <c r="J626" s="5"/>
      <c r="K626" s="2"/>
      <c r="L626" s="1"/>
      <c r="M626" s="1"/>
      <c r="N626" s="1"/>
      <c r="O626" s="1"/>
      <c r="P626" s="1"/>
      <c r="Q626" s="1"/>
      <c r="R626" s="1"/>
      <c r="S626" s="1"/>
      <c r="T626" s="1"/>
      <c r="U626" s="1"/>
      <c r="V626" s="1"/>
      <c r="W626" s="1"/>
      <c r="X626" s="1"/>
      <c r="Y626" s="1"/>
      <c r="Z626" s="1"/>
      <c r="AA626" s="1"/>
      <c r="AB626" s="1"/>
      <c r="AC626" s="1"/>
      <c r="AD626" s="1"/>
      <c r="AE626" s="1"/>
      <c r="AF626" s="1"/>
      <c r="AG626" s="1"/>
      <c r="AH626" s="1"/>
    </row>
    <row r="627">
      <c r="A627" s="1"/>
      <c r="B627" s="1"/>
      <c r="C627" s="1"/>
      <c r="D627" s="1"/>
      <c r="E627" s="1"/>
      <c r="F627" s="1"/>
      <c r="G627" s="1"/>
      <c r="H627" s="1"/>
      <c r="I627" s="1"/>
      <c r="J627" s="5"/>
      <c r="K627" s="2"/>
      <c r="L627" s="1"/>
      <c r="M627" s="1"/>
      <c r="N627" s="1"/>
      <c r="O627" s="1"/>
      <c r="P627" s="1"/>
      <c r="Q627" s="1"/>
      <c r="R627" s="1"/>
      <c r="S627" s="1"/>
      <c r="T627" s="1"/>
      <c r="U627" s="1"/>
      <c r="V627" s="1"/>
      <c r="W627" s="1"/>
      <c r="X627" s="1"/>
      <c r="Y627" s="1"/>
      <c r="Z627" s="1"/>
      <c r="AA627" s="1"/>
      <c r="AB627" s="1"/>
      <c r="AC627" s="1"/>
      <c r="AD627" s="1"/>
      <c r="AE627" s="1"/>
      <c r="AF627" s="1"/>
      <c r="AG627" s="1"/>
      <c r="AH627" s="1"/>
    </row>
    <row r="628">
      <c r="A628" s="1"/>
      <c r="B628" s="1"/>
      <c r="C628" s="1"/>
      <c r="D628" s="1"/>
      <c r="E628" s="1"/>
      <c r="F628" s="1"/>
      <c r="G628" s="1"/>
      <c r="H628" s="1"/>
      <c r="I628" s="1"/>
      <c r="J628" s="5"/>
      <c r="K628" s="2"/>
      <c r="L628" s="1"/>
      <c r="M628" s="1"/>
      <c r="N628" s="1"/>
      <c r="O628" s="1"/>
      <c r="P628" s="1"/>
      <c r="Q628" s="1"/>
      <c r="R628" s="1"/>
      <c r="S628" s="1"/>
      <c r="T628" s="1"/>
      <c r="U628" s="1"/>
      <c r="V628" s="1"/>
      <c r="W628" s="1"/>
      <c r="X628" s="1"/>
      <c r="Y628" s="1"/>
      <c r="Z628" s="1"/>
      <c r="AA628" s="1"/>
      <c r="AB628" s="1"/>
      <c r="AC628" s="1"/>
      <c r="AD628" s="1"/>
      <c r="AE628" s="1"/>
      <c r="AF628" s="1"/>
      <c r="AG628" s="1"/>
      <c r="AH628" s="1"/>
    </row>
    <row r="629">
      <c r="A629" s="1"/>
      <c r="B629" s="1"/>
      <c r="C629" s="1"/>
      <c r="D629" s="1"/>
      <c r="E629" s="1"/>
      <c r="F629" s="1"/>
      <c r="G629" s="1"/>
      <c r="H629" s="1"/>
      <c r="I629" s="1"/>
      <c r="J629" s="5"/>
      <c r="K629" s="2"/>
      <c r="L629" s="1"/>
      <c r="M629" s="1"/>
      <c r="N629" s="1"/>
      <c r="O629" s="1"/>
      <c r="P629" s="1"/>
      <c r="Q629" s="1"/>
      <c r="R629" s="1"/>
      <c r="S629" s="1"/>
      <c r="T629" s="1"/>
      <c r="U629" s="1"/>
      <c r="V629" s="1"/>
      <c r="W629" s="1"/>
      <c r="X629" s="1"/>
      <c r="Y629" s="1"/>
      <c r="Z629" s="1"/>
      <c r="AA629" s="1"/>
      <c r="AB629" s="1"/>
      <c r="AC629" s="1"/>
      <c r="AD629" s="1"/>
      <c r="AE629" s="1"/>
      <c r="AF629" s="1"/>
      <c r="AG629" s="1"/>
      <c r="AH629" s="1"/>
    </row>
    <row r="630">
      <c r="A630" s="1"/>
      <c r="B630" s="1"/>
      <c r="C630" s="1"/>
      <c r="D630" s="1"/>
      <c r="E630" s="1"/>
      <c r="F630" s="1"/>
      <c r="G630" s="1"/>
      <c r="H630" s="1"/>
      <c r="I630" s="1"/>
      <c r="J630" s="5"/>
      <c r="K630" s="2"/>
      <c r="L630" s="1"/>
      <c r="M630" s="1"/>
      <c r="N630" s="1"/>
      <c r="O630" s="1"/>
      <c r="P630" s="1"/>
      <c r="Q630" s="1"/>
      <c r="R630" s="1"/>
      <c r="S630" s="1"/>
      <c r="T630" s="1"/>
      <c r="U630" s="1"/>
      <c r="V630" s="1"/>
      <c r="W630" s="1"/>
      <c r="X630" s="1"/>
      <c r="Y630" s="1"/>
      <c r="Z630" s="1"/>
      <c r="AA630" s="1"/>
      <c r="AB630" s="1"/>
      <c r="AC630" s="1"/>
      <c r="AD630" s="1"/>
      <c r="AE630" s="1"/>
      <c r="AF630" s="1"/>
      <c r="AG630" s="1"/>
      <c r="AH630" s="1"/>
    </row>
    <row r="631">
      <c r="A631" s="1"/>
      <c r="B631" s="1"/>
      <c r="C631" s="1"/>
      <c r="D631" s="1"/>
      <c r="E631" s="1"/>
      <c r="F631" s="1"/>
      <c r="G631" s="1"/>
      <c r="H631" s="1"/>
      <c r="I631" s="1"/>
      <c r="J631" s="5"/>
      <c r="K631" s="2"/>
      <c r="L631" s="1"/>
      <c r="M631" s="1"/>
      <c r="N631" s="1"/>
      <c r="O631" s="1"/>
      <c r="P631" s="1"/>
      <c r="Q631" s="1"/>
      <c r="R631" s="1"/>
      <c r="S631" s="1"/>
      <c r="T631" s="1"/>
      <c r="U631" s="1"/>
      <c r="V631" s="1"/>
      <c r="W631" s="1"/>
      <c r="X631" s="1"/>
      <c r="Y631" s="1"/>
      <c r="Z631" s="1"/>
      <c r="AA631" s="1"/>
      <c r="AB631" s="1"/>
      <c r="AC631" s="1"/>
      <c r="AD631" s="1"/>
      <c r="AE631" s="1"/>
      <c r="AF631" s="1"/>
      <c r="AG631" s="1"/>
      <c r="AH631" s="1"/>
    </row>
    <row r="632">
      <c r="A632" s="1"/>
      <c r="B632" s="1"/>
      <c r="C632" s="1"/>
      <c r="D632" s="1"/>
      <c r="E632" s="1"/>
      <c r="F632" s="1"/>
      <c r="G632" s="1"/>
      <c r="H632" s="1"/>
      <c r="I632" s="1"/>
      <c r="J632" s="5"/>
      <c r="K632" s="2"/>
      <c r="L632" s="1"/>
      <c r="M632" s="1"/>
      <c r="N632" s="1"/>
      <c r="O632" s="1"/>
      <c r="P632" s="1"/>
      <c r="Q632" s="1"/>
      <c r="R632" s="1"/>
      <c r="S632" s="1"/>
      <c r="T632" s="1"/>
      <c r="U632" s="1"/>
      <c r="V632" s="1"/>
      <c r="W632" s="1"/>
      <c r="X632" s="1"/>
      <c r="Y632" s="1"/>
      <c r="Z632" s="1"/>
      <c r="AA632" s="1"/>
      <c r="AB632" s="1"/>
      <c r="AC632" s="1"/>
      <c r="AD632" s="1"/>
      <c r="AE632" s="1"/>
      <c r="AF632" s="1"/>
      <c r="AG632" s="1"/>
      <c r="AH632" s="1"/>
    </row>
    <row r="633">
      <c r="A633" s="1"/>
      <c r="B633" s="1"/>
      <c r="C633" s="1"/>
      <c r="D633" s="1"/>
      <c r="E633" s="1"/>
      <c r="F633" s="1"/>
      <c r="G633" s="1"/>
      <c r="H633" s="1"/>
      <c r="I633" s="1"/>
      <c r="J633" s="5"/>
      <c r="K633" s="2"/>
      <c r="L633" s="1"/>
      <c r="M633" s="1"/>
      <c r="N633" s="1"/>
      <c r="O633" s="1"/>
      <c r="P633" s="1"/>
      <c r="Q633" s="1"/>
      <c r="R633" s="1"/>
      <c r="S633" s="1"/>
      <c r="T633" s="1"/>
      <c r="U633" s="1"/>
      <c r="V633" s="1"/>
      <c r="W633" s="1"/>
      <c r="X633" s="1"/>
      <c r="Y633" s="1"/>
      <c r="Z633" s="1"/>
      <c r="AA633" s="1"/>
      <c r="AB633" s="1"/>
      <c r="AC633" s="1"/>
      <c r="AD633" s="1"/>
      <c r="AE633" s="1"/>
      <c r="AF633" s="1"/>
      <c r="AG633" s="1"/>
      <c r="AH633" s="1"/>
    </row>
    <row r="634">
      <c r="A634" s="1"/>
      <c r="B634" s="1"/>
      <c r="C634" s="1"/>
      <c r="D634" s="1"/>
      <c r="E634" s="1"/>
      <c r="F634" s="1"/>
      <c r="G634" s="1"/>
      <c r="H634" s="1"/>
      <c r="I634" s="1"/>
      <c r="J634" s="5"/>
      <c r="K634" s="2"/>
      <c r="L634" s="1"/>
      <c r="M634" s="1"/>
      <c r="N634" s="1"/>
      <c r="O634" s="1"/>
      <c r="P634" s="1"/>
      <c r="Q634" s="1"/>
      <c r="R634" s="1"/>
      <c r="S634" s="1"/>
      <c r="T634" s="1"/>
      <c r="U634" s="1"/>
      <c r="V634" s="1"/>
      <c r="W634" s="1"/>
      <c r="X634" s="1"/>
      <c r="Y634" s="1"/>
      <c r="Z634" s="1"/>
      <c r="AA634" s="1"/>
      <c r="AB634" s="1"/>
      <c r="AC634" s="1"/>
      <c r="AD634" s="1"/>
      <c r="AE634" s="1"/>
      <c r="AF634" s="1"/>
      <c r="AG634" s="1"/>
      <c r="AH634" s="1"/>
    </row>
    <row r="635">
      <c r="A635" s="1"/>
      <c r="B635" s="1"/>
      <c r="C635" s="1"/>
      <c r="D635" s="1"/>
      <c r="E635" s="1"/>
      <c r="F635" s="1"/>
      <c r="G635" s="1"/>
      <c r="H635" s="1"/>
      <c r="I635" s="1"/>
      <c r="J635" s="5"/>
      <c r="K635" s="2"/>
      <c r="L635" s="1"/>
      <c r="M635" s="1"/>
      <c r="N635" s="1"/>
      <c r="O635" s="1"/>
      <c r="P635" s="1"/>
      <c r="Q635" s="1"/>
      <c r="R635" s="1"/>
      <c r="S635" s="1"/>
      <c r="T635" s="1"/>
      <c r="U635" s="1"/>
      <c r="V635" s="1"/>
      <c r="W635" s="1"/>
      <c r="X635" s="1"/>
      <c r="Y635" s="1"/>
      <c r="Z635" s="1"/>
      <c r="AA635" s="1"/>
      <c r="AB635" s="1"/>
      <c r="AC635" s="1"/>
      <c r="AD635" s="1"/>
      <c r="AE635" s="1"/>
      <c r="AF635" s="1"/>
      <c r="AG635" s="1"/>
      <c r="AH635" s="1"/>
    </row>
    <row r="636">
      <c r="A636" s="1"/>
      <c r="B636" s="1"/>
      <c r="C636" s="1"/>
      <c r="D636" s="1"/>
      <c r="E636" s="1"/>
      <c r="F636" s="1"/>
      <c r="G636" s="1"/>
      <c r="H636" s="1"/>
      <c r="I636" s="1"/>
      <c r="J636" s="5"/>
      <c r="K636" s="2"/>
      <c r="L636" s="1"/>
      <c r="M636" s="1"/>
      <c r="N636" s="1"/>
      <c r="O636" s="1"/>
      <c r="P636" s="1"/>
      <c r="Q636" s="1"/>
      <c r="R636" s="1"/>
      <c r="S636" s="1"/>
      <c r="T636" s="1"/>
      <c r="U636" s="1"/>
      <c r="V636" s="1"/>
      <c r="W636" s="1"/>
      <c r="X636" s="1"/>
      <c r="Y636" s="1"/>
      <c r="Z636" s="1"/>
      <c r="AA636" s="1"/>
      <c r="AB636" s="1"/>
      <c r="AC636" s="1"/>
      <c r="AD636" s="1"/>
      <c r="AE636" s="1"/>
      <c r="AF636" s="1"/>
      <c r="AG636" s="1"/>
      <c r="AH636" s="1"/>
    </row>
    <row r="637">
      <c r="A637" s="1"/>
      <c r="B637" s="1"/>
      <c r="C637" s="1"/>
      <c r="D637" s="1"/>
      <c r="E637" s="1"/>
      <c r="F637" s="1"/>
      <c r="G637" s="1"/>
      <c r="H637" s="1"/>
      <c r="I637" s="1"/>
      <c r="J637" s="5"/>
      <c r="K637" s="2"/>
      <c r="L637" s="1"/>
      <c r="M637" s="1"/>
      <c r="N637" s="1"/>
      <c r="O637" s="1"/>
      <c r="P637" s="1"/>
      <c r="Q637" s="1"/>
      <c r="R637" s="1"/>
      <c r="S637" s="1"/>
      <c r="T637" s="1"/>
      <c r="U637" s="1"/>
      <c r="V637" s="1"/>
      <c r="W637" s="1"/>
      <c r="X637" s="1"/>
      <c r="Y637" s="1"/>
      <c r="Z637" s="1"/>
      <c r="AA637" s="1"/>
      <c r="AB637" s="1"/>
      <c r="AC637" s="1"/>
      <c r="AD637" s="1"/>
      <c r="AE637" s="1"/>
      <c r="AF637" s="1"/>
      <c r="AG637" s="1"/>
      <c r="AH637" s="1"/>
    </row>
    <row r="638">
      <c r="A638" s="1"/>
      <c r="B638" s="1"/>
      <c r="C638" s="1"/>
      <c r="D638" s="1"/>
      <c r="E638" s="1"/>
      <c r="F638" s="1"/>
      <c r="G638" s="1"/>
      <c r="H638" s="1"/>
      <c r="I638" s="1"/>
      <c r="J638" s="5"/>
      <c r="K638" s="2"/>
      <c r="L638" s="1"/>
      <c r="M638" s="1"/>
      <c r="N638" s="1"/>
      <c r="O638" s="1"/>
      <c r="P638" s="1"/>
      <c r="Q638" s="1"/>
      <c r="R638" s="1"/>
      <c r="S638" s="1"/>
      <c r="T638" s="1"/>
      <c r="U638" s="1"/>
      <c r="V638" s="1"/>
      <c r="W638" s="1"/>
      <c r="X638" s="1"/>
      <c r="Y638" s="1"/>
      <c r="Z638" s="1"/>
      <c r="AA638" s="1"/>
      <c r="AB638" s="1"/>
      <c r="AC638" s="1"/>
      <c r="AD638" s="1"/>
      <c r="AE638" s="1"/>
      <c r="AF638" s="1"/>
      <c r="AG638" s="1"/>
      <c r="AH638" s="1"/>
    </row>
    <row r="639">
      <c r="A639" s="1"/>
      <c r="B639" s="1"/>
      <c r="C639" s="1"/>
      <c r="D639" s="1"/>
      <c r="E639" s="1"/>
      <c r="F639" s="1"/>
      <c r="G639" s="1"/>
      <c r="H639" s="1"/>
      <c r="I639" s="1"/>
      <c r="J639" s="5"/>
      <c r="K639" s="2"/>
      <c r="L639" s="1"/>
      <c r="M639" s="1"/>
      <c r="N639" s="1"/>
      <c r="O639" s="1"/>
      <c r="P639" s="1"/>
      <c r="Q639" s="1"/>
      <c r="R639" s="1"/>
      <c r="S639" s="1"/>
      <c r="T639" s="1"/>
      <c r="U639" s="1"/>
      <c r="V639" s="1"/>
      <c r="W639" s="1"/>
      <c r="X639" s="1"/>
      <c r="Y639" s="1"/>
      <c r="Z639" s="1"/>
      <c r="AA639" s="1"/>
      <c r="AB639" s="1"/>
      <c r="AC639" s="1"/>
      <c r="AD639" s="1"/>
      <c r="AE639" s="1"/>
      <c r="AF639" s="1"/>
      <c r="AG639" s="1"/>
      <c r="AH639" s="1"/>
    </row>
    <row r="640">
      <c r="A640" s="1"/>
      <c r="B640" s="1"/>
      <c r="C640" s="1"/>
      <c r="D640" s="1"/>
      <c r="E640" s="1"/>
      <c r="F640" s="1"/>
      <c r="G640" s="1"/>
      <c r="H640" s="1"/>
      <c r="I640" s="1"/>
      <c r="J640" s="5"/>
      <c r="K640" s="2"/>
      <c r="L640" s="1"/>
      <c r="M640" s="1"/>
      <c r="N640" s="1"/>
      <c r="O640" s="1"/>
      <c r="P640" s="1"/>
      <c r="Q640" s="1"/>
      <c r="R640" s="1"/>
      <c r="S640" s="1"/>
      <c r="T640" s="1"/>
      <c r="U640" s="1"/>
      <c r="V640" s="1"/>
      <c r="W640" s="1"/>
      <c r="X640" s="1"/>
      <c r="Y640" s="1"/>
      <c r="Z640" s="1"/>
      <c r="AA640" s="1"/>
      <c r="AB640" s="1"/>
      <c r="AC640" s="1"/>
      <c r="AD640" s="1"/>
      <c r="AE640" s="1"/>
      <c r="AF640" s="1"/>
      <c r="AG640" s="1"/>
      <c r="AH640" s="1"/>
    </row>
    <row r="641">
      <c r="A641" s="1"/>
      <c r="B641" s="1"/>
      <c r="C641" s="1"/>
      <c r="D641" s="1"/>
      <c r="E641" s="1"/>
      <c r="F641" s="1"/>
      <c r="G641" s="1"/>
      <c r="H641" s="1"/>
      <c r="I641" s="1"/>
      <c r="J641" s="5"/>
      <c r="K641" s="2"/>
      <c r="L641" s="1"/>
      <c r="M641" s="1"/>
      <c r="N641" s="1"/>
      <c r="O641" s="1"/>
      <c r="P641" s="1"/>
      <c r="Q641" s="1"/>
      <c r="R641" s="1"/>
      <c r="S641" s="1"/>
      <c r="T641" s="1"/>
      <c r="U641" s="1"/>
      <c r="V641" s="1"/>
      <c r="W641" s="1"/>
      <c r="X641" s="1"/>
      <c r="Y641" s="1"/>
      <c r="Z641" s="1"/>
      <c r="AA641" s="1"/>
      <c r="AB641" s="1"/>
      <c r="AC641" s="1"/>
      <c r="AD641" s="1"/>
      <c r="AE641" s="1"/>
      <c r="AF641" s="1"/>
      <c r="AG641" s="1"/>
      <c r="AH641" s="1"/>
    </row>
    <row r="642">
      <c r="A642" s="1"/>
      <c r="B642" s="1"/>
      <c r="C642" s="1"/>
      <c r="D642" s="1"/>
      <c r="E642" s="1"/>
      <c r="F642" s="1"/>
      <c r="G642" s="1"/>
      <c r="H642" s="1"/>
      <c r="I642" s="1"/>
      <c r="J642" s="5"/>
      <c r="K642" s="2"/>
      <c r="L642" s="1"/>
      <c r="M642" s="1"/>
      <c r="N642" s="1"/>
      <c r="O642" s="1"/>
      <c r="P642" s="1"/>
      <c r="Q642" s="1"/>
      <c r="R642" s="1"/>
      <c r="S642" s="1"/>
      <c r="T642" s="1"/>
      <c r="U642" s="1"/>
      <c r="V642" s="1"/>
      <c r="W642" s="1"/>
      <c r="X642" s="1"/>
      <c r="Y642" s="1"/>
      <c r="Z642" s="1"/>
      <c r="AA642" s="1"/>
      <c r="AB642" s="1"/>
      <c r="AC642" s="1"/>
      <c r="AD642" s="1"/>
      <c r="AE642" s="1"/>
      <c r="AF642" s="1"/>
      <c r="AG642" s="1"/>
      <c r="AH642" s="1"/>
    </row>
    <row r="643">
      <c r="A643" s="1"/>
      <c r="B643" s="1"/>
      <c r="C643" s="1"/>
      <c r="D643" s="1"/>
      <c r="E643" s="1"/>
      <c r="F643" s="1"/>
      <c r="G643" s="1"/>
      <c r="H643" s="1"/>
      <c r="I643" s="1"/>
      <c r="J643" s="5"/>
      <c r="K643" s="2"/>
      <c r="L643" s="1"/>
      <c r="M643" s="1"/>
      <c r="N643" s="1"/>
      <c r="O643" s="1"/>
      <c r="P643" s="1"/>
      <c r="Q643" s="1"/>
      <c r="R643" s="1"/>
      <c r="S643" s="1"/>
      <c r="T643" s="1"/>
      <c r="U643" s="1"/>
      <c r="V643" s="1"/>
      <c r="W643" s="1"/>
      <c r="X643" s="1"/>
      <c r="Y643" s="1"/>
      <c r="Z643" s="1"/>
      <c r="AA643" s="1"/>
      <c r="AB643" s="1"/>
      <c r="AC643" s="1"/>
      <c r="AD643" s="1"/>
      <c r="AE643" s="1"/>
      <c r="AF643" s="1"/>
      <c r="AG643" s="1"/>
      <c r="AH643" s="1"/>
    </row>
    <row r="644">
      <c r="A644" s="1"/>
      <c r="B644" s="1"/>
      <c r="C644" s="1"/>
      <c r="D644" s="1"/>
      <c r="E644" s="1"/>
      <c r="F644" s="1"/>
      <c r="G644" s="1"/>
      <c r="H644" s="1"/>
      <c r="I644" s="1"/>
      <c r="J644" s="5"/>
      <c r="K644" s="2"/>
      <c r="L644" s="1"/>
      <c r="M644" s="1"/>
      <c r="N644" s="1"/>
      <c r="O644" s="1"/>
      <c r="P644" s="1"/>
      <c r="Q644" s="1"/>
      <c r="R644" s="1"/>
      <c r="S644" s="1"/>
      <c r="T644" s="1"/>
      <c r="U644" s="1"/>
      <c r="V644" s="1"/>
      <c r="W644" s="1"/>
      <c r="X644" s="1"/>
      <c r="Y644" s="1"/>
      <c r="Z644" s="1"/>
      <c r="AA644" s="1"/>
      <c r="AB644" s="1"/>
      <c r="AC644" s="1"/>
      <c r="AD644" s="1"/>
      <c r="AE644" s="1"/>
      <c r="AF644" s="1"/>
      <c r="AG644" s="1"/>
      <c r="AH644" s="1"/>
    </row>
    <row r="645">
      <c r="A645" s="1"/>
      <c r="B645" s="1"/>
      <c r="C645" s="1"/>
      <c r="D645" s="1"/>
      <c r="E645" s="1"/>
      <c r="F645" s="1"/>
      <c r="G645" s="1"/>
      <c r="H645" s="1"/>
      <c r="I645" s="1"/>
      <c r="J645" s="5"/>
      <c r="K645" s="2"/>
      <c r="L645" s="1"/>
      <c r="M645" s="1"/>
      <c r="N645" s="1"/>
      <c r="O645" s="1"/>
      <c r="P645" s="1"/>
      <c r="Q645" s="1"/>
      <c r="R645" s="1"/>
      <c r="S645" s="1"/>
      <c r="T645" s="1"/>
      <c r="U645" s="1"/>
      <c r="V645" s="1"/>
      <c r="W645" s="1"/>
      <c r="X645" s="1"/>
      <c r="Y645" s="1"/>
      <c r="Z645" s="1"/>
      <c r="AA645" s="1"/>
      <c r="AB645" s="1"/>
      <c r="AC645" s="1"/>
      <c r="AD645" s="1"/>
      <c r="AE645" s="1"/>
      <c r="AF645" s="1"/>
      <c r="AG645" s="1"/>
      <c r="AH645" s="1"/>
    </row>
    <row r="646">
      <c r="A646" s="1"/>
      <c r="B646" s="1"/>
      <c r="C646" s="1"/>
      <c r="D646" s="1"/>
      <c r="E646" s="1"/>
      <c r="F646" s="1"/>
      <c r="G646" s="1"/>
      <c r="H646" s="1"/>
      <c r="I646" s="1"/>
      <c r="J646" s="5"/>
      <c r="K646" s="2"/>
      <c r="L646" s="1"/>
      <c r="M646" s="1"/>
      <c r="N646" s="1"/>
      <c r="O646" s="1"/>
      <c r="P646" s="1"/>
      <c r="Q646" s="1"/>
      <c r="R646" s="1"/>
      <c r="S646" s="1"/>
      <c r="T646" s="1"/>
      <c r="U646" s="1"/>
      <c r="V646" s="1"/>
      <c r="W646" s="1"/>
      <c r="X646" s="1"/>
      <c r="Y646" s="1"/>
      <c r="Z646" s="1"/>
      <c r="AA646" s="1"/>
      <c r="AB646" s="1"/>
      <c r="AC646" s="1"/>
      <c r="AD646" s="1"/>
      <c r="AE646" s="1"/>
      <c r="AF646" s="1"/>
      <c r="AG646" s="1"/>
      <c r="AH646" s="1"/>
    </row>
    <row r="647">
      <c r="A647" s="1"/>
      <c r="B647" s="1"/>
      <c r="C647" s="1"/>
      <c r="D647" s="1"/>
      <c r="E647" s="1"/>
      <c r="F647" s="1"/>
      <c r="G647" s="1"/>
      <c r="H647" s="1"/>
      <c r="I647" s="1"/>
      <c r="J647" s="5"/>
      <c r="K647" s="2"/>
      <c r="L647" s="1"/>
      <c r="M647" s="1"/>
      <c r="N647" s="1"/>
      <c r="O647" s="1"/>
      <c r="P647" s="1"/>
      <c r="Q647" s="1"/>
      <c r="R647" s="1"/>
      <c r="S647" s="1"/>
      <c r="T647" s="1"/>
      <c r="U647" s="1"/>
      <c r="V647" s="1"/>
      <c r="W647" s="1"/>
      <c r="X647" s="1"/>
      <c r="Y647" s="1"/>
      <c r="Z647" s="1"/>
      <c r="AA647" s="1"/>
      <c r="AB647" s="1"/>
      <c r="AC647" s="1"/>
      <c r="AD647" s="1"/>
      <c r="AE647" s="1"/>
      <c r="AF647" s="1"/>
      <c r="AG647" s="1"/>
      <c r="AH647" s="1"/>
    </row>
    <row r="648">
      <c r="A648" s="1"/>
      <c r="B648" s="1"/>
      <c r="C648" s="1"/>
      <c r="D648" s="1"/>
      <c r="E648" s="1"/>
      <c r="F648" s="1"/>
      <c r="G648" s="1"/>
      <c r="H648" s="1"/>
      <c r="I648" s="1"/>
      <c r="J648" s="5"/>
      <c r="K648" s="2"/>
      <c r="L648" s="1"/>
      <c r="M648" s="1"/>
      <c r="N648" s="1"/>
      <c r="O648" s="1"/>
      <c r="P648" s="1"/>
      <c r="Q648" s="1"/>
      <c r="R648" s="1"/>
      <c r="S648" s="1"/>
      <c r="T648" s="1"/>
      <c r="U648" s="1"/>
      <c r="V648" s="1"/>
      <c r="W648" s="1"/>
      <c r="X648" s="1"/>
      <c r="Y648" s="1"/>
      <c r="Z648" s="1"/>
      <c r="AA648" s="1"/>
      <c r="AB648" s="1"/>
      <c r="AC648" s="1"/>
      <c r="AD648" s="1"/>
      <c r="AE648" s="1"/>
      <c r="AF648" s="1"/>
      <c r="AG648" s="1"/>
      <c r="AH648" s="1"/>
    </row>
    <row r="649">
      <c r="A649" s="1"/>
      <c r="B649" s="1"/>
      <c r="C649" s="1"/>
      <c r="D649" s="1"/>
      <c r="E649" s="1"/>
      <c r="F649" s="1"/>
      <c r="G649" s="1"/>
      <c r="H649" s="1"/>
      <c r="I649" s="1"/>
      <c r="J649" s="5"/>
      <c r="K649" s="2"/>
      <c r="L649" s="1"/>
      <c r="M649" s="1"/>
      <c r="N649" s="1"/>
      <c r="O649" s="1"/>
      <c r="P649" s="1"/>
      <c r="Q649" s="1"/>
      <c r="R649" s="1"/>
      <c r="S649" s="1"/>
      <c r="T649" s="1"/>
      <c r="U649" s="1"/>
      <c r="V649" s="1"/>
      <c r="W649" s="1"/>
      <c r="X649" s="1"/>
      <c r="Y649" s="1"/>
      <c r="Z649" s="1"/>
      <c r="AA649" s="1"/>
      <c r="AB649" s="1"/>
      <c r="AC649" s="1"/>
      <c r="AD649" s="1"/>
      <c r="AE649" s="1"/>
      <c r="AF649" s="1"/>
      <c r="AG649" s="1"/>
      <c r="AH649" s="1"/>
    </row>
    <row r="650">
      <c r="A650" s="1"/>
      <c r="B650" s="1"/>
      <c r="C650" s="1"/>
      <c r="D650" s="1"/>
      <c r="E650" s="1"/>
      <c r="F650" s="1"/>
      <c r="G650" s="1"/>
      <c r="H650" s="1"/>
      <c r="I650" s="1"/>
      <c r="J650" s="5"/>
      <c r="K650" s="2"/>
      <c r="L650" s="1"/>
      <c r="M650" s="1"/>
      <c r="N650" s="1"/>
      <c r="O650" s="1"/>
      <c r="P650" s="1"/>
      <c r="Q650" s="1"/>
      <c r="R650" s="1"/>
      <c r="S650" s="1"/>
      <c r="T650" s="1"/>
      <c r="U650" s="1"/>
      <c r="V650" s="1"/>
      <c r="W650" s="1"/>
      <c r="X650" s="1"/>
      <c r="Y650" s="1"/>
      <c r="Z650" s="1"/>
      <c r="AA650" s="1"/>
      <c r="AB650" s="1"/>
      <c r="AC650" s="1"/>
      <c r="AD650" s="1"/>
      <c r="AE650" s="1"/>
      <c r="AF650" s="1"/>
      <c r="AG650" s="1"/>
      <c r="AH650" s="1"/>
    </row>
    <row r="651">
      <c r="A651" s="1"/>
      <c r="B651" s="1"/>
      <c r="C651" s="1"/>
      <c r="D651" s="1"/>
      <c r="E651" s="1"/>
      <c r="F651" s="1"/>
      <c r="G651" s="1"/>
      <c r="H651" s="1"/>
      <c r="I651" s="1"/>
      <c r="J651" s="5"/>
      <c r="K651" s="2"/>
      <c r="L651" s="1"/>
      <c r="M651" s="1"/>
      <c r="N651" s="1"/>
      <c r="O651" s="1"/>
      <c r="P651" s="1"/>
      <c r="Q651" s="1"/>
      <c r="R651" s="1"/>
      <c r="S651" s="1"/>
      <c r="T651" s="1"/>
      <c r="U651" s="1"/>
      <c r="V651" s="1"/>
      <c r="W651" s="1"/>
      <c r="X651" s="1"/>
      <c r="Y651" s="1"/>
      <c r="Z651" s="1"/>
      <c r="AA651" s="1"/>
      <c r="AB651" s="1"/>
      <c r="AC651" s="1"/>
      <c r="AD651" s="1"/>
      <c r="AE651" s="1"/>
      <c r="AF651" s="1"/>
      <c r="AG651" s="1"/>
      <c r="AH651" s="1"/>
    </row>
    <row r="652">
      <c r="A652" s="1"/>
      <c r="B652" s="1"/>
      <c r="C652" s="1"/>
      <c r="D652" s="1"/>
      <c r="E652" s="1"/>
      <c r="F652" s="1"/>
      <c r="G652" s="1"/>
      <c r="H652" s="1"/>
      <c r="I652" s="1"/>
      <c r="J652" s="5"/>
      <c r="K652" s="2"/>
      <c r="L652" s="1"/>
      <c r="M652" s="1"/>
      <c r="N652" s="1"/>
      <c r="O652" s="1"/>
      <c r="P652" s="1"/>
      <c r="Q652" s="1"/>
      <c r="R652" s="1"/>
      <c r="S652" s="1"/>
      <c r="T652" s="1"/>
      <c r="U652" s="1"/>
      <c r="V652" s="1"/>
      <c r="W652" s="1"/>
      <c r="X652" s="1"/>
      <c r="Y652" s="1"/>
      <c r="Z652" s="1"/>
      <c r="AA652" s="1"/>
      <c r="AB652" s="1"/>
      <c r="AC652" s="1"/>
      <c r="AD652" s="1"/>
      <c r="AE652" s="1"/>
      <c r="AF652" s="1"/>
      <c r="AG652" s="1"/>
      <c r="AH652" s="1"/>
    </row>
    <row r="653">
      <c r="A653" s="1"/>
      <c r="B653" s="1"/>
      <c r="C653" s="1"/>
      <c r="D653" s="1"/>
      <c r="E653" s="1"/>
      <c r="F653" s="1"/>
      <c r="G653" s="1"/>
      <c r="H653" s="1"/>
      <c r="I653" s="1"/>
      <c r="J653" s="5"/>
      <c r="K653" s="2"/>
      <c r="L653" s="1"/>
      <c r="M653" s="1"/>
      <c r="N653" s="1"/>
      <c r="O653" s="1"/>
      <c r="P653" s="1"/>
      <c r="Q653" s="1"/>
      <c r="R653" s="1"/>
      <c r="S653" s="1"/>
      <c r="T653" s="1"/>
      <c r="U653" s="1"/>
      <c r="V653" s="1"/>
      <c r="W653" s="1"/>
      <c r="X653" s="1"/>
      <c r="Y653" s="1"/>
      <c r="Z653" s="1"/>
      <c r="AA653" s="1"/>
      <c r="AB653" s="1"/>
      <c r="AC653" s="1"/>
      <c r="AD653" s="1"/>
      <c r="AE653" s="1"/>
      <c r="AF653" s="1"/>
      <c r="AG653" s="1"/>
      <c r="AH653" s="1"/>
    </row>
    <row r="654">
      <c r="A654" s="1"/>
      <c r="B654" s="1"/>
      <c r="C654" s="1"/>
      <c r="D654" s="1"/>
      <c r="E654" s="1"/>
      <c r="F654" s="1"/>
      <c r="G654" s="1"/>
      <c r="H654" s="1"/>
      <c r="I654" s="1"/>
      <c r="J654" s="5"/>
      <c r="K654" s="2"/>
      <c r="L654" s="1"/>
      <c r="M654" s="1"/>
      <c r="N654" s="1"/>
      <c r="O654" s="1"/>
      <c r="P654" s="1"/>
      <c r="Q654" s="1"/>
      <c r="R654" s="1"/>
      <c r="S654" s="1"/>
      <c r="T654" s="1"/>
      <c r="U654" s="1"/>
      <c r="V654" s="1"/>
      <c r="W654" s="1"/>
      <c r="X654" s="1"/>
      <c r="Y654" s="1"/>
      <c r="Z654" s="1"/>
      <c r="AA654" s="1"/>
      <c r="AB654" s="1"/>
      <c r="AC654" s="1"/>
      <c r="AD654" s="1"/>
      <c r="AE654" s="1"/>
      <c r="AF654" s="1"/>
      <c r="AG654" s="1"/>
      <c r="AH654" s="1"/>
    </row>
    <row r="655">
      <c r="A655" s="1"/>
      <c r="B655" s="1"/>
      <c r="C655" s="1"/>
      <c r="D655" s="1"/>
      <c r="E655" s="1"/>
      <c r="F655" s="1"/>
      <c r="G655" s="1"/>
      <c r="H655" s="1"/>
      <c r="I655" s="1"/>
      <c r="J655" s="5"/>
      <c r="K655" s="2"/>
      <c r="L655" s="1"/>
      <c r="M655" s="1"/>
      <c r="N655" s="1"/>
      <c r="O655" s="1"/>
      <c r="P655" s="1"/>
      <c r="Q655" s="1"/>
      <c r="R655" s="1"/>
      <c r="S655" s="1"/>
      <c r="T655" s="1"/>
      <c r="U655" s="1"/>
      <c r="V655" s="1"/>
      <c r="W655" s="1"/>
      <c r="X655" s="1"/>
      <c r="Y655" s="1"/>
      <c r="Z655" s="1"/>
      <c r="AA655" s="1"/>
      <c r="AB655" s="1"/>
      <c r="AC655" s="1"/>
      <c r="AD655" s="1"/>
      <c r="AE655" s="1"/>
      <c r="AF655" s="1"/>
      <c r="AG655" s="1"/>
      <c r="AH655" s="1"/>
    </row>
    <row r="656">
      <c r="A656" s="1"/>
      <c r="B656" s="1"/>
      <c r="C656" s="1"/>
      <c r="D656" s="1"/>
      <c r="E656" s="1"/>
      <c r="F656" s="1"/>
      <c r="G656" s="1"/>
      <c r="H656" s="1"/>
      <c r="I656" s="1"/>
      <c r="J656" s="5"/>
      <c r="K656" s="2"/>
      <c r="L656" s="1"/>
      <c r="M656" s="1"/>
      <c r="N656" s="1"/>
      <c r="O656" s="1"/>
      <c r="P656" s="1"/>
      <c r="Q656" s="1"/>
      <c r="R656" s="1"/>
      <c r="S656" s="1"/>
      <c r="T656" s="1"/>
      <c r="U656" s="1"/>
      <c r="V656" s="1"/>
      <c r="W656" s="1"/>
      <c r="X656" s="1"/>
      <c r="Y656" s="1"/>
      <c r="Z656" s="1"/>
      <c r="AA656" s="1"/>
      <c r="AB656" s="1"/>
      <c r="AC656" s="1"/>
      <c r="AD656" s="1"/>
      <c r="AE656" s="1"/>
      <c r="AF656" s="1"/>
      <c r="AG656" s="1"/>
      <c r="AH656" s="1"/>
    </row>
    <row r="657">
      <c r="A657" s="1"/>
      <c r="B657" s="1"/>
      <c r="C657" s="1"/>
      <c r="D657" s="1"/>
      <c r="E657" s="1"/>
      <c r="F657" s="1"/>
      <c r="G657" s="1"/>
      <c r="H657" s="1"/>
      <c r="I657" s="1"/>
      <c r="J657" s="5"/>
      <c r="K657" s="2"/>
      <c r="L657" s="1"/>
      <c r="M657" s="1"/>
      <c r="N657" s="1"/>
      <c r="O657" s="1"/>
      <c r="P657" s="1"/>
      <c r="Q657" s="1"/>
      <c r="R657" s="1"/>
      <c r="S657" s="1"/>
      <c r="T657" s="1"/>
      <c r="U657" s="1"/>
      <c r="V657" s="1"/>
      <c r="W657" s="1"/>
      <c r="X657" s="1"/>
      <c r="Y657" s="1"/>
      <c r="Z657" s="1"/>
      <c r="AA657" s="1"/>
      <c r="AB657" s="1"/>
      <c r="AC657" s="1"/>
      <c r="AD657" s="1"/>
      <c r="AE657" s="1"/>
      <c r="AF657" s="1"/>
      <c r="AG657" s="1"/>
      <c r="AH657" s="1"/>
    </row>
    <row r="658">
      <c r="A658" s="1"/>
      <c r="B658" s="1"/>
      <c r="C658" s="1"/>
      <c r="D658" s="1"/>
      <c r="E658" s="1"/>
      <c r="F658" s="1"/>
      <c r="G658" s="1"/>
      <c r="H658" s="1"/>
      <c r="I658" s="1"/>
      <c r="J658" s="5"/>
      <c r="K658" s="2"/>
      <c r="L658" s="1"/>
      <c r="M658" s="1"/>
      <c r="N658" s="1"/>
      <c r="O658" s="1"/>
      <c r="P658" s="1"/>
      <c r="Q658" s="1"/>
      <c r="R658" s="1"/>
      <c r="S658" s="1"/>
      <c r="T658" s="1"/>
      <c r="U658" s="1"/>
      <c r="V658" s="1"/>
      <c r="W658" s="1"/>
      <c r="X658" s="1"/>
      <c r="Y658" s="1"/>
      <c r="Z658" s="1"/>
      <c r="AA658" s="1"/>
      <c r="AB658" s="1"/>
      <c r="AC658" s="1"/>
      <c r="AD658" s="1"/>
      <c r="AE658" s="1"/>
      <c r="AF658" s="1"/>
      <c r="AG658" s="1"/>
      <c r="AH658" s="1"/>
    </row>
    <row r="659">
      <c r="A659" s="1"/>
      <c r="B659" s="1"/>
      <c r="C659" s="1"/>
      <c r="D659" s="1"/>
      <c r="E659" s="1"/>
      <c r="F659" s="1"/>
      <c r="G659" s="1"/>
      <c r="H659" s="1"/>
      <c r="I659" s="1"/>
      <c r="J659" s="5"/>
      <c r="K659" s="2"/>
      <c r="L659" s="1"/>
      <c r="M659" s="1"/>
      <c r="N659" s="1"/>
      <c r="O659" s="1"/>
      <c r="P659" s="1"/>
      <c r="Q659" s="1"/>
      <c r="R659" s="1"/>
      <c r="S659" s="1"/>
      <c r="T659" s="1"/>
      <c r="U659" s="1"/>
      <c r="V659" s="1"/>
      <c r="W659" s="1"/>
      <c r="X659" s="1"/>
      <c r="Y659" s="1"/>
      <c r="Z659" s="1"/>
      <c r="AA659" s="1"/>
      <c r="AB659" s="1"/>
      <c r="AC659" s="1"/>
      <c r="AD659" s="1"/>
      <c r="AE659" s="1"/>
      <c r="AF659" s="1"/>
      <c r="AG659" s="1"/>
      <c r="AH659" s="1"/>
    </row>
    <row r="660">
      <c r="A660" s="1"/>
      <c r="B660" s="1"/>
      <c r="C660" s="1"/>
      <c r="D660" s="1"/>
      <c r="E660" s="1"/>
      <c r="F660" s="1"/>
      <c r="G660" s="1"/>
      <c r="H660" s="1"/>
      <c r="I660" s="1"/>
      <c r="J660" s="5"/>
      <c r="K660" s="2"/>
      <c r="L660" s="1"/>
      <c r="M660" s="1"/>
      <c r="N660" s="1"/>
      <c r="O660" s="1"/>
      <c r="P660" s="1"/>
      <c r="Q660" s="1"/>
      <c r="R660" s="1"/>
      <c r="S660" s="1"/>
      <c r="T660" s="1"/>
      <c r="U660" s="1"/>
      <c r="V660" s="1"/>
      <c r="W660" s="1"/>
      <c r="X660" s="1"/>
      <c r="Y660" s="1"/>
      <c r="Z660" s="1"/>
      <c r="AA660" s="1"/>
      <c r="AB660" s="1"/>
      <c r="AC660" s="1"/>
      <c r="AD660" s="1"/>
      <c r="AE660" s="1"/>
      <c r="AF660" s="1"/>
      <c r="AG660" s="1"/>
      <c r="AH660" s="1"/>
    </row>
    <row r="661">
      <c r="A661" s="1"/>
      <c r="B661" s="1"/>
      <c r="C661" s="1"/>
      <c r="D661" s="1"/>
      <c r="E661" s="1"/>
      <c r="F661" s="1"/>
      <c r="G661" s="1"/>
      <c r="H661" s="1"/>
      <c r="I661" s="1"/>
      <c r="J661" s="5"/>
      <c r="K661" s="2"/>
      <c r="L661" s="1"/>
      <c r="M661" s="1"/>
      <c r="N661" s="1"/>
      <c r="O661" s="1"/>
      <c r="P661" s="1"/>
      <c r="Q661" s="1"/>
      <c r="R661" s="1"/>
      <c r="S661" s="1"/>
      <c r="T661" s="1"/>
      <c r="U661" s="1"/>
      <c r="V661" s="1"/>
      <c r="W661" s="1"/>
      <c r="X661" s="1"/>
      <c r="Y661" s="1"/>
      <c r="Z661" s="1"/>
      <c r="AA661" s="1"/>
      <c r="AB661" s="1"/>
      <c r="AC661" s="1"/>
      <c r="AD661" s="1"/>
      <c r="AE661" s="1"/>
      <c r="AF661" s="1"/>
      <c r="AG661" s="1"/>
      <c r="AH661" s="1"/>
    </row>
    <row r="662">
      <c r="A662" s="1"/>
      <c r="B662" s="1"/>
      <c r="C662" s="1"/>
      <c r="D662" s="1"/>
      <c r="E662" s="1"/>
      <c r="F662" s="1"/>
      <c r="G662" s="1"/>
      <c r="H662" s="1"/>
      <c r="I662" s="1"/>
      <c r="J662" s="5"/>
      <c r="K662" s="2"/>
      <c r="L662" s="1"/>
      <c r="M662" s="1"/>
      <c r="N662" s="1"/>
      <c r="O662" s="1"/>
      <c r="P662" s="1"/>
      <c r="Q662" s="1"/>
      <c r="R662" s="1"/>
      <c r="S662" s="1"/>
      <c r="T662" s="1"/>
      <c r="U662" s="1"/>
      <c r="V662" s="1"/>
      <c r="W662" s="1"/>
      <c r="X662" s="1"/>
      <c r="Y662" s="1"/>
      <c r="Z662" s="1"/>
      <c r="AA662" s="1"/>
      <c r="AB662" s="1"/>
      <c r="AC662" s="1"/>
      <c r="AD662" s="1"/>
      <c r="AE662" s="1"/>
      <c r="AF662" s="1"/>
      <c r="AG662" s="1"/>
      <c r="AH662" s="1"/>
    </row>
    <row r="663">
      <c r="A663" s="1"/>
      <c r="B663" s="1"/>
      <c r="C663" s="1"/>
      <c r="D663" s="1"/>
      <c r="E663" s="1"/>
      <c r="F663" s="1"/>
      <c r="G663" s="1"/>
      <c r="H663" s="1"/>
      <c r="I663" s="1"/>
      <c r="J663" s="5"/>
      <c r="K663" s="2"/>
      <c r="L663" s="1"/>
      <c r="M663" s="1"/>
      <c r="N663" s="1"/>
      <c r="O663" s="1"/>
      <c r="P663" s="1"/>
      <c r="Q663" s="1"/>
      <c r="R663" s="1"/>
      <c r="S663" s="1"/>
      <c r="T663" s="1"/>
      <c r="U663" s="1"/>
      <c r="V663" s="1"/>
      <c r="W663" s="1"/>
      <c r="X663" s="1"/>
      <c r="Y663" s="1"/>
      <c r="Z663" s="1"/>
      <c r="AA663" s="1"/>
      <c r="AB663" s="1"/>
      <c r="AC663" s="1"/>
      <c r="AD663" s="1"/>
      <c r="AE663" s="1"/>
      <c r="AF663" s="1"/>
      <c r="AG663" s="1"/>
      <c r="AH663" s="1"/>
    </row>
    <row r="664">
      <c r="A664" s="1"/>
      <c r="B664" s="1"/>
      <c r="C664" s="1"/>
      <c r="D664" s="1"/>
      <c r="E664" s="1"/>
      <c r="F664" s="1"/>
      <c r="G664" s="1"/>
      <c r="H664" s="1"/>
      <c r="I664" s="1"/>
      <c r="J664" s="5"/>
      <c r="K664" s="2"/>
      <c r="L664" s="1"/>
      <c r="M664" s="1"/>
      <c r="N664" s="1"/>
      <c r="O664" s="1"/>
      <c r="P664" s="1"/>
      <c r="Q664" s="1"/>
      <c r="R664" s="1"/>
      <c r="S664" s="1"/>
      <c r="T664" s="1"/>
      <c r="U664" s="1"/>
      <c r="V664" s="1"/>
      <c r="W664" s="1"/>
      <c r="X664" s="1"/>
      <c r="Y664" s="1"/>
      <c r="Z664" s="1"/>
      <c r="AA664" s="1"/>
      <c r="AB664" s="1"/>
      <c r="AC664" s="1"/>
      <c r="AD664" s="1"/>
      <c r="AE664" s="1"/>
      <c r="AF664" s="1"/>
      <c r="AG664" s="1"/>
      <c r="AH664" s="1"/>
    </row>
    <row r="665">
      <c r="A665" s="1"/>
      <c r="B665" s="1"/>
      <c r="C665" s="1"/>
      <c r="D665" s="1"/>
      <c r="E665" s="1"/>
      <c r="F665" s="1"/>
      <c r="G665" s="1"/>
      <c r="H665" s="1"/>
      <c r="I665" s="1"/>
      <c r="J665" s="5"/>
      <c r="K665" s="2"/>
      <c r="L665" s="1"/>
      <c r="M665" s="1"/>
      <c r="N665" s="1"/>
      <c r="O665" s="1"/>
      <c r="P665" s="1"/>
      <c r="Q665" s="1"/>
      <c r="R665" s="1"/>
      <c r="S665" s="1"/>
      <c r="T665" s="1"/>
      <c r="U665" s="1"/>
      <c r="V665" s="1"/>
      <c r="W665" s="1"/>
      <c r="X665" s="1"/>
      <c r="Y665" s="1"/>
      <c r="Z665" s="1"/>
      <c r="AA665" s="1"/>
      <c r="AB665" s="1"/>
      <c r="AC665" s="1"/>
      <c r="AD665" s="1"/>
      <c r="AE665" s="1"/>
      <c r="AF665" s="1"/>
      <c r="AG665" s="1"/>
      <c r="AH665" s="1"/>
    </row>
    <row r="666">
      <c r="A666" s="1"/>
      <c r="B666" s="1"/>
      <c r="C666" s="1"/>
      <c r="D666" s="1"/>
      <c r="E666" s="1"/>
      <c r="F666" s="1"/>
      <c r="G666" s="1"/>
      <c r="H666" s="1"/>
      <c r="I666" s="1"/>
      <c r="J666" s="5"/>
      <c r="K666" s="2"/>
      <c r="L666" s="1"/>
      <c r="M666" s="1"/>
      <c r="N666" s="1"/>
      <c r="O666" s="1"/>
      <c r="P666" s="1"/>
      <c r="Q666" s="1"/>
      <c r="R666" s="1"/>
      <c r="S666" s="1"/>
      <c r="T666" s="1"/>
      <c r="U666" s="1"/>
      <c r="V666" s="1"/>
      <c r="W666" s="1"/>
      <c r="X666" s="1"/>
      <c r="Y666" s="1"/>
      <c r="Z666" s="1"/>
      <c r="AA666" s="1"/>
      <c r="AB666" s="1"/>
      <c r="AC666" s="1"/>
      <c r="AD666" s="1"/>
      <c r="AE666" s="1"/>
      <c r="AF666" s="1"/>
      <c r="AG666" s="1"/>
      <c r="AH666" s="1"/>
    </row>
    <row r="667">
      <c r="A667" s="1"/>
      <c r="B667" s="1"/>
      <c r="C667" s="1"/>
      <c r="D667" s="1"/>
      <c r="E667" s="1"/>
      <c r="F667" s="1"/>
      <c r="G667" s="1"/>
      <c r="H667" s="1"/>
      <c r="I667" s="1"/>
      <c r="J667" s="5"/>
      <c r="K667" s="2"/>
      <c r="L667" s="1"/>
      <c r="M667" s="1"/>
      <c r="N667" s="1"/>
      <c r="O667" s="1"/>
      <c r="P667" s="1"/>
      <c r="Q667" s="1"/>
      <c r="R667" s="1"/>
      <c r="S667" s="1"/>
      <c r="T667" s="1"/>
      <c r="U667" s="1"/>
      <c r="V667" s="1"/>
      <c r="W667" s="1"/>
      <c r="X667" s="1"/>
      <c r="Y667" s="1"/>
      <c r="Z667" s="1"/>
      <c r="AA667" s="1"/>
      <c r="AB667" s="1"/>
      <c r="AC667" s="1"/>
      <c r="AD667" s="1"/>
      <c r="AE667" s="1"/>
      <c r="AF667" s="1"/>
      <c r="AG667" s="1"/>
      <c r="AH667" s="1"/>
    </row>
    <row r="668">
      <c r="A668" s="1"/>
      <c r="B668" s="1"/>
      <c r="C668" s="1"/>
      <c r="D668" s="1"/>
      <c r="E668" s="1"/>
      <c r="F668" s="1"/>
      <c r="G668" s="1"/>
      <c r="H668" s="1"/>
      <c r="I668" s="1"/>
      <c r="J668" s="5"/>
      <c r="K668" s="2"/>
      <c r="L668" s="1"/>
      <c r="M668" s="1"/>
      <c r="N668" s="1"/>
      <c r="O668" s="1"/>
      <c r="P668" s="1"/>
      <c r="Q668" s="1"/>
      <c r="R668" s="1"/>
      <c r="S668" s="1"/>
      <c r="T668" s="1"/>
      <c r="U668" s="1"/>
      <c r="V668" s="1"/>
      <c r="W668" s="1"/>
      <c r="X668" s="1"/>
      <c r="Y668" s="1"/>
      <c r="Z668" s="1"/>
      <c r="AA668" s="1"/>
      <c r="AB668" s="1"/>
      <c r="AC668" s="1"/>
      <c r="AD668" s="1"/>
      <c r="AE668" s="1"/>
      <c r="AF668" s="1"/>
      <c r="AG668" s="1"/>
      <c r="AH668" s="1"/>
    </row>
    <row r="669">
      <c r="A669" s="1"/>
      <c r="B669" s="1"/>
      <c r="C669" s="1"/>
      <c r="D669" s="1"/>
      <c r="E669" s="1"/>
      <c r="F669" s="1"/>
      <c r="G669" s="1"/>
      <c r="H669" s="1"/>
      <c r="I669" s="1"/>
      <c r="J669" s="5"/>
      <c r="K669" s="2"/>
      <c r="L669" s="1"/>
      <c r="M669" s="1"/>
      <c r="N669" s="1"/>
      <c r="O669" s="1"/>
      <c r="P669" s="1"/>
      <c r="Q669" s="1"/>
      <c r="R669" s="1"/>
      <c r="S669" s="1"/>
      <c r="T669" s="1"/>
      <c r="U669" s="1"/>
      <c r="V669" s="1"/>
      <c r="W669" s="1"/>
      <c r="X669" s="1"/>
      <c r="Y669" s="1"/>
      <c r="Z669" s="1"/>
      <c r="AA669" s="1"/>
      <c r="AB669" s="1"/>
      <c r="AC669" s="1"/>
      <c r="AD669" s="1"/>
      <c r="AE669" s="1"/>
      <c r="AF669" s="1"/>
      <c r="AG669" s="1"/>
      <c r="AH669" s="1"/>
    </row>
    <row r="670">
      <c r="A670" s="1"/>
      <c r="B670" s="1"/>
      <c r="C670" s="1"/>
      <c r="D670" s="1"/>
      <c r="E670" s="1"/>
      <c r="F670" s="1"/>
      <c r="G670" s="1"/>
      <c r="H670" s="1"/>
      <c r="I670" s="1"/>
      <c r="J670" s="5"/>
      <c r="K670" s="2"/>
      <c r="L670" s="1"/>
      <c r="M670" s="1"/>
      <c r="N670" s="1"/>
      <c r="O670" s="1"/>
      <c r="P670" s="1"/>
      <c r="Q670" s="1"/>
      <c r="R670" s="1"/>
      <c r="S670" s="1"/>
      <c r="T670" s="1"/>
      <c r="U670" s="1"/>
      <c r="V670" s="1"/>
      <c r="W670" s="1"/>
      <c r="X670" s="1"/>
      <c r="Y670" s="1"/>
      <c r="Z670" s="1"/>
      <c r="AA670" s="1"/>
      <c r="AB670" s="1"/>
      <c r="AC670" s="1"/>
      <c r="AD670" s="1"/>
      <c r="AE670" s="1"/>
      <c r="AF670" s="1"/>
      <c r="AG670" s="1"/>
      <c r="AH670" s="1"/>
    </row>
    <row r="671">
      <c r="A671" s="1"/>
      <c r="B671" s="1"/>
      <c r="C671" s="1"/>
      <c r="D671" s="1"/>
      <c r="E671" s="1"/>
      <c r="F671" s="1"/>
      <c r="G671" s="1"/>
      <c r="H671" s="1"/>
      <c r="I671" s="1"/>
      <c r="J671" s="5"/>
      <c r="K671" s="2"/>
      <c r="L671" s="1"/>
      <c r="M671" s="1"/>
      <c r="N671" s="1"/>
      <c r="O671" s="1"/>
      <c r="P671" s="1"/>
      <c r="Q671" s="1"/>
      <c r="R671" s="1"/>
      <c r="S671" s="1"/>
      <c r="T671" s="1"/>
      <c r="U671" s="1"/>
      <c r="V671" s="1"/>
      <c r="W671" s="1"/>
      <c r="X671" s="1"/>
      <c r="Y671" s="1"/>
      <c r="Z671" s="1"/>
      <c r="AA671" s="1"/>
      <c r="AB671" s="1"/>
      <c r="AC671" s="1"/>
      <c r="AD671" s="1"/>
      <c r="AE671" s="1"/>
      <c r="AF671" s="1"/>
      <c r="AG671" s="1"/>
      <c r="AH671" s="1"/>
    </row>
    <row r="672">
      <c r="A672" s="1"/>
      <c r="B672" s="1"/>
      <c r="C672" s="1"/>
      <c r="D672" s="1"/>
      <c r="E672" s="1"/>
      <c r="F672" s="1"/>
      <c r="G672" s="1"/>
      <c r="H672" s="1"/>
      <c r="I672" s="1"/>
      <c r="J672" s="5"/>
      <c r="K672" s="2"/>
      <c r="L672" s="1"/>
      <c r="M672" s="1"/>
      <c r="N672" s="1"/>
      <c r="O672" s="1"/>
      <c r="P672" s="1"/>
      <c r="Q672" s="1"/>
      <c r="R672" s="1"/>
      <c r="S672" s="1"/>
      <c r="T672" s="1"/>
      <c r="U672" s="1"/>
      <c r="V672" s="1"/>
      <c r="W672" s="1"/>
      <c r="X672" s="1"/>
      <c r="Y672" s="1"/>
      <c r="Z672" s="1"/>
      <c r="AA672" s="1"/>
      <c r="AB672" s="1"/>
      <c r="AC672" s="1"/>
      <c r="AD672" s="1"/>
      <c r="AE672" s="1"/>
      <c r="AF672" s="1"/>
      <c r="AG672" s="1"/>
      <c r="AH672" s="1"/>
    </row>
    <row r="673">
      <c r="A673" s="1"/>
      <c r="B673" s="1"/>
      <c r="C673" s="1"/>
      <c r="D673" s="1"/>
      <c r="E673" s="1"/>
      <c r="F673" s="1"/>
      <c r="G673" s="1"/>
      <c r="H673" s="1"/>
      <c r="I673" s="1"/>
      <c r="J673" s="5"/>
      <c r="K673" s="2"/>
      <c r="L673" s="1"/>
      <c r="M673" s="1"/>
      <c r="N673" s="1"/>
      <c r="O673" s="1"/>
      <c r="P673" s="1"/>
      <c r="Q673" s="1"/>
      <c r="R673" s="1"/>
      <c r="S673" s="1"/>
      <c r="T673" s="1"/>
      <c r="U673" s="1"/>
      <c r="V673" s="1"/>
      <c r="W673" s="1"/>
      <c r="X673" s="1"/>
      <c r="Y673" s="1"/>
      <c r="Z673" s="1"/>
      <c r="AA673" s="1"/>
      <c r="AB673" s="1"/>
      <c r="AC673" s="1"/>
      <c r="AD673" s="1"/>
      <c r="AE673" s="1"/>
      <c r="AF673" s="1"/>
      <c r="AG673" s="1"/>
      <c r="AH673" s="1"/>
    </row>
    <row r="674">
      <c r="A674" s="1"/>
      <c r="B674" s="1"/>
      <c r="C674" s="1"/>
      <c r="D674" s="1"/>
      <c r="E674" s="1"/>
      <c r="F674" s="1"/>
      <c r="G674" s="1"/>
      <c r="H674" s="1"/>
      <c r="I674" s="1"/>
      <c r="J674" s="5"/>
      <c r="K674" s="2"/>
      <c r="L674" s="1"/>
      <c r="M674" s="1"/>
      <c r="N674" s="1"/>
      <c r="O674" s="1"/>
      <c r="P674" s="1"/>
      <c r="Q674" s="1"/>
      <c r="R674" s="1"/>
      <c r="S674" s="1"/>
      <c r="T674" s="1"/>
      <c r="U674" s="1"/>
      <c r="V674" s="1"/>
      <c r="W674" s="1"/>
      <c r="X674" s="1"/>
      <c r="Y674" s="1"/>
      <c r="Z674" s="1"/>
      <c r="AA674" s="1"/>
      <c r="AB674" s="1"/>
      <c r="AC674" s="1"/>
      <c r="AD674" s="1"/>
      <c r="AE674" s="1"/>
      <c r="AF674" s="1"/>
      <c r="AG674" s="1"/>
      <c r="AH674" s="1"/>
    </row>
    <row r="675">
      <c r="A675" s="1"/>
      <c r="B675" s="1"/>
      <c r="C675" s="1"/>
      <c r="D675" s="1"/>
      <c r="E675" s="1"/>
      <c r="F675" s="1"/>
      <c r="G675" s="1"/>
      <c r="H675" s="1"/>
      <c r="I675" s="1"/>
      <c r="J675" s="5"/>
      <c r="K675" s="2"/>
      <c r="L675" s="1"/>
      <c r="M675" s="1"/>
      <c r="N675" s="1"/>
      <c r="O675" s="1"/>
      <c r="P675" s="1"/>
      <c r="Q675" s="1"/>
      <c r="R675" s="1"/>
      <c r="S675" s="1"/>
      <c r="T675" s="1"/>
      <c r="U675" s="1"/>
      <c r="V675" s="1"/>
      <c r="W675" s="1"/>
      <c r="X675" s="1"/>
      <c r="Y675" s="1"/>
      <c r="Z675" s="1"/>
      <c r="AA675" s="1"/>
      <c r="AB675" s="1"/>
      <c r="AC675" s="1"/>
      <c r="AD675" s="1"/>
      <c r="AE675" s="1"/>
      <c r="AF675" s="1"/>
      <c r="AG675" s="1"/>
      <c r="AH675" s="1"/>
    </row>
    <row r="676">
      <c r="A676" s="1"/>
      <c r="B676" s="1"/>
      <c r="C676" s="1"/>
      <c r="D676" s="1"/>
      <c r="E676" s="1"/>
      <c r="F676" s="1"/>
      <c r="G676" s="1"/>
      <c r="H676" s="1"/>
      <c r="I676" s="1"/>
      <c r="J676" s="5"/>
      <c r="K676" s="2"/>
      <c r="L676" s="1"/>
      <c r="M676" s="1"/>
      <c r="N676" s="1"/>
      <c r="O676" s="1"/>
      <c r="P676" s="1"/>
      <c r="Q676" s="1"/>
      <c r="R676" s="1"/>
      <c r="S676" s="1"/>
      <c r="T676" s="1"/>
      <c r="U676" s="1"/>
      <c r="V676" s="1"/>
      <c r="W676" s="1"/>
      <c r="X676" s="1"/>
      <c r="Y676" s="1"/>
      <c r="Z676" s="1"/>
      <c r="AA676" s="1"/>
      <c r="AB676" s="1"/>
      <c r="AC676" s="1"/>
      <c r="AD676" s="1"/>
      <c r="AE676" s="1"/>
      <c r="AF676" s="1"/>
      <c r="AG676" s="1"/>
      <c r="AH676" s="1"/>
    </row>
    <row r="677">
      <c r="A677" s="1"/>
      <c r="B677" s="1"/>
      <c r="C677" s="1"/>
      <c r="D677" s="1"/>
      <c r="E677" s="1"/>
      <c r="F677" s="1"/>
      <c r="G677" s="1"/>
      <c r="H677" s="1"/>
      <c r="I677" s="1"/>
      <c r="J677" s="5"/>
      <c r="K677" s="2"/>
      <c r="L677" s="1"/>
      <c r="M677" s="1"/>
      <c r="N677" s="1"/>
      <c r="O677" s="1"/>
      <c r="P677" s="1"/>
      <c r="Q677" s="1"/>
      <c r="R677" s="1"/>
      <c r="S677" s="1"/>
      <c r="T677" s="1"/>
      <c r="U677" s="1"/>
      <c r="V677" s="1"/>
      <c r="W677" s="1"/>
      <c r="X677" s="1"/>
      <c r="Y677" s="1"/>
      <c r="Z677" s="1"/>
      <c r="AA677" s="1"/>
      <c r="AB677" s="1"/>
      <c r="AC677" s="1"/>
      <c r="AD677" s="1"/>
      <c r="AE677" s="1"/>
      <c r="AF677" s="1"/>
      <c r="AG677" s="1"/>
      <c r="AH677" s="1"/>
    </row>
    <row r="678">
      <c r="A678" s="1"/>
      <c r="B678" s="1"/>
      <c r="C678" s="1"/>
      <c r="D678" s="1"/>
      <c r="E678" s="1"/>
      <c r="F678" s="1"/>
      <c r="G678" s="1"/>
      <c r="H678" s="1"/>
      <c r="I678" s="1"/>
      <c r="J678" s="5"/>
      <c r="K678" s="2"/>
      <c r="L678" s="1"/>
      <c r="M678" s="1"/>
      <c r="N678" s="1"/>
      <c r="O678" s="1"/>
      <c r="P678" s="1"/>
      <c r="Q678" s="1"/>
      <c r="R678" s="1"/>
      <c r="S678" s="1"/>
      <c r="T678" s="1"/>
      <c r="U678" s="1"/>
      <c r="V678" s="1"/>
      <c r="W678" s="1"/>
      <c r="X678" s="1"/>
      <c r="Y678" s="1"/>
      <c r="Z678" s="1"/>
      <c r="AA678" s="1"/>
      <c r="AB678" s="1"/>
      <c r="AC678" s="1"/>
      <c r="AD678" s="1"/>
      <c r="AE678" s="1"/>
      <c r="AF678" s="1"/>
      <c r="AG678" s="1"/>
      <c r="AH678" s="1"/>
    </row>
    <row r="679">
      <c r="A679" s="1"/>
      <c r="B679" s="1"/>
      <c r="C679" s="1"/>
      <c r="D679" s="1"/>
      <c r="E679" s="1"/>
      <c r="F679" s="1"/>
      <c r="G679" s="1"/>
      <c r="H679" s="1"/>
      <c r="I679" s="1"/>
      <c r="J679" s="5"/>
      <c r="K679" s="2"/>
      <c r="L679" s="1"/>
      <c r="M679" s="1"/>
      <c r="N679" s="1"/>
      <c r="O679" s="1"/>
      <c r="P679" s="1"/>
      <c r="Q679" s="1"/>
      <c r="R679" s="1"/>
      <c r="S679" s="1"/>
      <c r="T679" s="1"/>
      <c r="U679" s="1"/>
      <c r="V679" s="1"/>
      <c r="W679" s="1"/>
      <c r="X679" s="1"/>
      <c r="Y679" s="1"/>
      <c r="Z679" s="1"/>
      <c r="AA679" s="1"/>
      <c r="AB679" s="1"/>
      <c r="AC679" s="1"/>
      <c r="AD679" s="1"/>
      <c r="AE679" s="1"/>
      <c r="AF679" s="1"/>
      <c r="AG679" s="1"/>
      <c r="AH679" s="1"/>
    </row>
    <row r="680">
      <c r="A680" s="1"/>
      <c r="B680" s="1"/>
      <c r="C680" s="1"/>
      <c r="D680" s="1"/>
      <c r="E680" s="1"/>
      <c r="F680" s="1"/>
      <c r="G680" s="1"/>
      <c r="H680" s="1"/>
      <c r="I680" s="1"/>
      <c r="J680" s="5"/>
      <c r="K680" s="2"/>
      <c r="L680" s="1"/>
      <c r="M680" s="1"/>
      <c r="N680" s="1"/>
      <c r="O680" s="1"/>
      <c r="P680" s="1"/>
      <c r="Q680" s="1"/>
      <c r="R680" s="1"/>
      <c r="S680" s="1"/>
      <c r="T680" s="1"/>
      <c r="U680" s="1"/>
      <c r="V680" s="1"/>
      <c r="W680" s="1"/>
      <c r="X680" s="1"/>
      <c r="Y680" s="1"/>
      <c r="Z680" s="1"/>
      <c r="AA680" s="1"/>
      <c r="AB680" s="1"/>
      <c r="AC680" s="1"/>
      <c r="AD680" s="1"/>
      <c r="AE680" s="1"/>
      <c r="AF680" s="1"/>
      <c r="AG680" s="1"/>
      <c r="AH680" s="1"/>
    </row>
    <row r="681">
      <c r="A681" s="1"/>
      <c r="B681" s="1"/>
      <c r="C681" s="1"/>
      <c r="D681" s="1"/>
      <c r="E681" s="1"/>
      <c r="F681" s="1"/>
      <c r="G681" s="1"/>
      <c r="H681" s="1"/>
      <c r="I681" s="1"/>
      <c r="J681" s="5"/>
      <c r="K681" s="2"/>
      <c r="L681" s="1"/>
      <c r="M681" s="1"/>
      <c r="N681" s="1"/>
      <c r="O681" s="1"/>
      <c r="P681" s="1"/>
      <c r="Q681" s="1"/>
      <c r="R681" s="1"/>
      <c r="S681" s="1"/>
      <c r="T681" s="1"/>
      <c r="U681" s="1"/>
      <c r="V681" s="1"/>
      <c r="W681" s="1"/>
      <c r="X681" s="1"/>
      <c r="Y681" s="1"/>
      <c r="Z681" s="1"/>
      <c r="AA681" s="1"/>
      <c r="AB681" s="1"/>
      <c r="AC681" s="1"/>
      <c r="AD681" s="1"/>
      <c r="AE681" s="1"/>
      <c r="AF681" s="1"/>
      <c r="AG681" s="1"/>
      <c r="AH681" s="1"/>
    </row>
    <row r="682">
      <c r="A682" s="1"/>
      <c r="B682" s="1"/>
      <c r="C682" s="1"/>
      <c r="D682" s="1"/>
      <c r="E682" s="1"/>
      <c r="F682" s="1"/>
      <c r="G682" s="1"/>
      <c r="H682" s="1"/>
      <c r="I682" s="1"/>
      <c r="J682" s="5"/>
      <c r="K682" s="2"/>
      <c r="L682" s="1"/>
      <c r="M682" s="1"/>
      <c r="N682" s="1"/>
      <c r="O682" s="1"/>
      <c r="P682" s="1"/>
      <c r="Q682" s="1"/>
      <c r="R682" s="1"/>
      <c r="S682" s="1"/>
      <c r="T682" s="1"/>
      <c r="U682" s="1"/>
      <c r="V682" s="1"/>
      <c r="W682" s="1"/>
      <c r="X682" s="1"/>
      <c r="Y682" s="1"/>
      <c r="Z682" s="1"/>
      <c r="AA682" s="1"/>
      <c r="AB682" s="1"/>
      <c r="AC682" s="1"/>
      <c r="AD682" s="1"/>
      <c r="AE682" s="1"/>
      <c r="AF682" s="1"/>
      <c r="AG682" s="1"/>
      <c r="AH682" s="1"/>
    </row>
    <row r="683">
      <c r="A683" s="1"/>
      <c r="B683" s="1"/>
      <c r="C683" s="1"/>
      <c r="D683" s="1"/>
      <c r="E683" s="1"/>
      <c r="F683" s="1"/>
      <c r="G683" s="1"/>
      <c r="H683" s="1"/>
      <c r="I683" s="1"/>
      <c r="J683" s="5"/>
      <c r="K683" s="2"/>
      <c r="L683" s="1"/>
      <c r="M683" s="1"/>
      <c r="N683" s="1"/>
      <c r="O683" s="1"/>
      <c r="P683" s="1"/>
      <c r="Q683" s="1"/>
      <c r="R683" s="1"/>
      <c r="S683" s="1"/>
      <c r="T683" s="1"/>
      <c r="U683" s="1"/>
      <c r="V683" s="1"/>
      <c r="W683" s="1"/>
      <c r="X683" s="1"/>
      <c r="Y683" s="1"/>
      <c r="Z683" s="1"/>
      <c r="AA683" s="1"/>
      <c r="AB683" s="1"/>
      <c r="AC683" s="1"/>
      <c r="AD683" s="1"/>
      <c r="AE683" s="1"/>
      <c r="AF683" s="1"/>
      <c r="AG683" s="1"/>
      <c r="AH683" s="1"/>
    </row>
    <row r="684">
      <c r="A684" s="1"/>
      <c r="B684" s="1"/>
      <c r="C684" s="1"/>
      <c r="D684" s="1"/>
      <c r="E684" s="1"/>
      <c r="F684" s="1"/>
      <c r="G684" s="1"/>
      <c r="H684" s="1"/>
      <c r="I684" s="1"/>
      <c r="J684" s="5"/>
      <c r="K684" s="2"/>
      <c r="L684" s="1"/>
      <c r="M684" s="1"/>
      <c r="N684" s="1"/>
      <c r="O684" s="1"/>
      <c r="P684" s="1"/>
      <c r="Q684" s="1"/>
      <c r="R684" s="1"/>
      <c r="S684" s="1"/>
      <c r="T684" s="1"/>
      <c r="U684" s="1"/>
      <c r="V684" s="1"/>
      <c r="W684" s="1"/>
      <c r="X684" s="1"/>
      <c r="Y684" s="1"/>
      <c r="Z684" s="1"/>
      <c r="AA684" s="1"/>
      <c r="AB684" s="1"/>
      <c r="AC684" s="1"/>
      <c r="AD684" s="1"/>
      <c r="AE684" s="1"/>
      <c r="AF684" s="1"/>
      <c r="AG684" s="1"/>
      <c r="AH684" s="1"/>
    </row>
    <row r="685">
      <c r="A685" s="1"/>
      <c r="B685" s="1"/>
      <c r="C685" s="1"/>
      <c r="D685" s="1"/>
      <c r="E685" s="1"/>
      <c r="F685" s="1"/>
      <c r="G685" s="1"/>
      <c r="H685" s="1"/>
      <c r="I685" s="1"/>
      <c r="J685" s="5"/>
      <c r="K685" s="2"/>
      <c r="L685" s="1"/>
      <c r="M685" s="1"/>
      <c r="N685" s="1"/>
      <c r="O685" s="1"/>
      <c r="P685" s="1"/>
      <c r="Q685" s="1"/>
      <c r="R685" s="1"/>
      <c r="S685" s="1"/>
      <c r="T685" s="1"/>
      <c r="U685" s="1"/>
      <c r="V685" s="1"/>
      <c r="W685" s="1"/>
      <c r="X685" s="1"/>
      <c r="Y685" s="1"/>
      <c r="Z685" s="1"/>
      <c r="AA685" s="1"/>
      <c r="AB685" s="1"/>
      <c r="AC685" s="1"/>
      <c r="AD685" s="1"/>
      <c r="AE685" s="1"/>
      <c r="AF685" s="1"/>
      <c r="AG685" s="1"/>
      <c r="AH685" s="1"/>
    </row>
    <row r="686">
      <c r="A686" s="1"/>
      <c r="B686" s="1"/>
      <c r="C686" s="1"/>
      <c r="D686" s="1"/>
      <c r="E686" s="1"/>
      <c r="F686" s="1"/>
      <c r="G686" s="1"/>
      <c r="H686" s="1"/>
      <c r="I686" s="1"/>
      <c r="J686" s="5"/>
      <c r="K686" s="2"/>
      <c r="L686" s="1"/>
      <c r="M686" s="1"/>
      <c r="N686" s="1"/>
      <c r="O686" s="1"/>
      <c r="P686" s="1"/>
      <c r="Q686" s="1"/>
      <c r="R686" s="1"/>
      <c r="S686" s="1"/>
      <c r="T686" s="1"/>
      <c r="U686" s="1"/>
      <c r="V686" s="1"/>
      <c r="W686" s="1"/>
      <c r="X686" s="1"/>
      <c r="Y686" s="1"/>
      <c r="Z686" s="1"/>
      <c r="AA686" s="1"/>
      <c r="AB686" s="1"/>
      <c r="AC686" s="1"/>
      <c r="AD686" s="1"/>
      <c r="AE686" s="1"/>
      <c r="AF686" s="1"/>
      <c r="AG686" s="1"/>
      <c r="AH686" s="1"/>
    </row>
    <row r="687">
      <c r="A687" s="1"/>
      <c r="B687" s="1"/>
      <c r="C687" s="1"/>
      <c r="D687" s="1"/>
      <c r="E687" s="1"/>
      <c r="F687" s="1"/>
      <c r="G687" s="1"/>
      <c r="H687" s="1"/>
      <c r="I687" s="1"/>
      <c r="J687" s="5"/>
      <c r="K687" s="2"/>
      <c r="L687" s="1"/>
      <c r="M687" s="1"/>
      <c r="N687" s="1"/>
      <c r="O687" s="1"/>
      <c r="P687" s="1"/>
      <c r="Q687" s="1"/>
      <c r="R687" s="1"/>
      <c r="S687" s="1"/>
      <c r="T687" s="1"/>
      <c r="U687" s="1"/>
      <c r="V687" s="1"/>
      <c r="W687" s="1"/>
      <c r="X687" s="1"/>
      <c r="Y687" s="1"/>
      <c r="Z687" s="1"/>
      <c r="AA687" s="1"/>
      <c r="AB687" s="1"/>
      <c r="AC687" s="1"/>
      <c r="AD687" s="1"/>
      <c r="AE687" s="1"/>
      <c r="AF687" s="1"/>
      <c r="AG687" s="1"/>
      <c r="AH687" s="1"/>
    </row>
    <row r="688">
      <c r="A688" s="1"/>
      <c r="B688" s="1"/>
      <c r="C688" s="1"/>
      <c r="D688" s="1"/>
      <c r="E688" s="1"/>
      <c r="F688" s="1"/>
      <c r="G688" s="1"/>
      <c r="H688" s="1"/>
      <c r="I688" s="1"/>
      <c r="J688" s="5"/>
      <c r="K688" s="2"/>
      <c r="L688" s="1"/>
      <c r="M688" s="1"/>
      <c r="N688" s="1"/>
      <c r="O688" s="1"/>
      <c r="P688" s="1"/>
      <c r="Q688" s="1"/>
      <c r="R688" s="1"/>
      <c r="S688" s="1"/>
      <c r="T688" s="1"/>
      <c r="U688" s="1"/>
      <c r="V688" s="1"/>
      <c r="W688" s="1"/>
      <c r="X688" s="1"/>
      <c r="Y688" s="1"/>
      <c r="Z688" s="1"/>
      <c r="AA688" s="1"/>
      <c r="AB688" s="1"/>
      <c r="AC688" s="1"/>
      <c r="AD688" s="1"/>
      <c r="AE688" s="1"/>
      <c r="AF688" s="1"/>
      <c r="AG688" s="1"/>
      <c r="AH688" s="1"/>
    </row>
    <row r="689">
      <c r="A689" s="1"/>
      <c r="B689" s="1"/>
      <c r="C689" s="1"/>
      <c r="D689" s="1"/>
      <c r="E689" s="1"/>
      <c r="F689" s="1"/>
      <c r="G689" s="1"/>
      <c r="H689" s="1"/>
      <c r="I689" s="1"/>
      <c r="J689" s="5"/>
      <c r="K689" s="2"/>
      <c r="L689" s="1"/>
      <c r="M689" s="1"/>
      <c r="N689" s="1"/>
      <c r="O689" s="1"/>
      <c r="P689" s="1"/>
      <c r="Q689" s="1"/>
      <c r="R689" s="1"/>
      <c r="S689" s="1"/>
      <c r="T689" s="1"/>
      <c r="U689" s="1"/>
      <c r="V689" s="1"/>
      <c r="W689" s="1"/>
      <c r="X689" s="1"/>
      <c r="Y689" s="1"/>
      <c r="Z689" s="1"/>
      <c r="AA689" s="1"/>
      <c r="AB689" s="1"/>
      <c r="AC689" s="1"/>
      <c r="AD689" s="1"/>
      <c r="AE689" s="1"/>
      <c r="AF689" s="1"/>
      <c r="AG689" s="1"/>
      <c r="AH689" s="1"/>
    </row>
    <row r="690">
      <c r="A690" s="1"/>
      <c r="B690" s="1"/>
      <c r="C690" s="1"/>
      <c r="D690" s="1"/>
      <c r="E690" s="1"/>
      <c r="F690" s="1"/>
      <c r="G690" s="1"/>
      <c r="H690" s="1"/>
      <c r="I690" s="1"/>
      <c r="J690" s="5"/>
      <c r="K690" s="2"/>
      <c r="L690" s="1"/>
      <c r="M690" s="1"/>
      <c r="N690" s="1"/>
      <c r="O690" s="1"/>
      <c r="P690" s="1"/>
      <c r="Q690" s="1"/>
      <c r="R690" s="1"/>
      <c r="S690" s="1"/>
      <c r="T690" s="1"/>
      <c r="U690" s="1"/>
      <c r="V690" s="1"/>
      <c r="W690" s="1"/>
      <c r="X690" s="1"/>
      <c r="Y690" s="1"/>
      <c r="Z690" s="1"/>
      <c r="AA690" s="1"/>
      <c r="AB690" s="1"/>
      <c r="AC690" s="1"/>
      <c r="AD690" s="1"/>
      <c r="AE690" s="1"/>
      <c r="AF690" s="1"/>
      <c r="AG690" s="1"/>
      <c r="AH690" s="1"/>
    </row>
    <row r="691">
      <c r="A691" s="1"/>
      <c r="B691" s="1"/>
      <c r="C691" s="1"/>
      <c r="D691" s="1"/>
      <c r="E691" s="1"/>
      <c r="F691" s="1"/>
      <c r="G691" s="1"/>
      <c r="H691" s="1"/>
      <c r="I691" s="1"/>
      <c r="J691" s="5"/>
      <c r="K691" s="2"/>
      <c r="L691" s="1"/>
      <c r="M691" s="1"/>
      <c r="N691" s="1"/>
      <c r="O691" s="1"/>
      <c r="P691" s="1"/>
      <c r="Q691" s="1"/>
      <c r="R691" s="1"/>
      <c r="S691" s="1"/>
      <c r="T691" s="1"/>
      <c r="U691" s="1"/>
      <c r="V691" s="1"/>
      <c r="W691" s="1"/>
      <c r="X691" s="1"/>
      <c r="Y691" s="1"/>
      <c r="Z691" s="1"/>
      <c r="AA691" s="1"/>
      <c r="AB691" s="1"/>
      <c r="AC691" s="1"/>
      <c r="AD691" s="1"/>
      <c r="AE691" s="1"/>
      <c r="AF691" s="1"/>
      <c r="AG691" s="1"/>
      <c r="AH691" s="1"/>
    </row>
    <row r="692">
      <c r="A692" s="1"/>
      <c r="B692" s="1"/>
      <c r="C692" s="1"/>
      <c r="D692" s="1"/>
      <c r="E692" s="1"/>
      <c r="F692" s="1"/>
      <c r="G692" s="1"/>
      <c r="H692" s="1"/>
      <c r="I692" s="1"/>
      <c r="J692" s="5"/>
      <c r="K692" s="2"/>
      <c r="L692" s="1"/>
      <c r="M692" s="1"/>
      <c r="N692" s="1"/>
      <c r="O692" s="1"/>
      <c r="P692" s="1"/>
      <c r="Q692" s="1"/>
      <c r="R692" s="1"/>
      <c r="S692" s="1"/>
      <c r="T692" s="1"/>
      <c r="U692" s="1"/>
      <c r="V692" s="1"/>
      <c r="W692" s="1"/>
      <c r="X692" s="1"/>
      <c r="Y692" s="1"/>
      <c r="Z692" s="1"/>
      <c r="AA692" s="1"/>
      <c r="AB692" s="1"/>
      <c r="AC692" s="1"/>
      <c r="AD692" s="1"/>
      <c r="AE692" s="1"/>
      <c r="AF692" s="1"/>
      <c r="AG692" s="1"/>
      <c r="AH692" s="1"/>
    </row>
    <row r="693">
      <c r="A693" s="1"/>
      <c r="B693" s="1"/>
      <c r="C693" s="1"/>
      <c r="D693" s="1"/>
      <c r="E693" s="1"/>
      <c r="F693" s="1"/>
      <c r="G693" s="1"/>
      <c r="H693" s="1"/>
      <c r="I693" s="1"/>
      <c r="J693" s="5"/>
      <c r="K693" s="2"/>
      <c r="L693" s="1"/>
      <c r="M693" s="1"/>
      <c r="N693" s="1"/>
      <c r="O693" s="1"/>
      <c r="P693" s="1"/>
      <c r="Q693" s="1"/>
      <c r="R693" s="1"/>
      <c r="S693" s="1"/>
      <c r="T693" s="1"/>
      <c r="U693" s="1"/>
      <c r="V693" s="1"/>
      <c r="W693" s="1"/>
      <c r="X693" s="1"/>
      <c r="Y693" s="1"/>
      <c r="Z693" s="1"/>
      <c r="AA693" s="1"/>
      <c r="AB693" s="1"/>
      <c r="AC693" s="1"/>
      <c r="AD693" s="1"/>
      <c r="AE693" s="1"/>
      <c r="AF693" s="1"/>
      <c r="AG693" s="1"/>
      <c r="AH693" s="1"/>
    </row>
    <row r="694">
      <c r="A694" s="1"/>
      <c r="B694" s="1"/>
      <c r="C694" s="1"/>
      <c r="D694" s="1"/>
      <c r="E694" s="1"/>
      <c r="F694" s="1"/>
      <c r="G694" s="1"/>
      <c r="H694" s="1"/>
      <c r="I694" s="1"/>
      <c r="J694" s="5"/>
      <c r="K694" s="2"/>
      <c r="L694" s="1"/>
      <c r="M694" s="1"/>
      <c r="N694" s="1"/>
      <c r="O694" s="1"/>
      <c r="P694" s="1"/>
      <c r="Q694" s="1"/>
      <c r="R694" s="1"/>
      <c r="S694" s="1"/>
      <c r="T694" s="1"/>
      <c r="U694" s="1"/>
      <c r="V694" s="1"/>
      <c r="W694" s="1"/>
      <c r="X694" s="1"/>
      <c r="Y694" s="1"/>
      <c r="Z694" s="1"/>
      <c r="AA694" s="1"/>
      <c r="AB694" s="1"/>
      <c r="AC694" s="1"/>
      <c r="AD694" s="1"/>
      <c r="AE694" s="1"/>
      <c r="AF694" s="1"/>
      <c r="AG694" s="1"/>
      <c r="AH694" s="1"/>
    </row>
    <row r="695">
      <c r="A695" s="1"/>
      <c r="B695" s="1"/>
      <c r="C695" s="1"/>
      <c r="D695" s="1"/>
      <c r="E695" s="1"/>
      <c r="F695" s="1"/>
      <c r="G695" s="1"/>
      <c r="H695" s="1"/>
      <c r="I695" s="1"/>
      <c r="J695" s="5"/>
      <c r="K695" s="2"/>
      <c r="L695" s="1"/>
      <c r="M695" s="1"/>
      <c r="N695" s="1"/>
      <c r="O695" s="1"/>
      <c r="P695" s="1"/>
      <c r="Q695" s="1"/>
      <c r="R695" s="1"/>
      <c r="S695" s="1"/>
      <c r="T695" s="1"/>
      <c r="U695" s="1"/>
      <c r="V695" s="1"/>
      <c r="W695" s="1"/>
      <c r="X695" s="1"/>
      <c r="Y695" s="1"/>
      <c r="Z695" s="1"/>
      <c r="AA695" s="1"/>
      <c r="AB695" s="1"/>
      <c r="AC695" s="1"/>
      <c r="AD695" s="1"/>
      <c r="AE695" s="1"/>
      <c r="AF695" s="1"/>
      <c r="AG695" s="1"/>
      <c r="AH695" s="1"/>
    </row>
    <row r="696">
      <c r="A696" s="1"/>
      <c r="B696" s="1"/>
      <c r="C696" s="1"/>
      <c r="D696" s="1"/>
      <c r="E696" s="1"/>
      <c r="F696" s="1"/>
      <c r="G696" s="1"/>
      <c r="H696" s="1"/>
      <c r="I696" s="1"/>
      <c r="J696" s="5"/>
      <c r="K696" s="2"/>
      <c r="L696" s="1"/>
      <c r="M696" s="1"/>
      <c r="N696" s="1"/>
      <c r="O696" s="1"/>
      <c r="P696" s="1"/>
      <c r="Q696" s="1"/>
      <c r="R696" s="1"/>
      <c r="S696" s="1"/>
      <c r="T696" s="1"/>
      <c r="U696" s="1"/>
      <c r="V696" s="1"/>
      <c r="W696" s="1"/>
      <c r="X696" s="1"/>
      <c r="Y696" s="1"/>
      <c r="Z696" s="1"/>
      <c r="AA696" s="1"/>
      <c r="AB696" s="1"/>
      <c r="AC696" s="1"/>
      <c r="AD696" s="1"/>
      <c r="AE696" s="1"/>
      <c r="AF696" s="1"/>
      <c r="AG696" s="1"/>
      <c r="AH696" s="1"/>
    </row>
    <row r="697">
      <c r="A697" s="1"/>
      <c r="B697" s="1"/>
      <c r="C697" s="1"/>
      <c r="D697" s="1"/>
      <c r="E697" s="1"/>
      <c r="F697" s="1"/>
      <c r="G697" s="1"/>
      <c r="H697" s="1"/>
      <c r="I697" s="1"/>
      <c r="J697" s="5"/>
      <c r="K697" s="2"/>
      <c r="L697" s="1"/>
      <c r="M697" s="1"/>
      <c r="N697" s="1"/>
      <c r="O697" s="1"/>
      <c r="P697" s="1"/>
      <c r="Q697" s="1"/>
      <c r="R697" s="1"/>
      <c r="S697" s="1"/>
      <c r="T697" s="1"/>
      <c r="U697" s="1"/>
      <c r="V697" s="1"/>
      <c r="W697" s="1"/>
      <c r="X697" s="1"/>
      <c r="Y697" s="1"/>
      <c r="Z697" s="1"/>
      <c r="AA697" s="1"/>
      <c r="AB697" s="1"/>
      <c r="AC697" s="1"/>
      <c r="AD697" s="1"/>
      <c r="AE697" s="1"/>
      <c r="AF697" s="1"/>
      <c r="AG697" s="1"/>
      <c r="AH697" s="1"/>
    </row>
    <row r="698">
      <c r="A698" s="1"/>
      <c r="B698" s="1"/>
      <c r="C698" s="1"/>
      <c r="D698" s="1"/>
      <c r="E698" s="1"/>
      <c r="F698" s="1"/>
      <c r="G698" s="1"/>
      <c r="H698" s="1"/>
      <c r="I698" s="1"/>
      <c r="J698" s="5"/>
      <c r="K698" s="2"/>
      <c r="L698" s="1"/>
      <c r="M698" s="1"/>
      <c r="N698" s="1"/>
      <c r="O698" s="1"/>
      <c r="P698" s="1"/>
      <c r="Q698" s="1"/>
      <c r="R698" s="1"/>
      <c r="S698" s="1"/>
      <c r="T698" s="1"/>
      <c r="U698" s="1"/>
      <c r="V698" s="1"/>
      <c r="W698" s="1"/>
      <c r="X698" s="1"/>
      <c r="Y698" s="1"/>
      <c r="Z698" s="1"/>
      <c r="AA698" s="1"/>
      <c r="AB698" s="1"/>
      <c r="AC698" s="1"/>
      <c r="AD698" s="1"/>
      <c r="AE698" s="1"/>
      <c r="AF698" s="1"/>
      <c r="AG698" s="1"/>
      <c r="AH698" s="1"/>
    </row>
    <row r="699">
      <c r="A699" s="1"/>
      <c r="B699" s="1"/>
      <c r="C699" s="1"/>
      <c r="D699" s="1"/>
      <c r="E699" s="1"/>
      <c r="F699" s="1"/>
      <c r="G699" s="1"/>
      <c r="H699" s="1"/>
      <c r="I699" s="1"/>
      <c r="J699" s="5"/>
      <c r="K699" s="2"/>
      <c r="L699" s="1"/>
      <c r="M699" s="1"/>
      <c r="N699" s="1"/>
      <c r="O699" s="1"/>
      <c r="P699" s="1"/>
      <c r="Q699" s="1"/>
      <c r="R699" s="1"/>
      <c r="S699" s="1"/>
      <c r="T699" s="1"/>
      <c r="U699" s="1"/>
      <c r="V699" s="1"/>
      <c r="W699" s="1"/>
      <c r="X699" s="1"/>
      <c r="Y699" s="1"/>
      <c r="Z699" s="1"/>
      <c r="AA699" s="1"/>
      <c r="AB699" s="1"/>
      <c r="AC699" s="1"/>
      <c r="AD699" s="1"/>
      <c r="AE699" s="1"/>
      <c r="AF699" s="1"/>
      <c r="AG699" s="1"/>
      <c r="AH699" s="1"/>
    </row>
    <row r="700">
      <c r="A700" s="1"/>
      <c r="B700" s="1"/>
      <c r="C700" s="1"/>
      <c r="D700" s="1"/>
      <c r="E700" s="1"/>
      <c r="F700" s="1"/>
      <c r="G700" s="1"/>
      <c r="H700" s="1"/>
      <c r="I700" s="1"/>
      <c r="J700" s="5"/>
      <c r="K700" s="2"/>
      <c r="L700" s="1"/>
      <c r="M700" s="1"/>
      <c r="N700" s="1"/>
      <c r="O700" s="1"/>
      <c r="P700" s="1"/>
      <c r="Q700" s="1"/>
      <c r="R700" s="1"/>
      <c r="S700" s="1"/>
      <c r="T700" s="1"/>
      <c r="U700" s="1"/>
      <c r="V700" s="1"/>
      <c r="W700" s="1"/>
      <c r="X700" s="1"/>
      <c r="Y700" s="1"/>
      <c r="Z700" s="1"/>
      <c r="AA700" s="1"/>
      <c r="AB700" s="1"/>
      <c r="AC700" s="1"/>
      <c r="AD700" s="1"/>
      <c r="AE700" s="1"/>
      <c r="AF700" s="1"/>
      <c r="AG700" s="1"/>
      <c r="AH700" s="1"/>
    </row>
    <row r="701">
      <c r="A701" s="1"/>
      <c r="B701" s="1"/>
      <c r="C701" s="1"/>
      <c r="D701" s="1"/>
      <c r="E701" s="1"/>
      <c r="F701" s="1"/>
      <c r="G701" s="1"/>
      <c r="H701" s="1"/>
      <c r="I701" s="1"/>
      <c r="J701" s="5"/>
      <c r="K701" s="2"/>
      <c r="L701" s="1"/>
      <c r="M701" s="1"/>
      <c r="N701" s="1"/>
      <c r="O701" s="1"/>
      <c r="P701" s="1"/>
      <c r="Q701" s="1"/>
      <c r="R701" s="1"/>
      <c r="S701" s="1"/>
      <c r="T701" s="1"/>
      <c r="U701" s="1"/>
      <c r="V701" s="1"/>
      <c r="W701" s="1"/>
      <c r="X701" s="1"/>
      <c r="Y701" s="1"/>
      <c r="Z701" s="1"/>
      <c r="AA701" s="1"/>
      <c r="AB701" s="1"/>
      <c r="AC701" s="1"/>
      <c r="AD701" s="1"/>
      <c r="AE701" s="1"/>
      <c r="AF701" s="1"/>
      <c r="AG701" s="1"/>
      <c r="AH701" s="1"/>
    </row>
    <row r="702">
      <c r="A702" s="1"/>
      <c r="B702" s="1"/>
      <c r="C702" s="1"/>
      <c r="D702" s="1"/>
      <c r="E702" s="1"/>
      <c r="F702" s="1"/>
      <c r="G702" s="1"/>
      <c r="H702" s="1"/>
      <c r="I702" s="1"/>
      <c r="J702" s="5"/>
      <c r="K702" s="2"/>
      <c r="L702" s="1"/>
      <c r="M702" s="1"/>
      <c r="N702" s="1"/>
      <c r="O702" s="1"/>
      <c r="P702" s="1"/>
      <c r="Q702" s="1"/>
      <c r="R702" s="1"/>
      <c r="S702" s="1"/>
      <c r="T702" s="1"/>
      <c r="U702" s="1"/>
      <c r="V702" s="1"/>
      <c r="W702" s="1"/>
      <c r="X702" s="1"/>
      <c r="Y702" s="1"/>
      <c r="Z702" s="1"/>
      <c r="AA702" s="1"/>
      <c r="AB702" s="1"/>
      <c r="AC702" s="1"/>
      <c r="AD702" s="1"/>
      <c r="AE702" s="1"/>
      <c r="AF702" s="1"/>
      <c r="AG702" s="1"/>
      <c r="AH702" s="1"/>
    </row>
    <row r="703">
      <c r="A703" s="1"/>
      <c r="B703" s="1"/>
      <c r="C703" s="1"/>
      <c r="D703" s="1"/>
      <c r="E703" s="1"/>
      <c r="F703" s="1"/>
      <c r="G703" s="1"/>
      <c r="H703" s="1"/>
      <c r="I703" s="1"/>
      <c r="J703" s="5"/>
      <c r="K703" s="2"/>
      <c r="L703" s="1"/>
      <c r="M703" s="1"/>
      <c r="N703" s="1"/>
      <c r="O703" s="1"/>
      <c r="P703" s="1"/>
      <c r="Q703" s="1"/>
      <c r="R703" s="1"/>
      <c r="S703" s="1"/>
      <c r="T703" s="1"/>
      <c r="U703" s="1"/>
      <c r="V703" s="1"/>
      <c r="W703" s="1"/>
      <c r="X703" s="1"/>
      <c r="Y703" s="1"/>
      <c r="Z703" s="1"/>
      <c r="AA703" s="1"/>
      <c r="AB703" s="1"/>
      <c r="AC703" s="1"/>
      <c r="AD703" s="1"/>
      <c r="AE703" s="1"/>
      <c r="AF703" s="1"/>
      <c r="AG703" s="1"/>
      <c r="AH703" s="1"/>
    </row>
    <row r="704">
      <c r="A704" s="1"/>
      <c r="B704" s="1"/>
      <c r="C704" s="1"/>
      <c r="D704" s="1"/>
      <c r="E704" s="1"/>
      <c r="F704" s="1"/>
      <c r="G704" s="1"/>
      <c r="H704" s="1"/>
      <c r="I704" s="1"/>
      <c r="J704" s="5"/>
      <c r="K704" s="2"/>
      <c r="L704" s="1"/>
      <c r="M704" s="1"/>
      <c r="N704" s="1"/>
      <c r="O704" s="1"/>
      <c r="P704" s="1"/>
      <c r="Q704" s="1"/>
      <c r="R704" s="1"/>
      <c r="S704" s="1"/>
      <c r="T704" s="1"/>
      <c r="U704" s="1"/>
      <c r="V704" s="1"/>
      <c r="W704" s="1"/>
      <c r="X704" s="1"/>
      <c r="Y704" s="1"/>
      <c r="Z704" s="1"/>
      <c r="AA704" s="1"/>
      <c r="AB704" s="1"/>
      <c r="AC704" s="1"/>
      <c r="AD704" s="1"/>
      <c r="AE704" s="1"/>
      <c r="AF704" s="1"/>
      <c r="AG704" s="1"/>
      <c r="AH704" s="1"/>
    </row>
    <row r="705">
      <c r="A705" s="1"/>
      <c r="B705" s="1"/>
      <c r="C705" s="1"/>
      <c r="D705" s="1"/>
      <c r="E705" s="1"/>
      <c r="F705" s="1"/>
      <c r="G705" s="1"/>
      <c r="H705" s="1"/>
      <c r="I705" s="1"/>
      <c r="J705" s="5"/>
      <c r="K705" s="2"/>
      <c r="L705" s="1"/>
      <c r="M705" s="1"/>
      <c r="N705" s="1"/>
      <c r="O705" s="1"/>
      <c r="P705" s="1"/>
      <c r="Q705" s="1"/>
      <c r="R705" s="1"/>
      <c r="S705" s="1"/>
      <c r="T705" s="1"/>
      <c r="U705" s="1"/>
      <c r="V705" s="1"/>
      <c r="W705" s="1"/>
      <c r="X705" s="1"/>
      <c r="Y705" s="1"/>
      <c r="Z705" s="1"/>
      <c r="AA705" s="1"/>
      <c r="AB705" s="1"/>
      <c r="AC705" s="1"/>
      <c r="AD705" s="1"/>
      <c r="AE705" s="1"/>
      <c r="AF705" s="1"/>
      <c r="AG705" s="1"/>
      <c r="AH705" s="1"/>
    </row>
    <row r="706">
      <c r="A706" s="1"/>
      <c r="B706" s="1"/>
      <c r="C706" s="1"/>
      <c r="D706" s="1"/>
      <c r="E706" s="1"/>
      <c r="F706" s="1"/>
      <c r="G706" s="1"/>
      <c r="H706" s="1"/>
      <c r="I706" s="1"/>
      <c r="J706" s="5"/>
      <c r="K706" s="2"/>
      <c r="L706" s="1"/>
      <c r="M706" s="1"/>
      <c r="N706" s="1"/>
      <c r="O706" s="1"/>
      <c r="P706" s="1"/>
      <c r="Q706" s="1"/>
      <c r="R706" s="1"/>
      <c r="S706" s="1"/>
      <c r="T706" s="1"/>
      <c r="U706" s="1"/>
      <c r="V706" s="1"/>
      <c r="W706" s="1"/>
      <c r="X706" s="1"/>
      <c r="Y706" s="1"/>
      <c r="Z706" s="1"/>
      <c r="AA706" s="1"/>
      <c r="AB706" s="1"/>
      <c r="AC706" s="1"/>
      <c r="AD706" s="1"/>
      <c r="AE706" s="1"/>
      <c r="AF706" s="1"/>
      <c r="AG706" s="1"/>
      <c r="AH706" s="1"/>
    </row>
    <row r="707">
      <c r="A707" s="1"/>
      <c r="B707" s="1"/>
      <c r="C707" s="1"/>
      <c r="D707" s="1"/>
      <c r="E707" s="1"/>
      <c r="F707" s="1"/>
      <c r="G707" s="1"/>
      <c r="H707" s="1"/>
      <c r="I707" s="1"/>
      <c r="J707" s="5"/>
      <c r="K707" s="2"/>
      <c r="L707" s="1"/>
      <c r="M707" s="1"/>
      <c r="N707" s="1"/>
      <c r="O707" s="1"/>
      <c r="P707" s="1"/>
      <c r="Q707" s="1"/>
      <c r="R707" s="1"/>
      <c r="S707" s="1"/>
      <c r="T707" s="1"/>
      <c r="U707" s="1"/>
      <c r="V707" s="1"/>
      <c r="W707" s="1"/>
      <c r="X707" s="1"/>
      <c r="Y707" s="1"/>
      <c r="Z707" s="1"/>
      <c r="AA707" s="1"/>
      <c r="AB707" s="1"/>
      <c r="AC707" s="1"/>
      <c r="AD707" s="1"/>
      <c r="AE707" s="1"/>
      <c r="AF707" s="1"/>
      <c r="AG707" s="1"/>
      <c r="AH707" s="1"/>
    </row>
    <row r="708">
      <c r="A708" s="1"/>
      <c r="B708" s="1"/>
      <c r="C708" s="1"/>
      <c r="D708" s="1"/>
      <c r="E708" s="1"/>
      <c r="F708" s="1"/>
      <c r="G708" s="1"/>
      <c r="H708" s="1"/>
      <c r="I708" s="1"/>
      <c r="J708" s="5"/>
      <c r="K708" s="2"/>
      <c r="L708" s="1"/>
      <c r="M708" s="1"/>
      <c r="N708" s="1"/>
      <c r="O708" s="1"/>
      <c r="P708" s="1"/>
      <c r="Q708" s="1"/>
      <c r="R708" s="1"/>
      <c r="S708" s="1"/>
      <c r="T708" s="1"/>
      <c r="U708" s="1"/>
      <c r="V708" s="1"/>
      <c r="W708" s="1"/>
      <c r="X708" s="1"/>
      <c r="Y708" s="1"/>
      <c r="Z708" s="1"/>
      <c r="AA708" s="1"/>
      <c r="AB708" s="1"/>
      <c r="AC708" s="1"/>
      <c r="AD708" s="1"/>
      <c r="AE708" s="1"/>
      <c r="AF708" s="1"/>
      <c r="AG708" s="1"/>
      <c r="AH708" s="1"/>
    </row>
    <row r="709">
      <c r="A709" s="1"/>
      <c r="B709" s="1"/>
      <c r="C709" s="1"/>
      <c r="D709" s="1"/>
      <c r="E709" s="1"/>
      <c r="F709" s="1"/>
      <c r="G709" s="1"/>
      <c r="H709" s="1"/>
      <c r="I709" s="1"/>
      <c r="J709" s="5"/>
      <c r="K709" s="2"/>
      <c r="L709" s="1"/>
      <c r="M709" s="1"/>
      <c r="N709" s="1"/>
      <c r="O709" s="1"/>
      <c r="P709" s="1"/>
      <c r="Q709" s="1"/>
      <c r="R709" s="1"/>
      <c r="S709" s="1"/>
      <c r="T709" s="1"/>
      <c r="U709" s="1"/>
      <c r="V709" s="1"/>
      <c r="W709" s="1"/>
      <c r="X709" s="1"/>
      <c r="Y709" s="1"/>
      <c r="Z709" s="1"/>
      <c r="AA709" s="1"/>
      <c r="AB709" s="1"/>
      <c r="AC709" s="1"/>
      <c r="AD709" s="1"/>
      <c r="AE709" s="1"/>
      <c r="AF709" s="1"/>
      <c r="AG709" s="1"/>
      <c r="AH709" s="1"/>
    </row>
    <row r="710">
      <c r="A710" s="1"/>
      <c r="B710" s="1"/>
      <c r="C710" s="1"/>
      <c r="D710" s="1"/>
      <c r="E710" s="1"/>
      <c r="F710" s="1"/>
      <c r="G710" s="1"/>
      <c r="H710" s="1"/>
      <c r="I710" s="1"/>
      <c r="J710" s="5"/>
      <c r="K710" s="2"/>
      <c r="L710" s="1"/>
      <c r="M710" s="1"/>
      <c r="N710" s="1"/>
      <c r="O710" s="1"/>
      <c r="P710" s="1"/>
      <c r="Q710" s="1"/>
      <c r="R710" s="1"/>
      <c r="S710" s="1"/>
      <c r="T710" s="1"/>
      <c r="U710" s="1"/>
      <c r="V710" s="1"/>
      <c r="W710" s="1"/>
      <c r="X710" s="1"/>
      <c r="Y710" s="1"/>
      <c r="Z710" s="1"/>
      <c r="AA710" s="1"/>
      <c r="AB710" s="1"/>
      <c r="AC710" s="1"/>
      <c r="AD710" s="1"/>
      <c r="AE710" s="1"/>
      <c r="AF710" s="1"/>
      <c r="AG710" s="1"/>
      <c r="AH710" s="1"/>
    </row>
    <row r="711">
      <c r="A711" s="1"/>
      <c r="B711" s="1"/>
      <c r="C711" s="1"/>
      <c r="D711" s="1"/>
      <c r="E711" s="1"/>
      <c r="F711" s="1"/>
      <c r="G711" s="1"/>
      <c r="H711" s="1"/>
      <c r="I711" s="1"/>
      <c r="J711" s="5"/>
      <c r="K711" s="2"/>
      <c r="L711" s="1"/>
      <c r="M711" s="1"/>
      <c r="N711" s="1"/>
      <c r="O711" s="1"/>
      <c r="P711" s="1"/>
      <c r="Q711" s="1"/>
      <c r="R711" s="1"/>
      <c r="S711" s="1"/>
      <c r="T711" s="1"/>
      <c r="U711" s="1"/>
      <c r="V711" s="1"/>
      <c r="W711" s="1"/>
      <c r="X711" s="1"/>
      <c r="Y711" s="1"/>
      <c r="Z711" s="1"/>
      <c r="AA711" s="1"/>
      <c r="AB711" s="1"/>
      <c r="AC711" s="1"/>
      <c r="AD711" s="1"/>
      <c r="AE711" s="1"/>
      <c r="AF711" s="1"/>
      <c r="AG711" s="1"/>
      <c r="AH711" s="1"/>
    </row>
    <row r="712">
      <c r="A712" s="1"/>
      <c r="B712" s="1"/>
      <c r="C712" s="1"/>
      <c r="D712" s="1"/>
      <c r="E712" s="1"/>
      <c r="F712" s="1"/>
      <c r="G712" s="1"/>
      <c r="H712" s="1"/>
      <c r="I712" s="1"/>
      <c r="J712" s="5"/>
      <c r="K712" s="2"/>
      <c r="L712" s="1"/>
      <c r="M712" s="1"/>
      <c r="N712" s="1"/>
      <c r="O712" s="1"/>
      <c r="P712" s="1"/>
      <c r="Q712" s="1"/>
      <c r="R712" s="1"/>
      <c r="S712" s="1"/>
      <c r="T712" s="1"/>
      <c r="U712" s="1"/>
      <c r="V712" s="1"/>
      <c r="W712" s="1"/>
      <c r="X712" s="1"/>
      <c r="Y712" s="1"/>
      <c r="Z712" s="1"/>
      <c r="AA712" s="1"/>
      <c r="AB712" s="1"/>
      <c r="AC712" s="1"/>
      <c r="AD712" s="1"/>
      <c r="AE712" s="1"/>
      <c r="AF712" s="1"/>
      <c r="AG712" s="1"/>
      <c r="AH712" s="1"/>
    </row>
    <row r="713">
      <c r="A713" s="1"/>
      <c r="B713" s="1"/>
      <c r="C713" s="1"/>
      <c r="D713" s="1"/>
      <c r="E713" s="1"/>
      <c r="F713" s="1"/>
      <c r="G713" s="1"/>
      <c r="H713" s="1"/>
      <c r="I713" s="1"/>
      <c r="J713" s="5"/>
      <c r="K713" s="2"/>
      <c r="L713" s="1"/>
      <c r="M713" s="1"/>
      <c r="N713" s="1"/>
      <c r="O713" s="1"/>
      <c r="P713" s="1"/>
      <c r="Q713" s="1"/>
      <c r="R713" s="1"/>
      <c r="S713" s="1"/>
      <c r="T713" s="1"/>
      <c r="U713" s="1"/>
      <c r="V713" s="1"/>
      <c r="W713" s="1"/>
      <c r="X713" s="1"/>
      <c r="Y713" s="1"/>
      <c r="Z713" s="1"/>
      <c r="AA713" s="1"/>
      <c r="AB713" s="1"/>
      <c r="AC713" s="1"/>
      <c r="AD713" s="1"/>
      <c r="AE713" s="1"/>
      <c r="AF713" s="1"/>
      <c r="AG713" s="1"/>
      <c r="AH713" s="1"/>
    </row>
    <row r="714">
      <c r="A714" s="1"/>
      <c r="B714" s="1"/>
      <c r="C714" s="1"/>
      <c r="D714" s="1"/>
      <c r="E714" s="1"/>
      <c r="F714" s="1"/>
      <c r="G714" s="1"/>
      <c r="H714" s="1"/>
      <c r="I714" s="1"/>
      <c r="J714" s="5"/>
      <c r="K714" s="2"/>
      <c r="L714" s="1"/>
      <c r="M714" s="1"/>
      <c r="N714" s="1"/>
      <c r="O714" s="1"/>
      <c r="P714" s="1"/>
      <c r="Q714" s="1"/>
      <c r="R714" s="1"/>
      <c r="S714" s="1"/>
      <c r="T714" s="1"/>
      <c r="U714" s="1"/>
      <c r="V714" s="1"/>
      <c r="W714" s="1"/>
      <c r="X714" s="1"/>
      <c r="Y714" s="1"/>
      <c r="Z714" s="1"/>
      <c r="AA714" s="1"/>
      <c r="AB714" s="1"/>
      <c r="AC714" s="1"/>
      <c r="AD714" s="1"/>
      <c r="AE714" s="1"/>
      <c r="AF714" s="1"/>
      <c r="AG714" s="1"/>
      <c r="AH714" s="1"/>
    </row>
    <row r="715">
      <c r="A715" s="1"/>
      <c r="B715" s="1"/>
      <c r="C715" s="1"/>
      <c r="D715" s="1"/>
      <c r="E715" s="1"/>
      <c r="F715" s="1"/>
      <c r="G715" s="1"/>
      <c r="H715" s="1"/>
      <c r="I715" s="1"/>
      <c r="J715" s="5"/>
      <c r="K715" s="2"/>
      <c r="L715" s="1"/>
      <c r="M715" s="1"/>
      <c r="N715" s="1"/>
      <c r="O715" s="1"/>
      <c r="P715" s="1"/>
      <c r="Q715" s="1"/>
      <c r="R715" s="1"/>
      <c r="S715" s="1"/>
      <c r="T715" s="1"/>
      <c r="U715" s="1"/>
      <c r="V715" s="1"/>
      <c r="W715" s="1"/>
      <c r="X715" s="1"/>
      <c r="Y715" s="1"/>
      <c r="Z715" s="1"/>
      <c r="AA715" s="1"/>
      <c r="AB715" s="1"/>
      <c r="AC715" s="1"/>
      <c r="AD715" s="1"/>
      <c r="AE715" s="1"/>
      <c r="AF715" s="1"/>
      <c r="AG715" s="1"/>
      <c r="AH715" s="1"/>
    </row>
    <row r="716">
      <c r="A716" s="1"/>
      <c r="B716" s="1"/>
      <c r="C716" s="1"/>
      <c r="D716" s="1"/>
      <c r="E716" s="1"/>
      <c r="F716" s="1"/>
      <c r="G716" s="1"/>
      <c r="H716" s="1"/>
      <c r="I716" s="1"/>
      <c r="J716" s="5"/>
      <c r="K716" s="2"/>
      <c r="L716" s="1"/>
      <c r="M716" s="1"/>
      <c r="N716" s="1"/>
      <c r="O716" s="1"/>
      <c r="P716" s="1"/>
      <c r="Q716" s="1"/>
      <c r="R716" s="1"/>
      <c r="S716" s="1"/>
      <c r="T716" s="1"/>
      <c r="U716" s="1"/>
      <c r="V716" s="1"/>
      <c r="W716" s="1"/>
      <c r="X716" s="1"/>
      <c r="Y716" s="1"/>
      <c r="Z716" s="1"/>
      <c r="AA716" s="1"/>
      <c r="AB716" s="1"/>
      <c r="AC716" s="1"/>
      <c r="AD716" s="1"/>
      <c r="AE716" s="1"/>
      <c r="AF716" s="1"/>
      <c r="AG716" s="1"/>
      <c r="AH716" s="1"/>
    </row>
    <row r="717">
      <c r="A717" s="1"/>
      <c r="B717" s="1"/>
      <c r="C717" s="1"/>
      <c r="D717" s="1"/>
      <c r="E717" s="1"/>
      <c r="F717" s="1"/>
      <c r="G717" s="1"/>
      <c r="H717" s="1"/>
      <c r="I717" s="1"/>
      <c r="J717" s="5"/>
      <c r="K717" s="2"/>
      <c r="L717" s="1"/>
      <c r="M717" s="1"/>
      <c r="N717" s="1"/>
      <c r="O717" s="1"/>
      <c r="P717" s="1"/>
      <c r="Q717" s="1"/>
      <c r="R717" s="1"/>
      <c r="S717" s="1"/>
      <c r="T717" s="1"/>
      <c r="U717" s="1"/>
      <c r="V717" s="1"/>
      <c r="W717" s="1"/>
      <c r="X717" s="1"/>
      <c r="Y717" s="1"/>
      <c r="Z717" s="1"/>
      <c r="AA717" s="1"/>
      <c r="AB717" s="1"/>
      <c r="AC717" s="1"/>
      <c r="AD717" s="1"/>
      <c r="AE717" s="1"/>
      <c r="AF717" s="1"/>
      <c r="AG717" s="1"/>
      <c r="AH717" s="1"/>
    </row>
    <row r="718">
      <c r="A718" s="1"/>
      <c r="B718" s="1"/>
      <c r="C718" s="1"/>
      <c r="D718" s="1"/>
      <c r="E718" s="1"/>
      <c r="F718" s="1"/>
      <c r="G718" s="1"/>
      <c r="H718" s="1"/>
      <c r="I718" s="1"/>
      <c r="J718" s="5"/>
      <c r="K718" s="2"/>
      <c r="L718" s="1"/>
      <c r="M718" s="1"/>
      <c r="N718" s="1"/>
      <c r="O718" s="1"/>
      <c r="P718" s="1"/>
      <c r="Q718" s="1"/>
      <c r="R718" s="1"/>
      <c r="S718" s="1"/>
      <c r="T718" s="1"/>
      <c r="U718" s="1"/>
      <c r="V718" s="1"/>
      <c r="W718" s="1"/>
      <c r="X718" s="1"/>
      <c r="Y718" s="1"/>
      <c r="Z718" s="1"/>
      <c r="AA718" s="1"/>
      <c r="AB718" s="1"/>
      <c r="AC718" s="1"/>
      <c r="AD718" s="1"/>
      <c r="AE718" s="1"/>
      <c r="AF718" s="1"/>
      <c r="AG718" s="1"/>
      <c r="AH718" s="1"/>
    </row>
    <row r="719">
      <c r="A719" s="1"/>
      <c r="B719" s="1"/>
      <c r="C719" s="1"/>
      <c r="D719" s="1"/>
      <c r="E719" s="1"/>
      <c r="F719" s="1"/>
      <c r="G719" s="1"/>
      <c r="H719" s="1"/>
      <c r="I719" s="1"/>
      <c r="J719" s="5"/>
      <c r="K719" s="2"/>
      <c r="L719" s="1"/>
      <c r="M719" s="1"/>
      <c r="N719" s="1"/>
      <c r="O719" s="1"/>
      <c r="P719" s="1"/>
      <c r="Q719" s="1"/>
      <c r="R719" s="1"/>
      <c r="S719" s="1"/>
      <c r="T719" s="1"/>
      <c r="U719" s="1"/>
      <c r="V719" s="1"/>
      <c r="W719" s="1"/>
      <c r="X719" s="1"/>
      <c r="Y719" s="1"/>
      <c r="Z719" s="1"/>
      <c r="AA719" s="1"/>
      <c r="AB719" s="1"/>
      <c r="AC719" s="1"/>
      <c r="AD719" s="1"/>
      <c r="AE719" s="1"/>
      <c r="AF719" s="1"/>
      <c r="AG719" s="1"/>
      <c r="AH719" s="1"/>
    </row>
    <row r="720">
      <c r="A720" s="1"/>
      <c r="B720" s="1"/>
      <c r="C720" s="1"/>
      <c r="D720" s="1"/>
      <c r="E720" s="1"/>
      <c r="F720" s="1"/>
      <c r="G720" s="1"/>
      <c r="H720" s="1"/>
      <c r="I720" s="1"/>
      <c r="J720" s="5"/>
      <c r="K720" s="2"/>
      <c r="L720" s="1"/>
      <c r="M720" s="1"/>
      <c r="N720" s="1"/>
      <c r="O720" s="1"/>
      <c r="P720" s="1"/>
      <c r="Q720" s="1"/>
      <c r="R720" s="1"/>
      <c r="S720" s="1"/>
      <c r="T720" s="1"/>
      <c r="U720" s="1"/>
      <c r="V720" s="1"/>
      <c r="W720" s="1"/>
      <c r="X720" s="1"/>
      <c r="Y720" s="1"/>
      <c r="Z720" s="1"/>
      <c r="AA720" s="1"/>
      <c r="AB720" s="1"/>
      <c r="AC720" s="1"/>
      <c r="AD720" s="1"/>
      <c r="AE720" s="1"/>
      <c r="AF720" s="1"/>
      <c r="AG720" s="1"/>
      <c r="AH720" s="1"/>
    </row>
    <row r="721">
      <c r="A721" s="1"/>
      <c r="B721" s="1"/>
      <c r="C721" s="1"/>
      <c r="D721" s="1"/>
      <c r="E721" s="1"/>
      <c r="F721" s="1"/>
      <c r="G721" s="1"/>
      <c r="H721" s="1"/>
      <c r="I721" s="1"/>
      <c r="J721" s="5"/>
      <c r="K721" s="2"/>
      <c r="L721" s="1"/>
      <c r="M721" s="1"/>
      <c r="N721" s="1"/>
      <c r="O721" s="1"/>
      <c r="P721" s="1"/>
      <c r="Q721" s="1"/>
      <c r="R721" s="1"/>
      <c r="S721" s="1"/>
      <c r="T721" s="1"/>
      <c r="U721" s="1"/>
      <c r="V721" s="1"/>
      <c r="W721" s="1"/>
      <c r="X721" s="1"/>
      <c r="Y721" s="1"/>
      <c r="Z721" s="1"/>
      <c r="AA721" s="1"/>
      <c r="AB721" s="1"/>
      <c r="AC721" s="1"/>
      <c r="AD721" s="1"/>
      <c r="AE721" s="1"/>
      <c r="AF721" s="1"/>
      <c r="AG721" s="1"/>
      <c r="AH721" s="1"/>
    </row>
    <row r="722">
      <c r="A722" s="1"/>
      <c r="B722" s="1"/>
      <c r="C722" s="1"/>
      <c r="D722" s="1"/>
      <c r="E722" s="1"/>
      <c r="F722" s="1"/>
      <c r="G722" s="1"/>
      <c r="H722" s="1"/>
      <c r="I722" s="1"/>
      <c r="J722" s="5"/>
      <c r="K722" s="2"/>
      <c r="L722" s="1"/>
      <c r="M722" s="1"/>
      <c r="N722" s="1"/>
      <c r="O722" s="1"/>
      <c r="P722" s="1"/>
      <c r="Q722" s="1"/>
      <c r="R722" s="1"/>
      <c r="S722" s="1"/>
      <c r="T722" s="1"/>
      <c r="U722" s="1"/>
      <c r="V722" s="1"/>
      <c r="W722" s="1"/>
      <c r="X722" s="1"/>
      <c r="Y722" s="1"/>
      <c r="Z722" s="1"/>
      <c r="AA722" s="1"/>
      <c r="AB722" s="1"/>
      <c r="AC722" s="1"/>
      <c r="AD722" s="1"/>
      <c r="AE722" s="1"/>
      <c r="AF722" s="1"/>
      <c r="AG722" s="1"/>
      <c r="AH722" s="1"/>
    </row>
    <row r="723">
      <c r="A723" s="1"/>
      <c r="B723" s="1"/>
      <c r="C723" s="1"/>
      <c r="D723" s="1"/>
      <c r="E723" s="1"/>
      <c r="F723" s="1"/>
      <c r="G723" s="1"/>
      <c r="H723" s="1"/>
      <c r="I723" s="1"/>
      <c r="J723" s="5"/>
      <c r="K723" s="2"/>
      <c r="L723" s="1"/>
      <c r="M723" s="1"/>
      <c r="N723" s="1"/>
      <c r="O723" s="1"/>
      <c r="P723" s="1"/>
      <c r="Q723" s="1"/>
      <c r="R723" s="1"/>
      <c r="S723" s="1"/>
      <c r="T723" s="1"/>
      <c r="U723" s="1"/>
      <c r="V723" s="1"/>
      <c r="W723" s="1"/>
      <c r="X723" s="1"/>
      <c r="Y723" s="1"/>
      <c r="Z723" s="1"/>
      <c r="AA723" s="1"/>
      <c r="AB723" s="1"/>
      <c r="AC723" s="1"/>
      <c r="AD723" s="1"/>
      <c r="AE723" s="1"/>
      <c r="AF723" s="1"/>
      <c r="AG723" s="1"/>
      <c r="AH723" s="1"/>
    </row>
    <row r="724">
      <c r="A724" s="1"/>
      <c r="B724" s="1"/>
      <c r="C724" s="1"/>
      <c r="D724" s="1"/>
      <c r="E724" s="1"/>
      <c r="F724" s="1"/>
      <c r="G724" s="1"/>
      <c r="H724" s="1"/>
      <c r="I724" s="1"/>
      <c r="J724" s="5"/>
      <c r="K724" s="2"/>
      <c r="L724" s="1"/>
      <c r="M724" s="1"/>
      <c r="N724" s="1"/>
      <c r="O724" s="1"/>
      <c r="P724" s="1"/>
      <c r="Q724" s="1"/>
      <c r="R724" s="1"/>
      <c r="S724" s="1"/>
      <c r="T724" s="1"/>
      <c r="U724" s="1"/>
      <c r="V724" s="1"/>
      <c r="W724" s="1"/>
      <c r="X724" s="1"/>
      <c r="Y724" s="1"/>
      <c r="Z724" s="1"/>
      <c r="AA724" s="1"/>
      <c r="AB724" s="1"/>
      <c r="AC724" s="1"/>
      <c r="AD724" s="1"/>
      <c r="AE724" s="1"/>
      <c r="AF724" s="1"/>
      <c r="AG724" s="1"/>
      <c r="AH724" s="1"/>
    </row>
    <row r="725">
      <c r="A725" s="1"/>
      <c r="B725" s="1"/>
      <c r="C725" s="1"/>
      <c r="D725" s="1"/>
      <c r="E725" s="1"/>
      <c r="F725" s="1"/>
      <c r="G725" s="1"/>
      <c r="H725" s="1"/>
      <c r="I725" s="1"/>
      <c r="J725" s="5"/>
      <c r="K725" s="2"/>
      <c r="L725" s="1"/>
      <c r="M725" s="1"/>
      <c r="N725" s="1"/>
      <c r="O725" s="1"/>
      <c r="P725" s="1"/>
      <c r="Q725" s="1"/>
      <c r="R725" s="1"/>
      <c r="S725" s="1"/>
      <c r="T725" s="1"/>
      <c r="U725" s="1"/>
      <c r="V725" s="1"/>
      <c r="W725" s="1"/>
      <c r="X725" s="1"/>
      <c r="Y725" s="1"/>
      <c r="Z725" s="1"/>
      <c r="AA725" s="1"/>
      <c r="AB725" s="1"/>
      <c r="AC725" s="1"/>
      <c r="AD725" s="1"/>
      <c r="AE725" s="1"/>
      <c r="AF725" s="1"/>
      <c r="AG725" s="1"/>
      <c r="AH725" s="1"/>
    </row>
    <row r="726">
      <c r="A726" s="1"/>
      <c r="B726" s="1"/>
      <c r="C726" s="1"/>
      <c r="D726" s="1"/>
      <c r="E726" s="1"/>
      <c r="F726" s="1"/>
      <c r="G726" s="1"/>
      <c r="H726" s="1"/>
      <c r="I726" s="1"/>
      <c r="J726" s="5"/>
      <c r="K726" s="2"/>
      <c r="L726" s="1"/>
      <c r="M726" s="1"/>
      <c r="N726" s="1"/>
      <c r="O726" s="1"/>
      <c r="P726" s="1"/>
      <c r="Q726" s="1"/>
      <c r="R726" s="1"/>
      <c r="S726" s="1"/>
      <c r="T726" s="1"/>
      <c r="U726" s="1"/>
      <c r="V726" s="1"/>
      <c r="W726" s="1"/>
      <c r="X726" s="1"/>
      <c r="Y726" s="1"/>
      <c r="Z726" s="1"/>
      <c r="AA726" s="1"/>
      <c r="AB726" s="1"/>
      <c r="AC726" s="1"/>
      <c r="AD726" s="1"/>
      <c r="AE726" s="1"/>
      <c r="AF726" s="1"/>
      <c r="AG726" s="1"/>
      <c r="AH726" s="1"/>
    </row>
    <row r="727">
      <c r="A727" s="1"/>
      <c r="B727" s="1"/>
      <c r="C727" s="1"/>
      <c r="D727" s="1"/>
      <c r="E727" s="1"/>
      <c r="F727" s="1"/>
      <c r="G727" s="1"/>
      <c r="H727" s="1"/>
      <c r="I727" s="1"/>
      <c r="J727" s="5"/>
      <c r="K727" s="2"/>
      <c r="L727" s="1"/>
      <c r="M727" s="1"/>
      <c r="N727" s="1"/>
      <c r="O727" s="1"/>
      <c r="P727" s="1"/>
      <c r="Q727" s="1"/>
      <c r="R727" s="1"/>
      <c r="S727" s="1"/>
      <c r="T727" s="1"/>
      <c r="U727" s="1"/>
      <c r="V727" s="1"/>
      <c r="W727" s="1"/>
      <c r="X727" s="1"/>
      <c r="Y727" s="1"/>
      <c r="Z727" s="1"/>
      <c r="AA727" s="1"/>
      <c r="AB727" s="1"/>
      <c r="AC727" s="1"/>
      <c r="AD727" s="1"/>
      <c r="AE727" s="1"/>
      <c r="AF727" s="1"/>
      <c r="AG727" s="1"/>
      <c r="AH727" s="1"/>
    </row>
    <row r="728">
      <c r="A728" s="1"/>
      <c r="B728" s="1"/>
      <c r="C728" s="1"/>
      <c r="D728" s="1"/>
      <c r="E728" s="1"/>
      <c r="F728" s="1"/>
      <c r="G728" s="1"/>
      <c r="H728" s="1"/>
      <c r="I728" s="1"/>
      <c r="J728" s="5"/>
      <c r="K728" s="2"/>
      <c r="L728" s="1"/>
      <c r="M728" s="1"/>
      <c r="N728" s="1"/>
      <c r="O728" s="1"/>
      <c r="P728" s="1"/>
      <c r="Q728" s="1"/>
      <c r="R728" s="1"/>
      <c r="S728" s="1"/>
      <c r="T728" s="1"/>
      <c r="U728" s="1"/>
      <c r="V728" s="1"/>
      <c r="W728" s="1"/>
      <c r="X728" s="1"/>
      <c r="Y728" s="1"/>
      <c r="Z728" s="1"/>
      <c r="AA728" s="1"/>
      <c r="AB728" s="1"/>
      <c r="AC728" s="1"/>
      <c r="AD728" s="1"/>
      <c r="AE728" s="1"/>
      <c r="AF728" s="1"/>
      <c r="AG728" s="1"/>
      <c r="AH728" s="1"/>
    </row>
    <row r="729">
      <c r="A729" s="1"/>
      <c r="B729" s="1"/>
      <c r="C729" s="1"/>
      <c r="D729" s="1"/>
      <c r="E729" s="1"/>
      <c r="F729" s="1"/>
      <c r="G729" s="1"/>
      <c r="H729" s="1"/>
      <c r="I729" s="1"/>
      <c r="J729" s="5"/>
      <c r="K729" s="2"/>
      <c r="L729" s="1"/>
      <c r="M729" s="1"/>
      <c r="N729" s="1"/>
      <c r="O729" s="1"/>
      <c r="P729" s="1"/>
      <c r="Q729" s="1"/>
      <c r="R729" s="1"/>
      <c r="S729" s="1"/>
      <c r="T729" s="1"/>
      <c r="U729" s="1"/>
      <c r="V729" s="1"/>
      <c r="W729" s="1"/>
      <c r="X729" s="1"/>
      <c r="Y729" s="1"/>
      <c r="Z729" s="1"/>
      <c r="AA729" s="1"/>
      <c r="AB729" s="1"/>
      <c r="AC729" s="1"/>
      <c r="AD729" s="1"/>
      <c r="AE729" s="1"/>
      <c r="AF729" s="1"/>
      <c r="AG729" s="1"/>
      <c r="AH729" s="1"/>
    </row>
    <row r="730">
      <c r="A730" s="1"/>
      <c r="B730" s="1"/>
      <c r="C730" s="1"/>
      <c r="D730" s="1"/>
      <c r="E730" s="1"/>
      <c r="F730" s="1"/>
      <c r="G730" s="1"/>
      <c r="H730" s="1"/>
      <c r="I730" s="1"/>
      <c r="J730" s="5"/>
      <c r="K730" s="2"/>
      <c r="L730" s="1"/>
      <c r="M730" s="1"/>
      <c r="N730" s="1"/>
      <c r="O730" s="1"/>
      <c r="P730" s="1"/>
      <c r="Q730" s="1"/>
      <c r="R730" s="1"/>
      <c r="S730" s="1"/>
      <c r="T730" s="1"/>
      <c r="U730" s="1"/>
      <c r="V730" s="1"/>
      <c r="W730" s="1"/>
      <c r="X730" s="1"/>
      <c r="Y730" s="1"/>
      <c r="Z730" s="1"/>
      <c r="AA730" s="1"/>
      <c r="AB730" s="1"/>
      <c r="AC730" s="1"/>
      <c r="AD730" s="1"/>
      <c r="AE730" s="1"/>
      <c r="AF730" s="1"/>
      <c r="AG730" s="1"/>
      <c r="AH730" s="1"/>
    </row>
    <row r="731">
      <c r="A731" s="1"/>
      <c r="B731" s="1"/>
      <c r="C731" s="1"/>
      <c r="D731" s="1"/>
      <c r="E731" s="1"/>
      <c r="F731" s="1"/>
      <c r="G731" s="1"/>
      <c r="H731" s="1"/>
      <c r="I731" s="1"/>
      <c r="J731" s="5"/>
      <c r="K731" s="2"/>
      <c r="L731" s="1"/>
      <c r="M731" s="1"/>
      <c r="N731" s="1"/>
      <c r="O731" s="1"/>
      <c r="P731" s="1"/>
      <c r="Q731" s="1"/>
      <c r="R731" s="1"/>
      <c r="S731" s="1"/>
      <c r="T731" s="1"/>
      <c r="U731" s="1"/>
      <c r="V731" s="1"/>
      <c r="W731" s="1"/>
      <c r="X731" s="1"/>
      <c r="Y731" s="1"/>
      <c r="Z731" s="1"/>
      <c r="AA731" s="1"/>
      <c r="AB731" s="1"/>
      <c r="AC731" s="1"/>
      <c r="AD731" s="1"/>
      <c r="AE731" s="1"/>
      <c r="AF731" s="1"/>
      <c r="AG731" s="1"/>
      <c r="AH731" s="1"/>
    </row>
    <row r="732">
      <c r="A732" s="1"/>
      <c r="B732" s="1"/>
      <c r="C732" s="1"/>
      <c r="D732" s="1"/>
      <c r="E732" s="1"/>
      <c r="F732" s="1"/>
      <c r="G732" s="1"/>
      <c r="H732" s="1"/>
      <c r="I732" s="1"/>
      <c r="J732" s="5"/>
      <c r="K732" s="2"/>
      <c r="L732" s="1"/>
      <c r="M732" s="1"/>
      <c r="N732" s="1"/>
      <c r="O732" s="1"/>
      <c r="P732" s="1"/>
      <c r="Q732" s="1"/>
      <c r="R732" s="1"/>
      <c r="S732" s="1"/>
      <c r="T732" s="1"/>
      <c r="U732" s="1"/>
      <c r="V732" s="1"/>
      <c r="W732" s="1"/>
      <c r="X732" s="1"/>
      <c r="Y732" s="1"/>
      <c r="Z732" s="1"/>
      <c r="AA732" s="1"/>
      <c r="AB732" s="1"/>
      <c r="AC732" s="1"/>
      <c r="AD732" s="1"/>
      <c r="AE732" s="1"/>
      <c r="AF732" s="1"/>
      <c r="AG732" s="1"/>
      <c r="AH732" s="1"/>
    </row>
    <row r="733">
      <c r="A733" s="1"/>
      <c r="B733" s="1"/>
      <c r="C733" s="1"/>
      <c r="D733" s="1"/>
      <c r="E733" s="1"/>
      <c r="F733" s="1"/>
      <c r="G733" s="1"/>
      <c r="H733" s="1"/>
      <c r="I733" s="1"/>
      <c r="J733" s="5"/>
      <c r="K733" s="2"/>
      <c r="L733" s="1"/>
      <c r="M733" s="1"/>
      <c r="N733" s="1"/>
      <c r="O733" s="1"/>
      <c r="P733" s="1"/>
      <c r="Q733" s="1"/>
      <c r="R733" s="1"/>
      <c r="S733" s="1"/>
      <c r="T733" s="1"/>
      <c r="U733" s="1"/>
      <c r="V733" s="1"/>
      <c r="W733" s="1"/>
      <c r="X733" s="1"/>
      <c r="Y733" s="1"/>
      <c r="Z733" s="1"/>
      <c r="AA733" s="1"/>
      <c r="AB733" s="1"/>
      <c r="AC733" s="1"/>
      <c r="AD733" s="1"/>
      <c r="AE733" s="1"/>
      <c r="AF733" s="1"/>
      <c r="AG733" s="1"/>
      <c r="AH733" s="1"/>
    </row>
    <row r="734">
      <c r="A734" s="1"/>
      <c r="B734" s="1"/>
      <c r="C734" s="1"/>
      <c r="D734" s="1"/>
      <c r="E734" s="1"/>
      <c r="F734" s="1"/>
      <c r="G734" s="1"/>
      <c r="H734" s="1"/>
      <c r="I734" s="1"/>
      <c r="J734" s="5"/>
      <c r="K734" s="2"/>
      <c r="L734" s="1"/>
      <c r="M734" s="1"/>
      <c r="N734" s="1"/>
      <c r="O734" s="1"/>
      <c r="P734" s="1"/>
      <c r="Q734" s="1"/>
      <c r="R734" s="1"/>
      <c r="S734" s="1"/>
      <c r="T734" s="1"/>
      <c r="U734" s="1"/>
      <c r="V734" s="1"/>
      <c r="W734" s="1"/>
      <c r="X734" s="1"/>
      <c r="Y734" s="1"/>
      <c r="Z734" s="1"/>
      <c r="AA734" s="1"/>
      <c r="AB734" s="1"/>
      <c r="AC734" s="1"/>
      <c r="AD734" s="1"/>
      <c r="AE734" s="1"/>
      <c r="AF734" s="1"/>
      <c r="AG734" s="1"/>
      <c r="AH734" s="1"/>
    </row>
    <row r="735">
      <c r="A735" s="1"/>
      <c r="B735" s="1"/>
      <c r="C735" s="1"/>
      <c r="D735" s="1"/>
      <c r="E735" s="1"/>
      <c r="F735" s="1"/>
      <c r="G735" s="1"/>
      <c r="H735" s="1"/>
      <c r="I735" s="1"/>
      <c r="J735" s="5"/>
      <c r="K735" s="2"/>
      <c r="L735" s="1"/>
      <c r="M735" s="1"/>
      <c r="N735" s="1"/>
      <c r="O735" s="1"/>
      <c r="P735" s="1"/>
      <c r="Q735" s="1"/>
      <c r="R735" s="1"/>
      <c r="S735" s="1"/>
      <c r="T735" s="1"/>
      <c r="U735" s="1"/>
      <c r="V735" s="1"/>
      <c r="W735" s="1"/>
      <c r="X735" s="1"/>
      <c r="Y735" s="1"/>
      <c r="Z735" s="1"/>
      <c r="AA735" s="1"/>
      <c r="AB735" s="1"/>
      <c r="AC735" s="1"/>
      <c r="AD735" s="1"/>
      <c r="AE735" s="1"/>
      <c r="AF735" s="1"/>
      <c r="AG735" s="1"/>
      <c r="AH735" s="1"/>
    </row>
    <row r="736">
      <c r="A736" s="1"/>
      <c r="B736" s="1"/>
      <c r="C736" s="1"/>
      <c r="D736" s="1"/>
      <c r="E736" s="1"/>
      <c r="F736" s="1"/>
      <c r="G736" s="1"/>
      <c r="H736" s="1"/>
      <c r="I736" s="1"/>
      <c r="J736" s="5"/>
      <c r="K736" s="2"/>
      <c r="L736" s="1"/>
      <c r="M736" s="1"/>
      <c r="N736" s="1"/>
      <c r="O736" s="1"/>
      <c r="P736" s="1"/>
      <c r="Q736" s="1"/>
      <c r="R736" s="1"/>
      <c r="S736" s="1"/>
      <c r="T736" s="1"/>
      <c r="U736" s="1"/>
      <c r="V736" s="1"/>
      <c r="W736" s="1"/>
      <c r="X736" s="1"/>
      <c r="Y736" s="1"/>
      <c r="Z736" s="1"/>
      <c r="AA736" s="1"/>
      <c r="AB736" s="1"/>
      <c r="AC736" s="1"/>
      <c r="AD736" s="1"/>
      <c r="AE736" s="1"/>
      <c r="AF736" s="1"/>
      <c r="AG736" s="1"/>
      <c r="AH736" s="1"/>
    </row>
    <row r="737">
      <c r="A737" s="1"/>
      <c r="B737" s="1"/>
      <c r="C737" s="1"/>
      <c r="D737" s="1"/>
      <c r="E737" s="1"/>
      <c r="F737" s="1"/>
      <c r="G737" s="1"/>
      <c r="H737" s="1"/>
      <c r="I737" s="1"/>
      <c r="J737" s="5"/>
      <c r="K737" s="2"/>
      <c r="L737" s="1"/>
      <c r="M737" s="1"/>
      <c r="N737" s="1"/>
      <c r="O737" s="1"/>
      <c r="P737" s="1"/>
      <c r="Q737" s="1"/>
      <c r="R737" s="1"/>
      <c r="S737" s="1"/>
      <c r="T737" s="1"/>
      <c r="U737" s="1"/>
      <c r="V737" s="1"/>
      <c r="W737" s="1"/>
      <c r="X737" s="1"/>
      <c r="Y737" s="1"/>
      <c r="Z737" s="1"/>
      <c r="AA737" s="1"/>
      <c r="AB737" s="1"/>
      <c r="AC737" s="1"/>
      <c r="AD737" s="1"/>
      <c r="AE737" s="1"/>
      <c r="AF737" s="1"/>
      <c r="AG737" s="1"/>
      <c r="AH737" s="1"/>
    </row>
    <row r="738">
      <c r="A738" s="1"/>
      <c r="B738" s="1"/>
      <c r="C738" s="1"/>
      <c r="D738" s="1"/>
      <c r="E738" s="1"/>
      <c r="F738" s="1"/>
      <c r="G738" s="1"/>
      <c r="H738" s="1"/>
      <c r="I738" s="1"/>
      <c r="J738" s="5"/>
      <c r="K738" s="2"/>
      <c r="L738" s="1"/>
      <c r="M738" s="1"/>
      <c r="N738" s="1"/>
      <c r="O738" s="1"/>
      <c r="P738" s="1"/>
      <c r="Q738" s="1"/>
      <c r="R738" s="1"/>
      <c r="S738" s="1"/>
      <c r="T738" s="1"/>
      <c r="U738" s="1"/>
      <c r="V738" s="1"/>
      <c r="W738" s="1"/>
      <c r="X738" s="1"/>
      <c r="Y738" s="1"/>
      <c r="Z738" s="1"/>
      <c r="AA738" s="1"/>
      <c r="AB738" s="1"/>
      <c r="AC738" s="1"/>
      <c r="AD738" s="1"/>
      <c r="AE738" s="1"/>
      <c r="AF738" s="1"/>
      <c r="AG738" s="1"/>
      <c r="AH738" s="1"/>
    </row>
    <row r="739">
      <c r="A739" s="1"/>
      <c r="B739" s="1"/>
      <c r="C739" s="1"/>
      <c r="D739" s="1"/>
      <c r="E739" s="1"/>
      <c r="F739" s="1"/>
      <c r="G739" s="1"/>
      <c r="H739" s="1"/>
      <c r="I739" s="1"/>
      <c r="J739" s="5"/>
      <c r="K739" s="2"/>
      <c r="L739" s="1"/>
      <c r="M739" s="1"/>
      <c r="N739" s="1"/>
      <c r="O739" s="1"/>
      <c r="P739" s="1"/>
      <c r="Q739" s="1"/>
      <c r="R739" s="1"/>
      <c r="S739" s="1"/>
      <c r="T739" s="1"/>
      <c r="U739" s="1"/>
      <c r="V739" s="1"/>
      <c r="W739" s="1"/>
      <c r="X739" s="1"/>
      <c r="Y739" s="1"/>
      <c r="Z739" s="1"/>
      <c r="AA739" s="1"/>
      <c r="AB739" s="1"/>
      <c r="AC739" s="1"/>
      <c r="AD739" s="1"/>
      <c r="AE739" s="1"/>
      <c r="AF739" s="1"/>
      <c r="AG739" s="1"/>
      <c r="AH739" s="1"/>
    </row>
    <row r="740">
      <c r="A740" s="1"/>
      <c r="B740" s="1"/>
      <c r="C740" s="1"/>
      <c r="D740" s="1"/>
      <c r="E740" s="1"/>
      <c r="F740" s="1"/>
      <c r="G740" s="1"/>
      <c r="H740" s="1"/>
      <c r="I740" s="1"/>
      <c r="J740" s="5"/>
      <c r="K740" s="2"/>
      <c r="L740" s="1"/>
      <c r="M740" s="1"/>
      <c r="N740" s="1"/>
      <c r="O740" s="1"/>
      <c r="P740" s="1"/>
      <c r="Q740" s="1"/>
      <c r="R740" s="1"/>
      <c r="S740" s="1"/>
      <c r="T740" s="1"/>
      <c r="U740" s="1"/>
      <c r="V740" s="1"/>
      <c r="W740" s="1"/>
      <c r="X740" s="1"/>
      <c r="Y740" s="1"/>
      <c r="Z740" s="1"/>
      <c r="AA740" s="1"/>
      <c r="AB740" s="1"/>
      <c r="AC740" s="1"/>
      <c r="AD740" s="1"/>
      <c r="AE740" s="1"/>
      <c r="AF740" s="1"/>
      <c r="AG740" s="1"/>
      <c r="AH740" s="1"/>
    </row>
    <row r="741">
      <c r="A741" s="1"/>
      <c r="B741" s="1"/>
      <c r="C741" s="1"/>
      <c r="D741" s="1"/>
      <c r="E741" s="1"/>
      <c r="F741" s="1"/>
      <c r="G741" s="1"/>
      <c r="H741" s="1"/>
      <c r="I741" s="1"/>
      <c r="J741" s="5"/>
      <c r="K741" s="2"/>
      <c r="L741" s="1"/>
      <c r="M741" s="1"/>
      <c r="N741" s="1"/>
      <c r="O741" s="1"/>
      <c r="P741" s="1"/>
      <c r="Q741" s="1"/>
      <c r="R741" s="1"/>
      <c r="S741" s="1"/>
      <c r="T741" s="1"/>
      <c r="U741" s="1"/>
      <c r="V741" s="1"/>
      <c r="W741" s="1"/>
      <c r="X741" s="1"/>
      <c r="Y741" s="1"/>
      <c r="Z741" s="1"/>
      <c r="AA741" s="1"/>
      <c r="AB741" s="1"/>
      <c r="AC741" s="1"/>
      <c r="AD741" s="1"/>
      <c r="AE741" s="1"/>
      <c r="AF741" s="1"/>
      <c r="AG741" s="1"/>
      <c r="AH741" s="1"/>
    </row>
    <row r="742">
      <c r="A742" s="1"/>
      <c r="B742" s="1"/>
      <c r="C742" s="1"/>
      <c r="D742" s="1"/>
      <c r="E742" s="1"/>
      <c r="F742" s="1"/>
      <c r="G742" s="1"/>
      <c r="H742" s="1"/>
      <c r="I742" s="1"/>
      <c r="J742" s="5"/>
      <c r="K742" s="2"/>
      <c r="L742" s="1"/>
      <c r="M742" s="1"/>
      <c r="N742" s="1"/>
      <c r="O742" s="1"/>
      <c r="P742" s="1"/>
      <c r="Q742" s="1"/>
      <c r="R742" s="1"/>
      <c r="S742" s="1"/>
      <c r="T742" s="1"/>
      <c r="U742" s="1"/>
      <c r="V742" s="1"/>
      <c r="W742" s="1"/>
      <c r="X742" s="1"/>
      <c r="Y742" s="1"/>
      <c r="Z742" s="1"/>
      <c r="AA742" s="1"/>
      <c r="AB742" s="1"/>
      <c r="AC742" s="1"/>
      <c r="AD742" s="1"/>
      <c r="AE742" s="1"/>
      <c r="AF742" s="1"/>
      <c r="AG742" s="1"/>
      <c r="AH742" s="1"/>
    </row>
    <row r="743">
      <c r="A743" s="1"/>
      <c r="B743" s="1"/>
      <c r="C743" s="1"/>
      <c r="D743" s="1"/>
      <c r="E743" s="1"/>
      <c r="F743" s="1"/>
      <c r="G743" s="1"/>
      <c r="H743" s="1"/>
      <c r="I743" s="1"/>
      <c r="J743" s="5"/>
      <c r="K743" s="2"/>
      <c r="L743" s="1"/>
      <c r="M743" s="1"/>
      <c r="N743" s="1"/>
      <c r="O743" s="1"/>
      <c r="P743" s="1"/>
      <c r="Q743" s="1"/>
      <c r="R743" s="1"/>
      <c r="S743" s="1"/>
      <c r="T743" s="1"/>
      <c r="U743" s="1"/>
      <c r="V743" s="1"/>
      <c r="W743" s="1"/>
      <c r="X743" s="1"/>
      <c r="Y743" s="1"/>
      <c r="Z743" s="1"/>
      <c r="AA743" s="1"/>
      <c r="AB743" s="1"/>
      <c r="AC743" s="1"/>
      <c r="AD743" s="1"/>
      <c r="AE743" s="1"/>
      <c r="AF743" s="1"/>
      <c r="AG743" s="1"/>
      <c r="AH743" s="1"/>
    </row>
    <row r="744">
      <c r="A744" s="1"/>
      <c r="B744" s="1"/>
      <c r="C744" s="1"/>
      <c r="D744" s="1"/>
      <c r="E744" s="1"/>
      <c r="F744" s="1"/>
      <c r="G744" s="1"/>
      <c r="H744" s="1"/>
      <c r="I744" s="1"/>
      <c r="J744" s="5"/>
      <c r="K744" s="2"/>
      <c r="L744" s="1"/>
      <c r="M744" s="1"/>
      <c r="N744" s="1"/>
      <c r="O744" s="1"/>
      <c r="P744" s="1"/>
      <c r="Q744" s="1"/>
      <c r="R744" s="1"/>
      <c r="S744" s="1"/>
      <c r="T744" s="1"/>
      <c r="U744" s="1"/>
      <c r="V744" s="1"/>
      <c r="W744" s="1"/>
      <c r="X744" s="1"/>
      <c r="Y744" s="1"/>
      <c r="Z744" s="1"/>
      <c r="AA744" s="1"/>
      <c r="AB744" s="1"/>
      <c r="AC744" s="1"/>
      <c r="AD744" s="1"/>
      <c r="AE744" s="1"/>
      <c r="AF744" s="1"/>
      <c r="AG744" s="1"/>
      <c r="AH744" s="1"/>
    </row>
    <row r="745">
      <c r="A745" s="1"/>
      <c r="B745" s="1"/>
      <c r="C745" s="1"/>
      <c r="D745" s="1"/>
      <c r="E745" s="1"/>
      <c r="F745" s="1"/>
      <c r="G745" s="1"/>
      <c r="H745" s="1"/>
      <c r="I745" s="1"/>
      <c r="J745" s="5"/>
      <c r="K745" s="2"/>
      <c r="L745" s="1"/>
      <c r="M745" s="1"/>
      <c r="N745" s="1"/>
      <c r="O745" s="1"/>
      <c r="P745" s="1"/>
      <c r="Q745" s="1"/>
      <c r="R745" s="1"/>
      <c r="S745" s="1"/>
      <c r="T745" s="1"/>
      <c r="U745" s="1"/>
      <c r="V745" s="1"/>
      <c r="W745" s="1"/>
      <c r="X745" s="1"/>
      <c r="Y745" s="1"/>
      <c r="Z745" s="1"/>
      <c r="AA745" s="1"/>
      <c r="AB745" s="1"/>
      <c r="AC745" s="1"/>
      <c r="AD745" s="1"/>
      <c r="AE745" s="1"/>
      <c r="AF745" s="1"/>
      <c r="AG745" s="1"/>
      <c r="AH745" s="1"/>
    </row>
    <row r="746">
      <c r="A746" s="1"/>
      <c r="B746" s="1"/>
      <c r="C746" s="1"/>
      <c r="D746" s="1"/>
      <c r="E746" s="1"/>
      <c r="F746" s="1"/>
      <c r="G746" s="1"/>
      <c r="H746" s="1"/>
      <c r="I746" s="1"/>
      <c r="J746" s="5"/>
      <c r="K746" s="2"/>
      <c r="L746" s="1"/>
      <c r="M746" s="1"/>
      <c r="N746" s="1"/>
      <c r="O746" s="1"/>
      <c r="P746" s="1"/>
      <c r="Q746" s="1"/>
      <c r="R746" s="1"/>
      <c r="S746" s="1"/>
      <c r="T746" s="1"/>
      <c r="U746" s="1"/>
      <c r="V746" s="1"/>
      <c r="W746" s="1"/>
      <c r="X746" s="1"/>
      <c r="Y746" s="1"/>
      <c r="Z746" s="1"/>
      <c r="AA746" s="1"/>
      <c r="AB746" s="1"/>
      <c r="AC746" s="1"/>
      <c r="AD746" s="1"/>
      <c r="AE746" s="1"/>
      <c r="AF746" s="1"/>
      <c r="AG746" s="1"/>
      <c r="AH746" s="1"/>
    </row>
    <row r="747">
      <c r="A747" s="1"/>
      <c r="B747" s="1"/>
      <c r="C747" s="1"/>
      <c r="D747" s="1"/>
      <c r="E747" s="1"/>
      <c r="F747" s="1"/>
      <c r="G747" s="1"/>
      <c r="H747" s="1"/>
      <c r="I747" s="1"/>
      <c r="J747" s="5"/>
      <c r="K747" s="2"/>
      <c r="L747" s="1"/>
      <c r="M747" s="1"/>
      <c r="N747" s="1"/>
      <c r="O747" s="1"/>
      <c r="P747" s="1"/>
      <c r="Q747" s="1"/>
      <c r="R747" s="1"/>
      <c r="S747" s="1"/>
      <c r="T747" s="1"/>
      <c r="U747" s="1"/>
      <c r="V747" s="1"/>
      <c r="W747" s="1"/>
      <c r="X747" s="1"/>
      <c r="Y747" s="1"/>
      <c r="Z747" s="1"/>
      <c r="AA747" s="1"/>
      <c r="AB747" s="1"/>
      <c r="AC747" s="1"/>
      <c r="AD747" s="1"/>
      <c r="AE747" s="1"/>
      <c r="AF747" s="1"/>
      <c r="AG747" s="1"/>
      <c r="AH747" s="1"/>
    </row>
    <row r="748">
      <c r="A748" s="1"/>
      <c r="B748" s="1"/>
      <c r="C748" s="1"/>
      <c r="D748" s="1"/>
      <c r="E748" s="1"/>
      <c r="F748" s="1"/>
      <c r="G748" s="1"/>
      <c r="H748" s="1"/>
      <c r="I748" s="1"/>
      <c r="J748" s="5"/>
      <c r="K748" s="2"/>
      <c r="L748" s="1"/>
      <c r="M748" s="1"/>
      <c r="N748" s="1"/>
      <c r="O748" s="1"/>
      <c r="P748" s="1"/>
      <c r="Q748" s="1"/>
      <c r="R748" s="1"/>
      <c r="S748" s="1"/>
      <c r="T748" s="1"/>
      <c r="U748" s="1"/>
      <c r="V748" s="1"/>
      <c r="W748" s="1"/>
      <c r="X748" s="1"/>
      <c r="Y748" s="1"/>
      <c r="Z748" s="1"/>
      <c r="AA748" s="1"/>
      <c r="AB748" s="1"/>
      <c r="AC748" s="1"/>
      <c r="AD748" s="1"/>
      <c r="AE748" s="1"/>
      <c r="AF748" s="1"/>
      <c r="AG748" s="1"/>
      <c r="AH748" s="1"/>
    </row>
    <row r="749">
      <c r="A749" s="1"/>
      <c r="B749" s="1"/>
      <c r="C749" s="1"/>
      <c r="D749" s="1"/>
      <c r="E749" s="1"/>
      <c r="F749" s="1"/>
      <c r="G749" s="1"/>
      <c r="H749" s="1"/>
      <c r="I749" s="1"/>
      <c r="J749" s="5"/>
      <c r="K749" s="2"/>
      <c r="L749" s="1"/>
      <c r="M749" s="1"/>
      <c r="N749" s="1"/>
      <c r="O749" s="1"/>
      <c r="P749" s="1"/>
      <c r="Q749" s="1"/>
      <c r="R749" s="1"/>
      <c r="S749" s="1"/>
      <c r="T749" s="1"/>
      <c r="U749" s="1"/>
      <c r="V749" s="1"/>
      <c r="W749" s="1"/>
      <c r="X749" s="1"/>
      <c r="Y749" s="1"/>
      <c r="Z749" s="1"/>
      <c r="AA749" s="1"/>
      <c r="AB749" s="1"/>
      <c r="AC749" s="1"/>
      <c r="AD749" s="1"/>
      <c r="AE749" s="1"/>
      <c r="AF749" s="1"/>
      <c r="AG749" s="1"/>
      <c r="AH749" s="1"/>
    </row>
    <row r="750">
      <c r="A750" s="1"/>
      <c r="B750" s="1"/>
      <c r="C750" s="1"/>
      <c r="D750" s="1"/>
      <c r="E750" s="1"/>
      <c r="F750" s="1"/>
      <c r="G750" s="1"/>
      <c r="H750" s="1"/>
      <c r="I750" s="1"/>
      <c r="J750" s="5"/>
      <c r="K750" s="2"/>
      <c r="L750" s="1"/>
      <c r="M750" s="1"/>
      <c r="N750" s="1"/>
      <c r="O750" s="1"/>
      <c r="P750" s="1"/>
      <c r="Q750" s="1"/>
      <c r="R750" s="1"/>
      <c r="S750" s="1"/>
      <c r="T750" s="1"/>
      <c r="U750" s="1"/>
      <c r="V750" s="1"/>
      <c r="W750" s="1"/>
      <c r="X750" s="1"/>
      <c r="Y750" s="1"/>
      <c r="Z750" s="1"/>
      <c r="AA750" s="1"/>
      <c r="AB750" s="1"/>
      <c r="AC750" s="1"/>
      <c r="AD750" s="1"/>
      <c r="AE750" s="1"/>
      <c r="AF750" s="1"/>
      <c r="AG750" s="1"/>
      <c r="AH750" s="1"/>
    </row>
    <row r="751">
      <c r="A751" s="1"/>
      <c r="B751" s="1"/>
      <c r="C751" s="1"/>
      <c r="D751" s="1"/>
      <c r="E751" s="1"/>
      <c r="F751" s="1"/>
      <c r="G751" s="1"/>
      <c r="H751" s="1"/>
      <c r="I751" s="1"/>
      <c r="J751" s="5"/>
      <c r="K751" s="2"/>
      <c r="L751" s="1"/>
      <c r="M751" s="1"/>
      <c r="N751" s="1"/>
      <c r="O751" s="1"/>
      <c r="P751" s="1"/>
      <c r="Q751" s="1"/>
      <c r="R751" s="1"/>
      <c r="S751" s="1"/>
      <c r="T751" s="1"/>
      <c r="U751" s="1"/>
      <c r="V751" s="1"/>
      <c r="W751" s="1"/>
      <c r="X751" s="1"/>
      <c r="Y751" s="1"/>
      <c r="Z751" s="1"/>
      <c r="AA751" s="1"/>
      <c r="AB751" s="1"/>
      <c r="AC751" s="1"/>
      <c r="AD751" s="1"/>
      <c r="AE751" s="1"/>
      <c r="AF751" s="1"/>
      <c r="AG751" s="1"/>
      <c r="AH751" s="1"/>
    </row>
    <row r="752">
      <c r="A752" s="1"/>
      <c r="B752" s="1"/>
      <c r="C752" s="1"/>
      <c r="D752" s="1"/>
      <c r="E752" s="1"/>
      <c r="F752" s="1"/>
      <c r="G752" s="1"/>
      <c r="H752" s="1"/>
      <c r="I752" s="1"/>
      <c r="J752" s="5"/>
      <c r="K752" s="2"/>
      <c r="L752" s="1"/>
      <c r="M752" s="1"/>
      <c r="N752" s="1"/>
      <c r="O752" s="1"/>
      <c r="P752" s="1"/>
      <c r="Q752" s="1"/>
      <c r="R752" s="1"/>
      <c r="S752" s="1"/>
      <c r="T752" s="1"/>
      <c r="U752" s="1"/>
      <c r="V752" s="1"/>
      <c r="W752" s="1"/>
      <c r="X752" s="1"/>
      <c r="Y752" s="1"/>
      <c r="Z752" s="1"/>
      <c r="AA752" s="1"/>
      <c r="AB752" s="1"/>
      <c r="AC752" s="1"/>
      <c r="AD752" s="1"/>
      <c r="AE752" s="1"/>
      <c r="AF752" s="1"/>
      <c r="AG752" s="1"/>
      <c r="AH752" s="1"/>
    </row>
    <row r="753">
      <c r="A753" s="1"/>
      <c r="B753" s="1"/>
      <c r="C753" s="1"/>
      <c r="D753" s="1"/>
      <c r="E753" s="1"/>
      <c r="F753" s="1"/>
      <c r="G753" s="1"/>
      <c r="H753" s="1"/>
      <c r="I753" s="1"/>
      <c r="J753" s="5"/>
      <c r="K753" s="2"/>
      <c r="L753" s="1"/>
      <c r="M753" s="1"/>
      <c r="N753" s="1"/>
      <c r="O753" s="1"/>
      <c r="P753" s="1"/>
      <c r="Q753" s="1"/>
      <c r="R753" s="1"/>
      <c r="S753" s="1"/>
      <c r="T753" s="1"/>
      <c r="U753" s="1"/>
      <c r="V753" s="1"/>
      <c r="W753" s="1"/>
      <c r="X753" s="1"/>
      <c r="Y753" s="1"/>
      <c r="Z753" s="1"/>
      <c r="AA753" s="1"/>
      <c r="AB753" s="1"/>
      <c r="AC753" s="1"/>
      <c r="AD753" s="1"/>
      <c r="AE753" s="1"/>
      <c r="AF753" s="1"/>
      <c r="AG753" s="1"/>
      <c r="AH753" s="1"/>
    </row>
    <row r="754">
      <c r="A754" s="1"/>
      <c r="B754" s="1"/>
      <c r="C754" s="1"/>
      <c r="D754" s="1"/>
      <c r="E754" s="1"/>
      <c r="F754" s="1"/>
      <c r="G754" s="1"/>
      <c r="H754" s="1"/>
      <c r="I754" s="1"/>
      <c r="J754" s="5"/>
      <c r="K754" s="2"/>
      <c r="L754" s="1"/>
      <c r="M754" s="1"/>
      <c r="N754" s="1"/>
      <c r="O754" s="1"/>
      <c r="P754" s="1"/>
      <c r="Q754" s="1"/>
      <c r="R754" s="1"/>
      <c r="S754" s="1"/>
      <c r="T754" s="1"/>
      <c r="U754" s="1"/>
      <c r="V754" s="1"/>
      <c r="W754" s="1"/>
      <c r="X754" s="1"/>
      <c r="Y754" s="1"/>
      <c r="Z754" s="1"/>
      <c r="AA754" s="1"/>
      <c r="AB754" s="1"/>
      <c r="AC754" s="1"/>
      <c r="AD754" s="1"/>
      <c r="AE754" s="1"/>
      <c r="AF754" s="1"/>
      <c r="AG754" s="1"/>
      <c r="AH754" s="1"/>
    </row>
    <row r="755">
      <c r="A755" s="1"/>
      <c r="B755" s="1"/>
      <c r="C755" s="1"/>
      <c r="D755" s="1"/>
      <c r="E755" s="1"/>
      <c r="F755" s="1"/>
      <c r="G755" s="1"/>
      <c r="H755" s="1"/>
      <c r="I755" s="1"/>
      <c r="J755" s="5"/>
      <c r="K755" s="2"/>
      <c r="L755" s="1"/>
      <c r="M755" s="1"/>
      <c r="N755" s="1"/>
      <c r="O755" s="1"/>
      <c r="P755" s="1"/>
      <c r="Q755" s="1"/>
      <c r="R755" s="1"/>
      <c r="S755" s="1"/>
      <c r="T755" s="1"/>
      <c r="U755" s="1"/>
      <c r="V755" s="1"/>
      <c r="W755" s="1"/>
      <c r="X755" s="1"/>
      <c r="Y755" s="1"/>
      <c r="Z755" s="1"/>
      <c r="AA755" s="1"/>
      <c r="AB755" s="1"/>
      <c r="AC755" s="1"/>
      <c r="AD755" s="1"/>
      <c r="AE755" s="1"/>
      <c r="AF755" s="1"/>
      <c r="AG755" s="1"/>
      <c r="AH755" s="1"/>
    </row>
    <row r="756">
      <c r="A756" s="1"/>
      <c r="B756" s="1"/>
      <c r="C756" s="1"/>
      <c r="D756" s="1"/>
      <c r="E756" s="1"/>
      <c r="F756" s="1"/>
      <c r="G756" s="1"/>
      <c r="H756" s="1"/>
      <c r="I756" s="1"/>
      <c r="J756" s="5"/>
      <c r="K756" s="2"/>
      <c r="L756" s="1"/>
      <c r="M756" s="1"/>
      <c r="N756" s="1"/>
      <c r="O756" s="1"/>
      <c r="P756" s="1"/>
      <c r="Q756" s="1"/>
      <c r="R756" s="1"/>
      <c r="S756" s="1"/>
      <c r="T756" s="1"/>
      <c r="U756" s="1"/>
      <c r="V756" s="1"/>
      <c r="W756" s="1"/>
      <c r="X756" s="1"/>
      <c r="Y756" s="1"/>
      <c r="Z756" s="1"/>
      <c r="AA756" s="1"/>
      <c r="AB756" s="1"/>
      <c r="AC756" s="1"/>
      <c r="AD756" s="1"/>
      <c r="AE756" s="1"/>
      <c r="AF756" s="1"/>
      <c r="AG756" s="1"/>
      <c r="AH756" s="1"/>
    </row>
    <row r="757">
      <c r="A757" s="1"/>
      <c r="B757" s="1"/>
      <c r="C757" s="1"/>
      <c r="D757" s="1"/>
      <c r="E757" s="1"/>
      <c r="F757" s="1"/>
      <c r="G757" s="1"/>
      <c r="H757" s="1"/>
      <c r="I757" s="1"/>
      <c r="J757" s="5"/>
      <c r="K757" s="2"/>
      <c r="L757" s="1"/>
      <c r="M757" s="1"/>
      <c r="N757" s="1"/>
      <c r="O757" s="1"/>
      <c r="P757" s="1"/>
      <c r="Q757" s="1"/>
      <c r="R757" s="1"/>
      <c r="S757" s="1"/>
      <c r="T757" s="1"/>
      <c r="U757" s="1"/>
      <c r="V757" s="1"/>
      <c r="W757" s="1"/>
      <c r="X757" s="1"/>
      <c r="Y757" s="1"/>
      <c r="Z757" s="1"/>
      <c r="AA757" s="1"/>
      <c r="AB757" s="1"/>
      <c r="AC757" s="1"/>
      <c r="AD757" s="1"/>
      <c r="AE757" s="1"/>
      <c r="AF757" s="1"/>
      <c r="AG757" s="1"/>
      <c r="AH757" s="1"/>
    </row>
    <row r="758">
      <c r="A758" s="1"/>
      <c r="B758" s="1"/>
      <c r="C758" s="1"/>
      <c r="D758" s="1"/>
      <c r="E758" s="1"/>
      <c r="F758" s="1"/>
      <c r="G758" s="1"/>
      <c r="H758" s="1"/>
      <c r="I758" s="1"/>
      <c r="J758" s="5"/>
      <c r="K758" s="2"/>
      <c r="L758" s="1"/>
      <c r="M758" s="1"/>
      <c r="N758" s="1"/>
      <c r="O758" s="1"/>
      <c r="P758" s="1"/>
      <c r="Q758" s="1"/>
      <c r="R758" s="1"/>
      <c r="S758" s="1"/>
      <c r="T758" s="1"/>
      <c r="U758" s="1"/>
      <c r="V758" s="1"/>
      <c r="W758" s="1"/>
      <c r="X758" s="1"/>
      <c r="Y758" s="1"/>
      <c r="Z758" s="1"/>
      <c r="AA758" s="1"/>
      <c r="AB758" s="1"/>
      <c r="AC758" s="1"/>
      <c r="AD758" s="1"/>
      <c r="AE758" s="1"/>
      <c r="AF758" s="1"/>
      <c r="AG758" s="1"/>
      <c r="AH758" s="1"/>
    </row>
    <row r="759">
      <c r="A759" s="1"/>
      <c r="B759" s="1"/>
      <c r="C759" s="1"/>
      <c r="D759" s="1"/>
      <c r="E759" s="1"/>
      <c r="F759" s="1"/>
      <c r="G759" s="1"/>
      <c r="H759" s="1"/>
      <c r="I759" s="1"/>
      <c r="J759" s="5"/>
      <c r="K759" s="2"/>
      <c r="L759" s="1"/>
      <c r="M759" s="1"/>
      <c r="N759" s="1"/>
      <c r="O759" s="1"/>
      <c r="P759" s="1"/>
      <c r="Q759" s="1"/>
      <c r="R759" s="1"/>
      <c r="S759" s="1"/>
      <c r="T759" s="1"/>
      <c r="U759" s="1"/>
      <c r="V759" s="1"/>
      <c r="W759" s="1"/>
      <c r="X759" s="1"/>
      <c r="Y759" s="1"/>
      <c r="Z759" s="1"/>
      <c r="AA759" s="1"/>
      <c r="AB759" s="1"/>
      <c r="AC759" s="1"/>
      <c r="AD759" s="1"/>
      <c r="AE759" s="1"/>
      <c r="AF759" s="1"/>
      <c r="AG759" s="1"/>
      <c r="AH759" s="1"/>
    </row>
    <row r="760">
      <c r="A760" s="1"/>
      <c r="B760" s="1"/>
      <c r="C760" s="1"/>
      <c r="D760" s="1"/>
      <c r="E760" s="1"/>
      <c r="F760" s="1"/>
      <c r="G760" s="1"/>
      <c r="H760" s="1"/>
      <c r="I760" s="1"/>
      <c r="J760" s="5"/>
      <c r="K760" s="2"/>
      <c r="L760" s="1"/>
      <c r="M760" s="1"/>
      <c r="N760" s="1"/>
      <c r="O760" s="1"/>
      <c r="P760" s="1"/>
      <c r="Q760" s="1"/>
      <c r="R760" s="1"/>
      <c r="S760" s="1"/>
      <c r="T760" s="1"/>
      <c r="U760" s="1"/>
      <c r="V760" s="1"/>
      <c r="W760" s="1"/>
      <c r="X760" s="1"/>
      <c r="Y760" s="1"/>
      <c r="Z760" s="1"/>
      <c r="AA760" s="1"/>
      <c r="AB760" s="1"/>
      <c r="AC760" s="1"/>
      <c r="AD760" s="1"/>
      <c r="AE760" s="1"/>
      <c r="AF760" s="1"/>
      <c r="AG760" s="1"/>
      <c r="AH760" s="1"/>
    </row>
    <row r="761">
      <c r="A761" s="1"/>
      <c r="B761" s="1"/>
      <c r="C761" s="1"/>
      <c r="D761" s="1"/>
      <c r="E761" s="1"/>
      <c r="F761" s="1"/>
      <c r="G761" s="1"/>
      <c r="H761" s="1"/>
      <c r="I761" s="1"/>
      <c r="J761" s="5"/>
      <c r="K761" s="2"/>
      <c r="L761" s="1"/>
      <c r="M761" s="1"/>
      <c r="N761" s="1"/>
      <c r="O761" s="1"/>
      <c r="P761" s="1"/>
      <c r="Q761" s="1"/>
      <c r="R761" s="1"/>
      <c r="S761" s="1"/>
      <c r="T761" s="1"/>
      <c r="U761" s="1"/>
      <c r="V761" s="1"/>
      <c r="W761" s="1"/>
      <c r="X761" s="1"/>
      <c r="Y761" s="1"/>
      <c r="Z761" s="1"/>
      <c r="AA761" s="1"/>
      <c r="AB761" s="1"/>
      <c r="AC761" s="1"/>
      <c r="AD761" s="1"/>
      <c r="AE761" s="1"/>
      <c r="AF761" s="1"/>
      <c r="AG761" s="1"/>
      <c r="AH761" s="1"/>
    </row>
    <row r="762">
      <c r="A762" s="1"/>
      <c r="B762" s="1"/>
      <c r="C762" s="1"/>
      <c r="D762" s="1"/>
      <c r="E762" s="1"/>
      <c r="F762" s="1"/>
      <c r="G762" s="1"/>
      <c r="H762" s="1"/>
      <c r="I762" s="1"/>
      <c r="J762" s="5"/>
      <c r="K762" s="2"/>
      <c r="L762" s="1"/>
      <c r="M762" s="1"/>
      <c r="N762" s="1"/>
      <c r="O762" s="1"/>
      <c r="P762" s="1"/>
      <c r="Q762" s="1"/>
      <c r="R762" s="1"/>
      <c r="S762" s="1"/>
      <c r="T762" s="1"/>
      <c r="U762" s="1"/>
      <c r="V762" s="1"/>
      <c r="W762" s="1"/>
      <c r="X762" s="1"/>
      <c r="Y762" s="1"/>
      <c r="Z762" s="1"/>
      <c r="AA762" s="1"/>
      <c r="AB762" s="1"/>
      <c r="AC762" s="1"/>
      <c r="AD762" s="1"/>
      <c r="AE762" s="1"/>
      <c r="AF762" s="1"/>
      <c r="AG762" s="1"/>
      <c r="AH762" s="1"/>
    </row>
    <row r="763">
      <c r="A763" s="1"/>
      <c r="B763" s="1"/>
      <c r="C763" s="1"/>
      <c r="D763" s="1"/>
      <c r="E763" s="1"/>
      <c r="F763" s="1"/>
      <c r="G763" s="1"/>
      <c r="H763" s="1"/>
      <c r="I763" s="1"/>
      <c r="J763" s="5"/>
      <c r="K763" s="2"/>
      <c r="L763" s="1"/>
      <c r="M763" s="1"/>
      <c r="N763" s="1"/>
      <c r="O763" s="1"/>
      <c r="P763" s="1"/>
      <c r="Q763" s="1"/>
      <c r="R763" s="1"/>
      <c r="S763" s="1"/>
      <c r="T763" s="1"/>
      <c r="U763" s="1"/>
      <c r="V763" s="1"/>
      <c r="W763" s="1"/>
      <c r="X763" s="1"/>
      <c r="Y763" s="1"/>
      <c r="Z763" s="1"/>
      <c r="AA763" s="1"/>
      <c r="AB763" s="1"/>
      <c r="AC763" s="1"/>
      <c r="AD763" s="1"/>
      <c r="AE763" s="1"/>
      <c r="AF763" s="1"/>
      <c r="AG763" s="1"/>
      <c r="AH763" s="1"/>
    </row>
    <row r="764">
      <c r="A764" s="1"/>
      <c r="B764" s="1"/>
      <c r="C764" s="1"/>
      <c r="D764" s="1"/>
      <c r="E764" s="1"/>
      <c r="F764" s="1"/>
      <c r="G764" s="1"/>
      <c r="H764" s="1"/>
      <c r="I764" s="1"/>
      <c r="J764" s="5"/>
      <c r="K764" s="2"/>
      <c r="L764" s="1"/>
      <c r="M764" s="1"/>
      <c r="N764" s="1"/>
      <c r="O764" s="1"/>
      <c r="P764" s="1"/>
      <c r="Q764" s="1"/>
      <c r="R764" s="1"/>
      <c r="S764" s="1"/>
      <c r="T764" s="1"/>
      <c r="U764" s="1"/>
      <c r="V764" s="1"/>
      <c r="W764" s="1"/>
      <c r="X764" s="1"/>
      <c r="Y764" s="1"/>
      <c r="Z764" s="1"/>
      <c r="AA764" s="1"/>
      <c r="AB764" s="1"/>
      <c r="AC764" s="1"/>
      <c r="AD764" s="1"/>
      <c r="AE764" s="1"/>
      <c r="AF764" s="1"/>
      <c r="AG764" s="1"/>
      <c r="AH764" s="1"/>
    </row>
    <row r="765">
      <c r="A765" s="1"/>
      <c r="B765" s="1"/>
      <c r="C765" s="1"/>
      <c r="D765" s="1"/>
      <c r="E765" s="1"/>
      <c r="F765" s="1"/>
      <c r="G765" s="1"/>
      <c r="H765" s="1"/>
      <c r="I765" s="1"/>
      <c r="J765" s="5"/>
      <c r="K765" s="2"/>
      <c r="L765" s="1"/>
      <c r="M765" s="1"/>
      <c r="N765" s="1"/>
      <c r="O765" s="1"/>
      <c r="P765" s="1"/>
      <c r="Q765" s="1"/>
      <c r="R765" s="1"/>
      <c r="S765" s="1"/>
      <c r="T765" s="1"/>
      <c r="U765" s="1"/>
      <c r="V765" s="1"/>
      <c r="W765" s="1"/>
      <c r="X765" s="1"/>
      <c r="Y765" s="1"/>
      <c r="Z765" s="1"/>
      <c r="AA765" s="1"/>
      <c r="AB765" s="1"/>
      <c r="AC765" s="1"/>
      <c r="AD765" s="1"/>
      <c r="AE765" s="1"/>
      <c r="AF765" s="1"/>
      <c r="AG765" s="1"/>
      <c r="AH765" s="1"/>
    </row>
    <row r="766">
      <c r="A766" s="1"/>
      <c r="B766" s="1"/>
      <c r="C766" s="1"/>
      <c r="D766" s="1"/>
      <c r="E766" s="1"/>
      <c r="F766" s="1"/>
      <c r="G766" s="1"/>
      <c r="H766" s="1"/>
      <c r="I766" s="1"/>
      <c r="J766" s="5"/>
      <c r="K766" s="2"/>
      <c r="L766" s="1"/>
      <c r="M766" s="1"/>
      <c r="N766" s="1"/>
      <c r="O766" s="1"/>
      <c r="P766" s="1"/>
      <c r="Q766" s="1"/>
      <c r="R766" s="1"/>
      <c r="S766" s="1"/>
      <c r="T766" s="1"/>
      <c r="U766" s="1"/>
      <c r="V766" s="1"/>
      <c r="W766" s="1"/>
      <c r="X766" s="1"/>
      <c r="Y766" s="1"/>
      <c r="Z766" s="1"/>
      <c r="AA766" s="1"/>
      <c r="AB766" s="1"/>
      <c r="AC766" s="1"/>
      <c r="AD766" s="1"/>
      <c r="AE766" s="1"/>
      <c r="AF766" s="1"/>
      <c r="AG766" s="1"/>
      <c r="AH766" s="1"/>
    </row>
    <row r="767">
      <c r="A767" s="1"/>
      <c r="B767" s="1"/>
      <c r="C767" s="1"/>
      <c r="D767" s="1"/>
      <c r="E767" s="1"/>
      <c r="F767" s="1"/>
      <c r="G767" s="1"/>
      <c r="H767" s="1"/>
      <c r="I767" s="1"/>
      <c r="J767" s="5"/>
      <c r="K767" s="2"/>
      <c r="L767" s="1"/>
      <c r="M767" s="1"/>
      <c r="N767" s="1"/>
      <c r="O767" s="1"/>
      <c r="P767" s="1"/>
      <c r="Q767" s="1"/>
      <c r="R767" s="1"/>
      <c r="S767" s="1"/>
      <c r="T767" s="1"/>
      <c r="U767" s="1"/>
      <c r="V767" s="1"/>
      <c r="W767" s="1"/>
      <c r="X767" s="1"/>
      <c r="Y767" s="1"/>
      <c r="Z767" s="1"/>
      <c r="AA767" s="1"/>
      <c r="AB767" s="1"/>
      <c r="AC767" s="1"/>
      <c r="AD767" s="1"/>
      <c r="AE767" s="1"/>
      <c r="AF767" s="1"/>
      <c r="AG767" s="1"/>
      <c r="AH767" s="1"/>
    </row>
    <row r="768">
      <c r="A768" s="1"/>
      <c r="B768" s="1"/>
      <c r="C768" s="1"/>
      <c r="D768" s="1"/>
      <c r="E768" s="1"/>
      <c r="F768" s="1"/>
      <c r="G768" s="1"/>
      <c r="H768" s="1"/>
      <c r="I768" s="1"/>
      <c r="J768" s="5"/>
      <c r="K768" s="2"/>
      <c r="L768" s="1"/>
      <c r="M768" s="1"/>
      <c r="N768" s="1"/>
      <c r="O768" s="1"/>
      <c r="P768" s="1"/>
      <c r="Q768" s="1"/>
      <c r="R768" s="1"/>
      <c r="S768" s="1"/>
      <c r="T768" s="1"/>
      <c r="U768" s="1"/>
      <c r="V768" s="1"/>
      <c r="W768" s="1"/>
      <c r="X768" s="1"/>
      <c r="Y768" s="1"/>
      <c r="Z768" s="1"/>
      <c r="AA768" s="1"/>
      <c r="AB768" s="1"/>
      <c r="AC768" s="1"/>
      <c r="AD768" s="1"/>
      <c r="AE768" s="1"/>
      <c r="AF768" s="1"/>
      <c r="AG768" s="1"/>
      <c r="AH768" s="1"/>
    </row>
    <row r="769">
      <c r="A769" s="1"/>
      <c r="B769" s="1"/>
      <c r="C769" s="1"/>
      <c r="D769" s="1"/>
      <c r="E769" s="1"/>
      <c r="F769" s="1"/>
      <c r="G769" s="1"/>
      <c r="H769" s="1"/>
      <c r="I769" s="1"/>
      <c r="J769" s="5"/>
      <c r="K769" s="2"/>
      <c r="L769" s="1"/>
      <c r="M769" s="1"/>
      <c r="N769" s="1"/>
      <c r="O769" s="1"/>
      <c r="P769" s="1"/>
      <c r="Q769" s="1"/>
      <c r="R769" s="1"/>
      <c r="S769" s="1"/>
      <c r="T769" s="1"/>
      <c r="U769" s="1"/>
      <c r="V769" s="1"/>
      <c r="W769" s="1"/>
      <c r="X769" s="1"/>
      <c r="Y769" s="1"/>
      <c r="Z769" s="1"/>
      <c r="AA769" s="1"/>
      <c r="AB769" s="1"/>
      <c r="AC769" s="1"/>
      <c r="AD769" s="1"/>
      <c r="AE769" s="1"/>
      <c r="AF769" s="1"/>
      <c r="AG769" s="1"/>
      <c r="AH769" s="1"/>
    </row>
    <row r="770">
      <c r="A770" s="1"/>
      <c r="B770" s="1"/>
      <c r="C770" s="1"/>
      <c r="D770" s="1"/>
      <c r="E770" s="1"/>
      <c r="F770" s="1"/>
      <c r="G770" s="1"/>
      <c r="H770" s="1"/>
      <c r="I770" s="1"/>
      <c r="J770" s="5"/>
      <c r="K770" s="2"/>
      <c r="L770" s="1"/>
      <c r="M770" s="1"/>
      <c r="N770" s="1"/>
      <c r="O770" s="1"/>
      <c r="P770" s="1"/>
      <c r="Q770" s="1"/>
      <c r="R770" s="1"/>
      <c r="S770" s="1"/>
      <c r="T770" s="1"/>
      <c r="U770" s="1"/>
      <c r="V770" s="1"/>
      <c r="W770" s="1"/>
      <c r="X770" s="1"/>
      <c r="Y770" s="1"/>
      <c r="Z770" s="1"/>
      <c r="AA770" s="1"/>
      <c r="AB770" s="1"/>
      <c r="AC770" s="1"/>
      <c r="AD770" s="1"/>
      <c r="AE770" s="1"/>
      <c r="AF770" s="1"/>
      <c r="AG770" s="1"/>
      <c r="AH770" s="1"/>
    </row>
    <row r="771">
      <c r="A771" s="1"/>
      <c r="B771" s="1"/>
      <c r="C771" s="1"/>
      <c r="D771" s="1"/>
      <c r="E771" s="1"/>
      <c r="F771" s="1"/>
      <c r="G771" s="1"/>
      <c r="H771" s="1"/>
      <c r="I771" s="1"/>
      <c r="J771" s="5"/>
      <c r="K771" s="2"/>
      <c r="L771" s="1"/>
      <c r="M771" s="1"/>
      <c r="N771" s="1"/>
      <c r="O771" s="1"/>
      <c r="P771" s="1"/>
      <c r="Q771" s="1"/>
      <c r="R771" s="1"/>
      <c r="S771" s="1"/>
      <c r="T771" s="1"/>
      <c r="U771" s="1"/>
      <c r="V771" s="1"/>
      <c r="W771" s="1"/>
      <c r="X771" s="1"/>
      <c r="Y771" s="1"/>
      <c r="Z771" s="1"/>
      <c r="AA771" s="1"/>
      <c r="AB771" s="1"/>
      <c r="AC771" s="1"/>
      <c r="AD771" s="1"/>
      <c r="AE771" s="1"/>
      <c r="AF771" s="1"/>
      <c r="AG771" s="1"/>
      <c r="AH771" s="1"/>
    </row>
    <row r="772">
      <c r="A772" s="1"/>
      <c r="B772" s="1"/>
      <c r="C772" s="1"/>
      <c r="D772" s="1"/>
      <c r="E772" s="1"/>
      <c r="F772" s="1"/>
      <c r="G772" s="1"/>
      <c r="H772" s="1"/>
      <c r="I772" s="1"/>
      <c r="J772" s="5"/>
      <c r="K772" s="2"/>
      <c r="L772" s="1"/>
      <c r="M772" s="1"/>
      <c r="N772" s="1"/>
      <c r="O772" s="1"/>
      <c r="P772" s="1"/>
      <c r="Q772" s="1"/>
      <c r="R772" s="1"/>
      <c r="S772" s="1"/>
      <c r="T772" s="1"/>
      <c r="U772" s="1"/>
      <c r="V772" s="1"/>
      <c r="W772" s="1"/>
      <c r="X772" s="1"/>
      <c r="Y772" s="1"/>
      <c r="Z772" s="1"/>
      <c r="AA772" s="1"/>
      <c r="AB772" s="1"/>
      <c r="AC772" s="1"/>
      <c r="AD772" s="1"/>
      <c r="AE772" s="1"/>
      <c r="AF772" s="1"/>
      <c r="AG772" s="1"/>
      <c r="AH772" s="1"/>
    </row>
    <row r="773">
      <c r="A773" s="1"/>
      <c r="B773" s="1"/>
      <c r="C773" s="1"/>
      <c r="D773" s="1"/>
      <c r="E773" s="1"/>
      <c r="F773" s="1"/>
      <c r="G773" s="1"/>
      <c r="H773" s="1"/>
      <c r="I773" s="1"/>
      <c r="J773" s="5"/>
      <c r="K773" s="2"/>
      <c r="L773" s="1"/>
      <c r="M773" s="1"/>
      <c r="N773" s="1"/>
      <c r="O773" s="1"/>
      <c r="P773" s="1"/>
      <c r="Q773" s="1"/>
      <c r="R773" s="1"/>
      <c r="S773" s="1"/>
      <c r="T773" s="1"/>
      <c r="U773" s="1"/>
      <c r="V773" s="1"/>
      <c r="W773" s="1"/>
      <c r="X773" s="1"/>
      <c r="Y773" s="1"/>
      <c r="Z773" s="1"/>
      <c r="AA773" s="1"/>
      <c r="AB773" s="1"/>
      <c r="AC773" s="1"/>
      <c r="AD773" s="1"/>
      <c r="AE773" s="1"/>
      <c r="AF773" s="1"/>
      <c r="AG773" s="1"/>
      <c r="AH773" s="1"/>
    </row>
    <row r="774">
      <c r="A774" s="1"/>
      <c r="B774" s="1"/>
      <c r="C774" s="1"/>
      <c r="D774" s="1"/>
      <c r="E774" s="1"/>
      <c r="F774" s="1"/>
      <c r="G774" s="1"/>
      <c r="H774" s="1"/>
      <c r="I774" s="1"/>
      <c r="J774" s="5"/>
      <c r="K774" s="2"/>
      <c r="L774" s="1"/>
      <c r="M774" s="1"/>
      <c r="N774" s="1"/>
      <c r="O774" s="1"/>
      <c r="P774" s="1"/>
      <c r="Q774" s="1"/>
      <c r="R774" s="1"/>
      <c r="S774" s="1"/>
      <c r="T774" s="1"/>
      <c r="U774" s="1"/>
      <c r="V774" s="1"/>
      <c r="W774" s="1"/>
      <c r="X774" s="1"/>
      <c r="Y774" s="1"/>
      <c r="Z774" s="1"/>
      <c r="AA774" s="1"/>
      <c r="AB774" s="1"/>
      <c r="AC774" s="1"/>
      <c r="AD774" s="1"/>
      <c r="AE774" s="1"/>
      <c r="AF774" s="1"/>
      <c r="AG774" s="1"/>
      <c r="AH774" s="1"/>
    </row>
    <row r="775">
      <c r="A775" s="1"/>
      <c r="B775" s="1"/>
      <c r="C775" s="1"/>
      <c r="D775" s="1"/>
      <c r="E775" s="1"/>
      <c r="F775" s="1"/>
      <c r="G775" s="1"/>
      <c r="H775" s="1"/>
      <c r="I775" s="1"/>
      <c r="J775" s="5"/>
      <c r="K775" s="2"/>
      <c r="L775" s="1"/>
      <c r="M775" s="1"/>
      <c r="N775" s="1"/>
      <c r="O775" s="1"/>
      <c r="P775" s="1"/>
      <c r="Q775" s="1"/>
      <c r="R775" s="1"/>
      <c r="S775" s="1"/>
      <c r="T775" s="1"/>
      <c r="U775" s="1"/>
      <c r="V775" s="1"/>
      <c r="W775" s="1"/>
      <c r="X775" s="1"/>
      <c r="Y775" s="1"/>
      <c r="Z775" s="1"/>
      <c r="AA775" s="1"/>
      <c r="AB775" s="1"/>
      <c r="AC775" s="1"/>
      <c r="AD775" s="1"/>
      <c r="AE775" s="1"/>
      <c r="AF775" s="1"/>
      <c r="AG775" s="1"/>
      <c r="AH775" s="1"/>
    </row>
    <row r="776">
      <c r="A776" s="1"/>
      <c r="B776" s="1"/>
      <c r="C776" s="1"/>
      <c r="D776" s="1"/>
      <c r="E776" s="1"/>
      <c r="F776" s="1"/>
      <c r="G776" s="1"/>
      <c r="H776" s="1"/>
      <c r="I776" s="1"/>
      <c r="J776" s="5"/>
      <c r="K776" s="2"/>
      <c r="L776" s="1"/>
      <c r="M776" s="1"/>
      <c r="N776" s="1"/>
      <c r="O776" s="1"/>
      <c r="P776" s="1"/>
      <c r="Q776" s="1"/>
      <c r="R776" s="1"/>
      <c r="S776" s="1"/>
      <c r="T776" s="1"/>
      <c r="U776" s="1"/>
      <c r="V776" s="1"/>
      <c r="W776" s="1"/>
      <c r="X776" s="1"/>
      <c r="Y776" s="1"/>
      <c r="Z776" s="1"/>
      <c r="AA776" s="1"/>
      <c r="AB776" s="1"/>
      <c r="AC776" s="1"/>
      <c r="AD776" s="1"/>
      <c r="AE776" s="1"/>
      <c r="AF776" s="1"/>
      <c r="AG776" s="1"/>
      <c r="AH776" s="1"/>
    </row>
    <row r="777">
      <c r="A777" s="1"/>
      <c r="B777" s="1"/>
      <c r="C777" s="1"/>
      <c r="D777" s="1"/>
      <c r="E777" s="1"/>
      <c r="F777" s="1"/>
      <c r="G777" s="1"/>
      <c r="H777" s="1"/>
      <c r="I777" s="1"/>
      <c r="J777" s="5"/>
      <c r="K777" s="2"/>
      <c r="L777" s="1"/>
      <c r="M777" s="1"/>
      <c r="N777" s="1"/>
      <c r="O777" s="1"/>
      <c r="P777" s="1"/>
      <c r="Q777" s="1"/>
      <c r="R777" s="1"/>
      <c r="S777" s="1"/>
      <c r="T777" s="1"/>
      <c r="U777" s="1"/>
      <c r="V777" s="1"/>
      <c r="W777" s="1"/>
      <c r="X777" s="1"/>
      <c r="Y777" s="1"/>
      <c r="Z777" s="1"/>
      <c r="AA777" s="1"/>
      <c r="AB777" s="1"/>
      <c r="AC777" s="1"/>
      <c r="AD777" s="1"/>
      <c r="AE777" s="1"/>
      <c r="AF777" s="1"/>
      <c r="AG777" s="1"/>
      <c r="AH777" s="1"/>
    </row>
    <row r="778">
      <c r="A778" s="1"/>
      <c r="B778" s="1"/>
      <c r="C778" s="1"/>
      <c r="D778" s="1"/>
      <c r="E778" s="1"/>
      <c r="F778" s="1"/>
      <c r="G778" s="1"/>
      <c r="H778" s="1"/>
      <c r="I778" s="1"/>
      <c r="J778" s="5"/>
      <c r="K778" s="2"/>
      <c r="L778" s="1"/>
      <c r="M778" s="1"/>
      <c r="N778" s="1"/>
      <c r="O778" s="1"/>
      <c r="P778" s="1"/>
      <c r="Q778" s="1"/>
      <c r="R778" s="1"/>
      <c r="S778" s="1"/>
      <c r="T778" s="1"/>
      <c r="U778" s="1"/>
      <c r="V778" s="1"/>
      <c r="W778" s="1"/>
      <c r="X778" s="1"/>
      <c r="Y778" s="1"/>
      <c r="Z778" s="1"/>
      <c r="AA778" s="1"/>
      <c r="AB778" s="1"/>
      <c r="AC778" s="1"/>
      <c r="AD778" s="1"/>
      <c r="AE778" s="1"/>
      <c r="AF778" s="1"/>
      <c r="AG778" s="1"/>
      <c r="AH778" s="1"/>
    </row>
    <row r="779">
      <c r="A779" s="1"/>
      <c r="B779" s="1"/>
      <c r="C779" s="1"/>
      <c r="D779" s="1"/>
      <c r="E779" s="1"/>
      <c r="F779" s="1"/>
      <c r="G779" s="1"/>
      <c r="H779" s="1"/>
      <c r="I779" s="1"/>
      <c r="J779" s="5"/>
      <c r="K779" s="2"/>
      <c r="L779" s="1"/>
      <c r="M779" s="1"/>
      <c r="N779" s="1"/>
      <c r="O779" s="1"/>
      <c r="P779" s="1"/>
      <c r="Q779" s="1"/>
      <c r="R779" s="1"/>
      <c r="S779" s="1"/>
      <c r="T779" s="1"/>
      <c r="U779" s="1"/>
      <c r="V779" s="1"/>
      <c r="W779" s="1"/>
      <c r="X779" s="1"/>
      <c r="Y779" s="1"/>
      <c r="Z779" s="1"/>
      <c r="AA779" s="1"/>
      <c r="AB779" s="1"/>
      <c r="AC779" s="1"/>
      <c r="AD779" s="1"/>
      <c r="AE779" s="1"/>
      <c r="AF779" s="1"/>
      <c r="AG779" s="1"/>
      <c r="AH779" s="1"/>
    </row>
    <row r="780">
      <c r="A780" s="1"/>
      <c r="B780" s="1"/>
      <c r="C780" s="1"/>
      <c r="D780" s="1"/>
      <c r="E780" s="1"/>
      <c r="F780" s="1"/>
      <c r="G780" s="1"/>
      <c r="H780" s="1"/>
      <c r="I780" s="1"/>
      <c r="J780" s="5"/>
      <c r="K780" s="2"/>
      <c r="L780" s="1"/>
      <c r="M780" s="1"/>
      <c r="N780" s="1"/>
      <c r="O780" s="1"/>
      <c r="P780" s="1"/>
      <c r="Q780" s="1"/>
      <c r="R780" s="1"/>
      <c r="S780" s="1"/>
      <c r="T780" s="1"/>
      <c r="U780" s="1"/>
      <c r="V780" s="1"/>
      <c r="W780" s="1"/>
      <c r="X780" s="1"/>
      <c r="Y780" s="1"/>
      <c r="Z780" s="1"/>
      <c r="AA780" s="1"/>
      <c r="AB780" s="1"/>
      <c r="AC780" s="1"/>
      <c r="AD780" s="1"/>
      <c r="AE780" s="1"/>
      <c r="AF780" s="1"/>
      <c r="AG780" s="1"/>
      <c r="AH780" s="1"/>
    </row>
    <row r="781">
      <c r="A781" s="1"/>
      <c r="B781" s="1"/>
      <c r="C781" s="1"/>
      <c r="D781" s="1"/>
      <c r="E781" s="1"/>
      <c r="F781" s="1"/>
      <c r="G781" s="1"/>
      <c r="H781" s="1"/>
      <c r="I781" s="1"/>
      <c r="J781" s="5"/>
      <c r="K781" s="2"/>
      <c r="L781" s="1"/>
      <c r="M781" s="1"/>
      <c r="N781" s="1"/>
      <c r="O781" s="1"/>
      <c r="P781" s="1"/>
      <c r="Q781" s="1"/>
      <c r="R781" s="1"/>
      <c r="S781" s="1"/>
      <c r="T781" s="1"/>
      <c r="U781" s="1"/>
      <c r="V781" s="1"/>
      <c r="W781" s="1"/>
      <c r="X781" s="1"/>
      <c r="Y781" s="1"/>
      <c r="Z781" s="1"/>
      <c r="AA781" s="1"/>
      <c r="AB781" s="1"/>
      <c r="AC781" s="1"/>
      <c r="AD781" s="1"/>
      <c r="AE781" s="1"/>
      <c r="AF781" s="1"/>
      <c r="AG781" s="1"/>
      <c r="AH781" s="1"/>
    </row>
    <row r="782">
      <c r="A782" s="1"/>
      <c r="B782" s="1"/>
      <c r="C782" s="1"/>
      <c r="D782" s="1"/>
      <c r="E782" s="1"/>
      <c r="F782" s="1"/>
      <c r="G782" s="1"/>
      <c r="H782" s="1"/>
      <c r="I782" s="1"/>
      <c r="J782" s="5"/>
      <c r="K782" s="2"/>
      <c r="L782" s="1"/>
      <c r="M782" s="1"/>
      <c r="N782" s="1"/>
      <c r="O782" s="1"/>
      <c r="P782" s="1"/>
      <c r="Q782" s="1"/>
      <c r="R782" s="1"/>
      <c r="S782" s="1"/>
      <c r="T782" s="1"/>
      <c r="U782" s="1"/>
      <c r="V782" s="1"/>
      <c r="W782" s="1"/>
      <c r="X782" s="1"/>
      <c r="Y782" s="1"/>
      <c r="Z782" s="1"/>
      <c r="AA782" s="1"/>
      <c r="AB782" s="1"/>
      <c r="AC782" s="1"/>
      <c r="AD782" s="1"/>
      <c r="AE782" s="1"/>
      <c r="AF782" s="1"/>
      <c r="AG782" s="1"/>
      <c r="AH782" s="1"/>
    </row>
    <row r="783">
      <c r="A783" s="1"/>
      <c r="B783" s="1"/>
      <c r="C783" s="1"/>
      <c r="D783" s="1"/>
      <c r="E783" s="1"/>
      <c r="F783" s="1"/>
      <c r="G783" s="1"/>
      <c r="H783" s="1"/>
      <c r="I783" s="1"/>
      <c r="J783" s="5"/>
      <c r="K783" s="2"/>
      <c r="L783" s="1"/>
      <c r="M783" s="1"/>
      <c r="N783" s="1"/>
      <c r="O783" s="1"/>
      <c r="P783" s="1"/>
      <c r="Q783" s="1"/>
      <c r="R783" s="1"/>
      <c r="S783" s="1"/>
      <c r="T783" s="1"/>
      <c r="U783" s="1"/>
      <c r="V783" s="1"/>
      <c r="W783" s="1"/>
      <c r="X783" s="1"/>
      <c r="Y783" s="1"/>
      <c r="Z783" s="1"/>
      <c r="AA783" s="1"/>
      <c r="AB783" s="1"/>
      <c r="AC783" s="1"/>
      <c r="AD783" s="1"/>
      <c r="AE783" s="1"/>
      <c r="AF783" s="1"/>
      <c r="AG783" s="1"/>
      <c r="AH783" s="1"/>
    </row>
    <row r="784">
      <c r="A784" s="1"/>
      <c r="B784" s="1"/>
      <c r="C784" s="1"/>
      <c r="D784" s="1"/>
      <c r="E784" s="1"/>
      <c r="F784" s="1"/>
      <c r="G784" s="1"/>
      <c r="H784" s="1"/>
      <c r="I784" s="1"/>
      <c r="J784" s="5"/>
      <c r="K784" s="2"/>
      <c r="L784" s="1"/>
      <c r="M784" s="1"/>
      <c r="N784" s="1"/>
      <c r="O784" s="1"/>
      <c r="P784" s="1"/>
      <c r="Q784" s="1"/>
      <c r="R784" s="1"/>
      <c r="S784" s="1"/>
      <c r="T784" s="1"/>
      <c r="U784" s="1"/>
      <c r="V784" s="1"/>
      <c r="W784" s="1"/>
      <c r="X784" s="1"/>
      <c r="Y784" s="1"/>
      <c r="Z784" s="1"/>
      <c r="AA784" s="1"/>
      <c r="AB784" s="1"/>
      <c r="AC784" s="1"/>
      <c r="AD784" s="1"/>
      <c r="AE784" s="1"/>
      <c r="AF784" s="1"/>
      <c r="AG784" s="1"/>
      <c r="AH784" s="1"/>
    </row>
    <row r="785">
      <c r="A785" s="1"/>
      <c r="B785" s="1"/>
      <c r="C785" s="1"/>
      <c r="D785" s="1"/>
      <c r="E785" s="1"/>
      <c r="F785" s="1"/>
      <c r="G785" s="1"/>
      <c r="H785" s="1"/>
      <c r="I785" s="1"/>
      <c r="J785" s="5"/>
      <c r="K785" s="2"/>
      <c r="L785" s="1"/>
      <c r="M785" s="1"/>
      <c r="N785" s="1"/>
      <c r="O785" s="1"/>
      <c r="P785" s="1"/>
      <c r="Q785" s="1"/>
      <c r="R785" s="1"/>
      <c r="S785" s="1"/>
      <c r="T785" s="1"/>
      <c r="U785" s="1"/>
      <c r="V785" s="1"/>
      <c r="W785" s="1"/>
      <c r="X785" s="1"/>
      <c r="Y785" s="1"/>
      <c r="Z785" s="1"/>
      <c r="AA785" s="1"/>
      <c r="AB785" s="1"/>
      <c r="AC785" s="1"/>
      <c r="AD785" s="1"/>
      <c r="AE785" s="1"/>
      <c r="AF785" s="1"/>
      <c r="AG785" s="1"/>
      <c r="AH785" s="1"/>
    </row>
    <row r="786">
      <c r="A786" s="1"/>
      <c r="B786" s="1"/>
      <c r="C786" s="1"/>
      <c r="D786" s="1"/>
      <c r="E786" s="1"/>
      <c r="F786" s="1"/>
      <c r="G786" s="1"/>
      <c r="H786" s="1"/>
      <c r="I786" s="1"/>
      <c r="J786" s="5"/>
      <c r="K786" s="2"/>
      <c r="L786" s="1"/>
      <c r="M786" s="1"/>
      <c r="N786" s="1"/>
      <c r="O786" s="1"/>
      <c r="P786" s="1"/>
      <c r="Q786" s="1"/>
      <c r="R786" s="1"/>
      <c r="S786" s="1"/>
      <c r="T786" s="1"/>
      <c r="U786" s="1"/>
      <c r="V786" s="1"/>
      <c r="W786" s="1"/>
      <c r="X786" s="1"/>
      <c r="Y786" s="1"/>
      <c r="Z786" s="1"/>
      <c r="AA786" s="1"/>
      <c r="AB786" s="1"/>
      <c r="AC786" s="1"/>
      <c r="AD786" s="1"/>
      <c r="AE786" s="1"/>
      <c r="AF786" s="1"/>
      <c r="AG786" s="1"/>
      <c r="AH786" s="1"/>
    </row>
    <row r="787">
      <c r="A787" s="1"/>
      <c r="B787" s="1"/>
      <c r="C787" s="1"/>
      <c r="D787" s="1"/>
      <c r="E787" s="1"/>
      <c r="F787" s="1"/>
      <c r="G787" s="1"/>
      <c r="H787" s="1"/>
      <c r="I787" s="1"/>
      <c r="J787" s="5"/>
      <c r="K787" s="2"/>
      <c r="L787" s="1"/>
      <c r="M787" s="1"/>
      <c r="N787" s="1"/>
      <c r="O787" s="1"/>
      <c r="P787" s="1"/>
      <c r="Q787" s="1"/>
      <c r="R787" s="1"/>
      <c r="S787" s="1"/>
      <c r="T787" s="1"/>
      <c r="U787" s="1"/>
      <c r="V787" s="1"/>
      <c r="W787" s="1"/>
      <c r="X787" s="1"/>
      <c r="Y787" s="1"/>
      <c r="Z787" s="1"/>
      <c r="AA787" s="1"/>
      <c r="AB787" s="1"/>
      <c r="AC787" s="1"/>
      <c r="AD787" s="1"/>
      <c r="AE787" s="1"/>
      <c r="AF787" s="1"/>
      <c r="AG787" s="1"/>
      <c r="AH787" s="1"/>
    </row>
    <row r="788">
      <c r="A788" s="1"/>
      <c r="B788" s="1"/>
      <c r="C788" s="1"/>
      <c r="D788" s="1"/>
      <c r="E788" s="1"/>
      <c r="F788" s="1"/>
      <c r="G788" s="1"/>
      <c r="H788" s="1"/>
      <c r="I788" s="1"/>
      <c r="J788" s="5"/>
      <c r="K788" s="2"/>
      <c r="L788" s="1"/>
      <c r="M788" s="1"/>
      <c r="N788" s="1"/>
      <c r="O788" s="1"/>
      <c r="P788" s="1"/>
      <c r="Q788" s="1"/>
      <c r="R788" s="1"/>
      <c r="S788" s="1"/>
      <c r="T788" s="1"/>
      <c r="U788" s="1"/>
      <c r="V788" s="1"/>
      <c r="W788" s="1"/>
      <c r="X788" s="1"/>
      <c r="Y788" s="1"/>
      <c r="Z788" s="1"/>
      <c r="AA788" s="1"/>
      <c r="AB788" s="1"/>
      <c r="AC788" s="1"/>
      <c r="AD788" s="1"/>
      <c r="AE788" s="1"/>
      <c r="AF788" s="1"/>
      <c r="AG788" s="1"/>
      <c r="AH788" s="1"/>
    </row>
    <row r="789">
      <c r="A789" s="1"/>
      <c r="B789" s="1"/>
      <c r="C789" s="1"/>
      <c r="D789" s="1"/>
      <c r="E789" s="1"/>
      <c r="F789" s="1"/>
      <c r="G789" s="1"/>
      <c r="H789" s="1"/>
      <c r="I789" s="1"/>
      <c r="J789" s="5"/>
      <c r="K789" s="2"/>
      <c r="L789" s="1"/>
      <c r="M789" s="1"/>
      <c r="N789" s="1"/>
      <c r="O789" s="1"/>
      <c r="P789" s="1"/>
      <c r="Q789" s="1"/>
      <c r="R789" s="1"/>
      <c r="S789" s="1"/>
      <c r="T789" s="1"/>
      <c r="U789" s="1"/>
      <c r="V789" s="1"/>
      <c r="W789" s="1"/>
      <c r="X789" s="1"/>
      <c r="Y789" s="1"/>
      <c r="Z789" s="1"/>
      <c r="AA789" s="1"/>
      <c r="AB789" s="1"/>
      <c r="AC789" s="1"/>
      <c r="AD789" s="1"/>
      <c r="AE789" s="1"/>
      <c r="AF789" s="1"/>
      <c r="AG789" s="1"/>
      <c r="AH789" s="1"/>
    </row>
    <row r="790">
      <c r="A790" s="1"/>
      <c r="B790" s="1"/>
      <c r="C790" s="1"/>
      <c r="D790" s="1"/>
      <c r="E790" s="1"/>
      <c r="F790" s="1"/>
      <c r="G790" s="1"/>
      <c r="H790" s="1"/>
      <c r="I790" s="1"/>
      <c r="J790" s="5"/>
      <c r="K790" s="2"/>
      <c r="L790" s="1"/>
      <c r="M790" s="1"/>
      <c r="N790" s="1"/>
      <c r="O790" s="1"/>
      <c r="P790" s="1"/>
      <c r="Q790" s="1"/>
      <c r="R790" s="1"/>
      <c r="S790" s="1"/>
      <c r="T790" s="1"/>
      <c r="U790" s="1"/>
      <c r="V790" s="1"/>
      <c r="W790" s="1"/>
      <c r="X790" s="1"/>
      <c r="Y790" s="1"/>
      <c r="Z790" s="1"/>
      <c r="AA790" s="1"/>
      <c r="AB790" s="1"/>
      <c r="AC790" s="1"/>
      <c r="AD790" s="1"/>
      <c r="AE790" s="1"/>
      <c r="AF790" s="1"/>
      <c r="AG790" s="1"/>
      <c r="AH790" s="1"/>
    </row>
    <row r="791">
      <c r="A791" s="1"/>
      <c r="B791" s="1"/>
      <c r="C791" s="1"/>
      <c r="D791" s="1"/>
      <c r="E791" s="1"/>
      <c r="F791" s="1"/>
      <c r="G791" s="1"/>
      <c r="H791" s="1"/>
      <c r="I791" s="1"/>
      <c r="J791" s="5"/>
      <c r="K791" s="2"/>
      <c r="L791" s="1"/>
      <c r="M791" s="1"/>
      <c r="N791" s="1"/>
      <c r="O791" s="1"/>
      <c r="P791" s="1"/>
      <c r="Q791" s="1"/>
      <c r="R791" s="1"/>
      <c r="S791" s="1"/>
      <c r="T791" s="1"/>
      <c r="U791" s="1"/>
      <c r="V791" s="1"/>
      <c r="W791" s="1"/>
      <c r="X791" s="1"/>
      <c r="Y791" s="1"/>
      <c r="Z791" s="1"/>
      <c r="AA791" s="1"/>
      <c r="AB791" s="1"/>
      <c r="AC791" s="1"/>
      <c r="AD791" s="1"/>
      <c r="AE791" s="1"/>
      <c r="AF791" s="1"/>
      <c r="AG791" s="1"/>
      <c r="AH791" s="1"/>
    </row>
    <row r="792">
      <c r="A792" s="1"/>
      <c r="B792" s="1"/>
      <c r="C792" s="1"/>
      <c r="D792" s="1"/>
      <c r="E792" s="1"/>
      <c r="F792" s="1"/>
      <c r="G792" s="1"/>
      <c r="H792" s="1"/>
      <c r="I792" s="1"/>
      <c r="J792" s="5"/>
      <c r="K792" s="2"/>
      <c r="L792" s="1"/>
      <c r="M792" s="1"/>
      <c r="N792" s="1"/>
      <c r="O792" s="1"/>
      <c r="P792" s="1"/>
      <c r="Q792" s="1"/>
      <c r="R792" s="1"/>
      <c r="S792" s="1"/>
      <c r="T792" s="1"/>
      <c r="U792" s="1"/>
      <c r="V792" s="1"/>
      <c r="W792" s="1"/>
      <c r="X792" s="1"/>
      <c r="Y792" s="1"/>
      <c r="Z792" s="1"/>
      <c r="AA792" s="1"/>
      <c r="AB792" s="1"/>
      <c r="AC792" s="1"/>
      <c r="AD792" s="1"/>
      <c r="AE792" s="1"/>
      <c r="AF792" s="1"/>
      <c r="AG792" s="1"/>
      <c r="AH792" s="1"/>
    </row>
    <row r="793">
      <c r="A793" s="1"/>
      <c r="B793" s="1"/>
      <c r="C793" s="1"/>
      <c r="D793" s="1"/>
      <c r="E793" s="1"/>
      <c r="F793" s="1"/>
      <c r="G793" s="1"/>
      <c r="H793" s="1"/>
      <c r="I793" s="1"/>
      <c r="J793" s="5"/>
      <c r="K793" s="2"/>
      <c r="L793" s="1"/>
      <c r="M793" s="1"/>
      <c r="N793" s="1"/>
      <c r="O793" s="1"/>
      <c r="P793" s="1"/>
      <c r="Q793" s="1"/>
      <c r="R793" s="1"/>
      <c r="S793" s="1"/>
      <c r="T793" s="1"/>
      <c r="U793" s="1"/>
      <c r="V793" s="1"/>
      <c r="W793" s="1"/>
      <c r="X793" s="1"/>
      <c r="Y793" s="1"/>
      <c r="Z793" s="1"/>
      <c r="AA793" s="1"/>
      <c r="AB793" s="1"/>
      <c r="AC793" s="1"/>
      <c r="AD793" s="1"/>
      <c r="AE793" s="1"/>
      <c r="AF793" s="1"/>
      <c r="AG793" s="1"/>
      <c r="AH793" s="1"/>
    </row>
    <row r="794">
      <c r="A794" s="1"/>
      <c r="B794" s="1"/>
      <c r="C794" s="1"/>
      <c r="D794" s="1"/>
      <c r="E794" s="1"/>
      <c r="F794" s="1"/>
      <c r="G794" s="1"/>
      <c r="H794" s="1"/>
      <c r="I794" s="1"/>
      <c r="J794" s="5"/>
      <c r="K794" s="2"/>
      <c r="L794" s="1"/>
      <c r="M794" s="1"/>
      <c r="N794" s="1"/>
      <c r="O794" s="1"/>
      <c r="P794" s="1"/>
      <c r="Q794" s="1"/>
      <c r="R794" s="1"/>
      <c r="S794" s="1"/>
      <c r="T794" s="1"/>
      <c r="U794" s="1"/>
      <c r="V794" s="1"/>
      <c r="W794" s="1"/>
      <c r="X794" s="1"/>
      <c r="Y794" s="1"/>
      <c r="Z794" s="1"/>
      <c r="AA794" s="1"/>
      <c r="AB794" s="1"/>
      <c r="AC794" s="1"/>
      <c r="AD794" s="1"/>
      <c r="AE794" s="1"/>
      <c r="AF794" s="1"/>
      <c r="AG794" s="1"/>
      <c r="AH794" s="1"/>
    </row>
    <row r="795">
      <c r="A795" s="1"/>
      <c r="B795" s="1"/>
      <c r="C795" s="1"/>
      <c r="D795" s="1"/>
      <c r="E795" s="1"/>
      <c r="F795" s="1"/>
      <c r="G795" s="1"/>
      <c r="H795" s="1"/>
      <c r="I795" s="1"/>
      <c r="J795" s="5"/>
      <c r="K795" s="2"/>
      <c r="L795" s="1"/>
      <c r="M795" s="1"/>
      <c r="N795" s="1"/>
      <c r="O795" s="1"/>
      <c r="P795" s="1"/>
      <c r="Q795" s="1"/>
      <c r="R795" s="1"/>
      <c r="S795" s="1"/>
      <c r="T795" s="1"/>
      <c r="U795" s="1"/>
      <c r="V795" s="1"/>
      <c r="W795" s="1"/>
      <c r="X795" s="1"/>
      <c r="Y795" s="1"/>
      <c r="Z795" s="1"/>
      <c r="AA795" s="1"/>
      <c r="AB795" s="1"/>
      <c r="AC795" s="1"/>
      <c r="AD795" s="1"/>
      <c r="AE795" s="1"/>
      <c r="AF795" s="1"/>
      <c r="AG795" s="1"/>
      <c r="AH795" s="1"/>
    </row>
    <row r="796">
      <c r="A796" s="1"/>
      <c r="B796" s="1"/>
      <c r="C796" s="1"/>
      <c r="D796" s="1"/>
      <c r="E796" s="1"/>
      <c r="F796" s="1"/>
      <c r="G796" s="1"/>
      <c r="H796" s="1"/>
      <c r="I796" s="1"/>
      <c r="J796" s="5"/>
      <c r="K796" s="2"/>
      <c r="L796" s="1"/>
      <c r="M796" s="1"/>
      <c r="N796" s="1"/>
      <c r="O796" s="1"/>
      <c r="P796" s="1"/>
      <c r="Q796" s="1"/>
      <c r="R796" s="1"/>
      <c r="S796" s="1"/>
      <c r="T796" s="1"/>
      <c r="U796" s="1"/>
      <c r="V796" s="1"/>
      <c r="W796" s="1"/>
      <c r="X796" s="1"/>
      <c r="Y796" s="1"/>
      <c r="Z796" s="1"/>
      <c r="AA796" s="1"/>
      <c r="AB796" s="1"/>
      <c r="AC796" s="1"/>
      <c r="AD796" s="1"/>
      <c r="AE796" s="1"/>
      <c r="AF796" s="1"/>
      <c r="AG796" s="1"/>
      <c r="AH796" s="1"/>
    </row>
    <row r="797">
      <c r="A797" s="1"/>
      <c r="B797" s="1"/>
      <c r="C797" s="1"/>
      <c r="D797" s="1"/>
      <c r="E797" s="1"/>
      <c r="F797" s="1"/>
      <c r="G797" s="1"/>
      <c r="H797" s="1"/>
      <c r="I797" s="1"/>
      <c r="J797" s="5"/>
      <c r="K797" s="2"/>
      <c r="L797" s="1"/>
      <c r="M797" s="1"/>
      <c r="N797" s="1"/>
      <c r="O797" s="1"/>
      <c r="P797" s="1"/>
      <c r="Q797" s="1"/>
      <c r="R797" s="1"/>
      <c r="S797" s="1"/>
      <c r="T797" s="1"/>
      <c r="U797" s="1"/>
      <c r="V797" s="1"/>
      <c r="W797" s="1"/>
      <c r="X797" s="1"/>
      <c r="Y797" s="1"/>
      <c r="Z797" s="1"/>
      <c r="AA797" s="1"/>
      <c r="AB797" s="1"/>
      <c r="AC797" s="1"/>
      <c r="AD797" s="1"/>
      <c r="AE797" s="1"/>
      <c r="AF797" s="1"/>
      <c r="AG797" s="1"/>
      <c r="AH797" s="1"/>
    </row>
    <row r="798">
      <c r="A798" s="1"/>
      <c r="B798" s="1"/>
      <c r="C798" s="1"/>
      <c r="D798" s="1"/>
      <c r="E798" s="1"/>
      <c r="F798" s="1"/>
      <c r="G798" s="1"/>
      <c r="H798" s="1"/>
      <c r="I798" s="1"/>
      <c r="J798" s="5"/>
      <c r="K798" s="2"/>
      <c r="L798" s="1"/>
      <c r="M798" s="1"/>
      <c r="N798" s="1"/>
      <c r="O798" s="1"/>
      <c r="P798" s="1"/>
      <c r="Q798" s="1"/>
      <c r="R798" s="1"/>
      <c r="S798" s="1"/>
      <c r="T798" s="1"/>
      <c r="U798" s="1"/>
      <c r="V798" s="1"/>
      <c r="W798" s="1"/>
      <c r="X798" s="1"/>
      <c r="Y798" s="1"/>
      <c r="Z798" s="1"/>
      <c r="AA798" s="1"/>
      <c r="AB798" s="1"/>
      <c r="AC798" s="1"/>
      <c r="AD798" s="1"/>
      <c r="AE798" s="1"/>
      <c r="AF798" s="1"/>
      <c r="AG798" s="1"/>
      <c r="AH798" s="1"/>
    </row>
    <row r="799">
      <c r="A799" s="1"/>
      <c r="B799" s="1"/>
      <c r="C799" s="1"/>
      <c r="D799" s="1"/>
      <c r="E799" s="1"/>
      <c r="F799" s="1"/>
      <c r="G799" s="1"/>
      <c r="H799" s="1"/>
      <c r="I799" s="1"/>
      <c r="J799" s="5"/>
      <c r="K799" s="2"/>
      <c r="L799" s="1"/>
      <c r="M799" s="1"/>
      <c r="N799" s="1"/>
      <c r="O799" s="1"/>
      <c r="P799" s="1"/>
      <c r="Q799" s="1"/>
      <c r="R799" s="1"/>
      <c r="S799" s="1"/>
      <c r="T799" s="1"/>
      <c r="U799" s="1"/>
      <c r="V799" s="1"/>
      <c r="W799" s="1"/>
      <c r="X799" s="1"/>
      <c r="Y799" s="1"/>
      <c r="Z799" s="1"/>
      <c r="AA799" s="1"/>
      <c r="AB799" s="1"/>
      <c r="AC799" s="1"/>
      <c r="AD799" s="1"/>
      <c r="AE799" s="1"/>
      <c r="AF799" s="1"/>
      <c r="AG799" s="1"/>
      <c r="AH799" s="1"/>
    </row>
    <row r="800">
      <c r="A800" s="1"/>
      <c r="B800" s="1"/>
      <c r="C800" s="1"/>
      <c r="D800" s="1"/>
      <c r="E800" s="1"/>
      <c r="F800" s="1"/>
      <c r="G800" s="1"/>
      <c r="H800" s="1"/>
      <c r="I800" s="1"/>
      <c r="J800" s="5"/>
      <c r="K800" s="2"/>
      <c r="L800" s="1"/>
      <c r="M800" s="1"/>
      <c r="N800" s="1"/>
      <c r="O800" s="1"/>
      <c r="P800" s="1"/>
      <c r="Q800" s="1"/>
      <c r="R800" s="1"/>
      <c r="S800" s="1"/>
      <c r="T800" s="1"/>
      <c r="U800" s="1"/>
      <c r="V800" s="1"/>
      <c r="W800" s="1"/>
      <c r="X800" s="1"/>
      <c r="Y800" s="1"/>
      <c r="Z800" s="1"/>
      <c r="AA800" s="1"/>
      <c r="AB800" s="1"/>
      <c r="AC800" s="1"/>
      <c r="AD800" s="1"/>
      <c r="AE800" s="1"/>
      <c r="AF800" s="1"/>
      <c r="AG800" s="1"/>
      <c r="AH800" s="1"/>
    </row>
    <row r="801">
      <c r="A801" s="1"/>
      <c r="B801" s="1"/>
      <c r="C801" s="1"/>
      <c r="D801" s="1"/>
      <c r="E801" s="1"/>
      <c r="F801" s="1"/>
      <c r="G801" s="1"/>
      <c r="H801" s="1"/>
      <c r="I801" s="1"/>
      <c r="J801" s="5"/>
      <c r="K801" s="2"/>
      <c r="L801" s="1"/>
      <c r="M801" s="1"/>
      <c r="N801" s="1"/>
      <c r="O801" s="1"/>
      <c r="P801" s="1"/>
      <c r="Q801" s="1"/>
      <c r="R801" s="1"/>
      <c r="S801" s="1"/>
      <c r="T801" s="1"/>
      <c r="U801" s="1"/>
      <c r="V801" s="1"/>
      <c r="W801" s="1"/>
      <c r="X801" s="1"/>
      <c r="Y801" s="1"/>
      <c r="Z801" s="1"/>
      <c r="AA801" s="1"/>
      <c r="AB801" s="1"/>
      <c r="AC801" s="1"/>
      <c r="AD801" s="1"/>
      <c r="AE801" s="1"/>
      <c r="AF801" s="1"/>
      <c r="AG801" s="1"/>
      <c r="AH801" s="1"/>
    </row>
    <row r="802">
      <c r="A802" s="1"/>
      <c r="B802" s="1"/>
      <c r="C802" s="1"/>
      <c r="D802" s="1"/>
      <c r="E802" s="1"/>
      <c r="F802" s="1"/>
      <c r="G802" s="1"/>
      <c r="H802" s="1"/>
      <c r="I802" s="1"/>
      <c r="J802" s="5"/>
      <c r="K802" s="2"/>
      <c r="L802" s="1"/>
      <c r="M802" s="1"/>
      <c r="N802" s="1"/>
      <c r="O802" s="1"/>
      <c r="P802" s="1"/>
      <c r="Q802" s="1"/>
      <c r="R802" s="1"/>
      <c r="S802" s="1"/>
      <c r="T802" s="1"/>
      <c r="U802" s="1"/>
      <c r="V802" s="1"/>
      <c r="W802" s="1"/>
      <c r="X802" s="1"/>
      <c r="Y802" s="1"/>
      <c r="Z802" s="1"/>
      <c r="AA802" s="1"/>
      <c r="AB802" s="1"/>
      <c r="AC802" s="1"/>
      <c r="AD802" s="1"/>
      <c r="AE802" s="1"/>
      <c r="AF802" s="1"/>
      <c r="AG802" s="1"/>
      <c r="AH802" s="1"/>
    </row>
    <row r="803">
      <c r="A803" s="1"/>
      <c r="B803" s="1"/>
      <c r="C803" s="1"/>
      <c r="D803" s="1"/>
      <c r="E803" s="1"/>
      <c r="F803" s="1"/>
      <c r="G803" s="1"/>
      <c r="H803" s="1"/>
      <c r="I803" s="1"/>
      <c r="J803" s="5"/>
      <c r="K803" s="2"/>
      <c r="L803" s="1"/>
      <c r="M803" s="1"/>
      <c r="N803" s="1"/>
      <c r="O803" s="1"/>
      <c r="P803" s="1"/>
      <c r="Q803" s="1"/>
      <c r="R803" s="1"/>
      <c r="S803" s="1"/>
      <c r="T803" s="1"/>
      <c r="U803" s="1"/>
      <c r="V803" s="1"/>
      <c r="W803" s="1"/>
      <c r="X803" s="1"/>
      <c r="Y803" s="1"/>
      <c r="Z803" s="1"/>
      <c r="AA803" s="1"/>
      <c r="AB803" s="1"/>
      <c r="AC803" s="1"/>
      <c r="AD803" s="1"/>
      <c r="AE803" s="1"/>
      <c r="AF803" s="1"/>
      <c r="AG803" s="1"/>
      <c r="AH803" s="1"/>
    </row>
    <row r="804">
      <c r="A804" s="1"/>
      <c r="B804" s="1"/>
      <c r="C804" s="1"/>
      <c r="D804" s="1"/>
      <c r="E804" s="1"/>
      <c r="F804" s="1"/>
      <c r="G804" s="1"/>
      <c r="H804" s="1"/>
      <c r="I804" s="1"/>
      <c r="J804" s="5"/>
      <c r="K804" s="2"/>
      <c r="L804" s="1"/>
      <c r="M804" s="1"/>
      <c r="N804" s="1"/>
      <c r="O804" s="1"/>
      <c r="P804" s="1"/>
      <c r="Q804" s="1"/>
      <c r="R804" s="1"/>
      <c r="S804" s="1"/>
      <c r="T804" s="1"/>
      <c r="U804" s="1"/>
      <c r="V804" s="1"/>
      <c r="W804" s="1"/>
      <c r="X804" s="1"/>
      <c r="Y804" s="1"/>
      <c r="Z804" s="1"/>
      <c r="AA804" s="1"/>
      <c r="AB804" s="1"/>
      <c r="AC804" s="1"/>
      <c r="AD804" s="1"/>
      <c r="AE804" s="1"/>
      <c r="AF804" s="1"/>
      <c r="AG804" s="1"/>
      <c r="AH804" s="1"/>
    </row>
    <row r="805">
      <c r="A805" s="1"/>
      <c r="B805" s="1"/>
      <c r="C805" s="1"/>
      <c r="D805" s="1"/>
      <c r="E805" s="1"/>
      <c r="F805" s="1"/>
      <c r="G805" s="1"/>
      <c r="H805" s="1"/>
      <c r="I805" s="1"/>
      <c r="J805" s="5"/>
      <c r="K805" s="2"/>
      <c r="L805" s="1"/>
      <c r="M805" s="1"/>
      <c r="N805" s="1"/>
      <c r="O805" s="1"/>
      <c r="P805" s="1"/>
      <c r="Q805" s="1"/>
      <c r="R805" s="1"/>
      <c r="S805" s="1"/>
      <c r="T805" s="1"/>
      <c r="U805" s="1"/>
      <c r="V805" s="1"/>
      <c r="W805" s="1"/>
      <c r="X805" s="1"/>
      <c r="Y805" s="1"/>
      <c r="Z805" s="1"/>
      <c r="AA805" s="1"/>
      <c r="AB805" s="1"/>
      <c r="AC805" s="1"/>
      <c r="AD805" s="1"/>
      <c r="AE805" s="1"/>
      <c r="AF805" s="1"/>
      <c r="AG805" s="1"/>
      <c r="AH805" s="1"/>
    </row>
    <row r="806">
      <c r="A806" s="1"/>
      <c r="B806" s="1"/>
      <c r="C806" s="1"/>
      <c r="D806" s="1"/>
      <c r="E806" s="1"/>
      <c r="F806" s="1"/>
      <c r="G806" s="1"/>
      <c r="H806" s="1"/>
      <c r="I806" s="1"/>
      <c r="J806" s="5"/>
      <c r="K806" s="2"/>
      <c r="L806" s="1"/>
      <c r="M806" s="1"/>
      <c r="N806" s="1"/>
      <c r="O806" s="1"/>
      <c r="P806" s="1"/>
      <c r="Q806" s="1"/>
      <c r="R806" s="1"/>
      <c r="S806" s="1"/>
      <c r="T806" s="1"/>
      <c r="U806" s="1"/>
      <c r="V806" s="1"/>
      <c r="W806" s="1"/>
      <c r="X806" s="1"/>
      <c r="Y806" s="1"/>
      <c r="Z806" s="1"/>
      <c r="AA806" s="1"/>
      <c r="AB806" s="1"/>
      <c r="AC806" s="1"/>
      <c r="AD806" s="1"/>
      <c r="AE806" s="1"/>
      <c r="AF806" s="1"/>
      <c r="AG806" s="1"/>
      <c r="AH806" s="1"/>
    </row>
    <row r="807">
      <c r="A807" s="1"/>
      <c r="B807" s="1"/>
      <c r="C807" s="1"/>
      <c r="D807" s="1"/>
      <c r="E807" s="1"/>
      <c r="F807" s="1"/>
      <c r="G807" s="1"/>
      <c r="H807" s="1"/>
      <c r="I807" s="1"/>
      <c r="J807" s="5"/>
      <c r="K807" s="2"/>
      <c r="L807" s="1"/>
      <c r="M807" s="1"/>
      <c r="N807" s="1"/>
      <c r="O807" s="1"/>
      <c r="P807" s="1"/>
      <c r="Q807" s="1"/>
      <c r="R807" s="1"/>
      <c r="S807" s="1"/>
      <c r="T807" s="1"/>
      <c r="U807" s="1"/>
      <c r="V807" s="1"/>
      <c r="W807" s="1"/>
      <c r="X807" s="1"/>
      <c r="Y807" s="1"/>
      <c r="Z807" s="1"/>
      <c r="AA807" s="1"/>
      <c r="AB807" s="1"/>
      <c r="AC807" s="1"/>
      <c r="AD807" s="1"/>
      <c r="AE807" s="1"/>
      <c r="AF807" s="1"/>
      <c r="AG807" s="1"/>
      <c r="AH807" s="1"/>
    </row>
    <row r="808">
      <c r="A808" s="1"/>
      <c r="B808" s="1"/>
      <c r="C808" s="1"/>
      <c r="D808" s="1"/>
      <c r="E808" s="1"/>
      <c r="F808" s="1"/>
      <c r="G808" s="1"/>
      <c r="H808" s="1"/>
      <c r="I808" s="1"/>
      <c r="J808" s="5"/>
      <c r="K808" s="2"/>
      <c r="L808" s="1"/>
      <c r="M808" s="1"/>
      <c r="N808" s="1"/>
      <c r="O808" s="1"/>
      <c r="P808" s="1"/>
      <c r="Q808" s="1"/>
      <c r="R808" s="1"/>
      <c r="S808" s="1"/>
      <c r="T808" s="1"/>
      <c r="U808" s="1"/>
      <c r="V808" s="1"/>
      <c r="W808" s="1"/>
      <c r="X808" s="1"/>
      <c r="Y808" s="1"/>
      <c r="Z808" s="1"/>
      <c r="AA808" s="1"/>
      <c r="AB808" s="1"/>
      <c r="AC808" s="1"/>
      <c r="AD808" s="1"/>
      <c r="AE808" s="1"/>
      <c r="AF808" s="1"/>
      <c r="AG808" s="1"/>
      <c r="AH808" s="1"/>
    </row>
    <row r="809">
      <c r="A809" s="1"/>
      <c r="B809" s="1"/>
      <c r="C809" s="1"/>
      <c r="D809" s="1"/>
      <c r="E809" s="1"/>
      <c r="F809" s="1"/>
      <c r="G809" s="1"/>
      <c r="H809" s="1"/>
      <c r="I809" s="1"/>
      <c r="J809" s="5"/>
      <c r="K809" s="2"/>
      <c r="L809" s="1"/>
      <c r="M809" s="1"/>
      <c r="N809" s="1"/>
      <c r="O809" s="1"/>
      <c r="P809" s="1"/>
      <c r="Q809" s="1"/>
      <c r="R809" s="1"/>
      <c r="S809" s="1"/>
      <c r="T809" s="1"/>
      <c r="U809" s="1"/>
      <c r="V809" s="1"/>
      <c r="W809" s="1"/>
      <c r="X809" s="1"/>
      <c r="Y809" s="1"/>
      <c r="Z809" s="1"/>
      <c r="AA809" s="1"/>
      <c r="AB809" s="1"/>
      <c r="AC809" s="1"/>
      <c r="AD809" s="1"/>
      <c r="AE809" s="1"/>
      <c r="AF809" s="1"/>
      <c r="AG809" s="1"/>
      <c r="AH809" s="1"/>
    </row>
    <row r="810">
      <c r="A810" s="1"/>
      <c r="B810" s="1"/>
      <c r="C810" s="1"/>
      <c r="D810" s="1"/>
      <c r="E810" s="1"/>
      <c r="F810" s="1"/>
      <c r="G810" s="1"/>
      <c r="H810" s="1"/>
      <c r="I810" s="1"/>
      <c r="J810" s="5"/>
      <c r="K810" s="2"/>
      <c r="L810" s="1"/>
      <c r="M810" s="1"/>
      <c r="N810" s="1"/>
      <c r="O810" s="1"/>
      <c r="P810" s="1"/>
      <c r="Q810" s="1"/>
      <c r="R810" s="1"/>
      <c r="S810" s="1"/>
      <c r="T810" s="1"/>
      <c r="U810" s="1"/>
      <c r="V810" s="1"/>
      <c r="W810" s="1"/>
      <c r="X810" s="1"/>
      <c r="Y810" s="1"/>
      <c r="Z810" s="1"/>
      <c r="AA810" s="1"/>
      <c r="AB810" s="1"/>
      <c r="AC810" s="1"/>
      <c r="AD810" s="1"/>
      <c r="AE810" s="1"/>
      <c r="AF810" s="1"/>
      <c r="AG810" s="1"/>
      <c r="AH810" s="1"/>
    </row>
    <row r="811">
      <c r="A811" s="1"/>
      <c r="B811" s="1"/>
      <c r="C811" s="1"/>
      <c r="D811" s="1"/>
      <c r="E811" s="1"/>
      <c r="F811" s="1"/>
      <c r="G811" s="1"/>
      <c r="H811" s="1"/>
      <c r="I811" s="1"/>
      <c r="J811" s="5"/>
      <c r="K811" s="2"/>
      <c r="L811" s="1"/>
      <c r="M811" s="1"/>
      <c r="N811" s="1"/>
      <c r="O811" s="1"/>
      <c r="P811" s="1"/>
      <c r="Q811" s="1"/>
      <c r="R811" s="1"/>
      <c r="S811" s="1"/>
      <c r="T811" s="1"/>
      <c r="U811" s="1"/>
      <c r="V811" s="1"/>
      <c r="W811" s="1"/>
      <c r="X811" s="1"/>
      <c r="Y811" s="1"/>
      <c r="Z811" s="1"/>
      <c r="AA811" s="1"/>
      <c r="AB811" s="1"/>
      <c r="AC811" s="1"/>
      <c r="AD811" s="1"/>
      <c r="AE811" s="1"/>
      <c r="AF811" s="1"/>
      <c r="AG811" s="1"/>
      <c r="AH811" s="1"/>
    </row>
    <row r="812">
      <c r="A812" s="1"/>
      <c r="B812" s="1"/>
      <c r="C812" s="1"/>
      <c r="D812" s="1"/>
      <c r="E812" s="1"/>
      <c r="F812" s="1"/>
      <c r="G812" s="1"/>
      <c r="H812" s="1"/>
      <c r="I812" s="1"/>
      <c r="J812" s="5"/>
      <c r="K812" s="2"/>
      <c r="L812" s="1"/>
      <c r="M812" s="1"/>
      <c r="N812" s="1"/>
      <c r="O812" s="1"/>
      <c r="P812" s="1"/>
      <c r="Q812" s="1"/>
      <c r="R812" s="1"/>
      <c r="S812" s="1"/>
      <c r="T812" s="1"/>
      <c r="U812" s="1"/>
      <c r="V812" s="1"/>
      <c r="W812" s="1"/>
      <c r="X812" s="1"/>
      <c r="Y812" s="1"/>
      <c r="Z812" s="1"/>
      <c r="AA812" s="1"/>
      <c r="AB812" s="1"/>
      <c r="AC812" s="1"/>
      <c r="AD812" s="1"/>
      <c r="AE812" s="1"/>
      <c r="AF812" s="1"/>
      <c r="AG812" s="1"/>
      <c r="AH812" s="1"/>
    </row>
    <row r="813">
      <c r="A813" s="1"/>
      <c r="B813" s="1"/>
      <c r="C813" s="1"/>
      <c r="D813" s="1"/>
      <c r="E813" s="1"/>
      <c r="F813" s="1"/>
      <c r="G813" s="1"/>
      <c r="H813" s="1"/>
      <c r="I813" s="1"/>
      <c r="J813" s="5"/>
      <c r="K813" s="2"/>
      <c r="L813" s="1"/>
      <c r="M813" s="1"/>
      <c r="N813" s="1"/>
      <c r="O813" s="1"/>
      <c r="P813" s="1"/>
      <c r="Q813" s="1"/>
      <c r="R813" s="1"/>
      <c r="S813" s="1"/>
      <c r="T813" s="1"/>
      <c r="U813" s="1"/>
      <c r="V813" s="1"/>
      <c r="W813" s="1"/>
      <c r="X813" s="1"/>
      <c r="Y813" s="1"/>
      <c r="Z813" s="1"/>
      <c r="AA813" s="1"/>
      <c r="AB813" s="1"/>
      <c r="AC813" s="1"/>
      <c r="AD813" s="1"/>
      <c r="AE813" s="1"/>
      <c r="AF813" s="1"/>
      <c r="AG813" s="1"/>
      <c r="AH813" s="1"/>
    </row>
    <row r="814">
      <c r="A814" s="1"/>
      <c r="B814" s="1"/>
      <c r="C814" s="1"/>
      <c r="D814" s="1"/>
      <c r="E814" s="1"/>
      <c r="F814" s="1"/>
      <c r="G814" s="1"/>
      <c r="H814" s="1"/>
      <c r="I814" s="1"/>
      <c r="J814" s="5"/>
      <c r="K814" s="2"/>
      <c r="L814" s="1"/>
      <c r="M814" s="1"/>
      <c r="N814" s="1"/>
      <c r="O814" s="1"/>
      <c r="P814" s="1"/>
      <c r="Q814" s="1"/>
      <c r="R814" s="1"/>
      <c r="S814" s="1"/>
      <c r="T814" s="1"/>
      <c r="U814" s="1"/>
      <c r="V814" s="1"/>
      <c r="W814" s="1"/>
      <c r="X814" s="1"/>
      <c r="Y814" s="1"/>
      <c r="Z814" s="1"/>
      <c r="AA814" s="1"/>
      <c r="AB814" s="1"/>
      <c r="AC814" s="1"/>
      <c r="AD814" s="1"/>
      <c r="AE814" s="1"/>
      <c r="AF814" s="1"/>
      <c r="AG814" s="1"/>
      <c r="AH814" s="1"/>
    </row>
    <row r="815">
      <c r="A815" s="1"/>
      <c r="B815" s="1"/>
      <c r="C815" s="1"/>
      <c r="D815" s="1"/>
      <c r="E815" s="1"/>
      <c r="F815" s="1"/>
      <c r="G815" s="1"/>
      <c r="H815" s="1"/>
      <c r="I815" s="1"/>
      <c r="J815" s="5"/>
      <c r="K815" s="2"/>
      <c r="L815" s="1"/>
      <c r="M815" s="1"/>
      <c r="N815" s="1"/>
      <c r="O815" s="1"/>
      <c r="P815" s="1"/>
      <c r="Q815" s="1"/>
      <c r="R815" s="1"/>
      <c r="S815" s="1"/>
      <c r="T815" s="1"/>
      <c r="U815" s="1"/>
      <c r="V815" s="1"/>
      <c r="W815" s="1"/>
      <c r="X815" s="1"/>
      <c r="Y815" s="1"/>
      <c r="Z815" s="1"/>
      <c r="AA815" s="1"/>
      <c r="AB815" s="1"/>
      <c r="AC815" s="1"/>
      <c r="AD815" s="1"/>
      <c r="AE815" s="1"/>
      <c r="AF815" s="1"/>
      <c r="AG815" s="1"/>
      <c r="AH815" s="1"/>
    </row>
    <row r="816">
      <c r="A816" s="1"/>
      <c r="B816" s="1"/>
      <c r="C816" s="1"/>
      <c r="D816" s="1"/>
      <c r="E816" s="1"/>
      <c r="F816" s="1"/>
      <c r="G816" s="1"/>
      <c r="H816" s="1"/>
      <c r="I816" s="1"/>
      <c r="J816" s="5"/>
      <c r="K816" s="2"/>
      <c r="L816" s="1"/>
      <c r="M816" s="1"/>
      <c r="N816" s="1"/>
      <c r="O816" s="1"/>
      <c r="P816" s="1"/>
      <c r="Q816" s="1"/>
      <c r="R816" s="1"/>
      <c r="S816" s="1"/>
      <c r="T816" s="1"/>
      <c r="U816" s="1"/>
      <c r="V816" s="1"/>
      <c r="W816" s="1"/>
      <c r="X816" s="1"/>
      <c r="Y816" s="1"/>
      <c r="Z816" s="1"/>
      <c r="AA816" s="1"/>
      <c r="AB816" s="1"/>
      <c r="AC816" s="1"/>
      <c r="AD816" s="1"/>
      <c r="AE816" s="1"/>
      <c r="AF816" s="1"/>
      <c r="AG816" s="1"/>
      <c r="AH816" s="1"/>
    </row>
    <row r="817">
      <c r="A817" s="1"/>
      <c r="B817" s="1"/>
      <c r="C817" s="1"/>
      <c r="D817" s="1"/>
      <c r="E817" s="1"/>
      <c r="F817" s="1"/>
      <c r="G817" s="1"/>
      <c r="H817" s="1"/>
      <c r="I817" s="1"/>
      <c r="J817" s="5"/>
      <c r="K817" s="2"/>
      <c r="L817" s="1"/>
      <c r="M817" s="1"/>
      <c r="N817" s="1"/>
      <c r="O817" s="1"/>
      <c r="P817" s="1"/>
      <c r="Q817" s="1"/>
      <c r="R817" s="1"/>
      <c r="S817" s="1"/>
      <c r="T817" s="1"/>
      <c r="U817" s="1"/>
      <c r="V817" s="1"/>
      <c r="W817" s="1"/>
      <c r="X817" s="1"/>
      <c r="Y817" s="1"/>
      <c r="Z817" s="1"/>
      <c r="AA817" s="1"/>
      <c r="AB817" s="1"/>
      <c r="AC817" s="1"/>
      <c r="AD817" s="1"/>
      <c r="AE817" s="1"/>
      <c r="AF817" s="1"/>
      <c r="AG817" s="1"/>
      <c r="AH817" s="1"/>
    </row>
    <row r="818">
      <c r="A818" s="1"/>
      <c r="B818" s="1"/>
      <c r="C818" s="1"/>
      <c r="D818" s="1"/>
      <c r="E818" s="1"/>
      <c r="F818" s="1"/>
      <c r="G818" s="1"/>
      <c r="H818" s="1"/>
      <c r="I818" s="1"/>
      <c r="J818" s="5"/>
      <c r="K818" s="2"/>
      <c r="L818" s="1"/>
      <c r="M818" s="1"/>
      <c r="N818" s="1"/>
      <c r="O818" s="1"/>
      <c r="P818" s="1"/>
      <c r="Q818" s="1"/>
      <c r="R818" s="1"/>
      <c r="S818" s="1"/>
      <c r="T818" s="1"/>
      <c r="U818" s="1"/>
      <c r="V818" s="1"/>
      <c r="W818" s="1"/>
      <c r="X818" s="1"/>
      <c r="Y818" s="1"/>
      <c r="Z818" s="1"/>
      <c r="AA818" s="1"/>
      <c r="AB818" s="1"/>
      <c r="AC818" s="1"/>
      <c r="AD818" s="1"/>
      <c r="AE818" s="1"/>
      <c r="AF818" s="1"/>
      <c r="AG818" s="1"/>
      <c r="AH818" s="1"/>
    </row>
    <row r="819">
      <c r="A819" s="1"/>
      <c r="B819" s="1"/>
      <c r="C819" s="1"/>
      <c r="D819" s="1"/>
      <c r="E819" s="1"/>
      <c r="F819" s="1"/>
      <c r="G819" s="1"/>
      <c r="H819" s="1"/>
      <c r="I819" s="1"/>
      <c r="J819" s="5"/>
      <c r="K819" s="2"/>
      <c r="L819" s="1"/>
      <c r="M819" s="1"/>
      <c r="N819" s="1"/>
      <c r="O819" s="1"/>
      <c r="P819" s="1"/>
      <c r="Q819" s="1"/>
      <c r="R819" s="1"/>
      <c r="S819" s="1"/>
      <c r="T819" s="1"/>
      <c r="U819" s="1"/>
      <c r="V819" s="1"/>
      <c r="W819" s="1"/>
      <c r="X819" s="1"/>
      <c r="Y819" s="1"/>
      <c r="Z819" s="1"/>
      <c r="AA819" s="1"/>
      <c r="AB819" s="1"/>
      <c r="AC819" s="1"/>
      <c r="AD819" s="1"/>
      <c r="AE819" s="1"/>
      <c r="AF819" s="1"/>
      <c r="AG819" s="1"/>
      <c r="AH819" s="1"/>
    </row>
    <row r="820">
      <c r="A820" s="1"/>
      <c r="B820" s="1"/>
      <c r="C820" s="1"/>
      <c r="D820" s="1"/>
      <c r="E820" s="1"/>
      <c r="F820" s="1"/>
      <c r="G820" s="1"/>
      <c r="H820" s="1"/>
      <c r="I820" s="1"/>
      <c r="J820" s="5"/>
      <c r="K820" s="2"/>
      <c r="L820" s="1"/>
      <c r="M820" s="1"/>
      <c r="N820" s="1"/>
      <c r="O820" s="1"/>
      <c r="P820" s="1"/>
      <c r="Q820" s="1"/>
      <c r="R820" s="1"/>
      <c r="S820" s="1"/>
      <c r="T820" s="1"/>
      <c r="U820" s="1"/>
      <c r="V820" s="1"/>
      <c r="W820" s="1"/>
      <c r="X820" s="1"/>
      <c r="Y820" s="1"/>
      <c r="Z820" s="1"/>
      <c r="AA820" s="1"/>
      <c r="AB820" s="1"/>
      <c r="AC820" s="1"/>
      <c r="AD820" s="1"/>
      <c r="AE820" s="1"/>
      <c r="AF820" s="1"/>
      <c r="AG820" s="1"/>
      <c r="AH820" s="1"/>
    </row>
    <row r="821">
      <c r="A821" s="1"/>
      <c r="B821" s="1"/>
      <c r="C821" s="1"/>
      <c r="D821" s="1"/>
      <c r="E821" s="1"/>
      <c r="F821" s="1"/>
      <c r="G821" s="1"/>
      <c r="H821" s="1"/>
      <c r="I821" s="1"/>
      <c r="J821" s="5"/>
      <c r="K821" s="2"/>
      <c r="L821" s="1"/>
      <c r="M821" s="1"/>
      <c r="N821" s="1"/>
      <c r="O821" s="1"/>
      <c r="P821" s="1"/>
      <c r="Q821" s="1"/>
      <c r="R821" s="1"/>
      <c r="S821" s="1"/>
      <c r="T821" s="1"/>
      <c r="U821" s="1"/>
      <c r="V821" s="1"/>
      <c r="W821" s="1"/>
      <c r="X821" s="1"/>
      <c r="Y821" s="1"/>
      <c r="Z821" s="1"/>
      <c r="AA821" s="1"/>
      <c r="AB821" s="1"/>
      <c r="AC821" s="1"/>
      <c r="AD821" s="1"/>
      <c r="AE821" s="1"/>
      <c r="AF821" s="1"/>
      <c r="AG821" s="1"/>
      <c r="AH821" s="1"/>
    </row>
    <row r="822">
      <c r="A822" s="1"/>
      <c r="B822" s="1"/>
      <c r="C822" s="1"/>
      <c r="D822" s="1"/>
      <c r="E822" s="1"/>
      <c r="F822" s="1"/>
      <c r="G822" s="1"/>
      <c r="H822" s="1"/>
      <c r="I822" s="1"/>
      <c r="J822" s="5"/>
      <c r="K822" s="2"/>
      <c r="L822" s="1"/>
      <c r="M822" s="1"/>
      <c r="N822" s="1"/>
      <c r="O822" s="1"/>
      <c r="P822" s="1"/>
      <c r="Q822" s="1"/>
      <c r="R822" s="1"/>
      <c r="S822" s="1"/>
      <c r="T822" s="1"/>
      <c r="U822" s="1"/>
      <c r="V822" s="1"/>
      <c r="W822" s="1"/>
      <c r="X822" s="1"/>
      <c r="Y822" s="1"/>
      <c r="Z822" s="1"/>
      <c r="AA822" s="1"/>
      <c r="AB822" s="1"/>
      <c r="AC822" s="1"/>
      <c r="AD822" s="1"/>
      <c r="AE822" s="1"/>
      <c r="AF822" s="1"/>
      <c r="AG822" s="1"/>
      <c r="AH822" s="1"/>
    </row>
    <row r="823">
      <c r="A823" s="1"/>
      <c r="B823" s="1"/>
      <c r="C823" s="1"/>
      <c r="D823" s="1"/>
      <c r="E823" s="1"/>
      <c r="F823" s="1"/>
      <c r="G823" s="1"/>
      <c r="H823" s="1"/>
      <c r="I823" s="1"/>
      <c r="J823" s="5"/>
      <c r="K823" s="2"/>
      <c r="L823" s="1"/>
      <c r="M823" s="1"/>
      <c r="N823" s="1"/>
      <c r="O823" s="1"/>
      <c r="P823" s="1"/>
      <c r="Q823" s="1"/>
      <c r="R823" s="1"/>
      <c r="S823" s="1"/>
      <c r="T823" s="1"/>
      <c r="U823" s="1"/>
      <c r="V823" s="1"/>
      <c r="W823" s="1"/>
      <c r="X823" s="1"/>
      <c r="Y823" s="1"/>
      <c r="Z823" s="1"/>
      <c r="AA823" s="1"/>
      <c r="AB823" s="1"/>
      <c r="AC823" s="1"/>
      <c r="AD823" s="1"/>
      <c r="AE823" s="1"/>
      <c r="AF823" s="1"/>
      <c r="AG823" s="1"/>
      <c r="AH823" s="1"/>
    </row>
    <row r="824">
      <c r="A824" s="1"/>
      <c r="B824" s="1"/>
      <c r="C824" s="1"/>
      <c r="D824" s="1"/>
      <c r="E824" s="1"/>
      <c r="F824" s="1"/>
      <c r="G824" s="1"/>
      <c r="H824" s="1"/>
      <c r="I824" s="1"/>
      <c r="J824" s="5"/>
      <c r="K824" s="2"/>
      <c r="L824" s="1"/>
      <c r="M824" s="1"/>
      <c r="N824" s="1"/>
      <c r="O824" s="1"/>
      <c r="P824" s="1"/>
      <c r="Q824" s="1"/>
      <c r="R824" s="1"/>
      <c r="S824" s="1"/>
      <c r="T824" s="1"/>
      <c r="U824" s="1"/>
      <c r="V824" s="1"/>
      <c r="W824" s="1"/>
      <c r="X824" s="1"/>
      <c r="Y824" s="1"/>
      <c r="Z824" s="1"/>
      <c r="AA824" s="1"/>
      <c r="AB824" s="1"/>
      <c r="AC824" s="1"/>
      <c r="AD824" s="1"/>
      <c r="AE824" s="1"/>
      <c r="AF824" s="1"/>
      <c r="AG824" s="1"/>
      <c r="AH824" s="1"/>
    </row>
    <row r="825">
      <c r="A825" s="1"/>
      <c r="B825" s="1"/>
      <c r="C825" s="1"/>
      <c r="D825" s="1"/>
      <c r="E825" s="1"/>
      <c r="F825" s="1"/>
      <c r="G825" s="1"/>
      <c r="H825" s="1"/>
      <c r="I825" s="1"/>
      <c r="J825" s="5"/>
      <c r="K825" s="2"/>
      <c r="L825" s="1"/>
      <c r="M825" s="1"/>
      <c r="N825" s="1"/>
      <c r="O825" s="1"/>
      <c r="P825" s="1"/>
      <c r="Q825" s="1"/>
      <c r="R825" s="1"/>
      <c r="S825" s="1"/>
      <c r="T825" s="1"/>
      <c r="U825" s="1"/>
      <c r="V825" s="1"/>
      <c r="W825" s="1"/>
      <c r="X825" s="1"/>
      <c r="Y825" s="1"/>
      <c r="Z825" s="1"/>
      <c r="AA825" s="1"/>
      <c r="AB825" s="1"/>
      <c r="AC825" s="1"/>
      <c r="AD825" s="1"/>
      <c r="AE825" s="1"/>
      <c r="AF825" s="1"/>
      <c r="AG825" s="1"/>
      <c r="AH825" s="1"/>
    </row>
    <row r="826">
      <c r="A826" s="1"/>
      <c r="B826" s="1"/>
      <c r="C826" s="1"/>
      <c r="D826" s="1"/>
      <c r="E826" s="1"/>
      <c r="F826" s="1"/>
      <c r="G826" s="1"/>
      <c r="H826" s="1"/>
      <c r="I826" s="1"/>
      <c r="J826" s="5"/>
      <c r="K826" s="2"/>
      <c r="L826" s="1"/>
      <c r="M826" s="1"/>
      <c r="N826" s="1"/>
      <c r="O826" s="1"/>
      <c r="P826" s="1"/>
      <c r="Q826" s="1"/>
      <c r="R826" s="1"/>
      <c r="S826" s="1"/>
      <c r="T826" s="1"/>
      <c r="U826" s="1"/>
      <c r="V826" s="1"/>
      <c r="W826" s="1"/>
      <c r="X826" s="1"/>
      <c r="Y826" s="1"/>
      <c r="Z826" s="1"/>
      <c r="AA826" s="1"/>
      <c r="AB826" s="1"/>
      <c r="AC826" s="1"/>
      <c r="AD826" s="1"/>
      <c r="AE826" s="1"/>
      <c r="AF826" s="1"/>
      <c r="AG826" s="1"/>
      <c r="AH826" s="1"/>
    </row>
    <row r="827">
      <c r="A827" s="1"/>
      <c r="B827" s="1"/>
      <c r="C827" s="1"/>
      <c r="D827" s="1"/>
      <c r="E827" s="1"/>
      <c r="F827" s="1"/>
      <c r="G827" s="1"/>
      <c r="H827" s="1"/>
      <c r="I827" s="1"/>
      <c r="J827" s="5"/>
      <c r="K827" s="2"/>
      <c r="L827" s="1"/>
      <c r="M827" s="1"/>
      <c r="N827" s="1"/>
      <c r="O827" s="1"/>
      <c r="P827" s="1"/>
      <c r="Q827" s="1"/>
      <c r="R827" s="1"/>
      <c r="S827" s="1"/>
      <c r="T827" s="1"/>
      <c r="U827" s="1"/>
      <c r="V827" s="1"/>
      <c r="W827" s="1"/>
      <c r="X827" s="1"/>
      <c r="Y827" s="1"/>
      <c r="Z827" s="1"/>
      <c r="AA827" s="1"/>
      <c r="AB827" s="1"/>
      <c r="AC827" s="1"/>
      <c r="AD827" s="1"/>
      <c r="AE827" s="1"/>
      <c r="AF827" s="1"/>
      <c r="AG827" s="1"/>
      <c r="AH827" s="1"/>
    </row>
    <row r="828">
      <c r="A828" s="1"/>
      <c r="B828" s="1"/>
      <c r="C828" s="1"/>
      <c r="D828" s="1"/>
      <c r="E828" s="1"/>
      <c r="F828" s="1"/>
      <c r="G828" s="1"/>
      <c r="H828" s="1"/>
      <c r="I828" s="1"/>
      <c r="J828" s="5"/>
      <c r="K828" s="2"/>
      <c r="L828" s="1"/>
      <c r="M828" s="1"/>
      <c r="N828" s="1"/>
      <c r="O828" s="1"/>
      <c r="P828" s="1"/>
      <c r="Q828" s="1"/>
      <c r="R828" s="1"/>
      <c r="S828" s="1"/>
      <c r="T828" s="1"/>
      <c r="U828" s="1"/>
      <c r="V828" s="1"/>
      <c r="W828" s="1"/>
      <c r="X828" s="1"/>
      <c r="Y828" s="1"/>
      <c r="Z828" s="1"/>
      <c r="AA828" s="1"/>
      <c r="AB828" s="1"/>
      <c r="AC828" s="1"/>
      <c r="AD828" s="1"/>
      <c r="AE828" s="1"/>
      <c r="AF828" s="1"/>
      <c r="AG828" s="1"/>
      <c r="AH828" s="1"/>
    </row>
    <row r="829">
      <c r="A829" s="1"/>
      <c r="B829" s="1"/>
      <c r="C829" s="1"/>
      <c r="D829" s="1"/>
      <c r="E829" s="1"/>
      <c r="F829" s="1"/>
      <c r="G829" s="1"/>
      <c r="H829" s="1"/>
      <c r="I829" s="1"/>
      <c r="J829" s="5"/>
      <c r="K829" s="2"/>
      <c r="L829" s="1"/>
      <c r="M829" s="1"/>
      <c r="N829" s="1"/>
      <c r="O829" s="1"/>
      <c r="P829" s="1"/>
      <c r="Q829" s="1"/>
      <c r="R829" s="1"/>
      <c r="S829" s="1"/>
      <c r="T829" s="1"/>
      <c r="U829" s="1"/>
      <c r="V829" s="1"/>
      <c r="W829" s="1"/>
      <c r="X829" s="1"/>
      <c r="Y829" s="1"/>
      <c r="Z829" s="1"/>
      <c r="AA829" s="1"/>
      <c r="AB829" s="1"/>
      <c r="AC829" s="1"/>
      <c r="AD829" s="1"/>
      <c r="AE829" s="1"/>
      <c r="AF829" s="1"/>
      <c r="AG829" s="1"/>
      <c r="AH829" s="1"/>
    </row>
    <row r="830">
      <c r="A830" s="1"/>
      <c r="B830" s="1"/>
      <c r="C830" s="1"/>
      <c r="D830" s="1"/>
      <c r="E830" s="1"/>
      <c r="F830" s="1"/>
      <c r="G830" s="1"/>
      <c r="H830" s="1"/>
      <c r="I830" s="1"/>
      <c r="J830" s="5"/>
      <c r="K830" s="2"/>
      <c r="L830" s="1"/>
      <c r="M830" s="1"/>
      <c r="N830" s="1"/>
      <c r="O830" s="1"/>
      <c r="P830" s="1"/>
      <c r="Q830" s="1"/>
      <c r="R830" s="1"/>
      <c r="S830" s="1"/>
      <c r="T830" s="1"/>
      <c r="U830" s="1"/>
      <c r="V830" s="1"/>
      <c r="W830" s="1"/>
      <c r="X830" s="1"/>
      <c r="Y830" s="1"/>
      <c r="Z830" s="1"/>
      <c r="AA830" s="1"/>
      <c r="AB830" s="1"/>
      <c r="AC830" s="1"/>
      <c r="AD830" s="1"/>
      <c r="AE830" s="1"/>
      <c r="AF830" s="1"/>
      <c r="AG830" s="1"/>
      <c r="AH830" s="1"/>
    </row>
    <row r="831">
      <c r="A831" s="1"/>
      <c r="B831" s="1"/>
      <c r="C831" s="1"/>
      <c r="D831" s="1"/>
      <c r="E831" s="1"/>
      <c r="F831" s="1"/>
      <c r="G831" s="1"/>
      <c r="H831" s="1"/>
      <c r="I831" s="1"/>
      <c r="J831" s="5"/>
      <c r="K831" s="2"/>
      <c r="L831" s="1"/>
      <c r="M831" s="1"/>
      <c r="N831" s="1"/>
      <c r="O831" s="1"/>
      <c r="P831" s="1"/>
      <c r="Q831" s="1"/>
      <c r="R831" s="1"/>
      <c r="S831" s="1"/>
      <c r="T831" s="1"/>
      <c r="U831" s="1"/>
      <c r="V831" s="1"/>
      <c r="W831" s="1"/>
      <c r="X831" s="1"/>
      <c r="Y831" s="1"/>
      <c r="Z831" s="1"/>
      <c r="AA831" s="1"/>
      <c r="AB831" s="1"/>
      <c r="AC831" s="1"/>
      <c r="AD831" s="1"/>
      <c r="AE831" s="1"/>
      <c r="AF831" s="1"/>
      <c r="AG831" s="1"/>
      <c r="AH831" s="1"/>
    </row>
    <row r="832">
      <c r="A832" s="1"/>
      <c r="B832" s="1"/>
      <c r="C832" s="1"/>
      <c r="D832" s="1"/>
      <c r="E832" s="1"/>
      <c r="F832" s="1"/>
      <c r="G832" s="1"/>
      <c r="H832" s="1"/>
      <c r="I832" s="1"/>
      <c r="J832" s="5"/>
      <c r="K832" s="2"/>
      <c r="L832" s="1"/>
      <c r="M832" s="1"/>
      <c r="N832" s="1"/>
      <c r="O832" s="1"/>
      <c r="P832" s="1"/>
      <c r="Q832" s="1"/>
      <c r="R832" s="1"/>
      <c r="S832" s="1"/>
      <c r="T832" s="1"/>
      <c r="U832" s="1"/>
      <c r="V832" s="1"/>
      <c r="W832" s="1"/>
      <c r="X832" s="1"/>
      <c r="Y832" s="1"/>
      <c r="Z832" s="1"/>
      <c r="AA832" s="1"/>
      <c r="AB832" s="1"/>
      <c r="AC832" s="1"/>
      <c r="AD832" s="1"/>
      <c r="AE832" s="1"/>
      <c r="AF832" s="1"/>
      <c r="AG832" s="1"/>
      <c r="AH832" s="1"/>
    </row>
    <row r="833">
      <c r="A833" s="1"/>
      <c r="B833" s="1"/>
      <c r="C833" s="1"/>
      <c r="D833" s="1"/>
      <c r="E833" s="1"/>
      <c r="F833" s="1"/>
      <c r="G833" s="1"/>
      <c r="H833" s="1"/>
      <c r="I833" s="1"/>
      <c r="J833" s="5"/>
      <c r="K833" s="2"/>
      <c r="L833" s="1"/>
      <c r="M833" s="1"/>
      <c r="N833" s="1"/>
      <c r="O833" s="1"/>
      <c r="P833" s="1"/>
      <c r="Q833" s="1"/>
      <c r="R833" s="1"/>
      <c r="S833" s="1"/>
      <c r="T833" s="1"/>
      <c r="U833" s="1"/>
      <c r="V833" s="1"/>
      <c r="W833" s="1"/>
      <c r="X833" s="1"/>
      <c r="Y833" s="1"/>
      <c r="Z833" s="1"/>
      <c r="AA833" s="1"/>
      <c r="AB833" s="1"/>
      <c r="AC833" s="1"/>
      <c r="AD833" s="1"/>
      <c r="AE833" s="1"/>
      <c r="AF833" s="1"/>
      <c r="AG833" s="1"/>
      <c r="AH833" s="1"/>
    </row>
    <row r="834">
      <c r="A834" s="1"/>
      <c r="B834" s="1"/>
      <c r="C834" s="1"/>
      <c r="D834" s="1"/>
      <c r="E834" s="1"/>
      <c r="F834" s="1"/>
      <c r="G834" s="1"/>
      <c r="H834" s="1"/>
      <c r="I834" s="1"/>
      <c r="J834" s="5"/>
      <c r="K834" s="2"/>
      <c r="L834" s="1"/>
      <c r="M834" s="1"/>
      <c r="N834" s="1"/>
      <c r="O834" s="1"/>
      <c r="P834" s="1"/>
      <c r="Q834" s="1"/>
      <c r="R834" s="1"/>
      <c r="S834" s="1"/>
      <c r="T834" s="1"/>
      <c r="U834" s="1"/>
      <c r="V834" s="1"/>
      <c r="W834" s="1"/>
      <c r="X834" s="1"/>
      <c r="Y834" s="1"/>
      <c r="Z834" s="1"/>
      <c r="AA834" s="1"/>
      <c r="AB834" s="1"/>
      <c r="AC834" s="1"/>
      <c r="AD834" s="1"/>
      <c r="AE834" s="1"/>
      <c r="AF834" s="1"/>
      <c r="AG834" s="1"/>
      <c r="AH834" s="1"/>
    </row>
    <row r="835">
      <c r="A835" s="1"/>
      <c r="B835" s="1"/>
      <c r="C835" s="1"/>
      <c r="D835" s="1"/>
      <c r="E835" s="1"/>
      <c r="F835" s="1"/>
      <c r="G835" s="1"/>
      <c r="H835" s="1"/>
      <c r="I835" s="1"/>
      <c r="J835" s="5"/>
      <c r="K835" s="2"/>
      <c r="L835" s="1"/>
      <c r="M835" s="1"/>
      <c r="N835" s="1"/>
      <c r="O835" s="1"/>
      <c r="P835" s="1"/>
      <c r="Q835" s="1"/>
      <c r="R835" s="1"/>
      <c r="S835" s="1"/>
      <c r="T835" s="1"/>
      <c r="U835" s="1"/>
      <c r="V835" s="1"/>
      <c r="W835" s="1"/>
      <c r="X835" s="1"/>
      <c r="Y835" s="1"/>
      <c r="Z835" s="1"/>
      <c r="AA835" s="1"/>
      <c r="AB835" s="1"/>
      <c r="AC835" s="1"/>
      <c r="AD835" s="1"/>
      <c r="AE835" s="1"/>
      <c r="AF835" s="1"/>
      <c r="AG835" s="1"/>
      <c r="AH835" s="1"/>
    </row>
    <row r="836">
      <c r="A836" s="1"/>
      <c r="B836" s="1"/>
      <c r="C836" s="1"/>
      <c r="D836" s="1"/>
      <c r="E836" s="1"/>
      <c r="F836" s="1"/>
      <c r="G836" s="1"/>
      <c r="H836" s="1"/>
      <c r="I836" s="1"/>
      <c r="J836" s="5"/>
      <c r="K836" s="2"/>
      <c r="L836" s="1"/>
      <c r="M836" s="1"/>
      <c r="N836" s="1"/>
      <c r="O836" s="1"/>
      <c r="P836" s="1"/>
      <c r="Q836" s="1"/>
      <c r="R836" s="1"/>
      <c r="S836" s="1"/>
      <c r="T836" s="1"/>
      <c r="U836" s="1"/>
      <c r="V836" s="1"/>
      <c r="W836" s="1"/>
      <c r="X836" s="1"/>
      <c r="Y836" s="1"/>
      <c r="Z836" s="1"/>
      <c r="AA836" s="1"/>
      <c r="AB836" s="1"/>
      <c r="AC836" s="1"/>
      <c r="AD836" s="1"/>
      <c r="AE836" s="1"/>
      <c r="AF836" s="1"/>
      <c r="AG836" s="1"/>
      <c r="AH836" s="1"/>
    </row>
    <row r="837">
      <c r="A837" s="1"/>
      <c r="B837" s="1"/>
      <c r="C837" s="1"/>
      <c r="D837" s="1"/>
      <c r="E837" s="1"/>
      <c r="F837" s="1"/>
      <c r="G837" s="1"/>
      <c r="H837" s="1"/>
      <c r="I837" s="1"/>
      <c r="J837" s="5"/>
      <c r="K837" s="2"/>
      <c r="L837" s="1"/>
      <c r="M837" s="1"/>
      <c r="N837" s="1"/>
      <c r="O837" s="1"/>
      <c r="P837" s="1"/>
      <c r="Q837" s="1"/>
      <c r="R837" s="1"/>
      <c r="S837" s="1"/>
      <c r="T837" s="1"/>
      <c r="U837" s="1"/>
      <c r="V837" s="1"/>
      <c r="W837" s="1"/>
      <c r="X837" s="1"/>
      <c r="Y837" s="1"/>
      <c r="Z837" s="1"/>
      <c r="AA837" s="1"/>
      <c r="AB837" s="1"/>
      <c r="AC837" s="1"/>
      <c r="AD837" s="1"/>
      <c r="AE837" s="1"/>
      <c r="AF837" s="1"/>
      <c r="AG837" s="1"/>
      <c r="AH837" s="1"/>
    </row>
    <row r="838">
      <c r="A838" s="1"/>
      <c r="B838" s="1"/>
      <c r="C838" s="1"/>
      <c r="D838" s="1"/>
      <c r="E838" s="1"/>
      <c r="F838" s="1"/>
      <c r="G838" s="1"/>
      <c r="H838" s="1"/>
      <c r="I838" s="1"/>
      <c r="J838" s="5"/>
      <c r="K838" s="2"/>
      <c r="L838" s="1"/>
      <c r="M838" s="1"/>
      <c r="N838" s="1"/>
      <c r="O838" s="1"/>
      <c r="P838" s="1"/>
      <c r="Q838" s="1"/>
      <c r="R838" s="1"/>
      <c r="S838" s="1"/>
      <c r="T838" s="1"/>
      <c r="U838" s="1"/>
      <c r="V838" s="1"/>
      <c r="W838" s="1"/>
      <c r="X838" s="1"/>
      <c r="Y838" s="1"/>
      <c r="Z838" s="1"/>
      <c r="AA838" s="1"/>
      <c r="AB838" s="1"/>
      <c r="AC838" s="1"/>
      <c r="AD838" s="1"/>
      <c r="AE838" s="1"/>
      <c r="AF838" s="1"/>
      <c r="AG838" s="1"/>
      <c r="AH838" s="1"/>
    </row>
    <row r="839">
      <c r="A839" s="1"/>
      <c r="B839" s="1"/>
      <c r="C839" s="1"/>
      <c r="D839" s="1"/>
      <c r="E839" s="1"/>
      <c r="F839" s="1"/>
      <c r="G839" s="1"/>
      <c r="H839" s="1"/>
      <c r="I839" s="1"/>
      <c r="J839" s="5"/>
      <c r="K839" s="2"/>
      <c r="L839" s="1"/>
      <c r="M839" s="1"/>
      <c r="N839" s="1"/>
      <c r="O839" s="1"/>
      <c r="P839" s="1"/>
      <c r="Q839" s="1"/>
      <c r="R839" s="1"/>
      <c r="S839" s="1"/>
      <c r="T839" s="1"/>
      <c r="U839" s="1"/>
      <c r="V839" s="1"/>
      <c r="W839" s="1"/>
      <c r="X839" s="1"/>
      <c r="Y839" s="1"/>
      <c r="Z839" s="1"/>
      <c r="AA839" s="1"/>
      <c r="AB839" s="1"/>
      <c r="AC839" s="1"/>
      <c r="AD839" s="1"/>
      <c r="AE839" s="1"/>
      <c r="AF839" s="1"/>
      <c r="AG839" s="1"/>
      <c r="AH839" s="1"/>
    </row>
    <row r="840">
      <c r="A840" s="1"/>
      <c r="B840" s="1"/>
      <c r="C840" s="1"/>
      <c r="D840" s="1"/>
      <c r="E840" s="1"/>
      <c r="F840" s="1"/>
      <c r="G840" s="1"/>
      <c r="H840" s="1"/>
      <c r="I840" s="1"/>
      <c r="J840" s="5"/>
      <c r="K840" s="2"/>
      <c r="L840" s="1"/>
      <c r="M840" s="1"/>
      <c r="N840" s="1"/>
      <c r="O840" s="1"/>
      <c r="P840" s="1"/>
      <c r="Q840" s="1"/>
      <c r="R840" s="1"/>
      <c r="S840" s="1"/>
      <c r="T840" s="1"/>
      <c r="U840" s="1"/>
      <c r="V840" s="1"/>
      <c r="W840" s="1"/>
      <c r="X840" s="1"/>
      <c r="Y840" s="1"/>
      <c r="Z840" s="1"/>
      <c r="AA840" s="1"/>
      <c r="AB840" s="1"/>
      <c r="AC840" s="1"/>
      <c r="AD840" s="1"/>
      <c r="AE840" s="1"/>
      <c r="AF840" s="1"/>
      <c r="AG840" s="1"/>
      <c r="AH840" s="1"/>
    </row>
    <row r="841">
      <c r="A841" s="1"/>
      <c r="B841" s="1"/>
      <c r="C841" s="1"/>
      <c r="D841" s="1"/>
      <c r="E841" s="1"/>
      <c r="F841" s="1"/>
      <c r="G841" s="1"/>
      <c r="H841" s="1"/>
      <c r="I841" s="1"/>
      <c r="J841" s="5"/>
      <c r="K841" s="2"/>
      <c r="L841" s="1"/>
      <c r="M841" s="1"/>
      <c r="N841" s="1"/>
      <c r="O841" s="1"/>
      <c r="P841" s="1"/>
      <c r="Q841" s="1"/>
      <c r="R841" s="1"/>
      <c r="S841" s="1"/>
      <c r="T841" s="1"/>
      <c r="U841" s="1"/>
      <c r="V841" s="1"/>
      <c r="W841" s="1"/>
      <c r="X841" s="1"/>
      <c r="Y841" s="1"/>
      <c r="Z841" s="1"/>
      <c r="AA841" s="1"/>
      <c r="AB841" s="1"/>
      <c r="AC841" s="1"/>
      <c r="AD841" s="1"/>
      <c r="AE841" s="1"/>
      <c r="AF841" s="1"/>
      <c r="AG841" s="1"/>
      <c r="AH841" s="1"/>
    </row>
    <row r="842">
      <c r="A842" s="1"/>
      <c r="B842" s="1"/>
      <c r="C842" s="1"/>
      <c r="D842" s="1"/>
      <c r="E842" s="1"/>
      <c r="F842" s="1"/>
      <c r="G842" s="1"/>
      <c r="H842" s="1"/>
      <c r="I842" s="1"/>
      <c r="J842" s="5"/>
      <c r="K842" s="2"/>
      <c r="L842" s="1"/>
      <c r="M842" s="1"/>
      <c r="N842" s="1"/>
      <c r="O842" s="1"/>
      <c r="P842" s="1"/>
      <c r="Q842" s="1"/>
      <c r="R842" s="1"/>
      <c r="S842" s="1"/>
      <c r="T842" s="1"/>
      <c r="U842" s="1"/>
      <c r="V842" s="1"/>
      <c r="W842" s="1"/>
      <c r="X842" s="1"/>
      <c r="Y842" s="1"/>
      <c r="Z842" s="1"/>
      <c r="AA842" s="1"/>
      <c r="AB842" s="1"/>
      <c r="AC842" s="1"/>
      <c r="AD842" s="1"/>
      <c r="AE842" s="1"/>
      <c r="AF842" s="1"/>
      <c r="AG842" s="1"/>
      <c r="AH842" s="1"/>
    </row>
    <row r="843">
      <c r="A843" s="1"/>
      <c r="B843" s="1"/>
      <c r="C843" s="1"/>
      <c r="D843" s="1"/>
      <c r="E843" s="1"/>
      <c r="F843" s="1"/>
      <c r="G843" s="1"/>
      <c r="H843" s="1"/>
      <c r="I843" s="1"/>
      <c r="J843" s="5"/>
      <c r="K843" s="2"/>
      <c r="L843" s="1"/>
      <c r="M843" s="1"/>
      <c r="N843" s="1"/>
      <c r="O843" s="1"/>
      <c r="P843" s="1"/>
      <c r="Q843" s="1"/>
      <c r="R843" s="1"/>
      <c r="S843" s="1"/>
      <c r="T843" s="1"/>
      <c r="U843" s="1"/>
      <c r="V843" s="1"/>
      <c r="W843" s="1"/>
      <c r="X843" s="1"/>
      <c r="Y843" s="1"/>
      <c r="Z843" s="1"/>
      <c r="AA843" s="1"/>
      <c r="AB843" s="1"/>
      <c r="AC843" s="1"/>
      <c r="AD843" s="1"/>
      <c r="AE843" s="1"/>
      <c r="AF843" s="1"/>
      <c r="AG843" s="1"/>
      <c r="AH843" s="1"/>
    </row>
    <row r="844">
      <c r="A844" s="1"/>
      <c r="B844" s="1"/>
      <c r="C844" s="1"/>
      <c r="D844" s="1"/>
      <c r="E844" s="1"/>
      <c r="F844" s="1"/>
      <c r="G844" s="1"/>
      <c r="H844" s="1"/>
      <c r="I844" s="1"/>
      <c r="J844" s="5"/>
      <c r="K844" s="2"/>
      <c r="L844" s="1"/>
      <c r="M844" s="1"/>
      <c r="N844" s="1"/>
      <c r="O844" s="1"/>
      <c r="P844" s="1"/>
      <c r="Q844" s="1"/>
      <c r="R844" s="1"/>
      <c r="S844" s="1"/>
      <c r="T844" s="1"/>
      <c r="U844" s="1"/>
      <c r="V844" s="1"/>
      <c r="W844" s="1"/>
      <c r="X844" s="1"/>
      <c r="Y844" s="1"/>
      <c r="Z844" s="1"/>
      <c r="AA844" s="1"/>
      <c r="AB844" s="1"/>
      <c r="AC844" s="1"/>
      <c r="AD844" s="1"/>
      <c r="AE844" s="1"/>
      <c r="AF844" s="1"/>
      <c r="AG844" s="1"/>
      <c r="AH844" s="1"/>
    </row>
    <row r="845">
      <c r="A845" s="1"/>
      <c r="B845" s="1"/>
      <c r="C845" s="1"/>
      <c r="D845" s="1"/>
      <c r="E845" s="1"/>
      <c r="F845" s="1"/>
      <c r="G845" s="1"/>
      <c r="H845" s="1"/>
      <c r="I845" s="1"/>
      <c r="J845" s="5"/>
      <c r="K845" s="2"/>
      <c r="L845" s="1"/>
      <c r="M845" s="1"/>
      <c r="N845" s="1"/>
      <c r="O845" s="1"/>
      <c r="P845" s="1"/>
      <c r="Q845" s="1"/>
      <c r="R845" s="1"/>
      <c r="S845" s="1"/>
      <c r="T845" s="1"/>
      <c r="U845" s="1"/>
      <c r="V845" s="1"/>
      <c r="W845" s="1"/>
      <c r="X845" s="1"/>
      <c r="Y845" s="1"/>
      <c r="Z845" s="1"/>
      <c r="AA845" s="1"/>
      <c r="AB845" s="1"/>
      <c r="AC845" s="1"/>
      <c r="AD845" s="1"/>
      <c r="AE845" s="1"/>
      <c r="AF845" s="1"/>
      <c r="AG845" s="1"/>
      <c r="AH845" s="1"/>
    </row>
    <row r="846">
      <c r="A846" s="1"/>
      <c r="B846" s="1"/>
      <c r="C846" s="1"/>
      <c r="D846" s="1"/>
      <c r="E846" s="1"/>
      <c r="F846" s="1"/>
      <c r="G846" s="1"/>
      <c r="H846" s="1"/>
      <c r="I846" s="1"/>
      <c r="J846" s="5"/>
      <c r="K846" s="2"/>
      <c r="L846" s="1"/>
      <c r="M846" s="1"/>
      <c r="N846" s="1"/>
      <c r="O846" s="1"/>
      <c r="P846" s="1"/>
      <c r="Q846" s="1"/>
      <c r="R846" s="1"/>
      <c r="S846" s="1"/>
      <c r="T846" s="1"/>
      <c r="U846" s="1"/>
      <c r="V846" s="1"/>
      <c r="W846" s="1"/>
      <c r="X846" s="1"/>
      <c r="Y846" s="1"/>
      <c r="Z846" s="1"/>
      <c r="AA846" s="1"/>
      <c r="AB846" s="1"/>
      <c r="AC846" s="1"/>
      <c r="AD846" s="1"/>
      <c r="AE846" s="1"/>
      <c r="AF846" s="1"/>
      <c r="AG846" s="1"/>
      <c r="AH846" s="1"/>
    </row>
    <row r="847">
      <c r="A847" s="1"/>
      <c r="B847" s="1"/>
      <c r="C847" s="1"/>
      <c r="D847" s="1"/>
      <c r="E847" s="1"/>
      <c r="F847" s="1"/>
      <c r="G847" s="1"/>
      <c r="H847" s="1"/>
      <c r="I847" s="1"/>
      <c r="J847" s="5"/>
      <c r="K847" s="2"/>
      <c r="L847" s="1"/>
      <c r="M847" s="1"/>
      <c r="N847" s="1"/>
      <c r="O847" s="1"/>
      <c r="P847" s="1"/>
      <c r="Q847" s="1"/>
      <c r="R847" s="1"/>
      <c r="S847" s="1"/>
      <c r="T847" s="1"/>
      <c r="U847" s="1"/>
      <c r="V847" s="1"/>
      <c r="W847" s="1"/>
      <c r="X847" s="1"/>
      <c r="Y847" s="1"/>
      <c r="Z847" s="1"/>
      <c r="AA847" s="1"/>
      <c r="AB847" s="1"/>
      <c r="AC847" s="1"/>
      <c r="AD847" s="1"/>
      <c r="AE847" s="1"/>
      <c r="AF847" s="1"/>
      <c r="AG847" s="1"/>
      <c r="AH847" s="1"/>
    </row>
    <row r="848">
      <c r="A848" s="1"/>
      <c r="B848" s="1"/>
      <c r="C848" s="1"/>
      <c r="D848" s="1"/>
      <c r="E848" s="1"/>
      <c r="F848" s="1"/>
      <c r="G848" s="1"/>
      <c r="H848" s="1"/>
      <c r="I848" s="1"/>
      <c r="J848" s="5"/>
      <c r="K848" s="2"/>
      <c r="L848" s="1"/>
      <c r="M848" s="1"/>
      <c r="N848" s="1"/>
      <c r="O848" s="1"/>
      <c r="P848" s="1"/>
      <c r="Q848" s="1"/>
      <c r="R848" s="1"/>
      <c r="S848" s="1"/>
      <c r="T848" s="1"/>
      <c r="U848" s="1"/>
      <c r="V848" s="1"/>
      <c r="W848" s="1"/>
      <c r="X848" s="1"/>
      <c r="Y848" s="1"/>
      <c r="Z848" s="1"/>
      <c r="AA848" s="1"/>
      <c r="AB848" s="1"/>
      <c r="AC848" s="1"/>
      <c r="AD848" s="1"/>
      <c r="AE848" s="1"/>
      <c r="AF848" s="1"/>
      <c r="AG848" s="1"/>
      <c r="AH848" s="1"/>
    </row>
    <row r="849">
      <c r="A849" s="1"/>
      <c r="B849" s="1"/>
      <c r="C849" s="1"/>
      <c r="D849" s="1"/>
      <c r="E849" s="1"/>
      <c r="F849" s="1"/>
      <c r="G849" s="1"/>
      <c r="H849" s="1"/>
      <c r="I849" s="1"/>
      <c r="J849" s="5"/>
      <c r="K849" s="2"/>
      <c r="L849" s="1"/>
      <c r="M849" s="1"/>
      <c r="N849" s="1"/>
      <c r="O849" s="1"/>
      <c r="P849" s="1"/>
      <c r="Q849" s="1"/>
      <c r="R849" s="1"/>
      <c r="S849" s="1"/>
      <c r="T849" s="1"/>
      <c r="U849" s="1"/>
      <c r="V849" s="1"/>
      <c r="W849" s="1"/>
      <c r="X849" s="1"/>
      <c r="Y849" s="1"/>
      <c r="Z849" s="1"/>
      <c r="AA849" s="1"/>
      <c r="AB849" s="1"/>
      <c r="AC849" s="1"/>
      <c r="AD849" s="1"/>
      <c r="AE849" s="1"/>
      <c r="AF849" s="1"/>
      <c r="AG849" s="1"/>
      <c r="AH849" s="1"/>
    </row>
    <row r="850">
      <c r="A850" s="1"/>
      <c r="B850" s="1"/>
      <c r="C850" s="1"/>
      <c r="D850" s="1"/>
      <c r="E850" s="1"/>
      <c r="F850" s="1"/>
      <c r="G850" s="1"/>
      <c r="H850" s="1"/>
      <c r="I850" s="1"/>
      <c r="J850" s="5"/>
      <c r="K850" s="2"/>
      <c r="L850" s="1"/>
      <c r="M850" s="1"/>
      <c r="N850" s="1"/>
      <c r="O850" s="1"/>
      <c r="P850" s="1"/>
      <c r="Q850" s="1"/>
      <c r="R850" s="1"/>
      <c r="S850" s="1"/>
      <c r="T850" s="1"/>
      <c r="U850" s="1"/>
      <c r="V850" s="1"/>
      <c r="W850" s="1"/>
      <c r="X850" s="1"/>
      <c r="Y850" s="1"/>
      <c r="Z850" s="1"/>
      <c r="AA850" s="1"/>
      <c r="AB850" s="1"/>
      <c r="AC850" s="1"/>
      <c r="AD850" s="1"/>
      <c r="AE850" s="1"/>
      <c r="AF850" s="1"/>
      <c r="AG850" s="1"/>
      <c r="AH850" s="1"/>
    </row>
    <row r="851">
      <c r="A851" s="1"/>
      <c r="B851" s="1"/>
      <c r="C851" s="1"/>
      <c r="D851" s="1"/>
      <c r="E851" s="1"/>
      <c r="F851" s="1"/>
      <c r="G851" s="1"/>
      <c r="H851" s="1"/>
      <c r="I851" s="1"/>
      <c r="J851" s="5"/>
      <c r="K851" s="2"/>
      <c r="L851" s="1"/>
      <c r="M851" s="1"/>
      <c r="N851" s="1"/>
      <c r="O851" s="1"/>
      <c r="P851" s="1"/>
      <c r="Q851" s="1"/>
      <c r="R851" s="1"/>
      <c r="S851" s="1"/>
      <c r="T851" s="1"/>
      <c r="U851" s="1"/>
      <c r="V851" s="1"/>
      <c r="W851" s="1"/>
      <c r="X851" s="1"/>
      <c r="Y851" s="1"/>
      <c r="Z851" s="1"/>
      <c r="AA851" s="1"/>
      <c r="AB851" s="1"/>
      <c r="AC851" s="1"/>
      <c r="AD851" s="1"/>
      <c r="AE851" s="1"/>
      <c r="AF851" s="1"/>
      <c r="AG851" s="1"/>
      <c r="AH851" s="1"/>
    </row>
    <row r="852">
      <c r="A852" s="1"/>
      <c r="B852" s="1"/>
      <c r="C852" s="1"/>
      <c r="D852" s="1"/>
      <c r="E852" s="1"/>
      <c r="F852" s="1"/>
      <c r="G852" s="1"/>
      <c r="H852" s="1"/>
      <c r="I852" s="1"/>
      <c r="J852" s="5"/>
      <c r="K852" s="2"/>
      <c r="L852" s="1"/>
      <c r="M852" s="1"/>
      <c r="N852" s="1"/>
      <c r="O852" s="1"/>
      <c r="P852" s="1"/>
      <c r="Q852" s="1"/>
      <c r="R852" s="1"/>
      <c r="S852" s="1"/>
      <c r="T852" s="1"/>
      <c r="U852" s="1"/>
      <c r="V852" s="1"/>
      <c r="W852" s="1"/>
      <c r="X852" s="1"/>
      <c r="Y852" s="1"/>
      <c r="Z852" s="1"/>
      <c r="AA852" s="1"/>
      <c r="AB852" s="1"/>
      <c r="AC852" s="1"/>
      <c r="AD852" s="1"/>
      <c r="AE852" s="1"/>
      <c r="AF852" s="1"/>
      <c r="AG852" s="1"/>
      <c r="AH852" s="1"/>
    </row>
    <row r="853">
      <c r="A853" s="1"/>
      <c r="B853" s="1"/>
      <c r="C853" s="1"/>
      <c r="D853" s="1"/>
      <c r="E853" s="1"/>
      <c r="F853" s="1"/>
      <c r="G853" s="1"/>
      <c r="H853" s="1"/>
      <c r="I853" s="1"/>
      <c r="J853" s="5"/>
      <c r="K853" s="2"/>
      <c r="L853" s="1"/>
      <c r="M853" s="1"/>
      <c r="N853" s="1"/>
      <c r="O853" s="1"/>
      <c r="P853" s="1"/>
      <c r="Q853" s="1"/>
      <c r="R853" s="1"/>
      <c r="S853" s="1"/>
      <c r="T853" s="1"/>
      <c r="U853" s="1"/>
      <c r="V853" s="1"/>
      <c r="W853" s="1"/>
      <c r="X853" s="1"/>
      <c r="Y853" s="1"/>
      <c r="Z853" s="1"/>
      <c r="AA853" s="1"/>
      <c r="AB853" s="1"/>
      <c r="AC853" s="1"/>
      <c r="AD853" s="1"/>
      <c r="AE853" s="1"/>
      <c r="AF853" s="1"/>
      <c r="AG853" s="1"/>
      <c r="AH853" s="1"/>
    </row>
    <row r="854">
      <c r="A854" s="1"/>
      <c r="B854" s="1"/>
      <c r="C854" s="1"/>
      <c r="D854" s="1"/>
      <c r="E854" s="1"/>
      <c r="F854" s="1"/>
      <c r="G854" s="1"/>
      <c r="H854" s="1"/>
      <c r="I854" s="1"/>
      <c r="J854" s="5"/>
      <c r="K854" s="2"/>
      <c r="L854" s="1"/>
      <c r="M854" s="1"/>
      <c r="N854" s="1"/>
      <c r="O854" s="1"/>
      <c r="P854" s="1"/>
      <c r="Q854" s="1"/>
      <c r="R854" s="1"/>
      <c r="S854" s="1"/>
      <c r="T854" s="1"/>
      <c r="U854" s="1"/>
      <c r="V854" s="1"/>
      <c r="W854" s="1"/>
      <c r="X854" s="1"/>
      <c r="Y854" s="1"/>
      <c r="Z854" s="1"/>
      <c r="AA854" s="1"/>
      <c r="AB854" s="1"/>
      <c r="AC854" s="1"/>
      <c r="AD854" s="1"/>
      <c r="AE854" s="1"/>
      <c r="AF854" s="1"/>
      <c r="AG854" s="1"/>
      <c r="AH854" s="1"/>
    </row>
    <row r="855">
      <c r="A855" s="1"/>
      <c r="B855" s="1"/>
      <c r="C855" s="1"/>
      <c r="D855" s="1"/>
      <c r="E855" s="1"/>
      <c r="F855" s="1"/>
      <c r="G855" s="1"/>
      <c r="H855" s="1"/>
      <c r="I855" s="1"/>
      <c r="J855" s="5"/>
      <c r="K855" s="2"/>
      <c r="L855" s="1"/>
      <c r="M855" s="1"/>
      <c r="N855" s="1"/>
      <c r="O855" s="1"/>
      <c r="P855" s="1"/>
      <c r="Q855" s="1"/>
      <c r="R855" s="1"/>
      <c r="S855" s="1"/>
      <c r="T855" s="1"/>
      <c r="U855" s="1"/>
      <c r="V855" s="1"/>
      <c r="W855" s="1"/>
      <c r="X855" s="1"/>
      <c r="Y855" s="1"/>
      <c r="Z855" s="1"/>
      <c r="AA855" s="1"/>
      <c r="AB855" s="1"/>
      <c r="AC855" s="1"/>
      <c r="AD855" s="1"/>
      <c r="AE855" s="1"/>
      <c r="AF855" s="1"/>
      <c r="AG855" s="1"/>
      <c r="AH855" s="1"/>
    </row>
    <row r="856">
      <c r="A856" s="1"/>
      <c r="B856" s="1"/>
      <c r="C856" s="1"/>
      <c r="D856" s="1"/>
      <c r="E856" s="1"/>
      <c r="F856" s="1"/>
      <c r="G856" s="1"/>
      <c r="H856" s="1"/>
      <c r="I856" s="1"/>
      <c r="J856" s="5"/>
      <c r="K856" s="2"/>
      <c r="L856" s="1"/>
      <c r="M856" s="1"/>
      <c r="N856" s="1"/>
      <c r="O856" s="1"/>
      <c r="P856" s="1"/>
      <c r="Q856" s="1"/>
      <c r="R856" s="1"/>
      <c r="S856" s="1"/>
      <c r="T856" s="1"/>
      <c r="U856" s="1"/>
      <c r="V856" s="1"/>
      <c r="W856" s="1"/>
      <c r="X856" s="1"/>
      <c r="Y856" s="1"/>
      <c r="Z856" s="1"/>
      <c r="AA856" s="1"/>
      <c r="AB856" s="1"/>
      <c r="AC856" s="1"/>
      <c r="AD856" s="1"/>
      <c r="AE856" s="1"/>
      <c r="AF856" s="1"/>
      <c r="AG856" s="1"/>
      <c r="AH856" s="1"/>
    </row>
    <row r="857">
      <c r="A857" s="1"/>
      <c r="B857" s="1"/>
      <c r="C857" s="1"/>
      <c r="D857" s="1"/>
      <c r="E857" s="1"/>
      <c r="F857" s="1"/>
      <c r="G857" s="1"/>
      <c r="H857" s="1"/>
      <c r="I857" s="1"/>
      <c r="J857" s="5"/>
      <c r="K857" s="2"/>
      <c r="L857" s="1"/>
      <c r="M857" s="1"/>
      <c r="N857" s="1"/>
      <c r="O857" s="1"/>
      <c r="P857" s="1"/>
      <c r="Q857" s="1"/>
      <c r="R857" s="1"/>
      <c r="S857" s="1"/>
      <c r="T857" s="1"/>
      <c r="U857" s="1"/>
      <c r="V857" s="1"/>
      <c r="W857" s="1"/>
      <c r="X857" s="1"/>
      <c r="Y857" s="1"/>
      <c r="Z857" s="1"/>
      <c r="AA857" s="1"/>
      <c r="AB857" s="1"/>
      <c r="AC857" s="1"/>
      <c r="AD857" s="1"/>
      <c r="AE857" s="1"/>
      <c r="AF857" s="1"/>
      <c r="AG857" s="1"/>
      <c r="AH857" s="1"/>
    </row>
    <row r="858">
      <c r="A858" s="1"/>
      <c r="B858" s="1"/>
      <c r="C858" s="1"/>
      <c r="D858" s="1"/>
      <c r="E858" s="1"/>
      <c r="F858" s="1"/>
      <c r="G858" s="1"/>
      <c r="H858" s="1"/>
      <c r="I858" s="1"/>
      <c r="J858" s="5"/>
      <c r="K858" s="2"/>
      <c r="L858" s="1"/>
      <c r="M858" s="1"/>
      <c r="N858" s="1"/>
      <c r="O858" s="1"/>
      <c r="P858" s="1"/>
      <c r="Q858" s="1"/>
      <c r="R858" s="1"/>
      <c r="S858" s="1"/>
      <c r="T858" s="1"/>
      <c r="U858" s="1"/>
      <c r="V858" s="1"/>
      <c r="W858" s="1"/>
      <c r="X858" s="1"/>
      <c r="Y858" s="1"/>
      <c r="Z858" s="1"/>
      <c r="AA858" s="1"/>
      <c r="AB858" s="1"/>
      <c r="AC858" s="1"/>
      <c r="AD858" s="1"/>
      <c r="AE858" s="1"/>
      <c r="AF858" s="1"/>
      <c r="AG858" s="1"/>
      <c r="AH858" s="1"/>
    </row>
    <row r="859">
      <c r="A859" s="1"/>
      <c r="B859" s="1"/>
      <c r="C859" s="1"/>
      <c r="D859" s="1"/>
      <c r="E859" s="1"/>
      <c r="F859" s="1"/>
      <c r="G859" s="1"/>
      <c r="H859" s="1"/>
      <c r="I859" s="1"/>
      <c r="J859" s="5"/>
      <c r="K859" s="2"/>
      <c r="L859" s="1"/>
      <c r="M859" s="1"/>
      <c r="N859" s="1"/>
      <c r="O859" s="1"/>
      <c r="P859" s="1"/>
      <c r="Q859" s="1"/>
      <c r="R859" s="1"/>
      <c r="S859" s="1"/>
      <c r="T859" s="1"/>
      <c r="U859" s="1"/>
      <c r="V859" s="1"/>
      <c r="W859" s="1"/>
      <c r="X859" s="1"/>
      <c r="Y859" s="1"/>
      <c r="Z859" s="1"/>
      <c r="AA859" s="1"/>
      <c r="AB859" s="1"/>
      <c r="AC859" s="1"/>
      <c r="AD859" s="1"/>
      <c r="AE859" s="1"/>
      <c r="AF859" s="1"/>
      <c r="AG859" s="1"/>
      <c r="AH859" s="1"/>
    </row>
    <row r="860">
      <c r="A860" s="1"/>
      <c r="B860" s="1"/>
      <c r="C860" s="1"/>
      <c r="D860" s="1"/>
      <c r="E860" s="1"/>
      <c r="F860" s="1"/>
      <c r="G860" s="1"/>
      <c r="H860" s="1"/>
      <c r="I860" s="1"/>
      <c r="J860" s="5"/>
      <c r="K860" s="2"/>
      <c r="L860" s="1"/>
      <c r="M860" s="1"/>
      <c r="N860" s="1"/>
      <c r="O860" s="1"/>
      <c r="P860" s="1"/>
      <c r="Q860" s="1"/>
      <c r="R860" s="1"/>
      <c r="S860" s="1"/>
      <c r="T860" s="1"/>
      <c r="U860" s="1"/>
      <c r="V860" s="1"/>
      <c r="W860" s="1"/>
      <c r="X860" s="1"/>
      <c r="Y860" s="1"/>
      <c r="Z860" s="1"/>
      <c r="AA860" s="1"/>
      <c r="AB860" s="1"/>
      <c r="AC860" s="1"/>
      <c r="AD860" s="1"/>
      <c r="AE860" s="1"/>
      <c r="AF860" s="1"/>
      <c r="AG860" s="1"/>
      <c r="AH860" s="1"/>
    </row>
    <row r="861">
      <c r="A861" s="1"/>
      <c r="B861" s="1"/>
      <c r="C861" s="1"/>
      <c r="D861" s="1"/>
      <c r="E861" s="1"/>
      <c r="F861" s="1"/>
      <c r="G861" s="1"/>
      <c r="H861" s="1"/>
      <c r="I861" s="1"/>
      <c r="J861" s="5"/>
      <c r="K861" s="2"/>
      <c r="L861" s="1"/>
      <c r="M861" s="1"/>
      <c r="N861" s="1"/>
      <c r="O861" s="1"/>
      <c r="P861" s="1"/>
      <c r="Q861" s="1"/>
      <c r="R861" s="1"/>
      <c r="S861" s="1"/>
      <c r="T861" s="1"/>
      <c r="U861" s="1"/>
      <c r="V861" s="1"/>
      <c r="W861" s="1"/>
      <c r="X861" s="1"/>
      <c r="Y861" s="1"/>
      <c r="Z861" s="1"/>
      <c r="AA861" s="1"/>
      <c r="AB861" s="1"/>
      <c r="AC861" s="1"/>
      <c r="AD861" s="1"/>
      <c r="AE861" s="1"/>
      <c r="AF861" s="1"/>
      <c r="AG861" s="1"/>
      <c r="AH861" s="1"/>
    </row>
    <row r="862">
      <c r="A862" s="1"/>
      <c r="B862" s="1"/>
      <c r="C862" s="1"/>
      <c r="D862" s="1"/>
      <c r="E862" s="1"/>
      <c r="F862" s="1"/>
      <c r="G862" s="1"/>
      <c r="H862" s="1"/>
      <c r="I862" s="1"/>
      <c r="J862" s="5"/>
      <c r="K862" s="2"/>
      <c r="L862" s="1"/>
      <c r="M862" s="1"/>
      <c r="N862" s="1"/>
      <c r="O862" s="1"/>
      <c r="P862" s="1"/>
      <c r="Q862" s="1"/>
      <c r="R862" s="1"/>
      <c r="S862" s="1"/>
      <c r="T862" s="1"/>
      <c r="U862" s="1"/>
      <c r="V862" s="1"/>
      <c r="W862" s="1"/>
      <c r="X862" s="1"/>
      <c r="Y862" s="1"/>
      <c r="Z862" s="1"/>
      <c r="AA862" s="1"/>
      <c r="AB862" s="1"/>
      <c r="AC862" s="1"/>
      <c r="AD862" s="1"/>
      <c r="AE862" s="1"/>
      <c r="AF862" s="1"/>
      <c r="AG862" s="1"/>
      <c r="AH862" s="1"/>
    </row>
    <row r="863">
      <c r="A863" s="1"/>
      <c r="B863" s="1"/>
      <c r="C863" s="1"/>
      <c r="D863" s="1"/>
      <c r="E863" s="1"/>
      <c r="F863" s="1"/>
      <c r="G863" s="1"/>
      <c r="H863" s="1"/>
      <c r="I863" s="1"/>
      <c r="J863" s="5"/>
      <c r="K863" s="2"/>
      <c r="L863" s="1"/>
      <c r="M863" s="1"/>
      <c r="N863" s="1"/>
      <c r="O863" s="1"/>
      <c r="P863" s="1"/>
      <c r="Q863" s="1"/>
      <c r="R863" s="1"/>
      <c r="S863" s="1"/>
      <c r="T863" s="1"/>
      <c r="U863" s="1"/>
      <c r="V863" s="1"/>
      <c r="W863" s="1"/>
      <c r="X863" s="1"/>
      <c r="Y863" s="1"/>
      <c r="Z863" s="1"/>
      <c r="AA863" s="1"/>
      <c r="AB863" s="1"/>
      <c r="AC863" s="1"/>
      <c r="AD863" s="1"/>
      <c r="AE863" s="1"/>
      <c r="AF863" s="1"/>
      <c r="AG863" s="1"/>
      <c r="AH863" s="1"/>
    </row>
    <row r="864">
      <c r="A864" s="1"/>
      <c r="B864" s="1"/>
      <c r="C864" s="1"/>
      <c r="D864" s="1"/>
      <c r="E864" s="1"/>
      <c r="F864" s="1"/>
      <c r="G864" s="1"/>
      <c r="H864" s="1"/>
      <c r="I864" s="1"/>
      <c r="J864" s="5"/>
      <c r="K864" s="2"/>
      <c r="L864" s="1"/>
      <c r="M864" s="1"/>
      <c r="N864" s="1"/>
      <c r="O864" s="1"/>
      <c r="P864" s="1"/>
      <c r="Q864" s="1"/>
      <c r="R864" s="1"/>
      <c r="S864" s="1"/>
      <c r="T864" s="1"/>
      <c r="U864" s="1"/>
      <c r="V864" s="1"/>
      <c r="W864" s="1"/>
      <c r="X864" s="1"/>
      <c r="Y864" s="1"/>
      <c r="Z864" s="1"/>
      <c r="AA864" s="1"/>
      <c r="AB864" s="1"/>
      <c r="AC864" s="1"/>
      <c r="AD864" s="1"/>
      <c r="AE864" s="1"/>
      <c r="AF864" s="1"/>
      <c r="AG864" s="1"/>
      <c r="AH864" s="1"/>
    </row>
    <row r="865">
      <c r="A865" s="1"/>
      <c r="B865" s="1"/>
      <c r="C865" s="1"/>
      <c r="D865" s="1"/>
      <c r="E865" s="1"/>
      <c r="F865" s="1"/>
      <c r="G865" s="1"/>
      <c r="H865" s="1"/>
      <c r="I865" s="1"/>
      <c r="J865" s="5"/>
      <c r="K865" s="2"/>
      <c r="L865" s="1"/>
      <c r="M865" s="1"/>
      <c r="N865" s="1"/>
      <c r="O865" s="1"/>
      <c r="P865" s="1"/>
      <c r="Q865" s="1"/>
      <c r="R865" s="1"/>
      <c r="S865" s="1"/>
      <c r="T865" s="1"/>
      <c r="U865" s="1"/>
      <c r="V865" s="1"/>
      <c r="W865" s="1"/>
      <c r="X865" s="1"/>
      <c r="Y865" s="1"/>
      <c r="Z865" s="1"/>
      <c r="AA865" s="1"/>
      <c r="AB865" s="1"/>
      <c r="AC865" s="1"/>
      <c r="AD865" s="1"/>
      <c r="AE865" s="1"/>
      <c r="AF865" s="1"/>
      <c r="AG865" s="1"/>
      <c r="AH865" s="1"/>
    </row>
    <row r="866">
      <c r="A866" s="1"/>
      <c r="B866" s="1"/>
      <c r="C866" s="1"/>
      <c r="D866" s="1"/>
      <c r="E866" s="1"/>
      <c r="F866" s="1"/>
      <c r="G866" s="1"/>
      <c r="H866" s="1"/>
      <c r="I866" s="1"/>
      <c r="J866" s="5"/>
      <c r="K866" s="2"/>
      <c r="L866" s="1"/>
      <c r="M866" s="1"/>
      <c r="N866" s="1"/>
      <c r="O866" s="1"/>
      <c r="P866" s="1"/>
      <c r="Q866" s="1"/>
      <c r="R866" s="1"/>
      <c r="S866" s="1"/>
      <c r="T866" s="1"/>
      <c r="U866" s="1"/>
      <c r="V866" s="1"/>
      <c r="W866" s="1"/>
      <c r="X866" s="1"/>
      <c r="Y866" s="1"/>
      <c r="Z866" s="1"/>
      <c r="AA866" s="1"/>
      <c r="AB866" s="1"/>
      <c r="AC866" s="1"/>
      <c r="AD866" s="1"/>
      <c r="AE866" s="1"/>
      <c r="AF866" s="1"/>
      <c r="AG866" s="1"/>
      <c r="AH866" s="1"/>
    </row>
    <row r="867">
      <c r="A867" s="1"/>
      <c r="B867" s="1"/>
      <c r="C867" s="1"/>
      <c r="D867" s="1"/>
      <c r="E867" s="1"/>
      <c r="F867" s="1"/>
      <c r="G867" s="1"/>
      <c r="H867" s="1"/>
      <c r="I867" s="1"/>
      <c r="J867" s="5"/>
      <c r="K867" s="2"/>
      <c r="L867" s="1"/>
      <c r="M867" s="1"/>
      <c r="N867" s="1"/>
      <c r="O867" s="1"/>
      <c r="P867" s="1"/>
      <c r="Q867" s="1"/>
      <c r="R867" s="1"/>
      <c r="S867" s="1"/>
      <c r="T867" s="1"/>
      <c r="U867" s="1"/>
      <c r="V867" s="1"/>
      <c r="W867" s="1"/>
      <c r="X867" s="1"/>
      <c r="Y867" s="1"/>
      <c r="Z867" s="1"/>
      <c r="AA867" s="1"/>
      <c r="AB867" s="1"/>
      <c r="AC867" s="1"/>
      <c r="AD867" s="1"/>
      <c r="AE867" s="1"/>
      <c r="AF867" s="1"/>
      <c r="AG867" s="1"/>
      <c r="AH867" s="1"/>
    </row>
    <row r="868">
      <c r="A868" s="1"/>
      <c r="B868" s="1"/>
      <c r="C868" s="1"/>
      <c r="D868" s="1"/>
      <c r="E868" s="1"/>
      <c r="F868" s="1"/>
      <c r="G868" s="1"/>
      <c r="H868" s="1"/>
      <c r="I868" s="1"/>
      <c r="J868" s="5"/>
      <c r="K868" s="2"/>
      <c r="L868" s="1"/>
      <c r="M868" s="1"/>
      <c r="N868" s="1"/>
      <c r="O868" s="1"/>
      <c r="P868" s="1"/>
      <c r="Q868" s="1"/>
      <c r="R868" s="1"/>
      <c r="S868" s="1"/>
      <c r="T868" s="1"/>
      <c r="U868" s="1"/>
      <c r="V868" s="1"/>
      <c r="W868" s="1"/>
      <c r="X868" s="1"/>
      <c r="Y868" s="1"/>
      <c r="Z868" s="1"/>
      <c r="AA868" s="1"/>
      <c r="AB868" s="1"/>
      <c r="AC868" s="1"/>
      <c r="AD868" s="1"/>
      <c r="AE868" s="1"/>
      <c r="AF868" s="1"/>
      <c r="AG868" s="1"/>
      <c r="AH868" s="1"/>
    </row>
    <row r="869">
      <c r="A869" s="1"/>
      <c r="B869" s="1"/>
      <c r="C869" s="1"/>
      <c r="D869" s="1"/>
      <c r="E869" s="1"/>
      <c r="F869" s="1"/>
      <c r="G869" s="1"/>
      <c r="H869" s="1"/>
      <c r="I869" s="1"/>
      <c r="J869" s="5"/>
      <c r="K869" s="2"/>
      <c r="L869" s="1"/>
      <c r="M869" s="1"/>
      <c r="N869" s="1"/>
      <c r="O869" s="1"/>
      <c r="P869" s="1"/>
      <c r="Q869" s="1"/>
      <c r="R869" s="1"/>
      <c r="S869" s="1"/>
      <c r="T869" s="1"/>
      <c r="U869" s="1"/>
      <c r="V869" s="1"/>
      <c r="W869" s="1"/>
      <c r="X869" s="1"/>
      <c r="Y869" s="1"/>
      <c r="Z869" s="1"/>
      <c r="AA869" s="1"/>
      <c r="AB869" s="1"/>
      <c r="AC869" s="1"/>
      <c r="AD869" s="1"/>
      <c r="AE869" s="1"/>
      <c r="AF869" s="1"/>
      <c r="AG869" s="1"/>
      <c r="AH869" s="1"/>
    </row>
    <row r="870">
      <c r="A870" s="1"/>
      <c r="B870" s="1"/>
      <c r="C870" s="1"/>
      <c r="D870" s="1"/>
      <c r="E870" s="1"/>
      <c r="F870" s="1"/>
      <c r="G870" s="1"/>
      <c r="H870" s="1"/>
      <c r="I870" s="1"/>
      <c r="J870" s="5"/>
      <c r="K870" s="2"/>
      <c r="L870" s="1"/>
      <c r="M870" s="1"/>
      <c r="N870" s="1"/>
      <c r="O870" s="1"/>
      <c r="P870" s="1"/>
      <c r="Q870" s="1"/>
      <c r="R870" s="1"/>
      <c r="S870" s="1"/>
      <c r="T870" s="1"/>
      <c r="U870" s="1"/>
      <c r="V870" s="1"/>
      <c r="W870" s="1"/>
      <c r="X870" s="1"/>
      <c r="Y870" s="1"/>
      <c r="Z870" s="1"/>
      <c r="AA870" s="1"/>
      <c r="AB870" s="1"/>
      <c r="AC870" s="1"/>
      <c r="AD870" s="1"/>
      <c r="AE870" s="1"/>
      <c r="AF870" s="1"/>
      <c r="AG870" s="1"/>
      <c r="AH870" s="1"/>
    </row>
    <row r="871">
      <c r="A871" s="1"/>
      <c r="B871" s="1"/>
      <c r="C871" s="1"/>
      <c r="D871" s="1"/>
      <c r="E871" s="1"/>
      <c r="F871" s="1"/>
      <c r="G871" s="1"/>
      <c r="H871" s="1"/>
      <c r="I871" s="1"/>
      <c r="J871" s="5"/>
      <c r="K871" s="2"/>
      <c r="L871" s="1"/>
      <c r="M871" s="1"/>
      <c r="N871" s="1"/>
      <c r="O871" s="1"/>
      <c r="P871" s="1"/>
      <c r="Q871" s="1"/>
      <c r="R871" s="1"/>
      <c r="S871" s="1"/>
      <c r="T871" s="1"/>
      <c r="U871" s="1"/>
      <c r="V871" s="1"/>
      <c r="W871" s="1"/>
      <c r="X871" s="1"/>
      <c r="Y871" s="1"/>
      <c r="Z871" s="1"/>
      <c r="AA871" s="1"/>
      <c r="AB871" s="1"/>
      <c r="AC871" s="1"/>
      <c r="AD871" s="1"/>
      <c r="AE871" s="1"/>
      <c r="AF871" s="1"/>
      <c r="AG871" s="1"/>
      <c r="AH871" s="1"/>
    </row>
    <row r="872">
      <c r="A872" s="1"/>
      <c r="B872" s="1"/>
      <c r="C872" s="1"/>
      <c r="D872" s="1"/>
      <c r="E872" s="1"/>
      <c r="F872" s="1"/>
      <c r="G872" s="1"/>
      <c r="H872" s="1"/>
      <c r="I872" s="1"/>
      <c r="J872" s="5"/>
      <c r="K872" s="2"/>
      <c r="L872" s="1"/>
      <c r="M872" s="1"/>
      <c r="N872" s="1"/>
      <c r="O872" s="1"/>
      <c r="P872" s="1"/>
      <c r="Q872" s="1"/>
      <c r="R872" s="1"/>
      <c r="S872" s="1"/>
      <c r="T872" s="1"/>
      <c r="U872" s="1"/>
      <c r="V872" s="1"/>
      <c r="W872" s="1"/>
      <c r="X872" s="1"/>
      <c r="Y872" s="1"/>
      <c r="Z872" s="1"/>
      <c r="AA872" s="1"/>
      <c r="AB872" s="1"/>
      <c r="AC872" s="1"/>
      <c r="AD872" s="1"/>
      <c r="AE872" s="1"/>
      <c r="AF872" s="1"/>
      <c r="AG872" s="1"/>
      <c r="AH872" s="1"/>
    </row>
    <row r="873">
      <c r="A873" s="1"/>
      <c r="B873" s="1"/>
      <c r="C873" s="1"/>
      <c r="D873" s="1"/>
      <c r="E873" s="1"/>
      <c r="F873" s="1"/>
      <c r="G873" s="1"/>
      <c r="H873" s="1"/>
      <c r="I873" s="1"/>
      <c r="J873" s="5"/>
      <c r="K873" s="2"/>
      <c r="L873" s="1"/>
      <c r="M873" s="1"/>
      <c r="N873" s="1"/>
      <c r="O873" s="1"/>
      <c r="P873" s="1"/>
      <c r="Q873" s="1"/>
      <c r="R873" s="1"/>
      <c r="S873" s="1"/>
      <c r="T873" s="1"/>
      <c r="U873" s="1"/>
      <c r="V873" s="1"/>
      <c r="W873" s="1"/>
      <c r="X873" s="1"/>
      <c r="Y873" s="1"/>
      <c r="Z873" s="1"/>
      <c r="AA873" s="1"/>
      <c r="AB873" s="1"/>
      <c r="AC873" s="1"/>
      <c r="AD873" s="1"/>
      <c r="AE873" s="1"/>
      <c r="AF873" s="1"/>
      <c r="AG873" s="1"/>
      <c r="AH873" s="1"/>
    </row>
    <row r="874">
      <c r="A874" s="1"/>
      <c r="B874" s="1"/>
      <c r="C874" s="1"/>
      <c r="D874" s="1"/>
      <c r="E874" s="1"/>
      <c r="F874" s="1"/>
      <c r="G874" s="1"/>
      <c r="H874" s="1"/>
      <c r="I874" s="1"/>
      <c r="J874" s="5"/>
      <c r="K874" s="2"/>
      <c r="L874" s="1"/>
      <c r="M874" s="1"/>
      <c r="N874" s="1"/>
      <c r="O874" s="1"/>
      <c r="P874" s="1"/>
      <c r="Q874" s="1"/>
      <c r="R874" s="1"/>
      <c r="S874" s="1"/>
      <c r="T874" s="1"/>
      <c r="U874" s="1"/>
      <c r="V874" s="1"/>
      <c r="W874" s="1"/>
      <c r="X874" s="1"/>
      <c r="Y874" s="1"/>
      <c r="Z874" s="1"/>
      <c r="AA874" s="1"/>
      <c r="AB874" s="1"/>
      <c r="AC874" s="1"/>
      <c r="AD874" s="1"/>
      <c r="AE874" s="1"/>
      <c r="AF874" s="1"/>
      <c r="AG874" s="1"/>
      <c r="AH874" s="1"/>
    </row>
    <row r="875">
      <c r="A875" s="1"/>
      <c r="B875" s="1"/>
      <c r="C875" s="1"/>
      <c r="D875" s="1"/>
      <c r="E875" s="1"/>
      <c r="F875" s="1"/>
      <c r="G875" s="1"/>
      <c r="H875" s="1"/>
      <c r="I875" s="1"/>
      <c r="J875" s="5"/>
      <c r="K875" s="2"/>
      <c r="L875" s="1"/>
      <c r="M875" s="1"/>
      <c r="N875" s="1"/>
      <c r="O875" s="1"/>
      <c r="P875" s="1"/>
      <c r="Q875" s="1"/>
      <c r="R875" s="1"/>
      <c r="S875" s="1"/>
      <c r="T875" s="1"/>
      <c r="U875" s="1"/>
      <c r="V875" s="1"/>
      <c r="W875" s="1"/>
      <c r="X875" s="1"/>
      <c r="Y875" s="1"/>
      <c r="Z875" s="1"/>
      <c r="AA875" s="1"/>
      <c r="AB875" s="1"/>
      <c r="AC875" s="1"/>
      <c r="AD875" s="1"/>
      <c r="AE875" s="1"/>
      <c r="AF875" s="1"/>
      <c r="AG875" s="1"/>
      <c r="AH875" s="1"/>
    </row>
    <row r="876">
      <c r="A876" s="1"/>
      <c r="B876" s="1"/>
      <c r="C876" s="1"/>
      <c r="D876" s="1"/>
      <c r="E876" s="1"/>
      <c r="F876" s="1"/>
      <c r="G876" s="1"/>
      <c r="H876" s="1"/>
      <c r="I876" s="1"/>
      <c r="J876" s="5"/>
      <c r="K876" s="2"/>
      <c r="L876" s="1"/>
      <c r="M876" s="1"/>
      <c r="N876" s="1"/>
      <c r="O876" s="1"/>
      <c r="P876" s="1"/>
      <c r="Q876" s="1"/>
      <c r="R876" s="1"/>
      <c r="S876" s="1"/>
      <c r="T876" s="1"/>
      <c r="U876" s="1"/>
      <c r="V876" s="1"/>
      <c r="W876" s="1"/>
      <c r="X876" s="1"/>
      <c r="Y876" s="1"/>
      <c r="Z876" s="1"/>
      <c r="AA876" s="1"/>
      <c r="AB876" s="1"/>
      <c r="AC876" s="1"/>
      <c r="AD876" s="1"/>
      <c r="AE876" s="1"/>
      <c r="AF876" s="1"/>
      <c r="AG876" s="1"/>
      <c r="AH876" s="1"/>
    </row>
    <row r="877">
      <c r="A877" s="1"/>
      <c r="B877" s="1"/>
      <c r="C877" s="1"/>
      <c r="D877" s="1"/>
      <c r="E877" s="1"/>
      <c r="F877" s="1"/>
      <c r="G877" s="1"/>
      <c r="H877" s="1"/>
      <c r="I877" s="1"/>
      <c r="J877" s="5"/>
      <c r="K877" s="2"/>
      <c r="L877" s="1"/>
      <c r="M877" s="1"/>
      <c r="N877" s="1"/>
      <c r="O877" s="1"/>
      <c r="P877" s="1"/>
      <c r="Q877" s="1"/>
      <c r="R877" s="1"/>
      <c r="S877" s="1"/>
      <c r="T877" s="1"/>
      <c r="U877" s="1"/>
      <c r="V877" s="1"/>
      <c r="W877" s="1"/>
      <c r="X877" s="1"/>
      <c r="Y877" s="1"/>
      <c r="Z877" s="1"/>
      <c r="AA877" s="1"/>
      <c r="AB877" s="1"/>
      <c r="AC877" s="1"/>
      <c r="AD877" s="1"/>
      <c r="AE877" s="1"/>
      <c r="AF877" s="1"/>
      <c r="AG877" s="1"/>
      <c r="AH877" s="1"/>
    </row>
    <row r="878">
      <c r="A878" s="1"/>
      <c r="B878" s="1"/>
      <c r="C878" s="1"/>
      <c r="D878" s="1"/>
      <c r="E878" s="1"/>
      <c r="F878" s="1"/>
      <c r="G878" s="1"/>
      <c r="H878" s="1"/>
      <c r="I878" s="1"/>
      <c r="J878" s="5"/>
      <c r="K878" s="2"/>
      <c r="L878" s="1"/>
      <c r="M878" s="1"/>
      <c r="N878" s="1"/>
      <c r="O878" s="1"/>
      <c r="P878" s="1"/>
      <c r="Q878" s="1"/>
      <c r="R878" s="1"/>
      <c r="S878" s="1"/>
      <c r="T878" s="1"/>
      <c r="U878" s="1"/>
      <c r="V878" s="1"/>
      <c r="W878" s="1"/>
      <c r="X878" s="1"/>
      <c r="Y878" s="1"/>
      <c r="Z878" s="1"/>
      <c r="AA878" s="1"/>
      <c r="AB878" s="1"/>
      <c r="AC878" s="1"/>
      <c r="AD878" s="1"/>
      <c r="AE878" s="1"/>
      <c r="AF878" s="1"/>
      <c r="AG878" s="1"/>
      <c r="AH878" s="1"/>
    </row>
    <row r="879">
      <c r="A879" s="1"/>
      <c r="B879" s="1"/>
      <c r="C879" s="1"/>
      <c r="D879" s="1"/>
      <c r="E879" s="1"/>
      <c r="F879" s="1"/>
      <c r="G879" s="1"/>
      <c r="H879" s="1"/>
      <c r="I879" s="1"/>
      <c r="J879" s="5"/>
      <c r="K879" s="2"/>
      <c r="L879" s="1"/>
      <c r="M879" s="1"/>
      <c r="N879" s="1"/>
      <c r="O879" s="1"/>
      <c r="P879" s="1"/>
      <c r="Q879" s="1"/>
      <c r="R879" s="1"/>
      <c r="S879" s="1"/>
      <c r="T879" s="1"/>
      <c r="U879" s="1"/>
      <c r="V879" s="1"/>
      <c r="W879" s="1"/>
      <c r="X879" s="1"/>
      <c r="Y879" s="1"/>
      <c r="Z879" s="1"/>
      <c r="AA879" s="1"/>
      <c r="AB879" s="1"/>
      <c r="AC879" s="1"/>
      <c r="AD879" s="1"/>
      <c r="AE879" s="1"/>
      <c r="AF879" s="1"/>
      <c r="AG879" s="1"/>
      <c r="AH879" s="1"/>
    </row>
    <row r="880">
      <c r="A880" s="1"/>
      <c r="B880" s="1"/>
      <c r="C880" s="1"/>
      <c r="D880" s="1"/>
      <c r="E880" s="1"/>
      <c r="F880" s="1"/>
      <c r="G880" s="1"/>
      <c r="H880" s="1"/>
      <c r="I880" s="1"/>
      <c r="J880" s="5"/>
      <c r="K880" s="2"/>
      <c r="L880" s="1"/>
      <c r="M880" s="1"/>
      <c r="N880" s="1"/>
      <c r="O880" s="1"/>
      <c r="P880" s="1"/>
      <c r="Q880" s="1"/>
      <c r="R880" s="1"/>
      <c r="S880" s="1"/>
      <c r="T880" s="1"/>
      <c r="U880" s="1"/>
      <c r="V880" s="1"/>
      <c r="W880" s="1"/>
      <c r="X880" s="1"/>
      <c r="Y880" s="1"/>
      <c r="Z880" s="1"/>
      <c r="AA880" s="1"/>
      <c r="AB880" s="1"/>
      <c r="AC880" s="1"/>
      <c r="AD880" s="1"/>
      <c r="AE880" s="1"/>
      <c r="AF880" s="1"/>
      <c r="AG880" s="1"/>
      <c r="AH880" s="1"/>
    </row>
    <row r="881">
      <c r="A881" s="1"/>
      <c r="B881" s="1"/>
      <c r="C881" s="1"/>
      <c r="D881" s="1"/>
      <c r="E881" s="1"/>
      <c r="F881" s="1"/>
      <c r="G881" s="1"/>
      <c r="H881" s="1"/>
      <c r="I881" s="1"/>
      <c r="J881" s="5"/>
      <c r="K881" s="2"/>
      <c r="L881" s="1"/>
      <c r="M881" s="1"/>
      <c r="N881" s="1"/>
      <c r="O881" s="1"/>
      <c r="P881" s="1"/>
      <c r="Q881" s="1"/>
      <c r="R881" s="1"/>
      <c r="S881" s="1"/>
      <c r="T881" s="1"/>
      <c r="U881" s="1"/>
      <c r="V881" s="1"/>
      <c r="W881" s="1"/>
      <c r="X881" s="1"/>
      <c r="Y881" s="1"/>
      <c r="Z881" s="1"/>
      <c r="AA881" s="1"/>
      <c r="AB881" s="1"/>
      <c r="AC881" s="1"/>
      <c r="AD881" s="1"/>
      <c r="AE881" s="1"/>
      <c r="AF881" s="1"/>
      <c r="AG881" s="1"/>
      <c r="AH881" s="1"/>
    </row>
    <row r="882">
      <c r="A882" s="1"/>
      <c r="B882" s="1"/>
      <c r="C882" s="1"/>
      <c r="D882" s="1"/>
      <c r="E882" s="1"/>
      <c r="F882" s="1"/>
      <c r="G882" s="1"/>
      <c r="H882" s="1"/>
      <c r="I882" s="1"/>
      <c r="J882" s="5"/>
      <c r="K882" s="2"/>
      <c r="L882" s="1"/>
      <c r="M882" s="1"/>
      <c r="N882" s="1"/>
      <c r="O882" s="1"/>
      <c r="P882" s="1"/>
      <c r="Q882" s="1"/>
      <c r="R882" s="1"/>
      <c r="S882" s="1"/>
      <c r="T882" s="1"/>
      <c r="U882" s="1"/>
      <c r="V882" s="1"/>
      <c r="W882" s="1"/>
      <c r="X882" s="1"/>
      <c r="Y882" s="1"/>
      <c r="Z882" s="1"/>
      <c r="AA882" s="1"/>
      <c r="AB882" s="1"/>
      <c r="AC882" s="1"/>
      <c r="AD882" s="1"/>
      <c r="AE882" s="1"/>
      <c r="AF882" s="1"/>
      <c r="AG882" s="1"/>
      <c r="AH882" s="1"/>
    </row>
    <row r="883">
      <c r="A883" s="1"/>
      <c r="B883" s="1"/>
      <c r="C883" s="1"/>
      <c r="D883" s="1"/>
      <c r="E883" s="1"/>
      <c r="F883" s="1"/>
      <c r="G883" s="1"/>
      <c r="H883" s="1"/>
      <c r="I883" s="1"/>
      <c r="J883" s="5"/>
      <c r="K883" s="2"/>
      <c r="L883" s="1"/>
      <c r="M883" s="1"/>
      <c r="N883" s="1"/>
      <c r="O883" s="1"/>
      <c r="P883" s="1"/>
      <c r="Q883" s="1"/>
      <c r="R883" s="1"/>
      <c r="S883" s="1"/>
      <c r="T883" s="1"/>
      <c r="U883" s="1"/>
      <c r="V883" s="1"/>
      <c r="W883" s="1"/>
      <c r="X883" s="1"/>
      <c r="Y883" s="1"/>
      <c r="Z883" s="1"/>
      <c r="AA883" s="1"/>
      <c r="AB883" s="1"/>
      <c r="AC883" s="1"/>
      <c r="AD883" s="1"/>
      <c r="AE883" s="1"/>
      <c r="AF883" s="1"/>
      <c r="AG883" s="1"/>
      <c r="AH883" s="1"/>
    </row>
    <row r="884">
      <c r="A884" s="1"/>
      <c r="B884" s="1"/>
      <c r="C884" s="1"/>
      <c r="D884" s="1"/>
      <c r="E884" s="1"/>
      <c r="F884" s="1"/>
      <c r="G884" s="1"/>
      <c r="H884" s="1"/>
      <c r="I884" s="1"/>
      <c r="J884" s="5"/>
      <c r="K884" s="2"/>
      <c r="L884" s="1"/>
      <c r="M884" s="1"/>
      <c r="N884" s="1"/>
      <c r="O884" s="1"/>
      <c r="P884" s="1"/>
      <c r="Q884" s="1"/>
      <c r="R884" s="1"/>
      <c r="S884" s="1"/>
      <c r="T884" s="1"/>
      <c r="U884" s="1"/>
      <c r="V884" s="1"/>
      <c r="W884" s="1"/>
      <c r="X884" s="1"/>
      <c r="Y884" s="1"/>
      <c r="Z884" s="1"/>
      <c r="AA884" s="1"/>
      <c r="AB884" s="1"/>
      <c r="AC884" s="1"/>
      <c r="AD884" s="1"/>
      <c r="AE884" s="1"/>
      <c r="AF884" s="1"/>
      <c r="AG884" s="1"/>
      <c r="AH884" s="1"/>
    </row>
    <row r="885">
      <c r="A885" s="1"/>
      <c r="B885" s="1"/>
      <c r="C885" s="1"/>
      <c r="D885" s="1"/>
      <c r="E885" s="1"/>
      <c r="F885" s="1"/>
      <c r="G885" s="1"/>
      <c r="H885" s="1"/>
      <c r="I885" s="1"/>
      <c r="J885" s="5"/>
      <c r="K885" s="2"/>
      <c r="L885" s="1"/>
      <c r="M885" s="1"/>
      <c r="N885" s="1"/>
      <c r="O885" s="1"/>
      <c r="P885" s="1"/>
      <c r="Q885" s="1"/>
      <c r="R885" s="1"/>
      <c r="S885" s="1"/>
      <c r="T885" s="1"/>
      <c r="U885" s="1"/>
      <c r="V885" s="1"/>
      <c r="W885" s="1"/>
      <c r="X885" s="1"/>
      <c r="Y885" s="1"/>
      <c r="Z885" s="1"/>
      <c r="AA885" s="1"/>
      <c r="AB885" s="1"/>
      <c r="AC885" s="1"/>
      <c r="AD885" s="1"/>
      <c r="AE885" s="1"/>
      <c r="AF885" s="1"/>
      <c r="AG885" s="1"/>
      <c r="AH885" s="1"/>
    </row>
    <row r="886">
      <c r="A886" s="1"/>
      <c r="B886" s="1"/>
      <c r="C886" s="1"/>
      <c r="D886" s="1"/>
      <c r="E886" s="1"/>
      <c r="F886" s="1"/>
      <c r="G886" s="1"/>
      <c r="H886" s="1"/>
      <c r="I886" s="1"/>
      <c r="J886" s="5"/>
      <c r="K886" s="2"/>
      <c r="L886" s="1"/>
      <c r="M886" s="1"/>
      <c r="N886" s="1"/>
      <c r="O886" s="1"/>
      <c r="P886" s="1"/>
      <c r="Q886" s="1"/>
      <c r="R886" s="1"/>
      <c r="S886" s="1"/>
      <c r="T886" s="1"/>
      <c r="U886" s="1"/>
      <c r="V886" s="1"/>
      <c r="W886" s="1"/>
      <c r="X886" s="1"/>
      <c r="Y886" s="1"/>
      <c r="Z886" s="1"/>
      <c r="AA886" s="1"/>
      <c r="AB886" s="1"/>
      <c r="AC886" s="1"/>
      <c r="AD886" s="1"/>
      <c r="AE886" s="1"/>
      <c r="AF886" s="1"/>
      <c r="AG886" s="1"/>
      <c r="AH886" s="1"/>
    </row>
    <row r="887">
      <c r="A887" s="1"/>
      <c r="B887" s="1"/>
      <c r="C887" s="1"/>
      <c r="D887" s="1"/>
      <c r="E887" s="1"/>
      <c r="F887" s="1"/>
      <c r="G887" s="1"/>
      <c r="H887" s="1"/>
      <c r="I887" s="1"/>
      <c r="J887" s="5"/>
      <c r="K887" s="2"/>
      <c r="L887" s="1"/>
      <c r="M887" s="1"/>
      <c r="N887" s="1"/>
      <c r="O887" s="1"/>
      <c r="P887" s="1"/>
      <c r="Q887" s="1"/>
      <c r="R887" s="1"/>
      <c r="S887" s="1"/>
      <c r="T887" s="1"/>
      <c r="U887" s="1"/>
      <c r="V887" s="1"/>
      <c r="W887" s="1"/>
      <c r="X887" s="1"/>
      <c r="Y887" s="1"/>
      <c r="Z887" s="1"/>
      <c r="AA887" s="1"/>
      <c r="AB887" s="1"/>
      <c r="AC887" s="1"/>
      <c r="AD887" s="1"/>
      <c r="AE887" s="1"/>
      <c r="AF887" s="1"/>
      <c r="AG887" s="1"/>
      <c r="AH887" s="1"/>
    </row>
    <row r="888">
      <c r="A888" s="1"/>
      <c r="B888" s="1"/>
      <c r="C888" s="1"/>
      <c r="D888" s="1"/>
      <c r="E888" s="1"/>
      <c r="F888" s="1"/>
      <c r="G888" s="1"/>
      <c r="H888" s="1"/>
      <c r="I888" s="1"/>
      <c r="J888" s="5"/>
      <c r="K888" s="2"/>
      <c r="L888" s="1"/>
      <c r="M888" s="1"/>
      <c r="N888" s="1"/>
      <c r="O888" s="1"/>
      <c r="P888" s="1"/>
      <c r="Q888" s="1"/>
      <c r="R888" s="1"/>
      <c r="S888" s="1"/>
      <c r="T888" s="1"/>
      <c r="U888" s="1"/>
      <c r="V888" s="1"/>
      <c r="W888" s="1"/>
      <c r="X888" s="1"/>
      <c r="Y888" s="1"/>
      <c r="Z888" s="1"/>
      <c r="AA888" s="1"/>
      <c r="AB888" s="1"/>
      <c r="AC888" s="1"/>
      <c r="AD888" s="1"/>
      <c r="AE888" s="1"/>
      <c r="AF888" s="1"/>
      <c r="AG888" s="1"/>
      <c r="AH888" s="1"/>
    </row>
    <row r="889">
      <c r="A889" s="1"/>
      <c r="B889" s="1"/>
      <c r="C889" s="1"/>
      <c r="D889" s="1"/>
      <c r="E889" s="1"/>
      <c r="F889" s="1"/>
      <c r="G889" s="1"/>
      <c r="H889" s="1"/>
      <c r="I889" s="1"/>
      <c r="J889" s="5"/>
      <c r="K889" s="2"/>
      <c r="L889" s="1"/>
      <c r="M889" s="1"/>
      <c r="N889" s="1"/>
      <c r="O889" s="1"/>
      <c r="P889" s="1"/>
      <c r="Q889" s="1"/>
      <c r="R889" s="1"/>
      <c r="S889" s="1"/>
      <c r="T889" s="1"/>
      <c r="U889" s="1"/>
      <c r="V889" s="1"/>
      <c r="W889" s="1"/>
      <c r="X889" s="1"/>
      <c r="Y889" s="1"/>
      <c r="Z889" s="1"/>
      <c r="AA889" s="1"/>
      <c r="AB889" s="1"/>
      <c r="AC889" s="1"/>
      <c r="AD889" s="1"/>
      <c r="AE889" s="1"/>
      <c r="AF889" s="1"/>
      <c r="AG889" s="1"/>
      <c r="AH889" s="1"/>
    </row>
    <row r="890">
      <c r="A890" s="1"/>
      <c r="B890" s="1"/>
      <c r="C890" s="1"/>
      <c r="D890" s="1"/>
      <c r="E890" s="1"/>
      <c r="F890" s="1"/>
      <c r="G890" s="1"/>
      <c r="H890" s="1"/>
      <c r="I890" s="1"/>
      <c r="J890" s="5"/>
      <c r="K890" s="2"/>
      <c r="L890" s="1"/>
      <c r="M890" s="1"/>
      <c r="N890" s="1"/>
      <c r="O890" s="1"/>
      <c r="P890" s="1"/>
      <c r="Q890" s="1"/>
      <c r="R890" s="1"/>
      <c r="S890" s="1"/>
      <c r="T890" s="1"/>
      <c r="U890" s="1"/>
      <c r="V890" s="1"/>
      <c r="W890" s="1"/>
      <c r="X890" s="1"/>
      <c r="Y890" s="1"/>
      <c r="Z890" s="1"/>
      <c r="AA890" s="1"/>
      <c r="AB890" s="1"/>
      <c r="AC890" s="1"/>
      <c r="AD890" s="1"/>
      <c r="AE890" s="1"/>
      <c r="AF890" s="1"/>
      <c r="AG890" s="1"/>
      <c r="AH890" s="1"/>
    </row>
    <row r="891">
      <c r="A891" s="1"/>
      <c r="B891" s="1"/>
      <c r="C891" s="1"/>
      <c r="D891" s="1"/>
      <c r="E891" s="1"/>
      <c r="F891" s="1"/>
      <c r="G891" s="1"/>
      <c r="H891" s="1"/>
      <c r="I891" s="1"/>
      <c r="J891" s="5"/>
      <c r="K891" s="2"/>
      <c r="L891" s="1"/>
      <c r="M891" s="1"/>
      <c r="N891" s="1"/>
      <c r="O891" s="1"/>
      <c r="P891" s="1"/>
      <c r="Q891" s="1"/>
      <c r="R891" s="1"/>
      <c r="S891" s="1"/>
      <c r="T891" s="1"/>
      <c r="U891" s="1"/>
      <c r="V891" s="1"/>
      <c r="W891" s="1"/>
      <c r="X891" s="1"/>
      <c r="Y891" s="1"/>
      <c r="Z891" s="1"/>
      <c r="AA891" s="1"/>
      <c r="AB891" s="1"/>
      <c r="AC891" s="1"/>
      <c r="AD891" s="1"/>
      <c r="AE891" s="1"/>
      <c r="AF891" s="1"/>
      <c r="AG891" s="1"/>
      <c r="AH891" s="1"/>
    </row>
    <row r="892">
      <c r="A892" s="1"/>
      <c r="B892" s="1"/>
      <c r="C892" s="1"/>
      <c r="D892" s="1"/>
      <c r="E892" s="1"/>
      <c r="F892" s="1"/>
      <c r="G892" s="1"/>
      <c r="H892" s="1"/>
      <c r="I892" s="1"/>
      <c r="J892" s="5"/>
      <c r="K892" s="2"/>
      <c r="L892" s="1"/>
      <c r="M892" s="1"/>
      <c r="N892" s="1"/>
      <c r="O892" s="1"/>
      <c r="P892" s="1"/>
      <c r="Q892" s="1"/>
      <c r="R892" s="1"/>
      <c r="S892" s="1"/>
      <c r="T892" s="1"/>
      <c r="U892" s="1"/>
      <c r="V892" s="1"/>
      <c r="W892" s="1"/>
      <c r="X892" s="1"/>
      <c r="Y892" s="1"/>
      <c r="Z892" s="1"/>
      <c r="AA892" s="1"/>
      <c r="AB892" s="1"/>
      <c r="AC892" s="1"/>
      <c r="AD892" s="1"/>
      <c r="AE892" s="1"/>
      <c r="AF892" s="1"/>
      <c r="AG892" s="1"/>
      <c r="AH892" s="1"/>
    </row>
    <row r="893">
      <c r="A893" s="1"/>
      <c r="B893" s="1"/>
      <c r="C893" s="1"/>
      <c r="D893" s="1"/>
      <c r="E893" s="1"/>
      <c r="F893" s="1"/>
      <c r="G893" s="1"/>
      <c r="H893" s="1"/>
      <c r="I893" s="1"/>
      <c r="J893" s="5"/>
      <c r="K893" s="2"/>
      <c r="L893" s="1"/>
      <c r="M893" s="1"/>
      <c r="N893" s="1"/>
      <c r="O893" s="1"/>
      <c r="P893" s="1"/>
      <c r="Q893" s="1"/>
      <c r="R893" s="1"/>
      <c r="S893" s="1"/>
      <c r="T893" s="1"/>
      <c r="U893" s="1"/>
      <c r="V893" s="1"/>
      <c r="W893" s="1"/>
      <c r="X893" s="1"/>
      <c r="Y893" s="1"/>
      <c r="Z893" s="1"/>
      <c r="AA893" s="1"/>
      <c r="AB893" s="1"/>
      <c r="AC893" s="1"/>
      <c r="AD893" s="1"/>
      <c r="AE893" s="1"/>
      <c r="AF893" s="1"/>
      <c r="AG893" s="1"/>
      <c r="AH893" s="1"/>
    </row>
    <row r="894">
      <c r="A894" s="1"/>
      <c r="B894" s="1"/>
      <c r="C894" s="1"/>
      <c r="D894" s="1"/>
      <c r="E894" s="1"/>
      <c r="F894" s="1"/>
      <c r="G894" s="1"/>
      <c r="H894" s="1"/>
      <c r="I894" s="1"/>
      <c r="J894" s="5"/>
      <c r="K894" s="2"/>
      <c r="L894" s="1"/>
      <c r="M894" s="1"/>
      <c r="N894" s="1"/>
      <c r="O894" s="1"/>
      <c r="P894" s="1"/>
      <c r="Q894" s="1"/>
      <c r="R894" s="1"/>
      <c r="S894" s="1"/>
      <c r="T894" s="1"/>
      <c r="U894" s="1"/>
      <c r="V894" s="1"/>
      <c r="W894" s="1"/>
      <c r="X894" s="1"/>
      <c r="Y894" s="1"/>
      <c r="Z894" s="1"/>
      <c r="AA894" s="1"/>
      <c r="AB894" s="1"/>
      <c r="AC894" s="1"/>
      <c r="AD894" s="1"/>
      <c r="AE894" s="1"/>
      <c r="AF894" s="1"/>
      <c r="AG894" s="1"/>
      <c r="AH894" s="1"/>
    </row>
    <row r="895">
      <c r="A895" s="1"/>
      <c r="B895" s="1"/>
      <c r="C895" s="1"/>
      <c r="D895" s="1"/>
      <c r="E895" s="1"/>
      <c r="F895" s="1"/>
      <c r="G895" s="1"/>
      <c r="H895" s="1"/>
      <c r="I895" s="1"/>
      <c r="J895" s="5"/>
      <c r="K895" s="2"/>
      <c r="L895" s="1"/>
      <c r="M895" s="1"/>
      <c r="N895" s="1"/>
      <c r="O895" s="1"/>
      <c r="P895" s="1"/>
      <c r="Q895" s="1"/>
      <c r="R895" s="1"/>
      <c r="S895" s="1"/>
      <c r="T895" s="1"/>
      <c r="U895" s="1"/>
      <c r="V895" s="1"/>
      <c r="W895" s="1"/>
      <c r="X895" s="1"/>
      <c r="Y895" s="1"/>
      <c r="Z895" s="1"/>
      <c r="AA895" s="1"/>
      <c r="AB895" s="1"/>
      <c r="AC895" s="1"/>
      <c r="AD895" s="1"/>
      <c r="AE895" s="1"/>
      <c r="AF895" s="1"/>
      <c r="AG895" s="1"/>
      <c r="AH895" s="1"/>
    </row>
    <row r="896">
      <c r="A896" s="1"/>
      <c r="B896" s="1"/>
      <c r="C896" s="1"/>
      <c r="D896" s="1"/>
      <c r="E896" s="1"/>
      <c r="F896" s="1"/>
      <c r="G896" s="1"/>
      <c r="H896" s="1"/>
      <c r="I896" s="1"/>
      <c r="J896" s="5"/>
      <c r="K896" s="2"/>
      <c r="L896" s="1"/>
      <c r="M896" s="1"/>
      <c r="N896" s="1"/>
      <c r="O896" s="1"/>
      <c r="P896" s="1"/>
      <c r="Q896" s="1"/>
      <c r="R896" s="1"/>
      <c r="S896" s="1"/>
      <c r="T896" s="1"/>
      <c r="U896" s="1"/>
      <c r="V896" s="1"/>
      <c r="W896" s="1"/>
      <c r="X896" s="1"/>
      <c r="Y896" s="1"/>
      <c r="Z896" s="1"/>
      <c r="AA896" s="1"/>
      <c r="AB896" s="1"/>
      <c r="AC896" s="1"/>
      <c r="AD896" s="1"/>
      <c r="AE896" s="1"/>
      <c r="AF896" s="1"/>
      <c r="AG896" s="1"/>
      <c r="AH896" s="1"/>
    </row>
    <row r="897">
      <c r="A897" s="1"/>
      <c r="B897" s="1"/>
      <c r="C897" s="1"/>
      <c r="D897" s="1"/>
      <c r="E897" s="1"/>
      <c r="F897" s="1"/>
      <c r="G897" s="1"/>
      <c r="H897" s="1"/>
      <c r="I897" s="1"/>
      <c r="J897" s="5"/>
      <c r="K897" s="2"/>
      <c r="L897" s="1"/>
      <c r="M897" s="1"/>
      <c r="N897" s="1"/>
      <c r="O897" s="1"/>
      <c r="P897" s="1"/>
      <c r="Q897" s="1"/>
      <c r="R897" s="1"/>
      <c r="S897" s="1"/>
      <c r="T897" s="1"/>
      <c r="U897" s="1"/>
      <c r="V897" s="1"/>
      <c r="W897" s="1"/>
      <c r="X897" s="1"/>
      <c r="Y897" s="1"/>
      <c r="Z897" s="1"/>
      <c r="AA897" s="1"/>
      <c r="AB897" s="1"/>
      <c r="AC897" s="1"/>
      <c r="AD897" s="1"/>
      <c r="AE897" s="1"/>
      <c r="AF897" s="1"/>
      <c r="AG897" s="1"/>
      <c r="AH897" s="1"/>
    </row>
    <row r="898">
      <c r="A898" s="1"/>
      <c r="B898" s="1"/>
      <c r="C898" s="1"/>
      <c r="D898" s="1"/>
      <c r="E898" s="1"/>
      <c r="F898" s="1"/>
      <c r="G898" s="1"/>
      <c r="H898" s="1"/>
      <c r="I898" s="1"/>
      <c r="J898" s="5"/>
      <c r="K898" s="2"/>
      <c r="L898" s="1"/>
      <c r="M898" s="1"/>
      <c r="N898" s="1"/>
      <c r="O898" s="1"/>
      <c r="P898" s="1"/>
      <c r="Q898" s="1"/>
      <c r="R898" s="1"/>
      <c r="S898" s="1"/>
      <c r="T898" s="1"/>
      <c r="U898" s="1"/>
      <c r="V898" s="1"/>
      <c r="W898" s="1"/>
      <c r="X898" s="1"/>
      <c r="Y898" s="1"/>
      <c r="Z898" s="1"/>
      <c r="AA898" s="1"/>
      <c r="AB898" s="1"/>
      <c r="AC898" s="1"/>
      <c r="AD898" s="1"/>
      <c r="AE898" s="1"/>
      <c r="AF898" s="1"/>
      <c r="AG898" s="1"/>
      <c r="AH898" s="1"/>
    </row>
    <row r="899">
      <c r="A899" s="1"/>
      <c r="B899" s="1"/>
      <c r="C899" s="1"/>
      <c r="D899" s="1"/>
      <c r="E899" s="1"/>
      <c r="F899" s="1"/>
      <c r="G899" s="1"/>
      <c r="H899" s="1"/>
      <c r="I899" s="1"/>
      <c r="J899" s="5"/>
      <c r="K899" s="2"/>
      <c r="L899" s="1"/>
      <c r="M899" s="1"/>
      <c r="N899" s="1"/>
      <c r="O899" s="1"/>
      <c r="P899" s="1"/>
      <c r="Q899" s="1"/>
      <c r="R899" s="1"/>
      <c r="S899" s="1"/>
      <c r="T899" s="1"/>
      <c r="U899" s="1"/>
      <c r="V899" s="1"/>
      <c r="W899" s="1"/>
      <c r="X899" s="1"/>
      <c r="Y899" s="1"/>
      <c r="Z899" s="1"/>
      <c r="AA899" s="1"/>
      <c r="AB899" s="1"/>
      <c r="AC899" s="1"/>
      <c r="AD899" s="1"/>
      <c r="AE899" s="1"/>
      <c r="AF899" s="1"/>
      <c r="AG899" s="1"/>
      <c r="AH899" s="1"/>
    </row>
    <row r="900">
      <c r="A900" s="1"/>
      <c r="B900" s="1"/>
      <c r="C900" s="1"/>
      <c r="D900" s="1"/>
      <c r="E900" s="1"/>
      <c r="F900" s="1"/>
      <c r="G900" s="1"/>
      <c r="H900" s="1"/>
      <c r="I900" s="1"/>
      <c r="J900" s="5"/>
      <c r="K900" s="2"/>
      <c r="L900" s="1"/>
      <c r="M900" s="1"/>
      <c r="N900" s="1"/>
      <c r="O900" s="1"/>
      <c r="P900" s="1"/>
      <c r="Q900" s="1"/>
      <c r="R900" s="1"/>
      <c r="S900" s="1"/>
      <c r="T900" s="1"/>
      <c r="U900" s="1"/>
      <c r="V900" s="1"/>
      <c r="W900" s="1"/>
      <c r="X900" s="1"/>
      <c r="Y900" s="1"/>
      <c r="Z900" s="1"/>
      <c r="AA900" s="1"/>
      <c r="AB900" s="1"/>
      <c r="AC900" s="1"/>
      <c r="AD900" s="1"/>
      <c r="AE900" s="1"/>
      <c r="AF900" s="1"/>
      <c r="AG900" s="1"/>
      <c r="AH900" s="1"/>
    </row>
    <row r="901">
      <c r="A901" s="1"/>
      <c r="B901" s="1"/>
      <c r="C901" s="1"/>
      <c r="D901" s="1"/>
      <c r="E901" s="1"/>
      <c r="F901" s="1"/>
      <c r="G901" s="1"/>
      <c r="H901" s="1"/>
      <c r="I901" s="1"/>
      <c r="J901" s="5"/>
      <c r="K901" s="2"/>
      <c r="L901" s="1"/>
      <c r="M901" s="1"/>
      <c r="N901" s="1"/>
      <c r="O901" s="1"/>
      <c r="P901" s="1"/>
      <c r="Q901" s="1"/>
      <c r="R901" s="1"/>
      <c r="S901" s="1"/>
      <c r="T901" s="1"/>
      <c r="U901" s="1"/>
      <c r="V901" s="1"/>
      <c r="W901" s="1"/>
      <c r="X901" s="1"/>
      <c r="Y901" s="1"/>
      <c r="Z901" s="1"/>
      <c r="AA901" s="1"/>
      <c r="AB901" s="1"/>
      <c r="AC901" s="1"/>
      <c r="AD901" s="1"/>
      <c r="AE901" s="1"/>
      <c r="AF901" s="1"/>
      <c r="AG901" s="1"/>
      <c r="AH901" s="1"/>
    </row>
    <row r="902">
      <c r="A902" s="1"/>
      <c r="B902" s="1"/>
      <c r="C902" s="1"/>
      <c r="D902" s="1"/>
      <c r="E902" s="1"/>
      <c r="F902" s="1"/>
      <c r="G902" s="1"/>
      <c r="H902" s="1"/>
      <c r="I902" s="1"/>
      <c r="J902" s="5"/>
      <c r="K902" s="2"/>
      <c r="L902" s="1"/>
      <c r="M902" s="1"/>
      <c r="N902" s="1"/>
      <c r="O902" s="1"/>
      <c r="P902" s="1"/>
      <c r="Q902" s="1"/>
      <c r="R902" s="1"/>
      <c r="S902" s="1"/>
      <c r="T902" s="1"/>
      <c r="U902" s="1"/>
      <c r="V902" s="1"/>
      <c r="W902" s="1"/>
      <c r="X902" s="1"/>
      <c r="Y902" s="1"/>
      <c r="Z902" s="1"/>
      <c r="AA902" s="1"/>
      <c r="AB902" s="1"/>
      <c r="AC902" s="1"/>
      <c r="AD902" s="1"/>
      <c r="AE902" s="1"/>
      <c r="AF902" s="1"/>
      <c r="AG902" s="1"/>
      <c r="AH902" s="1"/>
    </row>
    <row r="903">
      <c r="A903" s="1"/>
      <c r="B903" s="1"/>
      <c r="C903" s="1"/>
      <c r="D903" s="1"/>
      <c r="E903" s="1"/>
      <c r="F903" s="1"/>
      <c r="G903" s="1"/>
      <c r="H903" s="1"/>
      <c r="I903" s="1"/>
      <c r="J903" s="5"/>
      <c r="K903" s="2"/>
      <c r="L903" s="1"/>
      <c r="M903" s="1"/>
      <c r="N903" s="1"/>
      <c r="O903" s="1"/>
      <c r="P903" s="1"/>
      <c r="Q903" s="1"/>
      <c r="R903" s="1"/>
      <c r="S903" s="1"/>
      <c r="T903" s="1"/>
      <c r="U903" s="1"/>
      <c r="V903" s="1"/>
      <c r="W903" s="1"/>
      <c r="X903" s="1"/>
      <c r="Y903" s="1"/>
      <c r="Z903" s="1"/>
      <c r="AA903" s="1"/>
      <c r="AB903" s="1"/>
      <c r="AC903" s="1"/>
      <c r="AD903" s="1"/>
      <c r="AE903" s="1"/>
      <c r="AF903" s="1"/>
      <c r="AG903" s="1"/>
      <c r="AH903" s="1"/>
    </row>
    <row r="904">
      <c r="A904" s="1"/>
      <c r="B904" s="1"/>
      <c r="C904" s="1"/>
      <c r="D904" s="1"/>
      <c r="E904" s="1"/>
      <c r="F904" s="1"/>
      <c r="G904" s="1"/>
      <c r="H904" s="1"/>
      <c r="I904" s="1"/>
      <c r="J904" s="5"/>
      <c r="K904" s="2"/>
      <c r="L904" s="1"/>
      <c r="M904" s="1"/>
      <c r="N904" s="1"/>
      <c r="O904" s="1"/>
      <c r="P904" s="1"/>
      <c r="Q904" s="1"/>
      <c r="R904" s="1"/>
      <c r="S904" s="1"/>
      <c r="T904" s="1"/>
      <c r="U904" s="1"/>
      <c r="V904" s="1"/>
      <c r="W904" s="1"/>
      <c r="X904" s="1"/>
      <c r="Y904" s="1"/>
      <c r="Z904" s="1"/>
      <c r="AA904" s="1"/>
      <c r="AB904" s="1"/>
      <c r="AC904" s="1"/>
      <c r="AD904" s="1"/>
      <c r="AE904" s="1"/>
      <c r="AF904" s="1"/>
      <c r="AG904" s="1"/>
      <c r="AH904" s="1"/>
    </row>
    <row r="905">
      <c r="A905" s="1"/>
      <c r="B905" s="1"/>
      <c r="C905" s="1"/>
      <c r="D905" s="1"/>
      <c r="E905" s="1"/>
      <c r="F905" s="1"/>
      <c r="G905" s="1"/>
      <c r="H905" s="1"/>
      <c r="I905" s="1"/>
      <c r="J905" s="5"/>
      <c r="K905" s="2"/>
      <c r="L905" s="1"/>
      <c r="M905" s="1"/>
      <c r="N905" s="1"/>
      <c r="O905" s="1"/>
      <c r="P905" s="1"/>
      <c r="Q905" s="1"/>
      <c r="R905" s="1"/>
      <c r="S905" s="1"/>
      <c r="T905" s="1"/>
      <c r="U905" s="1"/>
      <c r="V905" s="1"/>
      <c r="W905" s="1"/>
      <c r="X905" s="1"/>
      <c r="Y905" s="1"/>
      <c r="Z905" s="1"/>
      <c r="AA905" s="1"/>
      <c r="AB905" s="1"/>
      <c r="AC905" s="1"/>
      <c r="AD905" s="1"/>
      <c r="AE905" s="1"/>
      <c r="AF905" s="1"/>
      <c r="AG905" s="1"/>
      <c r="AH905" s="1"/>
    </row>
    <row r="906">
      <c r="A906" s="1"/>
      <c r="B906" s="1"/>
      <c r="C906" s="1"/>
      <c r="D906" s="1"/>
      <c r="E906" s="1"/>
      <c r="F906" s="1"/>
      <c r="G906" s="1"/>
      <c r="H906" s="1"/>
      <c r="I906" s="1"/>
      <c r="J906" s="5"/>
      <c r="K906" s="2"/>
      <c r="L906" s="1"/>
      <c r="M906" s="1"/>
      <c r="N906" s="1"/>
      <c r="O906" s="1"/>
      <c r="P906" s="1"/>
      <c r="Q906" s="1"/>
      <c r="R906" s="1"/>
      <c r="S906" s="1"/>
      <c r="T906" s="1"/>
      <c r="U906" s="1"/>
      <c r="V906" s="1"/>
      <c r="W906" s="1"/>
      <c r="X906" s="1"/>
      <c r="Y906" s="1"/>
      <c r="Z906" s="1"/>
      <c r="AA906" s="1"/>
      <c r="AB906" s="1"/>
      <c r="AC906" s="1"/>
      <c r="AD906" s="1"/>
      <c r="AE906" s="1"/>
      <c r="AF906" s="1"/>
      <c r="AG906" s="1"/>
      <c r="AH906" s="1"/>
    </row>
    <row r="907">
      <c r="A907" s="1"/>
      <c r="B907" s="1"/>
      <c r="C907" s="1"/>
      <c r="D907" s="1"/>
      <c r="E907" s="1"/>
      <c r="F907" s="1"/>
      <c r="G907" s="1"/>
      <c r="H907" s="1"/>
      <c r="I907" s="1"/>
      <c r="J907" s="5"/>
      <c r="K907" s="2"/>
      <c r="L907" s="1"/>
      <c r="M907" s="1"/>
      <c r="N907" s="1"/>
      <c r="O907" s="1"/>
      <c r="P907" s="1"/>
      <c r="Q907" s="1"/>
      <c r="R907" s="1"/>
      <c r="S907" s="1"/>
      <c r="T907" s="1"/>
      <c r="U907" s="1"/>
      <c r="V907" s="1"/>
      <c r="W907" s="1"/>
      <c r="X907" s="1"/>
      <c r="Y907" s="1"/>
      <c r="Z907" s="1"/>
      <c r="AA907" s="1"/>
      <c r="AB907" s="1"/>
      <c r="AC907" s="1"/>
      <c r="AD907" s="1"/>
      <c r="AE907" s="1"/>
      <c r="AF907" s="1"/>
      <c r="AG907" s="1"/>
      <c r="AH907" s="1"/>
    </row>
    <row r="908">
      <c r="A908" s="1"/>
      <c r="B908" s="1"/>
      <c r="C908" s="1"/>
      <c r="D908" s="1"/>
      <c r="E908" s="1"/>
      <c r="F908" s="1"/>
      <c r="G908" s="1"/>
      <c r="H908" s="1"/>
      <c r="I908" s="1"/>
      <c r="J908" s="5"/>
      <c r="K908" s="2"/>
      <c r="L908" s="1"/>
      <c r="M908" s="1"/>
      <c r="N908" s="1"/>
      <c r="O908" s="1"/>
      <c r="P908" s="1"/>
      <c r="Q908" s="1"/>
      <c r="R908" s="1"/>
      <c r="S908" s="1"/>
      <c r="T908" s="1"/>
      <c r="U908" s="1"/>
      <c r="V908" s="1"/>
      <c r="W908" s="1"/>
      <c r="X908" s="1"/>
      <c r="Y908" s="1"/>
      <c r="Z908" s="1"/>
      <c r="AA908" s="1"/>
      <c r="AB908" s="1"/>
      <c r="AC908" s="1"/>
      <c r="AD908" s="1"/>
      <c r="AE908" s="1"/>
      <c r="AF908" s="1"/>
      <c r="AG908" s="1"/>
      <c r="AH908" s="1"/>
    </row>
    <row r="909">
      <c r="A909" s="1"/>
      <c r="B909" s="1"/>
      <c r="C909" s="1"/>
      <c r="D909" s="1"/>
      <c r="E909" s="1"/>
      <c r="F909" s="1"/>
      <c r="G909" s="1"/>
      <c r="H909" s="1"/>
      <c r="I909" s="1"/>
      <c r="J909" s="5"/>
      <c r="K909" s="2"/>
      <c r="L909" s="1"/>
      <c r="M909" s="1"/>
      <c r="N909" s="1"/>
      <c r="O909" s="1"/>
      <c r="P909" s="1"/>
      <c r="Q909" s="1"/>
      <c r="R909" s="1"/>
      <c r="S909" s="1"/>
      <c r="T909" s="1"/>
      <c r="U909" s="1"/>
      <c r="V909" s="1"/>
      <c r="W909" s="1"/>
      <c r="X909" s="1"/>
      <c r="Y909" s="1"/>
      <c r="Z909" s="1"/>
      <c r="AA909" s="1"/>
      <c r="AB909" s="1"/>
      <c r="AC909" s="1"/>
      <c r="AD909" s="1"/>
      <c r="AE909" s="1"/>
      <c r="AF909" s="1"/>
      <c r="AG909" s="1"/>
      <c r="AH909" s="1"/>
    </row>
    <row r="910">
      <c r="A910" s="1"/>
      <c r="B910" s="1"/>
      <c r="C910" s="1"/>
      <c r="D910" s="1"/>
      <c r="E910" s="1"/>
      <c r="F910" s="1"/>
      <c r="G910" s="1"/>
      <c r="H910" s="1"/>
      <c r="I910" s="1"/>
      <c r="J910" s="5"/>
      <c r="K910" s="2"/>
      <c r="L910" s="1"/>
      <c r="M910" s="1"/>
      <c r="N910" s="1"/>
      <c r="O910" s="1"/>
      <c r="P910" s="1"/>
      <c r="Q910" s="1"/>
      <c r="R910" s="1"/>
      <c r="S910" s="1"/>
      <c r="T910" s="1"/>
      <c r="U910" s="1"/>
      <c r="V910" s="1"/>
      <c r="W910" s="1"/>
      <c r="X910" s="1"/>
      <c r="Y910" s="1"/>
      <c r="Z910" s="1"/>
      <c r="AA910" s="1"/>
      <c r="AB910" s="1"/>
      <c r="AC910" s="1"/>
      <c r="AD910" s="1"/>
      <c r="AE910" s="1"/>
      <c r="AF910" s="1"/>
      <c r="AG910" s="1"/>
      <c r="AH910" s="1"/>
    </row>
    <row r="911">
      <c r="A911" s="1"/>
      <c r="B911" s="1"/>
      <c r="C911" s="1"/>
      <c r="D911" s="1"/>
      <c r="E911" s="1"/>
      <c r="F911" s="1"/>
      <c r="G911" s="1"/>
      <c r="H911" s="1"/>
      <c r="I911" s="1"/>
      <c r="J911" s="5"/>
      <c r="K911" s="2"/>
      <c r="L911" s="1"/>
      <c r="M911" s="1"/>
      <c r="N911" s="1"/>
      <c r="O911" s="1"/>
      <c r="P911" s="1"/>
      <c r="Q911" s="1"/>
      <c r="R911" s="1"/>
      <c r="S911" s="1"/>
      <c r="T911" s="1"/>
      <c r="U911" s="1"/>
      <c r="V911" s="1"/>
      <c r="W911" s="1"/>
      <c r="X911" s="1"/>
      <c r="Y911" s="1"/>
      <c r="Z911" s="1"/>
      <c r="AA911" s="1"/>
      <c r="AB911" s="1"/>
      <c r="AC911" s="1"/>
      <c r="AD911" s="1"/>
      <c r="AE911" s="1"/>
      <c r="AF911" s="1"/>
      <c r="AG911" s="1"/>
      <c r="AH911" s="1"/>
    </row>
    <row r="912">
      <c r="A912" s="1"/>
      <c r="B912" s="1"/>
      <c r="C912" s="1"/>
      <c r="D912" s="1"/>
      <c r="E912" s="1"/>
      <c r="F912" s="1"/>
      <c r="G912" s="1"/>
      <c r="H912" s="1"/>
      <c r="I912" s="1"/>
      <c r="J912" s="5"/>
      <c r="K912" s="2"/>
      <c r="L912" s="1"/>
      <c r="M912" s="1"/>
      <c r="N912" s="1"/>
      <c r="O912" s="1"/>
      <c r="P912" s="1"/>
      <c r="Q912" s="1"/>
      <c r="R912" s="1"/>
      <c r="S912" s="1"/>
      <c r="T912" s="1"/>
      <c r="U912" s="1"/>
      <c r="V912" s="1"/>
      <c r="W912" s="1"/>
      <c r="X912" s="1"/>
      <c r="Y912" s="1"/>
      <c r="Z912" s="1"/>
      <c r="AA912" s="1"/>
      <c r="AB912" s="1"/>
      <c r="AC912" s="1"/>
      <c r="AD912" s="1"/>
      <c r="AE912" s="1"/>
      <c r="AF912" s="1"/>
      <c r="AG912" s="1"/>
      <c r="AH912" s="1"/>
    </row>
    <row r="913">
      <c r="A913" s="1"/>
      <c r="B913" s="1"/>
      <c r="C913" s="1"/>
      <c r="D913" s="1"/>
      <c r="E913" s="1"/>
      <c r="F913" s="1"/>
      <c r="G913" s="1"/>
      <c r="H913" s="1"/>
      <c r="I913" s="1"/>
      <c r="J913" s="5"/>
      <c r="K913" s="2"/>
      <c r="L913" s="1"/>
      <c r="M913" s="1"/>
      <c r="N913" s="1"/>
      <c r="O913" s="1"/>
      <c r="P913" s="1"/>
      <c r="Q913" s="1"/>
      <c r="R913" s="1"/>
      <c r="S913" s="1"/>
      <c r="T913" s="1"/>
      <c r="U913" s="1"/>
      <c r="V913" s="1"/>
      <c r="W913" s="1"/>
      <c r="X913" s="1"/>
      <c r="Y913" s="1"/>
      <c r="Z913" s="1"/>
      <c r="AA913" s="1"/>
      <c r="AB913" s="1"/>
      <c r="AC913" s="1"/>
      <c r="AD913" s="1"/>
      <c r="AE913" s="1"/>
      <c r="AF913" s="1"/>
      <c r="AG913" s="1"/>
      <c r="AH913" s="1"/>
    </row>
    <row r="914">
      <c r="A914" s="1"/>
      <c r="B914" s="1"/>
      <c r="C914" s="1"/>
      <c r="D914" s="1"/>
      <c r="E914" s="1"/>
      <c r="F914" s="1"/>
      <c r="G914" s="1"/>
      <c r="H914" s="1"/>
      <c r="I914" s="1"/>
      <c r="J914" s="5"/>
      <c r="K914" s="2"/>
      <c r="L914" s="1"/>
      <c r="M914" s="1"/>
      <c r="N914" s="1"/>
      <c r="O914" s="1"/>
      <c r="P914" s="1"/>
      <c r="Q914" s="1"/>
      <c r="R914" s="1"/>
      <c r="S914" s="1"/>
      <c r="T914" s="1"/>
      <c r="U914" s="1"/>
      <c r="V914" s="1"/>
      <c r="W914" s="1"/>
      <c r="X914" s="1"/>
      <c r="Y914" s="1"/>
      <c r="Z914" s="1"/>
      <c r="AA914" s="1"/>
      <c r="AB914" s="1"/>
      <c r="AC914" s="1"/>
      <c r="AD914" s="1"/>
      <c r="AE914" s="1"/>
      <c r="AF914" s="1"/>
      <c r="AG914" s="1"/>
      <c r="AH914" s="1"/>
    </row>
    <row r="915">
      <c r="A915" s="1"/>
      <c r="B915" s="1"/>
      <c r="C915" s="1"/>
      <c r="D915" s="1"/>
      <c r="E915" s="1"/>
      <c r="F915" s="1"/>
      <c r="G915" s="1"/>
      <c r="H915" s="1"/>
      <c r="I915" s="1"/>
      <c r="J915" s="5"/>
      <c r="K915" s="2"/>
      <c r="L915" s="1"/>
      <c r="M915" s="1"/>
      <c r="N915" s="1"/>
      <c r="O915" s="1"/>
      <c r="P915" s="1"/>
      <c r="Q915" s="1"/>
      <c r="R915" s="1"/>
      <c r="S915" s="1"/>
      <c r="T915" s="1"/>
      <c r="U915" s="1"/>
      <c r="V915" s="1"/>
      <c r="W915" s="1"/>
      <c r="X915" s="1"/>
      <c r="Y915" s="1"/>
      <c r="Z915" s="1"/>
      <c r="AA915" s="1"/>
      <c r="AB915" s="1"/>
      <c r="AC915" s="1"/>
      <c r="AD915" s="1"/>
      <c r="AE915" s="1"/>
      <c r="AF915" s="1"/>
      <c r="AG915" s="1"/>
      <c r="AH915" s="1"/>
    </row>
    <row r="916">
      <c r="A916" s="1"/>
      <c r="B916" s="1"/>
      <c r="C916" s="1"/>
      <c r="D916" s="1"/>
      <c r="E916" s="1"/>
      <c r="F916" s="1"/>
      <c r="G916" s="1"/>
      <c r="H916" s="1"/>
      <c r="I916" s="1"/>
      <c r="J916" s="5"/>
      <c r="K916" s="2"/>
      <c r="L916" s="1"/>
      <c r="M916" s="1"/>
      <c r="N916" s="1"/>
      <c r="O916" s="1"/>
      <c r="P916" s="1"/>
      <c r="Q916" s="1"/>
      <c r="R916" s="1"/>
      <c r="S916" s="1"/>
      <c r="T916" s="1"/>
      <c r="U916" s="1"/>
      <c r="V916" s="1"/>
      <c r="W916" s="1"/>
      <c r="X916" s="1"/>
      <c r="Y916" s="1"/>
      <c r="Z916" s="1"/>
      <c r="AA916" s="1"/>
      <c r="AB916" s="1"/>
      <c r="AC916" s="1"/>
      <c r="AD916" s="1"/>
      <c r="AE916" s="1"/>
      <c r="AF916" s="1"/>
      <c r="AG916" s="1"/>
      <c r="AH916" s="1"/>
    </row>
    <row r="917">
      <c r="A917" s="1"/>
      <c r="B917" s="1"/>
      <c r="C917" s="1"/>
      <c r="D917" s="1"/>
      <c r="E917" s="1"/>
      <c r="F917" s="1"/>
      <c r="G917" s="1"/>
      <c r="H917" s="1"/>
      <c r="I917" s="1"/>
      <c r="J917" s="5"/>
      <c r="K917" s="2"/>
      <c r="L917" s="1"/>
      <c r="M917" s="1"/>
      <c r="N917" s="1"/>
      <c r="O917" s="1"/>
      <c r="P917" s="1"/>
      <c r="Q917" s="1"/>
      <c r="R917" s="1"/>
      <c r="S917" s="1"/>
      <c r="T917" s="1"/>
      <c r="U917" s="1"/>
      <c r="V917" s="1"/>
      <c r="W917" s="1"/>
      <c r="X917" s="1"/>
      <c r="Y917" s="1"/>
      <c r="Z917" s="1"/>
      <c r="AA917" s="1"/>
      <c r="AB917" s="1"/>
      <c r="AC917" s="1"/>
      <c r="AD917" s="1"/>
      <c r="AE917" s="1"/>
      <c r="AF917" s="1"/>
      <c r="AG917" s="1"/>
      <c r="AH917" s="1"/>
    </row>
    <row r="918">
      <c r="A918" s="1"/>
      <c r="B918" s="1"/>
      <c r="C918" s="1"/>
      <c r="D918" s="1"/>
      <c r="E918" s="1"/>
      <c r="F918" s="1"/>
      <c r="G918" s="1"/>
      <c r="H918" s="1"/>
      <c r="I918" s="1"/>
      <c r="J918" s="5"/>
      <c r="K918" s="2"/>
      <c r="L918" s="1"/>
      <c r="M918" s="1"/>
      <c r="N918" s="1"/>
      <c r="O918" s="1"/>
      <c r="P918" s="1"/>
      <c r="Q918" s="1"/>
      <c r="R918" s="1"/>
      <c r="S918" s="1"/>
      <c r="T918" s="1"/>
      <c r="U918" s="1"/>
      <c r="V918" s="1"/>
      <c r="W918" s="1"/>
      <c r="X918" s="1"/>
      <c r="Y918" s="1"/>
      <c r="Z918" s="1"/>
      <c r="AA918" s="1"/>
      <c r="AB918" s="1"/>
      <c r="AC918" s="1"/>
      <c r="AD918" s="1"/>
      <c r="AE918" s="1"/>
      <c r="AF918" s="1"/>
      <c r="AG918" s="1"/>
      <c r="AH918" s="1"/>
    </row>
    <row r="919">
      <c r="A919" s="1"/>
      <c r="B919" s="1"/>
      <c r="C919" s="1"/>
      <c r="D919" s="1"/>
      <c r="E919" s="1"/>
      <c r="F919" s="1"/>
      <c r="G919" s="1"/>
      <c r="H919" s="1"/>
      <c r="I919" s="1"/>
      <c r="J919" s="5"/>
      <c r="K919" s="2"/>
      <c r="L919" s="1"/>
      <c r="M919" s="1"/>
      <c r="N919" s="1"/>
      <c r="O919" s="1"/>
      <c r="P919" s="1"/>
      <c r="Q919" s="1"/>
      <c r="R919" s="1"/>
      <c r="S919" s="1"/>
      <c r="T919" s="1"/>
      <c r="U919" s="1"/>
      <c r="V919" s="1"/>
      <c r="W919" s="1"/>
      <c r="X919" s="1"/>
      <c r="Y919" s="1"/>
      <c r="Z919" s="1"/>
      <c r="AA919" s="1"/>
      <c r="AB919" s="1"/>
      <c r="AC919" s="1"/>
      <c r="AD919" s="1"/>
      <c r="AE919" s="1"/>
      <c r="AF919" s="1"/>
      <c r="AG919" s="1"/>
      <c r="AH919" s="1"/>
    </row>
    <row r="920">
      <c r="A920" s="1"/>
      <c r="B920" s="1"/>
      <c r="C920" s="1"/>
      <c r="D920" s="1"/>
      <c r="E920" s="1"/>
      <c r="F920" s="1"/>
      <c r="G920" s="1"/>
      <c r="H920" s="1"/>
      <c r="I920" s="1"/>
      <c r="J920" s="5"/>
      <c r="K920" s="2"/>
      <c r="L920" s="1"/>
      <c r="M920" s="1"/>
      <c r="N920" s="1"/>
      <c r="O920" s="1"/>
      <c r="P920" s="1"/>
      <c r="Q920" s="1"/>
      <c r="R920" s="1"/>
      <c r="S920" s="1"/>
      <c r="T920" s="1"/>
      <c r="U920" s="1"/>
      <c r="V920" s="1"/>
      <c r="W920" s="1"/>
      <c r="X920" s="1"/>
      <c r="Y920" s="1"/>
      <c r="Z920" s="1"/>
      <c r="AA920" s="1"/>
      <c r="AB920" s="1"/>
      <c r="AC920" s="1"/>
      <c r="AD920" s="1"/>
      <c r="AE920" s="1"/>
      <c r="AF920" s="1"/>
      <c r="AG920" s="1"/>
      <c r="AH920" s="1"/>
    </row>
    <row r="921">
      <c r="A921" s="1"/>
      <c r="B921" s="1"/>
      <c r="C921" s="1"/>
      <c r="D921" s="1"/>
      <c r="E921" s="1"/>
      <c r="F921" s="1"/>
      <c r="G921" s="1"/>
      <c r="H921" s="1"/>
      <c r="I921" s="1"/>
      <c r="J921" s="5"/>
      <c r="K921" s="2"/>
      <c r="L921" s="1"/>
      <c r="M921" s="1"/>
      <c r="N921" s="1"/>
      <c r="O921" s="1"/>
      <c r="P921" s="1"/>
      <c r="Q921" s="1"/>
      <c r="R921" s="1"/>
      <c r="S921" s="1"/>
      <c r="T921" s="1"/>
      <c r="U921" s="1"/>
      <c r="V921" s="1"/>
      <c r="W921" s="1"/>
      <c r="X921" s="1"/>
      <c r="Y921" s="1"/>
      <c r="Z921" s="1"/>
      <c r="AA921" s="1"/>
      <c r="AB921" s="1"/>
      <c r="AC921" s="1"/>
      <c r="AD921" s="1"/>
      <c r="AE921" s="1"/>
      <c r="AF921" s="1"/>
      <c r="AG921" s="1"/>
      <c r="AH921" s="1"/>
    </row>
    <row r="922">
      <c r="A922" s="1"/>
      <c r="B922" s="1"/>
      <c r="C922" s="1"/>
      <c r="D922" s="1"/>
      <c r="E922" s="1"/>
      <c r="F922" s="1"/>
      <c r="G922" s="1"/>
      <c r="H922" s="1"/>
      <c r="I922" s="1"/>
      <c r="J922" s="5"/>
      <c r="K922" s="2"/>
      <c r="L922" s="1"/>
      <c r="M922" s="1"/>
      <c r="N922" s="1"/>
      <c r="O922" s="1"/>
      <c r="P922" s="1"/>
      <c r="Q922" s="1"/>
      <c r="R922" s="1"/>
      <c r="S922" s="1"/>
      <c r="T922" s="1"/>
      <c r="U922" s="1"/>
      <c r="V922" s="1"/>
      <c r="W922" s="1"/>
      <c r="X922" s="1"/>
      <c r="Y922" s="1"/>
      <c r="Z922" s="1"/>
      <c r="AA922" s="1"/>
      <c r="AB922" s="1"/>
      <c r="AC922" s="1"/>
      <c r="AD922" s="1"/>
      <c r="AE922" s="1"/>
      <c r="AF922" s="1"/>
      <c r="AG922" s="1"/>
      <c r="AH922" s="1"/>
    </row>
    <row r="923">
      <c r="A923" s="1"/>
      <c r="B923" s="1"/>
      <c r="C923" s="1"/>
      <c r="D923" s="1"/>
      <c r="E923" s="1"/>
      <c r="F923" s="1"/>
      <c r="G923" s="1"/>
      <c r="H923" s="1"/>
      <c r="I923" s="1"/>
      <c r="J923" s="5"/>
      <c r="K923" s="2"/>
      <c r="L923" s="1"/>
      <c r="M923" s="1"/>
      <c r="N923" s="1"/>
      <c r="O923" s="1"/>
      <c r="P923" s="1"/>
      <c r="Q923" s="1"/>
      <c r="R923" s="1"/>
      <c r="S923" s="1"/>
      <c r="T923" s="1"/>
      <c r="U923" s="1"/>
      <c r="V923" s="1"/>
      <c r="W923" s="1"/>
      <c r="X923" s="1"/>
      <c r="Y923" s="1"/>
      <c r="Z923" s="1"/>
      <c r="AA923" s="1"/>
      <c r="AB923" s="1"/>
      <c r="AC923" s="1"/>
      <c r="AD923" s="1"/>
      <c r="AE923" s="1"/>
      <c r="AF923" s="1"/>
      <c r="AG923" s="1"/>
      <c r="AH923" s="1"/>
    </row>
    <row r="924">
      <c r="A924" s="1"/>
      <c r="B924" s="1"/>
      <c r="C924" s="1"/>
      <c r="D924" s="1"/>
      <c r="E924" s="1"/>
      <c r="F924" s="1"/>
      <c r="G924" s="1"/>
      <c r="H924" s="1"/>
      <c r="I924" s="1"/>
      <c r="J924" s="5"/>
      <c r="K924" s="2"/>
      <c r="L924" s="1"/>
      <c r="M924" s="1"/>
      <c r="N924" s="1"/>
      <c r="O924" s="1"/>
      <c r="P924" s="1"/>
      <c r="Q924" s="1"/>
      <c r="R924" s="1"/>
      <c r="S924" s="1"/>
      <c r="T924" s="1"/>
      <c r="U924" s="1"/>
      <c r="V924" s="1"/>
      <c r="W924" s="1"/>
      <c r="X924" s="1"/>
      <c r="Y924" s="1"/>
      <c r="Z924" s="1"/>
      <c r="AA924" s="1"/>
      <c r="AB924" s="1"/>
      <c r="AC924" s="1"/>
      <c r="AD924" s="1"/>
      <c r="AE924" s="1"/>
      <c r="AF924" s="1"/>
      <c r="AG924" s="1"/>
      <c r="AH924" s="1"/>
    </row>
    <row r="925">
      <c r="A925" s="1"/>
      <c r="B925" s="1"/>
      <c r="C925" s="1"/>
      <c r="D925" s="1"/>
      <c r="E925" s="1"/>
      <c r="F925" s="1"/>
      <c r="G925" s="1"/>
      <c r="H925" s="1"/>
      <c r="I925" s="1"/>
      <c r="J925" s="5"/>
      <c r="K925" s="2"/>
      <c r="L925" s="1"/>
      <c r="M925" s="1"/>
      <c r="N925" s="1"/>
      <c r="O925" s="1"/>
      <c r="P925" s="1"/>
      <c r="Q925" s="1"/>
      <c r="R925" s="1"/>
      <c r="S925" s="1"/>
      <c r="T925" s="1"/>
      <c r="U925" s="1"/>
      <c r="V925" s="1"/>
      <c r="W925" s="1"/>
      <c r="X925" s="1"/>
      <c r="Y925" s="1"/>
      <c r="Z925" s="1"/>
      <c r="AA925" s="1"/>
      <c r="AB925" s="1"/>
      <c r="AC925" s="1"/>
      <c r="AD925" s="1"/>
      <c r="AE925" s="1"/>
      <c r="AF925" s="1"/>
      <c r="AG925" s="1"/>
      <c r="AH925" s="1"/>
    </row>
    <row r="926">
      <c r="A926" s="1"/>
      <c r="B926" s="1"/>
      <c r="C926" s="1"/>
      <c r="D926" s="1"/>
      <c r="E926" s="1"/>
      <c r="F926" s="1"/>
      <c r="G926" s="1"/>
      <c r="H926" s="1"/>
      <c r="I926" s="1"/>
      <c r="J926" s="5"/>
      <c r="K926" s="2"/>
      <c r="L926" s="1"/>
      <c r="M926" s="1"/>
      <c r="N926" s="1"/>
      <c r="O926" s="1"/>
      <c r="P926" s="1"/>
      <c r="Q926" s="1"/>
      <c r="R926" s="1"/>
      <c r="S926" s="1"/>
      <c r="T926" s="1"/>
      <c r="U926" s="1"/>
      <c r="V926" s="1"/>
      <c r="W926" s="1"/>
      <c r="X926" s="1"/>
      <c r="Y926" s="1"/>
      <c r="Z926" s="1"/>
      <c r="AA926" s="1"/>
      <c r="AB926" s="1"/>
      <c r="AC926" s="1"/>
      <c r="AD926" s="1"/>
      <c r="AE926" s="1"/>
      <c r="AF926" s="1"/>
      <c r="AG926" s="1"/>
      <c r="AH926" s="1"/>
    </row>
    <row r="927">
      <c r="A927" s="1"/>
      <c r="B927" s="1"/>
      <c r="C927" s="1"/>
      <c r="D927" s="1"/>
      <c r="E927" s="1"/>
      <c r="F927" s="1"/>
      <c r="G927" s="1"/>
      <c r="H927" s="1"/>
      <c r="I927" s="1"/>
      <c r="J927" s="5"/>
      <c r="K927" s="2"/>
      <c r="L927" s="1"/>
      <c r="M927" s="1"/>
      <c r="N927" s="1"/>
      <c r="O927" s="1"/>
      <c r="P927" s="1"/>
      <c r="Q927" s="1"/>
      <c r="R927" s="1"/>
      <c r="S927" s="1"/>
      <c r="T927" s="1"/>
      <c r="U927" s="1"/>
      <c r="V927" s="1"/>
      <c r="W927" s="1"/>
      <c r="X927" s="1"/>
      <c r="Y927" s="1"/>
      <c r="Z927" s="1"/>
      <c r="AA927" s="1"/>
      <c r="AB927" s="1"/>
      <c r="AC927" s="1"/>
      <c r="AD927" s="1"/>
      <c r="AE927" s="1"/>
      <c r="AF927" s="1"/>
      <c r="AG927" s="1"/>
      <c r="AH927" s="1"/>
    </row>
    <row r="928">
      <c r="A928" s="1"/>
      <c r="B928" s="1"/>
      <c r="C928" s="1"/>
      <c r="D928" s="1"/>
      <c r="E928" s="1"/>
      <c r="F928" s="1"/>
      <c r="G928" s="1"/>
      <c r="H928" s="1"/>
      <c r="I928" s="1"/>
      <c r="J928" s="5"/>
      <c r="K928" s="2"/>
      <c r="L928" s="1"/>
      <c r="M928" s="1"/>
      <c r="N928" s="1"/>
      <c r="O928" s="1"/>
      <c r="P928" s="1"/>
      <c r="Q928" s="1"/>
      <c r="R928" s="1"/>
      <c r="S928" s="1"/>
      <c r="T928" s="1"/>
      <c r="U928" s="1"/>
      <c r="V928" s="1"/>
      <c r="W928" s="1"/>
      <c r="X928" s="1"/>
      <c r="Y928" s="1"/>
      <c r="Z928" s="1"/>
      <c r="AA928" s="1"/>
      <c r="AB928" s="1"/>
      <c r="AC928" s="1"/>
      <c r="AD928" s="1"/>
      <c r="AE928" s="1"/>
      <c r="AF928" s="1"/>
      <c r="AG928" s="1"/>
      <c r="AH928" s="1"/>
    </row>
    <row r="929">
      <c r="A929" s="1"/>
      <c r="B929" s="1"/>
      <c r="C929" s="1"/>
      <c r="D929" s="1"/>
      <c r="E929" s="1"/>
      <c r="F929" s="1"/>
      <c r="G929" s="1"/>
      <c r="H929" s="1"/>
      <c r="I929" s="1"/>
      <c r="J929" s="5"/>
      <c r="K929" s="2"/>
      <c r="L929" s="1"/>
      <c r="M929" s="1"/>
      <c r="N929" s="1"/>
      <c r="O929" s="1"/>
      <c r="P929" s="1"/>
      <c r="Q929" s="1"/>
      <c r="R929" s="1"/>
      <c r="S929" s="1"/>
      <c r="T929" s="1"/>
      <c r="U929" s="1"/>
      <c r="V929" s="1"/>
      <c r="W929" s="1"/>
      <c r="X929" s="1"/>
      <c r="Y929" s="1"/>
      <c r="Z929" s="1"/>
      <c r="AA929" s="1"/>
      <c r="AB929" s="1"/>
      <c r="AC929" s="1"/>
      <c r="AD929" s="1"/>
      <c r="AE929" s="1"/>
      <c r="AF929" s="1"/>
      <c r="AG929" s="1"/>
      <c r="AH929" s="1"/>
    </row>
    <row r="930">
      <c r="A930" s="1"/>
      <c r="B930" s="1"/>
      <c r="C930" s="1"/>
      <c r="D930" s="1"/>
      <c r="E930" s="1"/>
      <c r="F930" s="1"/>
      <c r="G930" s="1"/>
      <c r="H930" s="1"/>
      <c r="I930" s="1"/>
      <c r="J930" s="5"/>
      <c r="K930" s="2"/>
      <c r="L930" s="1"/>
      <c r="M930" s="1"/>
      <c r="N930" s="1"/>
      <c r="O930" s="1"/>
      <c r="P930" s="1"/>
      <c r="Q930" s="1"/>
      <c r="R930" s="1"/>
      <c r="S930" s="1"/>
      <c r="T930" s="1"/>
      <c r="U930" s="1"/>
      <c r="V930" s="1"/>
      <c r="W930" s="1"/>
      <c r="X930" s="1"/>
      <c r="Y930" s="1"/>
      <c r="Z930" s="1"/>
      <c r="AA930" s="1"/>
      <c r="AB930" s="1"/>
      <c r="AC930" s="1"/>
      <c r="AD930" s="1"/>
      <c r="AE930" s="1"/>
      <c r="AF930" s="1"/>
      <c r="AG930" s="1"/>
      <c r="AH930" s="1"/>
    </row>
    <row r="931">
      <c r="A931" s="1"/>
      <c r="B931" s="1"/>
      <c r="C931" s="1"/>
      <c r="D931" s="1"/>
      <c r="E931" s="1"/>
      <c r="F931" s="1"/>
      <c r="G931" s="1"/>
      <c r="H931" s="1"/>
      <c r="I931" s="1"/>
      <c r="J931" s="5"/>
      <c r="K931" s="2"/>
      <c r="L931" s="1"/>
      <c r="M931" s="1"/>
      <c r="N931" s="1"/>
      <c r="O931" s="1"/>
      <c r="P931" s="1"/>
      <c r="Q931" s="1"/>
      <c r="R931" s="1"/>
      <c r="S931" s="1"/>
      <c r="T931" s="1"/>
      <c r="U931" s="1"/>
      <c r="V931" s="1"/>
      <c r="W931" s="1"/>
      <c r="X931" s="1"/>
      <c r="Y931" s="1"/>
      <c r="Z931" s="1"/>
      <c r="AA931" s="1"/>
      <c r="AB931" s="1"/>
      <c r="AC931" s="1"/>
      <c r="AD931" s="1"/>
      <c r="AE931" s="1"/>
      <c r="AF931" s="1"/>
      <c r="AG931" s="1"/>
      <c r="AH931" s="1"/>
    </row>
    <row r="932">
      <c r="A932" s="1"/>
      <c r="B932" s="1"/>
      <c r="C932" s="1"/>
      <c r="D932" s="1"/>
      <c r="E932" s="1"/>
      <c r="F932" s="1"/>
      <c r="G932" s="1"/>
      <c r="H932" s="1"/>
      <c r="I932" s="1"/>
      <c r="J932" s="5"/>
      <c r="K932" s="2"/>
      <c r="L932" s="1"/>
      <c r="M932" s="1"/>
      <c r="N932" s="1"/>
      <c r="O932" s="1"/>
      <c r="P932" s="1"/>
      <c r="Q932" s="1"/>
      <c r="R932" s="1"/>
      <c r="S932" s="1"/>
      <c r="T932" s="1"/>
      <c r="U932" s="1"/>
      <c r="V932" s="1"/>
      <c r="W932" s="1"/>
      <c r="X932" s="1"/>
      <c r="Y932" s="1"/>
      <c r="Z932" s="1"/>
      <c r="AA932" s="1"/>
      <c r="AB932" s="1"/>
      <c r="AC932" s="1"/>
      <c r="AD932" s="1"/>
      <c r="AE932" s="1"/>
      <c r="AF932" s="1"/>
      <c r="AG932" s="1"/>
      <c r="AH932" s="1"/>
    </row>
    <row r="933">
      <c r="A933" s="1"/>
      <c r="B933" s="1"/>
      <c r="C933" s="1"/>
      <c r="D933" s="1"/>
      <c r="E933" s="1"/>
      <c r="F933" s="1"/>
      <c r="G933" s="1"/>
      <c r="H933" s="1"/>
      <c r="I933" s="1"/>
      <c r="J933" s="5"/>
      <c r="K933" s="2"/>
      <c r="L933" s="1"/>
      <c r="M933" s="1"/>
      <c r="N933" s="1"/>
      <c r="O933" s="1"/>
      <c r="P933" s="1"/>
      <c r="Q933" s="1"/>
      <c r="R933" s="1"/>
      <c r="S933" s="1"/>
      <c r="T933" s="1"/>
      <c r="U933" s="1"/>
      <c r="V933" s="1"/>
      <c r="W933" s="1"/>
      <c r="X933" s="1"/>
      <c r="Y933" s="1"/>
      <c r="Z933" s="1"/>
      <c r="AA933" s="1"/>
      <c r="AB933" s="1"/>
      <c r="AC933" s="1"/>
      <c r="AD933" s="1"/>
      <c r="AE933" s="1"/>
      <c r="AF933" s="1"/>
      <c r="AG933" s="1"/>
      <c r="AH933" s="1"/>
    </row>
    <row r="934">
      <c r="A934" s="1"/>
      <c r="B934" s="1"/>
      <c r="C934" s="1"/>
      <c r="D934" s="1"/>
      <c r="E934" s="1"/>
      <c r="F934" s="1"/>
      <c r="G934" s="1"/>
      <c r="H934" s="1"/>
      <c r="I934" s="1"/>
      <c r="J934" s="5"/>
      <c r="K934" s="2"/>
      <c r="L934" s="1"/>
      <c r="M934" s="1"/>
      <c r="N934" s="1"/>
      <c r="O934" s="1"/>
      <c r="P934" s="1"/>
      <c r="Q934" s="1"/>
      <c r="R934" s="1"/>
      <c r="S934" s="1"/>
      <c r="T934" s="1"/>
      <c r="U934" s="1"/>
      <c r="V934" s="1"/>
      <c r="W934" s="1"/>
      <c r="X934" s="1"/>
      <c r="Y934" s="1"/>
      <c r="Z934" s="1"/>
      <c r="AA934" s="1"/>
      <c r="AB934" s="1"/>
      <c r="AC934" s="1"/>
      <c r="AD934" s="1"/>
      <c r="AE934" s="1"/>
      <c r="AF934" s="1"/>
      <c r="AG934" s="1"/>
      <c r="AH934" s="1"/>
    </row>
    <row r="935">
      <c r="A935" s="1"/>
      <c r="B935" s="1"/>
      <c r="C935" s="1"/>
      <c r="D935" s="1"/>
      <c r="E935" s="1"/>
      <c r="F935" s="1"/>
      <c r="G935" s="1"/>
      <c r="H935" s="1"/>
      <c r="I935" s="1"/>
      <c r="J935" s="5"/>
      <c r="K935" s="2"/>
      <c r="L935" s="1"/>
      <c r="M935" s="1"/>
      <c r="N935" s="1"/>
      <c r="O935" s="1"/>
      <c r="P935" s="1"/>
      <c r="Q935" s="1"/>
      <c r="R935" s="1"/>
      <c r="S935" s="1"/>
      <c r="T935" s="1"/>
      <c r="U935" s="1"/>
      <c r="V935" s="1"/>
      <c r="W935" s="1"/>
      <c r="X935" s="1"/>
      <c r="Y935" s="1"/>
      <c r="Z935" s="1"/>
      <c r="AA935" s="1"/>
      <c r="AB935" s="1"/>
      <c r="AC935" s="1"/>
      <c r="AD935" s="1"/>
      <c r="AE935" s="1"/>
      <c r="AF935" s="1"/>
      <c r="AG935" s="1"/>
      <c r="AH935" s="1"/>
    </row>
    <row r="936">
      <c r="A936" s="1"/>
      <c r="B936" s="1"/>
      <c r="C936" s="1"/>
      <c r="D936" s="1"/>
      <c r="E936" s="1"/>
      <c r="F936" s="1"/>
      <c r="G936" s="1"/>
      <c r="H936" s="1"/>
      <c r="I936" s="1"/>
      <c r="J936" s="5"/>
      <c r="K936" s="2"/>
      <c r="L936" s="1"/>
      <c r="M936" s="1"/>
      <c r="N936" s="1"/>
      <c r="O936" s="1"/>
      <c r="P936" s="1"/>
      <c r="Q936" s="1"/>
      <c r="R936" s="1"/>
      <c r="S936" s="1"/>
      <c r="T936" s="1"/>
      <c r="U936" s="1"/>
      <c r="V936" s="1"/>
      <c r="W936" s="1"/>
      <c r="X936" s="1"/>
      <c r="Y936" s="1"/>
      <c r="Z936" s="1"/>
      <c r="AA936" s="1"/>
      <c r="AB936" s="1"/>
      <c r="AC936" s="1"/>
      <c r="AD936" s="1"/>
      <c r="AE936" s="1"/>
      <c r="AF936" s="1"/>
      <c r="AG936" s="1"/>
      <c r="AH936" s="1"/>
    </row>
    <row r="937">
      <c r="A937" s="1"/>
      <c r="B937" s="1"/>
      <c r="C937" s="1"/>
      <c r="D937" s="1"/>
      <c r="E937" s="1"/>
      <c r="F937" s="1"/>
      <c r="G937" s="1"/>
      <c r="H937" s="1"/>
      <c r="I937" s="1"/>
      <c r="J937" s="5"/>
      <c r="K937" s="2"/>
      <c r="L937" s="1"/>
      <c r="M937" s="1"/>
      <c r="N937" s="1"/>
      <c r="O937" s="1"/>
      <c r="P937" s="1"/>
      <c r="Q937" s="1"/>
      <c r="R937" s="1"/>
      <c r="S937" s="1"/>
      <c r="T937" s="1"/>
      <c r="U937" s="1"/>
      <c r="V937" s="1"/>
      <c r="W937" s="1"/>
      <c r="X937" s="1"/>
      <c r="Y937" s="1"/>
      <c r="Z937" s="1"/>
      <c r="AA937" s="1"/>
      <c r="AB937" s="1"/>
      <c r="AC937" s="1"/>
      <c r="AD937" s="1"/>
      <c r="AE937" s="1"/>
      <c r="AF937" s="1"/>
      <c r="AG937" s="1"/>
      <c r="AH937" s="1"/>
    </row>
    <row r="938">
      <c r="A938" s="1"/>
      <c r="B938" s="1"/>
      <c r="C938" s="1"/>
      <c r="D938" s="1"/>
      <c r="E938" s="1"/>
      <c r="F938" s="1"/>
      <c r="G938" s="1"/>
      <c r="H938" s="1"/>
      <c r="I938" s="1"/>
      <c r="J938" s="5"/>
      <c r="K938" s="2"/>
      <c r="L938" s="1"/>
      <c r="M938" s="1"/>
      <c r="N938" s="1"/>
      <c r="O938" s="1"/>
      <c r="P938" s="1"/>
      <c r="Q938" s="1"/>
      <c r="R938" s="1"/>
      <c r="S938" s="1"/>
      <c r="T938" s="1"/>
      <c r="U938" s="1"/>
      <c r="V938" s="1"/>
      <c r="W938" s="1"/>
      <c r="X938" s="1"/>
      <c r="Y938" s="1"/>
      <c r="Z938" s="1"/>
      <c r="AA938" s="1"/>
      <c r="AB938" s="1"/>
      <c r="AC938" s="1"/>
      <c r="AD938" s="1"/>
      <c r="AE938" s="1"/>
      <c r="AF938" s="1"/>
      <c r="AG938" s="1"/>
      <c r="AH938" s="1"/>
    </row>
    <row r="939">
      <c r="A939" s="1"/>
      <c r="B939" s="1"/>
      <c r="C939" s="1"/>
      <c r="D939" s="1"/>
      <c r="E939" s="1"/>
      <c r="F939" s="1"/>
      <c r="G939" s="1"/>
      <c r="H939" s="1"/>
      <c r="I939" s="1"/>
      <c r="J939" s="5"/>
      <c r="K939" s="2"/>
      <c r="L939" s="1"/>
      <c r="M939" s="1"/>
      <c r="N939" s="1"/>
      <c r="O939" s="1"/>
      <c r="P939" s="1"/>
      <c r="Q939" s="1"/>
      <c r="R939" s="1"/>
      <c r="S939" s="1"/>
      <c r="T939" s="1"/>
      <c r="U939" s="1"/>
      <c r="V939" s="1"/>
      <c r="W939" s="1"/>
      <c r="X939" s="1"/>
      <c r="Y939" s="1"/>
      <c r="Z939" s="1"/>
      <c r="AA939" s="1"/>
      <c r="AB939" s="1"/>
      <c r="AC939" s="1"/>
      <c r="AD939" s="1"/>
      <c r="AE939" s="1"/>
      <c r="AF939" s="1"/>
      <c r="AG939" s="1"/>
      <c r="AH939" s="1"/>
    </row>
    <row r="940">
      <c r="A940" s="1"/>
      <c r="B940" s="1"/>
      <c r="C940" s="1"/>
      <c r="D940" s="1"/>
      <c r="E940" s="1"/>
      <c r="F940" s="1"/>
      <c r="G940" s="1"/>
      <c r="H940" s="1"/>
      <c r="I940" s="1"/>
      <c r="J940" s="5"/>
      <c r="K940" s="2"/>
      <c r="L940" s="1"/>
      <c r="M940" s="1"/>
      <c r="N940" s="1"/>
      <c r="O940" s="1"/>
      <c r="P940" s="1"/>
      <c r="Q940" s="1"/>
      <c r="R940" s="1"/>
      <c r="S940" s="1"/>
      <c r="T940" s="1"/>
      <c r="U940" s="1"/>
      <c r="V940" s="1"/>
      <c r="W940" s="1"/>
      <c r="X940" s="1"/>
      <c r="Y940" s="1"/>
      <c r="Z940" s="1"/>
      <c r="AA940" s="1"/>
      <c r="AB940" s="1"/>
      <c r="AC940" s="1"/>
      <c r="AD940" s="1"/>
      <c r="AE940" s="1"/>
      <c r="AF940" s="1"/>
      <c r="AG940" s="1"/>
      <c r="AH940" s="1"/>
    </row>
    <row r="941">
      <c r="A941" s="1"/>
      <c r="B941" s="1"/>
      <c r="C941" s="1"/>
      <c r="D941" s="1"/>
      <c r="E941" s="1"/>
      <c r="F941" s="1"/>
      <c r="G941" s="1"/>
      <c r="H941" s="1"/>
      <c r="I941" s="1"/>
      <c r="J941" s="5"/>
      <c r="K941" s="2"/>
      <c r="L941" s="1"/>
      <c r="M941" s="1"/>
      <c r="N941" s="1"/>
      <c r="O941" s="1"/>
      <c r="P941" s="1"/>
      <c r="Q941" s="1"/>
      <c r="R941" s="1"/>
      <c r="S941" s="1"/>
      <c r="T941" s="1"/>
      <c r="U941" s="1"/>
      <c r="V941" s="1"/>
      <c r="W941" s="1"/>
      <c r="X941" s="1"/>
      <c r="Y941" s="1"/>
      <c r="Z941" s="1"/>
      <c r="AA941" s="1"/>
      <c r="AB941" s="1"/>
      <c r="AC941" s="1"/>
      <c r="AD941" s="1"/>
      <c r="AE941" s="1"/>
      <c r="AF941" s="1"/>
      <c r="AG941" s="1"/>
      <c r="AH941" s="1"/>
    </row>
    <row r="942">
      <c r="A942" s="1"/>
      <c r="B942" s="1"/>
      <c r="C942" s="1"/>
      <c r="D942" s="1"/>
      <c r="E942" s="1"/>
      <c r="F942" s="1"/>
      <c r="G942" s="1"/>
      <c r="H942" s="1"/>
      <c r="I942" s="1"/>
      <c r="J942" s="5"/>
      <c r="K942" s="2"/>
      <c r="L942" s="1"/>
      <c r="M942" s="1"/>
      <c r="N942" s="1"/>
      <c r="O942" s="1"/>
      <c r="P942" s="1"/>
      <c r="Q942" s="1"/>
      <c r="R942" s="1"/>
      <c r="S942" s="1"/>
      <c r="T942" s="1"/>
      <c r="U942" s="1"/>
      <c r="V942" s="1"/>
      <c r="W942" s="1"/>
      <c r="X942" s="1"/>
      <c r="Y942" s="1"/>
      <c r="Z942" s="1"/>
      <c r="AA942" s="1"/>
      <c r="AB942" s="1"/>
      <c r="AC942" s="1"/>
      <c r="AD942" s="1"/>
      <c r="AE942" s="1"/>
      <c r="AF942" s="1"/>
      <c r="AG942" s="1"/>
      <c r="AH942" s="1"/>
    </row>
    <row r="943">
      <c r="A943" s="1"/>
      <c r="B943" s="1"/>
      <c r="C943" s="1"/>
      <c r="D943" s="1"/>
      <c r="E943" s="1"/>
      <c r="F943" s="1"/>
      <c r="G943" s="1"/>
      <c r="H943" s="1"/>
      <c r="I943" s="1"/>
      <c r="J943" s="5"/>
      <c r="K943" s="2"/>
      <c r="L943" s="1"/>
      <c r="M943" s="1"/>
      <c r="N943" s="1"/>
      <c r="O943" s="1"/>
      <c r="P943" s="1"/>
      <c r="Q943" s="1"/>
      <c r="R943" s="1"/>
      <c r="S943" s="1"/>
      <c r="T943" s="1"/>
      <c r="U943" s="1"/>
      <c r="V943" s="1"/>
      <c r="W943" s="1"/>
      <c r="X943" s="1"/>
      <c r="Y943" s="1"/>
      <c r="Z943" s="1"/>
      <c r="AA943" s="1"/>
      <c r="AB943" s="1"/>
      <c r="AC943" s="1"/>
      <c r="AD943" s="1"/>
      <c r="AE943" s="1"/>
      <c r="AF943" s="1"/>
      <c r="AG943" s="1"/>
      <c r="AH943" s="1"/>
    </row>
    <row r="944">
      <c r="A944" s="1"/>
      <c r="B944" s="1"/>
      <c r="C944" s="1"/>
      <c r="D944" s="1"/>
      <c r="E944" s="1"/>
      <c r="F944" s="1"/>
      <c r="G944" s="1"/>
      <c r="H944" s="1"/>
      <c r="I944" s="1"/>
      <c r="J944" s="5"/>
      <c r="K944" s="2"/>
      <c r="L944" s="1"/>
      <c r="M944" s="1"/>
      <c r="N944" s="1"/>
      <c r="O944" s="1"/>
      <c r="P944" s="1"/>
      <c r="Q944" s="1"/>
      <c r="R944" s="1"/>
      <c r="S944" s="1"/>
      <c r="T944" s="1"/>
      <c r="U944" s="1"/>
      <c r="V944" s="1"/>
      <c r="W944" s="1"/>
      <c r="X944" s="1"/>
      <c r="Y944" s="1"/>
      <c r="Z944" s="1"/>
      <c r="AA944" s="1"/>
      <c r="AB944" s="1"/>
      <c r="AC944" s="1"/>
      <c r="AD944" s="1"/>
      <c r="AE944" s="1"/>
      <c r="AF944" s="1"/>
      <c r="AG944" s="1"/>
      <c r="AH944" s="1"/>
    </row>
    <row r="945">
      <c r="A945" s="1"/>
      <c r="B945" s="1"/>
      <c r="C945" s="1"/>
      <c r="D945" s="1"/>
      <c r="E945" s="1"/>
      <c r="F945" s="1"/>
      <c r="G945" s="1"/>
      <c r="H945" s="1"/>
      <c r="I945" s="1"/>
      <c r="J945" s="5"/>
      <c r="K945" s="2"/>
      <c r="L945" s="1"/>
      <c r="M945" s="1"/>
      <c r="N945" s="1"/>
      <c r="O945" s="1"/>
      <c r="P945" s="1"/>
      <c r="Q945" s="1"/>
      <c r="R945" s="1"/>
      <c r="S945" s="1"/>
      <c r="T945" s="1"/>
      <c r="U945" s="1"/>
      <c r="V945" s="1"/>
      <c r="W945" s="1"/>
      <c r="X945" s="1"/>
      <c r="Y945" s="1"/>
      <c r="Z945" s="1"/>
      <c r="AA945" s="1"/>
      <c r="AB945" s="1"/>
      <c r="AC945" s="1"/>
      <c r="AD945" s="1"/>
      <c r="AE945" s="1"/>
      <c r="AF945" s="1"/>
      <c r="AG945" s="1"/>
      <c r="AH945" s="1"/>
    </row>
    <row r="946">
      <c r="A946" s="1"/>
      <c r="B946" s="1"/>
      <c r="C946" s="1"/>
      <c r="D946" s="1"/>
      <c r="E946" s="1"/>
      <c r="F946" s="1"/>
      <c r="G946" s="1"/>
      <c r="H946" s="1"/>
      <c r="I946" s="1"/>
      <c r="J946" s="5"/>
      <c r="K946" s="2"/>
      <c r="L946" s="1"/>
      <c r="M946" s="1"/>
      <c r="N946" s="1"/>
      <c r="O946" s="1"/>
      <c r="P946" s="1"/>
      <c r="Q946" s="1"/>
      <c r="R946" s="1"/>
      <c r="S946" s="1"/>
      <c r="T946" s="1"/>
      <c r="U946" s="1"/>
      <c r="V946" s="1"/>
      <c r="W946" s="1"/>
      <c r="X946" s="1"/>
      <c r="Y946" s="1"/>
      <c r="Z946" s="1"/>
      <c r="AA946" s="1"/>
      <c r="AB946" s="1"/>
      <c r="AC946" s="1"/>
      <c r="AD946" s="1"/>
      <c r="AE946" s="1"/>
      <c r="AF946" s="1"/>
      <c r="AG946" s="1"/>
      <c r="AH946" s="1"/>
    </row>
    <row r="947">
      <c r="A947" s="1"/>
      <c r="B947" s="1"/>
      <c r="C947" s="1"/>
      <c r="D947" s="1"/>
      <c r="E947" s="1"/>
      <c r="F947" s="1"/>
      <c r="G947" s="1"/>
      <c r="H947" s="1"/>
      <c r="I947" s="1"/>
      <c r="J947" s="5"/>
      <c r="K947" s="2"/>
      <c r="L947" s="1"/>
      <c r="M947" s="1"/>
      <c r="N947" s="1"/>
      <c r="O947" s="1"/>
      <c r="P947" s="1"/>
      <c r="Q947" s="1"/>
      <c r="R947" s="1"/>
      <c r="S947" s="1"/>
      <c r="T947" s="1"/>
      <c r="U947" s="1"/>
      <c r="V947" s="1"/>
      <c r="W947" s="1"/>
      <c r="X947" s="1"/>
      <c r="Y947" s="1"/>
      <c r="Z947" s="1"/>
      <c r="AA947" s="1"/>
      <c r="AB947" s="1"/>
      <c r="AC947" s="1"/>
      <c r="AD947" s="1"/>
      <c r="AE947" s="1"/>
      <c r="AF947" s="1"/>
      <c r="AG947" s="1"/>
      <c r="AH947" s="1"/>
    </row>
    <row r="948">
      <c r="A948" s="1"/>
      <c r="B948" s="1"/>
      <c r="C948" s="1"/>
      <c r="D948" s="1"/>
      <c r="E948" s="1"/>
      <c r="F948" s="1"/>
      <c r="G948" s="1"/>
      <c r="H948" s="1"/>
      <c r="I948" s="1"/>
      <c r="J948" s="5"/>
      <c r="K948" s="2"/>
      <c r="L948" s="1"/>
      <c r="M948" s="1"/>
      <c r="N948" s="1"/>
      <c r="O948" s="1"/>
      <c r="P948" s="1"/>
      <c r="Q948" s="1"/>
      <c r="R948" s="1"/>
      <c r="S948" s="1"/>
      <c r="T948" s="1"/>
      <c r="U948" s="1"/>
      <c r="V948" s="1"/>
      <c r="W948" s="1"/>
      <c r="X948" s="1"/>
      <c r="Y948" s="1"/>
      <c r="Z948" s="1"/>
      <c r="AA948" s="1"/>
      <c r="AB948" s="1"/>
      <c r="AC948" s="1"/>
      <c r="AD948" s="1"/>
      <c r="AE948" s="1"/>
      <c r="AF948" s="1"/>
      <c r="AG948" s="1"/>
      <c r="AH948" s="1"/>
    </row>
    <row r="949">
      <c r="A949" s="1"/>
      <c r="B949" s="1"/>
      <c r="C949" s="1"/>
      <c r="D949" s="1"/>
      <c r="E949" s="1"/>
      <c r="F949" s="1"/>
      <c r="G949" s="1"/>
      <c r="H949" s="1"/>
      <c r="I949" s="1"/>
      <c r="J949" s="5"/>
      <c r="K949" s="2"/>
      <c r="L949" s="1"/>
      <c r="M949" s="1"/>
      <c r="N949" s="1"/>
      <c r="O949" s="1"/>
      <c r="P949" s="1"/>
      <c r="Q949" s="1"/>
      <c r="R949" s="1"/>
      <c r="S949" s="1"/>
      <c r="T949" s="1"/>
      <c r="U949" s="1"/>
      <c r="V949" s="1"/>
      <c r="W949" s="1"/>
      <c r="X949" s="1"/>
      <c r="Y949" s="1"/>
      <c r="Z949" s="1"/>
      <c r="AA949" s="1"/>
      <c r="AB949" s="1"/>
      <c r="AC949" s="1"/>
      <c r="AD949" s="1"/>
      <c r="AE949" s="1"/>
      <c r="AF949" s="1"/>
      <c r="AG949" s="1"/>
      <c r="AH949" s="1"/>
    </row>
    <row r="950">
      <c r="A950" s="1"/>
      <c r="B950" s="1"/>
      <c r="C950" s="1"/>
      <c r="D950" s="1"/>
      <c r="E950" s="1"/>
      <c r="F950" s="1"/>
      <c r="G950" s="1"/>
      <c r="H950" s="1"/>
      <c r="I950" s="1"/>
      <c r="J950" s="5"/>
      <c r="K950" s="2"/>
      <c r="L950" s="1"/>
      <c r="M950" s="1"/>
      <c r="N950" s="1"/>
      <c r="O950" s="1"/>
      <c r="P950" s="1"/>
      <c r="Q950" s="1"/>
      <c r="R950" s="1"/>
      <c r="S950" s="1"/>
      <c r="T950" s="1"/>
      <c r="U950" s="1"/>
      <c r="V950" s="1"/>
      <c r="W950" s="1"/>
      <c r="X950" s="1"/>
      <c r="Y950" s="1"/>
      <c r="Z950" s="1"/>
      <c r="AA950" s="1"/>
      <c r="AB950" s="1"/>
      <c r="AC950" s="1"/>
      <c r="AD950" s="1"/>
      <c r="AE950" s="1"/>
      <c r="AF950" s="1"/>
      <c r="AG950" s="1"/>
      <c r="AH950" s="1"/>
    </row>
    <row r="951">
      <c r="A951" s="1"/>
      <c r="B951" s="1"/>
      <c r="C951" s="1"/>
      <c r="D951" s="1"/>
      <c r="E951" s="1"/>
      <c r="F951" s="1"/>
      <c r="G951" s="1"/>
      <c r="H951" s="1"/>
      <c r="I951" s="1"/>
      <c r="J951" s="5"/>
      <c r="K951" s="2"/>
      <c r="L951" s="1"/>
      <c r="M951" s="1"/>
      <c r="N951" s="1"/>
      <c r="O951" s="1"/>
      <c r="P951" s="1"/>
      <c r="Q951" s="1"/>
      <c r="R951" s="1"/>
      <c r="S951" s="1"/>
      <c r="T951" s="1"/>
      <c r="U951" s="1"/>
      <c r="V951" s="1"/>
      <c r="W951" s="1"/>
      <c r="X951" s="1"/>
      <c r="Y951" s="1"/>
      <c r="Z951" s="1"/>
      <c r="AA951" s="1"/>
      <c r="AB951" s="1"/>
      <c r="AC951" s="1"/>
      <c r="AD951" s="1"/>
      <c r="AE951" s="1"/>
      <c r="AF951" s="1"/>
      <c r="AG951" s="1"/>
      <c r="AH951" s="1"/>
    </row>
    <row r="952">
      <c r="A952" s="1"/>
      <c r="B952" s="1"/>
      <c r="C952" s="1"/>
      <c r="D952" s="1"/>
      <c r="E952" s="1"/>
      <c r="F952" s="1"/>
      <c r="G952" s="1"/>
      <c r="H952" s="1"/>
      <c r="I952" s="1"/>
      <c r="J952" s="5"/>
      <c r="K952" s="2"/>
      <c r="L952" s="1"/>
      <c r="M952" s="1"/>
      <c r="N952" s="1"/>
      <c r="O952" s="1"/>
      <c r="P952" s="1"/>
      <c r="Q952" s="1"/>
      <c r="R952" s="1"/>
      <c r="S952" s="1"/>
      <c r="T952" s="1"/>
      <c r="U952" s="1"/>
      <c r="V952" s="1"/>
      <c r="W952" s="1"/>
      <c r="X952" s="1"/>
      <c r="Y952" s="1"/>
      <c r="Z952" s="1"/>
      <c r="AA952" s="1"/>
      <c r="AB952" s="1"/>
      <c r="AC952" s="1"/>
      <c r="AD952" s="1"/>
      <c r="AE952" s="1"/>
      <c r="AF952" s="1"/>
      <c r="AG952" s="1"/>
      <c r="AH952" s="1"/>
    </row>
    <row r="953">
      <c r="A953" s="1"/>
      <c r="B953" s="1"/>
      <c r="C953" s="1"/>
      <c r="D953" s="1"/>
      <c r="E953" s="1"/>
      <c r="F953" s="1"/>
      <c r="G953" s="1"/>
      <c r="H953" s="1"/>
      <c r="I953" s="1"/>
      <c r="J953" s="5"/>
      <c r="K953" s="2"/>
      <c r="L953" s="1"/>
      <c r="M953" s="1"/>
      <c r="N953" s="1"/>
      <c r="O953" s="1"/>
      <c r="P953" s="1"/>
      <c r="Q953" s="1"/>
      <c r="R953" s="1"/>
      <c r="S953" s="1"/>
      <c r="T953" s="1"/>
      <c r="U953" s="1"/>
      <c r="V953" s="1"/>
      <c r="W953" s="1"/>
      <c r="X953" s="1"/>
      <c r="Y953" s="1"/>
      <c r="Z953" s="1"/>
      <c r="AA953" s="1"/>
      <c r="AB953" s="1"/>
      <c r="AC953" s="1"/>
      <c r="AD953" s="1"/>
      <c r="AE953" s="1"/>
      <c r="AF953" s="1"/>
      <c r="AG953" s="1"/>
      <c r="AH953" s="1"/>
    </row>
    <row r="954">
      <c r="A954" s="1"/>
      <c r="B954" s="1"/>
      <c r="C954" s="1"/>
      <c r="D954" s="1"/>
      <c r="E954" s="1"/>
      <c r="F954" s="1"/>
      <c r="G954" s="1"/>
      <c r="H954" s="1"/>
      <c r="I954" s="1"/>
      <c r="J954" s="5"/>
      <c r="K954" s="2"/>
      <c r="L954" s="1"/>
      <c r="M954" s="1"/>
      <c r="N954" s="1"/>
      <c r="O954" s="1"/>
      <c r="P954" s="1"/>
      <c r="Q954" s="1"/>
      <c r="R954" s="1"/>
      <c r="S954" s="1"/>
      <c r="T954" s="1"/>
      <c r="U954" s="1"/>
      <c r="V954" s="1"/>
      <c r="W954" s="1"/>
      <c r="X954" s="1"/>
      <c r="Y954" s="1"/>
      <c r="Z954" s="1"/>
      <c r="AA954" s="1"/>
      <c r="AB954" s="1"/>
      <c r="AC954" s="1"/>
      <c r="AD954" s="1"/>
      <c r="AE954" s="1"/>
      <c r="AF954" s="1"/>
      <c r="AG954" s="1"/>
      <c r="AH954" s="1"/>
    </row>
    <row r="955">
      <c r="A955" s="1"/>
      <c r="B955" s="1"/>
      <c r="C955" s="1"/>
      <c r="D955" s="1"/>
      <c r="E955" s="1"/>
      <c r="F955" s="1"/>
      <c r="G955" s="1"/>
      <c r="H955" s="1"/>
      <c r="I955" s="1"/>
      <c r="J955" s="5"/>
      <c r="K955" s="2"/>
      <c r="L955" s="1"/>
      <c r="M955" s="1"/>
      <c r="N955" s="1"/>
      <c r="O955" s="1"/>
      <c r="P955" s="1"/>
      <c r="Q955" s="1"/>
      <c r="R955" s="1"/>
      <c r="S955" s="1"/>
      <c r="T955" s="1"/>
      <c r="U955" s="1"/>
      <c r="V955" s="1"/>
      <c r="W955" s="1"/>
      <c r="X955" s="1"/>
      <c r="Y955" s="1"/>
      <c r="Z955" s="1"/>
      <c r="AA955" s="1"/>
      <c r="AB955" s="1"/>
      <c r="AC955" s="1"/>
      <c r="AD955" s="1"/>
      <c r="AE955" s="1"/>
      <c r="AF955" s="1"/>
      <c r="AG955" s="1"/>
      <c r="AH955" s="1"/>
    </row>
    <row r="956">
      <c r="A956" s="1"/>
      <c r="B956" s="1"/>
      <c r="C956" s="1"/>
      <c r="D956" s="1"/>
      <c r="E956" s="1"/>
      <c r="F956" s="1"/>
      <c r="G956" s="1"/>
      <c r="H956" s="1"/>
      <c r="I956" s="1"/>
      <c r="J956" s="5"/>
      <c r="K956" s="2"/>
      <c r="L956" s="1"/>
      <c r="M956" s="1"/>
      <c r="N956" s="1"/>
      <c r="O956" s="1"/>
      <c r="P956" s="1"/>
      <c r="Q956" s="1"/>
      <c r="R956" s="1"/>
      <c r="S956" s="1"/>
      <c r="T956" s="1"/>
      <c r="U956" s="1"/>
      <c r="V956" s="1"/>
      <c r="W956" s="1"/>
      <c r="X956" s="1"/>
      <c r="Y956" s="1"/>
      <c r="Z956" s="1"/>
      <c r="AA956" s="1"/>
      <c r="AB956" s="1"/>
      <c r="AC956" s="1"/>
      <c r="AD956" s="1"/>
      <c r="AE956" s="1"/>
      <c r="AF956" s="1"/>
      <c r="AG956" s="1"/>
      <c r="AH956" s="1"/>
    </row>
    <row r="957">
      <c r="A957" s="1"/>
      <c r="B957" s="1"/>
      <c r="C957" s="1"/>
      <c r="D957" s="1"/>
      <c r="E957" s="1"/>
      <c r="F957" s="1"/>
      <c r="G957" s="1"/>
      <c r="H957" s="1"/>
      <c r="I957" s="1"/>
      <c r="J957" s="5"/>
      <c r="K957" s="2"/>
      <c r="L957" s="1"/>
      <c r="M957" s="1"/>
      <c r="N957" s="1"/>
      <c r="O957" s="1"/>
      <c r="P957" s="1"/>
      <c r="Q957" s="1"/>
      <c r="R957" s="1"/>
      <c r="S957" s="1"/>
      <c r="T957" s="1"/>
      <c r="U957" s="1"/>
      <c r="V957" s="1"/>
      <c r="W957" s="1"/>
      <c r="X957" s="1"/>
      <c r="Y957" s="1"/>
      <c r="Z957" s="1"/>
      <c r="AA957" s="1"/>
      <c r="AB957" s="1"/>
      <c r="AC957" s="1"/>
      <c r="AD957" s="1"/>
      <c r="AE957" s="1"/>
      <c r="AF957" s="1"/>
      <c r="AG957" s="1"/>
      <c r="AH957" s="1"/>
    </row>
    <row r="958">
      <c r="A958" s="1"/>
      <c r="B958" s="1"/>
      <c r="C958" s="1"/>
      <c r="D958" s="1"/>
      <c r="E958" s="1"/>
      <c r="F958" s="1"/>
      <c r="G958" s="1"/>
      <c r="H958" s="1"/>
      <c r="I958" s="1"/>
      <c r="J958" s="5"/>
      <c r="K958" s="2"/>
      <c r="L958" s="1"/>
      <c r="M958" s="1"/>
      <c r="N958" s="1"/>
      <c r="O958" s="1"/>
      <c r="P958" s="1"/>
      <c r="Q958" s="1"/>
      <c r="R958" s="1"/>
      <c r="S958" s="1"/>
      <c r="T958" s="1"/>
      <c r="U958" s="1"/>
      <c r="V958" s="1"/>
      <c r="W958" s="1"/>
      <c r="X958" s="1"/>
      <c r="Y958" s="1"/>
      <c r="Z958" s="1"/>
      <c r="AA958" s="1"/>
      <c r="AB958" s="1"/>
      <c r="AC958" s="1"/>
      <c r="AD958" s="1"/>
      <c r="AE958" s="1"/>
      <c r="AF958" s="1"/>
      <c r="AG958" s="1"/>
      <c r="AH958" s="1"/>
    </row>
    <row r="959">
      <c r="A959" s="1"/>
      <c r="B959" s="1"/>
      <c r="C959" s="1"/>
      <c r="D959" s="1"/>
      <c r="E959" s="1"/>
      <c r="F959" s="1"/>
      <c r="G959" s="1"/>
      <c r="H959" s="1"/>
      <c r="I959" s="1"/>
      <c r="J959" s="5"/>
      <c r="K959" s="2"/>
      <c r="L959" s="1"/>
      <c r="M959" s="1"/>
      <c r="N959" s="1"/>
      <c r="O959" s="1"/>
      <c r="P959" s="1"/>
      <c r="Q959" s="1"/>
      <c r="R959" s="1"/>
      <c r="S959" s="1"/>
      <c r="T959" s="1"/>
      <c r="U959" s="1"/>
      <c r="V959" s="1"/>
      <c r="W959" s="1"/>
      <c r="X959" s="1"/>
      <c r="Y959" s="1"/>
      <c r="Z959" s="1"/>
      <c r="AA959" s="1"/>
      <c r="AB959" s="1"/>
      <c r="AC959" s="1"/>
      <c r="AD959" s="1"/>
      <c r="AE959" s="1"/>
      <c r="AF959" s="1"/>
      <c r="AG959" s="1"/>
      <c r="AH959" s="1"/>
    </row>
    <row r="960">
      <c r="A960" s="1"/>
      <c r="B960" s="1"/>
      <c r="C960" s="1"/>
      <c r="D960" s="1"/>
      <c r="E960" s="1"/>
      <c r="F960" s="1"/>
      <c r="G960" s="1"/>
      <c r="H960" s="1"/>
      <c r="I960" s="1"/>
      <c r="J960" s="5"/>
      <c r="K960" s="2"/>
      <c r="L960" s="1"/>
      <c r="M960" s="1"/>
      <c r="N960" s="1"/>
      <c r="O960" s="1"/>
      <c r="P960" s="1"/>
      <c r="Q960" s="1"/>
      <c r="R960" s="1"/>
      <c r="S960" s="1"/>
      <c r="T960" s="1"/>
      <c r="U960" s="1"/>
      <c r="V960" s="1"/>
      <c r="W960" s="1"/>
      <c r="X960" s="1"/>
      <c r="Y960" s="1"/>
      <c r="Z960" s="1"/>
      <c r="AA960" s="1"/>
      <c r="AB960" s="1"/>
      <c r="AC960" s="1"/>
      <c r="AD960" s="1"/>
      <c r="AE960" s="1"/>
      <c r="AF960" s="1"/>
      <c r="AG960" s="1"/>
      <c r="AH960" s="1"/>
    </row>
    <row r="961">
      <c r="A961" s="1"/>
      <c r="B961" s="1"/>
      <c r="C961" s="1"/>
      <c r="D961" s="1"/>
      <c r="E961" s="1"/>
      <c r="F961" s="1"/>
      <c r="G961" s="1"/>
      <c r="H961" s="1"/>
      <c r="I961" s="1"/>
      <c r="J961" s="5"/>
      <c r="K961" s="2"/>
      <c r="L961" s="1"/>
      <c r="M961" s="1"/>
      <c r="N961" s="1"/>
      <c r="O961" s="1"/>
      <c r="P961" s="1"/>
      <c r="Q961" s="1"/>
      <c r="R961" s="1"/>
      <c r="S961" s="1"/>
      <c r="T961" s="1"/>
      <c r="U961" s="1"/>
      <c r="V961" s="1"/>
      <c r="W961" s="1"/>
      <c r="X961" s="1"/>
      <c r="Y961" s="1"/>
      <c r="Z961" s="1"/>
      <c r="AA961" s="1"/>
      <c r="AB961" s="1"/>
      <c r="AC961" s="1"/>
      <c r="AD961" s="1"/>
      <c r="AE961" s="1"/>
      <c r="AF961" s="1"/>
      <c r="AG961" s="1"/>
      <c r="AH961" s="1"/>
    </row>
    <row r="962">
      <c r="A962" s="1"/>
      <c r="B962" s="1"/>
      <c r="C962" s="1"/>
      <c r="D962" s="1"/>
      <c r="E962" s="1"/>
      <c r="F962" s="1"/>
      <c r="G962" s="1"/>
      <c r="H962" s="1"/>
      <c r="I962" s="1"/>
      <c r="J962" s="5"/>
      <c r="K962" s="2"/>
      <c r="L962" s="1"/>
      <c r="M962" s="1"/>
      <c r="N962" s="1"/>
      <c r="O962" s="1"/>
      <c r="P962" s="1"/>
      <c r="Q962" s="1"/>
      <c r="R962" s="1"/>
      <c r="S962" s="1"/>
      <c r="T962" s="1"/>
      <c r="U962" s="1"/>
      <c r="V962" s="1"/>
      <c r="W962" s="1"/>
      <c r="X962" s="1"/>
      <c r="Y962" s="1"/>
      <c r="Z962" s="1"/>
      <c r="AA962" s="1"/>
      <c r="AB962" s="1"/>
      <c r="AC962" s="1"/>
      <c r="AD962" s="1"/>
      <c r="AE962" s="1"/>
      <c r="AF962" s="1"/>
      <c r="AG962" s="1"/>
      <c r="AH962" s="1"/>
    </row>
    <row r="963">
      <c r="A963" s="1"/>
      <c r="B963" s="1"/>
      <c r="C963" s="1"/>
      <c r="D963" s="1"/>
      <c r="E963" s="1"/>
      <c r="F963" s="1"/>
      <c r="G963" s="1"/>
      <c r="H963" s="1"/>
      <c r="I963" s="1"/>
      <c r="J963" s="5"/>
      <c r="K963" s="2"/>
      <c r="L963" s="1"/>
      <c r="M963" s="1"/>
      <c r="N963" s="1"/>
      <c r="O963" s="1"/>
      <c r="P963" s="1"/>
      <c r="Q963" s="1"/>
      <c r="R963" s="1"/>
      <c r="S963" s="1"/>
      <c r="T963" s="1"/>
      <c r="U963" s="1"/>
      <c r="V963" s="1"/>
      <c r="W963" s="1"/>
      <c r="X963" s="1"/>
      <c r="Y963" s="1"/>
      <c r="Z963" s="1"/>
      <c r="AA963" s="1"/>
      <c r="AB963" s="1"/>
      <c r="AC963" s="1"/>
      <c r="AD963" s="1"/>
      <c r="AE963" s="1"/>
      <c r="AF963" s="1"/>
      <c r="AG963" s="1"/>
      <c r="AH963" s="1"/>
    </row>
    <row r="964">
      <c r="A964" s="1"/>
      <c r="B964" s="1"/>
      <c r="C964" s="1"/>
      <c r="D964" s="1"/>
      <c r="E964" s="1"/>
      <c r="F964" s="1"/>
      <c r="G964" s="1"/>
      <c r="H964" s="1"/>
      <c r="I964" s="1"/>
      <c r="J964" s="5"/>
      <c r="K964" s="2"/>
      <c r="L964" s="1"/>
      <c r="M964" s="1"/>
      <c r="N964" s="1"/>
      <c r="O964" s="1"/>
      <c r="P964" s="1"/>
      <c r="Q964" s="1"/>
      <c r="R964" s="1"/>
      <c r="S964" s="1"/>
      <c r="T964" s="1"/>
      <c r="U964" s="1"/>
      <c r="V964" s="1"/>
      <c r="W964" s="1"/>
      <c r="X964" s="1"/>
      <c r="Y964" s="1"/>
      <c r="Z964" s="1"/>
      <c r="AA964" s="1"/>
      <c r="AB964" s="1"/>
      <c r="AC964" s="1"/>
      <c r="AD964" s="1"/>
      <c r="AE964" s="1"/>
      <c r="AF964" s="1"/>
      <c r="AG964" s="1"/>
      <c r="AH964" s="1"/>
    </row>
    <row r="965">
      <c r="A965" s="1"/>
      <c r="B965" s="1"/>
      <c r="C965" s="1"/>
      <c r="D965" s="1"/>
      <c r="E965" s="1"/>
      <c r="F965" s="1"/>
      <c r="G965" s="1"/>
      <c r="H965" s="1"/>
      <c r="I965" s="1"/>
      <c r="J965" s="5"/>
      <c r="K965" s="2"/>
      <c r="L965" s="1"/>
      <c r="M965" s="1"/>
      <c r="N965" s="1"/>
      <c r="O965" s="1"/>
      <c r="P965" s="1"/>
      <c r="Q965" s="1"/>
      <c r="R965" s="1"/>
      <c r="S965" s="1"/>
      <c r="T965" s="1"/>
      <c r="U965" s="1"/>
      <c r="V965" s="1"/>
      <c r="W965" s="1"/>
      <c r="X965" s="1"/>
      <c r="Y965" s="1"/>
      <c r="Z965" s="1"/>
      <c r="AA965" s="1"/>
      <c r="AB965" s="1"/>
      <c r="AC965" s="1"/>
      <c r="AD965" s="1"/>
      <c r="AE965" s="1"/>
      <c r="AF965" s="1"/>
      <c r="AG965" s="1"/>
      <c r="AH965" s="1"/>
    </row>
    <row r="966">
      <c r="A966" s="1"/>
      <c r="B966" s="1"/>
      <c r="C966" s="1"/>
      <c r="D966" s="1"/>
      <c r="E966" s="1"/>
      <c r="F966" s="1"/>
      <c r="G966" s="1"/>
      <c r="H966" s="1"/>
      <c r="I966" s="1"/>
      <c r="J966" s="5"/>
      <c r="K966" s="2"/>
      <c r="L966" s="1"/>
      <c r="M966" s="1"/>
      <c r="N966" s="1"/>
      <c r="O966" s="1"/>
      <c r="P966" s="1"/>
      <c r="Q966" s="1"/>
      <c r="R966" s="1"/>
      <c r="S966" s="1"/>
      <c r="T966" s="1"/>
      <c r="U966" s="1"/>
      <c r="V966" s="1"/>
      <c r="W966" s="1"/>
      <c r="X966" s="1"/>
      <c r="Y966" s="1"/>
      <c r="Z966" s="1"/>
      <c r="AA966" s="1"/>
      <c r="AB966" s="1"/>
      <c r="AC966" s="1"/>
      <c r="AD966" s="1"/>
      <c r="AE966" s="1"/>
      <c r="AF966" s="1"/>
      <c r="AG966" s="1"/>
      <c r="AH966" s="1"/>
    </row>
    <row r="967">
      <c r="A967" s="1"/>
      <c r="B967" s="1"/>
      <c r="C967" s="1"/>
      <c r="D967" s="1"/>
      <c r="E967" s="1"/>
      <c r="F967" s="1"/>
      <c r="G967" s="1"/>
      <c r="H967" s="1"/>
      <c r="I967" s="1"/>
      <c r="J967" s="5"/>
      <c r="K967" s="2"/>
      <c r="L967" s="1"/>
      <c r="M967" s="1"/>
      <c r="N967" s="1"/>
      <c r="O967" s="1"/>
      <c r="P967" s="1"/>
      <c r="Q967" s="1"/>
      <c r="R967" s="1"/>
      <c r="S967" s="1"/>
      <c r="T967" s="1"/>
      <c r="U967" s="1"/>
      <c r="V967" s="1"/>
      <c r="W967" s="1"/>
      <c r="X967" s="1"/>
      <c r="Y967" s="1"/>
      <c r="Z967" s="1"/>
      <c r="AA967" s="1"/>
      <c r="AB967" s="1"/>
      <c r="AC967" s="1"/>
      <c r="AD967" s="1"/>
      <c r="AE967" s="1"/>
      <c r="AF967" s="1"/>
      <c r="AG967" s="1"/>
      <c r="AH967" s="1"/>
    </row>
    <row r="968">
      <c r="A968" s="1"/>
      <c r="B968" s="1"/>
      <c r="C968" s="1"/>
      <c r="D968" s="1"/>
      <c r="E968" s="1"/>
      <c r="F968" s="1"/>
      <c r="G968" s="1"/>
      <c r="H968" s="1"/>
      <c r="I968" s="1"/>
      <c r="J968" s="5"/>
      <c r="K968" s="2"/>
      <c r="L968" s="1"/>
      <c r="M968" s="1"/>
      <c r="N968" s="1"/>
      <c r="O968" s="1"/>
      <c r="P968" s="1"/>
      <c r="Q968" s="1"/>
      <c r="R968" s="1"/>
      <c r="S968" s="1"/>
      <c r="T968" s="1"/>
      <c r="U968" s="1"/>
      <c r="V968" s="1"/>
      <c r="W968" s="1"/>
      <c r="X968" s="1"/>
      <c r="Y968" s="1"/>
      <c r="Z968" s="1"/>
      <c r="AA968" s="1"/>
      <c r="AB968" s="1"/>
      <c r="AC968" s="1"/>
      <c r="AD968" s="1"/>
      <c r="AE968" s="1"/>
      <c r="AF968" s="1"/>
      <c r="AG968" s="1"/>
      <c r="AH968" s="1"/>
    </row>
    <row r="969">
      <c r="A969" s="1"/>
      <c r="B969" s="1"/>
      <c r="C969" s="1"/>
      <c r="D969" s="1"/>
      <c r="E969" s="1"/>
      <c r="F969" s="1"/>
      <c r="G969" s="1"/>
      <c r="H969" s="1"/>
      <c r="I969" s="1"/>
      <c r="J969" s="5"/>
      <c r="K969" s="2"/>
      <c r="L969" s="1"/>
      <c r="M969" s="1"/>
      <c r="N969" s="1"/>
      <c r="O969" s="1"/>
      <c r="P969" s="1"/>
      <c r="Q969" s="1"/>
      <c r="R969" s="1"/>
      <c r="S969" s="1"/>
      <c r="T969" s="1"/>
      <c r="U969" s="1"/>
      <c r="V969" s="1"/>
      <c r="W969" s="1"/>
      <c r="X969" s="1"/>
      <c r="Y969" s="1"/>
      <c r="Z969" s="1"/>
      <c r="AA969" s="1"/>
      <c r="AB969" s="1"/>
      <c r="AC969" s="1"/>
      <c r="AD969" s="1"/>
      <c r="AE969" s="1"/>
      <c r="AF969" s="1"/>
      <c r="AG969" s="1"/>
      <c r="AH969" s="1"/>
    </row>
    <row r="970">
      <c r="A970" s="1"/>
      <c r="B970" s="1"/>
      <c r="C970" s="1"/>
      <c r="D970" s="1"/>
      <c r="E970" s="1"/>
      <c r="F970" s="1"/>
      <c r="G970" s="1"/>
      <c r="H970" s="1"/>
      <c r="I970" s="1"/>
      <c r="J970" s="5"/>
      <c r="K970" s="2"/>
      <c r="L970" s="1"/>
      <c r="M970" s="1"/>
      <c r="N970" s="1"/>
      <c r="O970" s="1"/>
      <c r="P970" s="1"/>
      <c r="Q970" s="1"/>
      <c r="R970" s="1"/>
      <c r="S970" s="1"/>
      <c r="T970" s="1"/>
      <c r="U970" s="1"/>
      <c r="V970" s="1"/>
      <c r="W970" s="1"/>
      <c r="X970" s="1"/>
      <c r="Y970" s="1"/>
      <c r="Z970" s="1"/>
      <c r="AA970" s="1"/>
      <c r="AB970" s="1"/>
      <c r="AC970" s="1"/>
      <c r="AD970" s="1"/>
      <c r="AE970" s="1"/>
      <c r="AF970" s="1"/>
      <c r="AG970" s="1"/>
      <c r="AH970" s="1"/>
    </row>
    <row r="971">
      <c r="A971" s="1"/>
      <c r="B971" s="1"/>
      <c r="C971" s="1"/>
      <c r="D971" s="1"/>
      <c r="E971" s="1"/>
      <c r="F971" s="1"/>
      <c r="G971" s="1"/>
      <c r="H971" s="1"/>
      <c r="I971" s="1"/>
      <c r="J971" s="5"/>
      <c r="K971" s="2"/>
      <c r="L971" s="1"/>
      <c r="M971" s="1"/>
      <c r="N971" s="1"/>
      <c r="O971" s="1"/>
      <c r="P971" s="1"/>
      <c r="Q971" s="1"/>
      <c r="R971" s="1"/>
      <c r="S971" s="1"/>
      <c r="T971" s="1"/>
      <c r="U971" s="1"/>
      <c r="V971" s="1"/>
      <c r="W971" s="1"/>
      <c r="X971" s="1"/>
      <c r="Y971" s="1"/>
      <c r="Z971" s="1"/>
      <c r="AA971" s="1"/>
      <c r="AB971" s="1"/>
      <c r="AC971" s="1"/>
      <c r="AD971" s="1"/>
      <c r="AE971" s="1"/>
      <c r="AF971" s="1"/>
      <c r="AG971" s="1"/>
      <c r="AH971" s="1"/>
    </row>
    <row r="972">
      <c r="A972" s="1"/>
      <c r="B972" s="1"/>
      <c r="C972" s="1"/>
      <c r="D972" s="1"/>
      <c r="E972" s="1"/>
      <c r="F972" s="1"/>
      <c r="G972" s="1"/>
      <c r="H972" s="1"/>
      <c r="I972" s="1"/>
      <c r="J972" s="5"/>
      <c r="K972" s="2"/>
      <c r="L972" s="1"/>
      <c r="M972" s="1"/>
      <c r="N972" s="1"/>
      <c r="O972" s="1"/>
      <c r="P972" s="1"/>
      <c r="Q972" s="1"/>
      <c r="R972" s="1"/>
      <c r="S972" s="1"/>
      <c r="T972" s="1"/>
      <c r="U972" s="1"/>
      <c r="V972" s="1"/>
      <c r="W972" s="1"/>
      <c r="X972" s="1"/>
      <c r="Y972" s="1"/>
      <c r="Z972" s="1"/>
      <c r="AA972" s="1"/>
      <c r="AB972" s="1"/>
      <c r="AC972" s="1"/>
      <c r="AD972" s="1"/>
      <c r="AE972" s="1"/>
      <c r="AF972" s="1"/>
      <c r="AG972" s="1"/>
      <c r="AH972" s="1"/>
    </row>
    <row r="973">
      <c r="A973" s="1"/>
      <c r="B973" s="1"/>
      <c r="C973" s="1"/>
      <c r="D973" s="1"/>
      <c r="E973" s="1"/>
      <c r="F973" s="1"/>
      <c r="G973" s="1"/>
      <c r="H973" s="1"/>
      <c r="I973" s="1"/>
      <c r="J973" s="5"/>
      <c r="K973" s="2"/>
      <c r="L973" s="1"/>
      <c r="M973" s="1"/>
      <c r="N973" s="1"/>
      <c r="O973" s="1"/>
      <c r="P973" s="1"/>
      <c r="Q973" s="1"/>
      <c r="R973" s="1"/>
      <c r="S973" s="1"/>
      <c r="T973" s="1"/>
      <c r="U973" s="1"/>
      <c r="V973" s="1"/>
      <c r="W973" s="1"/>
      <c r="X973" s="1"/>
      <c r="Y973" s="1"/>
      <c r="Z973" s="1"/>
      <c r="AA973" s="1"/>
      <c r="AB973" s="1"/>
      <c r="AC973" s="1"/>
      <c r="AD973" s="1"/>
      <c r="AE973" s="1"/>
      <c r="AF973" s="1"/>
      <c r="AG973" s="1"/>
      <c r="AH973" s="1"/>
    </row>
    <row r="974">
      <c r="A974" s="1"/>
      <c r="B974" s="1"/>
      <c r="C974" s="1"/>
      <c r="D974" s="1"/>
      <c r="E974" s="1"/>
      <c r="F974" s="1"/>
      <c r="G974" s="1"/>
      <c r="H974" s="1"/>
      <c r="I974" s="1"/>
      <c r="J974" s="5"/>
      <c r="K974" s="2"/>
      <c r="L974" s="1"/>
      <c r="M974" s="1"/>
      <c r="N974" s="1"/>
      <c r="O974" s="1"/>
      <c r="P974" s="1"/>
      <c r="Q974" s="1"/>
      <c r="R974" s="1"/>
      <c r="S974" s="1"/>
      <c r="T974" s="1"/>
      <c r="U974" s="1"/>
      <c r="V974" s="1"/>
      <c r="W974" s="1"/>
      <c r="X974" s="1"/>
      <c r="Y974" s="1"/>
      <c r="Z974" s="1"/>
      <c r="AA974" s="1"/>
      <c r="AB974" s="1"/>
      <c r="AC974" s="1"/>
      <c r="AD974" s="1"/>
      <c r="AE974" s="1"/>
      <c r="AF974" s="1"/>
      <c r="AG974" s="1"/>
      <c r="AH974" s="1"/>
    </row>
    <row r="975">
      <c r="A975" s="1"/>
      <c r="B975" s="1"/>
      <c r="C975" s="1"/>
      <c r="D975" s="1"/>
      <c r="E975" s="1"/>
      <c r="F975" s="1"/>
      <c r="G975" s="1"/>
      <c r="H975" s="1"/>
      <c r="I975" s="1"/>
      <c r="J975" s="5"/>
      <c r="K975" s="2"/>
      <c r="L975" s="1"/>
      <c r="M975" s="1"/>
      <c r="N975" s="1"/>
      <c r="O975" s="1"/>
      <c r="P975" s="1"/>
      <c r="Q975" s="1"/>
      <c r="R975" s="1"/>
      <c r="S975" s="1"/>
      <c r="T975" s="1"/>
      <c r="U975" s="1"/>
      <c r="V975" s="1"/>
      <c r="W975" s="1"/>
      <c r="X975" s="1"/>
      <c r="Y975" s="1"/>
      <c r="Z975" s="1"/>
      <c r="AA975" s="1"/>
      <c r="AB975" s="1"/>
      <c r="AC975" s="1"/>
      <c r="AD975" s="1"/>
      <c r="AE975" s="1"/>
      <c r="AF975" s="1"/>
      <c r="AG975" s="1"/>
      <c r="AH975" s="1"/>
    </row>
    <row r="976">
      <c r="A976" s="1"/>
      <c r="B976" s="1"/>
      <c r="C976" s="1"/>
      <c r="D976" s="1"/>
      <c r="E976" s="1"/>
      <c r="F976" s="1"/>
      <c r="G976" s="1"/>
      <c r="H976" s="1"/>
      <c r="I976" s="1"/>
      <c r="J976" s="5"/>
      <c r="K976" s="2"/>
      <c r="L976" s="1"/>
      <c r="M976" s="1"/>
      <c r="N976" s="1"/>
      <c r="O976" s="1"/>
      <c r="P976" s="1"/>
      <c r="Q976" s="1"/>
      <c r="R976" s="1"/>
      <c r="S976" s="1"/>
      <c r="T976" s="1"/>
      <c r="U976" s="1"/>
      <c r="V976" s="1"/>
      <c r="W976" s="1"/>
      <c r="X976" s="1"/>
      <c r="Y976" s="1"/>
      <c r="Z976" s="1"/>
      <c r="AA976" s="1"/>
      <c r="AB976" s="1"/>
      <c r="AC976" s="1"/>
      <c r="AD976" s="1"/>
      <c r="AE976" s="1"/>
      <c r="AF976" s="1"/>
      <c r="AG976" s="1"/>
      <c r="AH976" s="1"/>
    </row>
    <row r="977">
      <c r="A977" s="1"/>
      <c r="B977" s="1"/>
      <c r="C977" s="1"/>
      <c r="D977" s="1"/>
      <c r="E977" s="1"/>
      <c r="F977" s="1"/>
      <c r="G977" s="1"/>
      <c r="H977" s="1"/>
      <c r="I977" s="1"/>
      <c r="J977" s="5"/>
      <c r="K977" s="2"/>
      <c r="L977" s="1"/>
      <c r="M977" s="1"/>
      <c r="N977" s="1"/>
      <c r="O977" s="1"/>
      <c r="P977" s="1"/>
      <c r="Q977" s="1"/>
      <c r="R977" s="1"/>
      <c r="S977" s="1"/>
      <c r="T977" s="1"/>
      <c r="U977" s="1"/>
      <c r="V977" s="1"/>
      <c r="W977" s="1"/>
      <c r="X977" s="1"/>
      <c r="Y977" s="1"/>
      <c r="Z977" s="1"/>
      <c r="AA977" s="1"/>
      <c r="AB977" s="1"/>
      <c r="AC977" s="1"/>
      <c r="AD977" s="1"/>
      <c r="AE977" s="1"/>
      <c r="AF977" s="1"/>
      <c r="AG977" s="1"/>
      <c r="AH977" s="1"/>
    </row>
    <row r="978">
      <c r="A978" s="1"/>
      <c r="B978" s="1"/>
      <c r="C978" s="1"/>
      <c r="D978" s="1"/>
      <c r="E978" s="1"/>
      <c r="F978" s="1"/>
      <c r="G978" s="1"/>
      <c r="H978" s="1"/>
      <c r="I978" s="1"/>
      <c r="J978" s="5"/>
      <c r="K978" s="2"/>
      <c r="L978" s="1"/>
      <c r="M978" s="1"/>
      <c r="N978" s="1"/>
      <c r="O978" s="1"/>
      <c r="P978" s="1"/>
      <c r="Q978" s="1"/>
      <c r="R978" s="1"/>
      <c r="S978" s="1"/>
      <c r="T978" s="1"/>
      <c r="U978" s="1"/>
      <c r="V978" s="1"/>
      <c r="W978" s="1"/>
      <c r="X978" s="1"/>
      <c r="Y978" s="1"/>
      <c r="Z978" s="1"/>
      <c r="AA978" s="1"/>
      <c r="AB978" s="1"/>
      <c r="AC978" s="1"/>
      <c r="AD978" s="1"/>
      <c r="AE978" s="1"/>
      <c r="AF978" s="1"/>
      <c r="AG978" s="1"/>
      <c r="AH978" s="1"/>
    </row>
    <row r="979">
      <c r="A979" s="1"/>
      <c r="B979" s="1"/>
      <c r="C979" s="1"/>
      <c r="D979" s="1"/>
      <c r="E979" s="1"/>
      <c r="F979" s="1"/>
      <c r="G979" s="1"/>
      <c r="H979" s="1"/>
      <c r="I979" s="1"/>
      <c r="J979" s="5"/>
      <c r="K979" s="2"/>
      <c r="L979" s="1"/>
      <c r="M979" s="1"/>
      <c r="N979" s="1"/>
      <c r="O979" s="1"/>
      <c r="P979" s="1"/>
      <c r="Q979" s="1"/>
      <c r="R979" s="1"/>
      <c r="S979" s="1"/>
      <c r="T979" s="1"/>
      <c r="U979" s="1"/>
      <c r="V979" s="1"/>
      <c r="W979" s="1"/>
      <c r="X979" s="1"/>
      <c r="Y979" s="1"/>
      <c r="Z979" s="1"/>
      <c r="AA979" s="1"/>
      <c r="AB979" s="1"/>
      <c r="AC979" s="1"/>
      <c r="AD979" s="1"/>
      <c r="AE979" s="1"/>
      <c r="AF979" s="1"/>
      <c r="AG979" s="1"/>
      <c r="AH979" s="1"/>
    </row>
    <row r="980">
      <c r="A980" s="1"/>
      <c r="B980" s="1"/>
      <c r="C980" s="1"/>
      <c r="D980" s="1"/>
      <c r="E980" s="1"/>
      <c r="F980" s="1"/>
      <c r="G980" s="1"/>
      <c r="H980" s="1"/>
      <c r="I980" s="1"/>
      <c r="J980" s="5"/>
      <c r="K980" s="2"/>
      <c r="L980" s="1"/>
      <c r="M980" s="1"/>
      <c r="N980" s="1"/>
      <c r="O980" s="1"/>
      <c r="P980" s="1"/>
      <c r="Q980" s="1"/>
      <c r="R980" s="1"/>
      <c r="S980" s="1"/>
      <c r="T980" s="1"/>
      <c r="U980" s="1"/>
      <c r="V980" s="1"/>
      <c r="W980" s="1"/>
      <c r="X980" s="1"/>
      <c r="Y980" s="1"/>
      <c r="Z980" s="1"/>
      <c r="AA980" s="1"/>
      <c r="AB980" s="1"/>
      <c r="AC980" s="1"/>
      <c r="AD980" s="1"/>
      <c r="AE980" s="1"/>
      <c r="AF980" s="1"/>
      <c r="AG980" s="1"/>
      <c r="AH980" s="1"/>
    </row>
    <row r="981">
      <c r="A981" s="1"/>
      <c r="B981" s="1"/>
      <c r="C981" s="1"/>
      <c r="D981" s="1"/>
      <c r="E981" s="1"/>
      <c r="F981" s="1"/>
      <c r="G981" s="1"/>
      <c r="H981" s="1"/>
      <c r="I981" s="1"/>
      <c r="J981" s="5"/>
      <c r="K981" s="2"/>
      <c r="L981" s="1"/>
      <c r="M981" s="1"/>
      <c r="N981" s="1"/>
      <c r="O981" s="1"/>
      <c r="P981" s="1"/>
      <c r="Q981" s="1"/>
      <c r="R981" s="1"/>
      <c r="S981" s="1"/>
      <c r="T981" s="1"/>
      <c r="U981" s="1"/>
      <c r="V981" s="1"/>
      <c r="W981" s="1"/>
      <c r="X981" s="1"/>
      <c r="Y981" s="1"/>
      <c r="Z981" s="1"/>
      <c r="AA981" s="1"/>
      <c r="AB981" s="1"/>
      <c r="AC981" s="1"/>
      <c r="AD981" s="1"/>
      <c r="AE981" s="1"/>
      <c r="AF981" s="1"/>
      <c r="AG981" s="1"/>
      <c r="AH981" s="1"/>
    </row>
    <row r="982">
      <c r="A982" s="1"/>
      <c r="B982" s="1"/>
      <c r="C982" s="1"/>
      <c r="D982" s="1"/>
      <c r="E982" s="1"/>
      <c r="F982" s="1"/>
      <c r="G982" s="1"/>
      <c r="H982" s="1"/>
      <c r="I982" s="1"/>
      <c r="J982" s="5"/>
      <c r="K982" s="2"/>
      <c r="L982" s="1"/>
      <c r="M982" s="1"/>
      <c r="N982" s="1"/>
      <c r="O982" s="1"/>
      <c r="P982" s="1"/>
      <c r="Q982" s="1"/>
      <c r="R982" s="1"/>
      <c r="S982" s="1"/>
      <c r="T982" s="1"/>
      <c r="U982" s="1"/>
      <c r="V982" s="1"/>
      <c r="W982" s="1"/>
      <c r="X982" s="1"/>
      <c r="Y982" s="1"/>
      <c r="Z982" s="1"/>
      <c r="AA982" s="1"/>
      <c r="AB982" s="1"/>
      <c r="AC982" s="1"/>
      <c r="AD982" s="1"/>
      <c r="AE982" s="1"/>
      <c r="AF982" s="1"/>
      <c r="AG982" s="1"/>
      <c r="AH982" s="1"/>
    </row>
    <row r="983">
      <c r="A983" s="1"/>
      <c r="B983" s="1"/>
      <c r="C983" s="1"/>
      <c r="D983" s="1"/>
      <c r="E983" s="1"/>
      <c r="F983" s="1"/>
      <c r="G983" s="1"/>
      <c r="H983" s="1"/>
      <c r="I983" s="1"/>
      <c r="J983" s="5"/>
      <c r="K983" s="2"/>
      <c r="L983" s="1"/>
      <c r="M983" s="1"/>
      <c r="N983" s="1"/>
      <c r="O983" s="1"/>
      <c r="P983" s="1"/>
      <c r="Q983" s="1"/>
      <c r="R983" s="1"/>
      <c r="S983" s="1"/>
      <c r="T983" s="1"/>
      <c r="U983" s="1"/>
      <c r="V983" s="1"/>
      <c r="W983" s="1"/>
      <c r="X983" s="1"/>
      <c r="Y983" s="1"/>
      <c r="Z983" s="1"/>
      <c r="AA983" s="1"/>
      <c r="AB983" s="1"/>
      <c r="AC983" s="1"/>
      <c r="AD983" s="1"/>
      <c r="AE983" s="1"/>
      <c r="AF983" s="1"/>
      <c r="AG983" s="1"/>
      <c r="AH983" s="1"/>
    </row>
    <row r="984">
      <c r="A984" s="1"/>
      <c r="B984" s="1"/>
      <c r="C984" s="1"/>
      <c r="D984" s="1"/>
      <c r="E984" s="1"/>
      <c r="F984" s="1"/>
      <c r="G984" s="1"/>
      <c r="H984" s="1"/>
      <c r="I984" s="1"/>
      <c r="J984" s="5"/>
      <c r="K984" s="2"/>
      <c r="L984" s="1"/>
      <c r="M984" s="1"/>
      <c r="N984" s="1"/>
      <c r="O984" s="1"/>
      <c r="P984" s="1"/>
      <c r="Q984" s="1"/>
      <c r="R984" s="1"/>
      <c r="S984" s="1"/>
      <c r="T984" s="1"/>
      <c r="U984" s="1"/>
      <c r="V984" s="1"/>
      <c r="W984" s="1"/>
      <c r="X984" s="1"/>
      <c r="Y984" s="1"/>
      <c r="Z984" s="1"/>
      <c r="AA984" s="1"/>
      <c r="AB984" s="1"/>
      <c r="AC984" s="1"/>
      <c r="AD984" s="1"/>
      <c r="AE984" s="1"/>
      <c r="AF984" s="1"/>
      <c r="AG984" s="1"/>
      <c r="AH984" s="1"/>
    </row>
    <row r="985">
      <c r="A985" s="1"/>
      <c r="B985" s="1"/>
      <c r="C985" s="1"/>
      <c r="D985" s="1"/>
      <c r="E985" s="1"/>
      <c r="F985" s="1"/>
      <c r="G985" s="1"/>
      <c r="H985" s="1"/>
      <c r="I985" s="1"/>
      <c r="J985" s="5"/>
      <c r="K985" s="2"/>
      <c r="L985" s="1"/>
      <c r="M985" s="1"/>
      <c r="N985" s="1"/>
      <c r="O985" s="1"/>
      <c r="P985" s="1"/>
      <c r="Q985" s="1"/>
      <c r="R985" s="1"/>
      <c r="S985" s="1"/>
      <c r="T985" s="1"/>
      <c r="U985" s="1"/>
      <c r="V985" s="1"/>
      <c r="W985" s="1"/>
      <c r="X985" s="1"/>
      <c r="Y985" s="1"/>
      <c r="Z985" s="1"/>
      <c r="AA985" s="1"/>
      <c r="AB985" s="1"/>
      <c r="AC985" s="1"/>
      <c r="AD985" s="1"/>
      <c r="AE985" s="1"/>
      <c r="AF985" s="1"/>
      <c r="AG985" s="1"/>
      <c r="AH985" s="1"/>
    </row>
    <row r="986">
      <c r="A986" s="1"/>
      <c r="B986" s="1"/>
      <c r="C986" s="1"/>
      <c r="D986" s="1"/>
      <c r="E986" s="1"/>
      <c r="F986" s="1"/>
      <c r="G986" s="1"/>
      <c r="H986" s="1"/>
      <c r="I986" s="1"/>
      <c r="J986" s="5"/>
      <c r="K986" s="2"/>
      <c r="L986" s="1"/>
      <c r="M986" s="1"/>
      <c r="N986" s="1"/>
      <c r="O986" s="1"/>
      <c r="P986" s="1"/>
      <c r="Q986" s="1"/>
      <c r="R986" s="1"/>
      <c r="S986" s="1"/>
      <c r="T986" s="1"/>
      <c r="U986" s="1"/>
      <c r="V986" s="1"/>
      <c r="W986" s="1"/>
      <c r="X986" s="1"/>
      <c r="Y986" s="1"/>
      <c r="Z986" s="1"/>
      <c r="AA986" s="1"/>
      <c r="AB986" s="1"/>
      <c r="AC986" s="1"/>
      <c r="AD986" s="1"/>
      <c r="AE986" s="1"/>
      <c r="AF986" s="1"/>
      <c r="AG986" s="1"/>
      <c r="AH986" s="1"/>
    </row>
    <row r="987">
      <c r="A987" s="1"/>
      <c r="B987" s="1"/>
      <c r="C987" s="1"/>
      <c r="D987" s="1"/>
      <c r="E987" s="1"/>
      <c r="F987" s="1"/>
      <c r="G987" s="1"/>
      <c r="H987" s="1"/>
      <c r="I987" s="1"/>
      <c r="J987" s="5"/>
      <c r="K987" s="2"/>
      <c r="L987" s="1"/>
      <c r="M987" s="1"/>
      <c r="N987" s="1"/>
      <c r="O987" s="1"/>
      <c r="P987" s="1"/>
      <c r="Q987" s="1"/>
      <c r="R987" s="1"/>
      <c r="S987" s="1"/>
      <c r="T987" s="1"/>
      <c r="U987" s="1"/>
      <c r="V987" s="1"/>
      <c r="W987" s="1"/>
      <c r="X987" s="1"/>
      <c r="Y987" s="1"/>
      <c r="Z987" s="1"/>
      <c r="AA987" s="1"/>
      <c r="AB987" s="1"/>
      <c r="AC987" s="1"/>
      <c r="AD987" s="1"/>
      <c r="AE987" s="1"/>
      <c r="AF987" s="1"/>
      <c r="AG987" s="1"/>
      <c r="AH987" s="1"/>
    </row>
    <row r="988">
      <c r="A988" s="1"/>
      <c r="B988" s="1"/>
      <c r="C988" s="1"/>
      <c r="D988" s="1"/>
      <c r="E988" s="1"/>
      <c r="F988" s="1"/>
      <c r="G988" s="1"/>
      <c r="H988" s="1"/>
      <c r="I988" s="1"/>
      <c r="J988" s="5"/>
      <c r="K988" s="2"/>
      <c r="L988" s="1"/>
      <c r="M988" s="1"/>
      <c r="N988" s="1"/>
      <c r="O988" s="1"/>
      <c r="P988" s="1"/>
      <c r="Q988" s="1"/>
      <c r="R988" s="1"/>
      <c r="S988" s="1"/>
      <c r="T988" s="1"/>
      <c r="U988" s="1"/>
      <c r="V988" s="1"/>
      <c r="W988" s="1"/>
      <c r="X988" s="1"/>
      <c r="Y988" s="1"/>
      <c r="Z988" s="1"/>
      <c r="AA988" s="1"/>
      <c r="AB988" s="1"/>
      <c r="AC988" s="1"/>
      <c r="AD988" s="1"/>
      <c r="AE988" s="1"/>
      <c r="AF988" s="1"/>
      <c r="AG988" s="1"/>
      <c r="AH988" s="1"/>
    </row>
    <row r="989">
      <c r="A989" s="1"/>
      <c r="B989" s="1"/>
      <c r="C989" s="1"/>
      <c r="D989" s="1"/>
      <c r="E989" s="1"/>
      <c r="F989" s="1"/>
      <c r="G989" s="1"/>
      <c r="H989" s="1"/>
      <c r="I989" s="1"/>
      <c r="J989" s="5"/>
      <c r="K989" s="2"/>
      <c r="L989" s="1"/>
      <c r="M989" s="1"/>
      <c r="N989" s="1"/>
      <c r="O989" s="1"/>
      <c r="P989" s="1"/>
      <c r="Q989" s="1"/>
      <c r="R989" s="1"/>
      <c r="S989" s="1"/>
      <c r="T989" s="1"/>
      <c r="U989" s="1"/>
      <c r="V989" s="1"/>
      <c r="W989" s="1"/>
      <c r="X989" s="1"/>
      <c r="Y989" s="1"/>
      <c r="Z989" s="1"/>
      <c r="AA989" s="1"/>
      <c r="AB989" s="1"/>
      <c r="AC989" s="1"/>
      <c r="AD989" s="1"/>
      <c r="AE989" s="1"/>
      <c r="AF989" s="1"/>
      <c r="AG989" s="1"/>
      <c r="AH989" s="1"/>
    </row>
    <row r="990">
      <c r="A990" s="1"/>
      <c r="B990" s="1"/>
      <c r="C990" s="1"/>
      <c r="D990" s="1"/>
      <c r="E990" s="1"/>
      <c r="F990" s="1"/>
      <c r="G990" s="1"/>
      <c r="H990" s="1"/>
      <c r="I990" s="1"/>
      <c r="J990" s="5"/>
      <c r="K990" s="2"/>
      <c r="L990" s="1"/>
      <c r="M990" s="1"/>
      <c r="N990" s="1"/>
      <c r="O990" s="1"/>
      <c r="P990" s="1"/>
      <c r="Q990" s="1"/>
      <c r="R990" s="1"/>
      <c r="S990" s="1"/>
      <c r="T990" s="1"/>
      <c r="U990" s="1"/>
      <c r="V990" s="1"/>
      <c r="W990" s="1"/>
      <c r="X990" s="1"/>
      <c r="Y990" s="1"/>
      <c r="Z990" s="1"/>
      <c r="AA990" s="1"/>
      <c r="AB990" s="1"/>
      <c r="AC990" s="1"/>
      <c r="AD990" s="1"/>
      <c r="AE990" s="1"/>
      <c r="AF990" s="1"/>
      <c r="AG990" s="1"/>
      <c r="AH990" s="1"/>
    </row>
    <row r="991">
      <c r="A991" s="1"/>
      <c r="B991" s="1"/>
      <c r="C991" s="1"/>
      <c r="D991" s="1"/>
      <c r="E991" s="1"/>
      <c r="F991" s="1"/>
      <c r="G991" s="1"/>
      <c r="H991" s="1"/>
      <c r="I991" s="1"/>
      <c r="J991" s="5"/>
      <c r="K991" s="2"/>
      <c r="L991" s="1"/>
      <c r="M991" s="1"/>
      <c r="N991" s="1"/>
      <c r="O991" s="1"/>
      <c r="P991" s="1"/>
      <c r="Q991" s="1"/>
      <c r="R991" s="1"/>
      <c r="S991" s="1"/>
      <c r="T991" s="1"/>
      <c r="U991" s="1"/>
      <c r="V991" s="1"/>
      <c r="W991" s="1"/>
      <c r="X991" s="1"/>
      <c r="Y991" s="1"/>
      <c r="Z991" s="1"/>
      <c r="AA991" s="1"/>
      <c r="AB991" s="1"/>
      <c r="AC991" s="1"/>
      <c r="AD991" s="1"/>
      <c r="AE991" s="1"/>
      <c r="AF991" s="1"/>
      <c r="AG991" s="1"/>
      <c r="AH991" s="1"/>
    </row>
    <row r="992">
      <c r="A992" s="1"/>
      <c r="B992" s="1"/>
      <c r="C992" s="1"/>
      <c r="D992" s="1"/>
      <c r="E992" s="1"/>
      <c r="F992" s="1"/>
      <c r="G992" s="1"/>
      <c r="H992" s="1"/>
      <c r="I992" s="1"/>
      <c r="J992" s="5"/>
      <c r="K992" s="2"/>
      <c r="L992" s="1"/>
      <c r="M992" s="1"/>
      <c r="N992" s="1"/>
      <c r="O992" s="1"/>
      <c r="P992" s="1"/>
      <c r="Q992" s="1"/>
      <c r="R992" s="1"/>
      <c r="S992" s="1"/>
      <c r="T992" s="1"/>
      <c r="U992" s="1"/>
      <c r="V992" s="1"/>
      <c r="W992" s="1"/>
      <c r="X992" s="1"/>
      <c r="Y992" s="1"/>
      <c r="Z992" s="1"/>
      <c r="AA992" s="1"/>
      <c r="AB992" s="1"/>
      <c r="AC992" s="1"/>
      <c r="AD992" s="1"/>
      <c r="AE992" s="1"/>
      <c r="AF992" s="1"/>
      <c r="AG992" s="1"/>
      <c r="AH992" s="1"/>
    </row>
    <row r="993">
      <c r="A993" s="1"/>
      <c r="B993" s="1"/>
      <c r="C993" s="1"/>
      <c r="D993" s="1"/>
      <c r="E993" s="1"/>
      <c r="F993" s="1"/>
      <c r="G993" s="1"/>
      <c r="H993" s="1"/>
      <c r="I993" s="1"/>
      <c r="J993" s="5"/>
      <c r="K993" s="2"/>
      <c r="L993" s="1"/>
      <c r="M993" s="1"/>
      <c r="N993" s="1"/>
      <c r="O993" s="1"/>
      <c r="P993" s="1"/>
      <c r="Q993" s="1"/>
      <c r="R993" s="1"/>
      <c r="S993" s="1"/>
      <c r="T993" s="1"/>
      <c r="U993" s="1"/>
      <c r="V993" s="1"/>
      <c r="W993" s="1"/>
      <c r="X993" s="1"/>
      <c r="Y993" s="1"/>
      <c r="Z993" s="1"/>
      <c r="AA993" s="1"/>
      <c r="AB993" s="1"/>
      <c r="AC993" s="1"/>
      <c r="AD993" s="1"/>
      <c r="AE993" s="1"/>
      <c r="AF993" s="1"/>
      <c r="AG993" s="1"/>
      <c r="AH993" s="1"/>
    </row>
    <row r="994">
      <c r="A994" s="1"/>
      <c r="B994" s="1"/>
      <c r="C994" s="1"/>
      <c r="D994" s="1"/>
      <c r="E994" s="1"/>
      <c r="F994" s="1"/>
      <c r="G994" s="1"/>
      <c r="H994" s="1"/>
      <c r="I994" s="1"/>
      <c r="J994" s="5"/>
      <c r="K994" s="2"/>
      <c r="L994" s="1"/>
      <c r="M994" s="1"/>
      <c r="N994" s="1"/>
      <c r="O994" s="1"/>
      <c r="P994" s="1"/>
      <c r="Q994" s="1"/>
      <c r="R994" s="1"/>
      <c r="S994" s="1"/>
      <c r="T994" s="1"/>
      <c r="U994" s="1"/>
      <c r="V994" s="1"/>
      <c r="W994" s="1"/>
      <c r="X994" s="1"/>
      <c r="Y994" s="1"/>
      <c r="Z994" s="1"/>
      <c r="AA994" s="1"/>
      <c r="AB994" s="1"/>
      <c r="AC994" s="1"/>
      <c r="AD994" s="1"/>
      <c r="AE994" s="1"/>
      <c r="AF994" s="1"/>
      <c r="AG994" s="1"/>
      <c r="AH994" s="1"/>
    </row>
    <row r="995">
      <c r="A995" s="1"/>
      <c r="B995" s="1"/>
      <c r="C995" s="1"/>
      <c r="D995" s="1"/>
      <c r="E995" s="1"/>
      <c r="F995" s="1"/>
      <c r="G995" s="1"/>
      <c r="H995" s="1"/>
      <c r="I995" s="1"/>
      <c r="J995" s="5"/>
      <c r="K995" s="2"/>
      <c r="L995" s="1"/>
      <c r="M995" s="1"/>
      <c r="N995" s="1"/>
      <c r="O995" s="1"/>
      <c r="P995" s="1"/>
      <c r="Q995" s="1"/>
      <c r="R995" s="1"/>
      <c r="S995" s="1"/>
      <c r="T995" s="1"/>
      <c r="U995" s="1"/>
      <c r="V995" s="1"/>
      <c r="W995" s="1"/>
      <c r="X995" s="1"/>
      <c r="Y995" s="1"/>
      <c r="Z995" s="1"/>
      <c r="AA995" s="1"/>
      <c r="AB995" s="1"/>
      <c r="AC995" s="1"/>
      <c r="AD995" s="1"/>
      <c r="AE995" s="1"/>
      <c r="AF995" s="1"/>
      <c r="AG995" s="1"/>
      <c r="AH995" s="1"/>
    </row>
    <row r="996">
      <c r="A996" s="1"/>
      <c r="B996" s="1"/>
      <c r="C996" s="1"/>
      <c r="D996" s="1"/>
      <c r="E996" s="1"/>
      <c r="F996" s="1"/>
      <c r="G996" s="1"/>
      <c r="H996" s="1"/>
      <c r="I996" s="1"/>
      <c r="J996" s="5"/>
      <c r="K996" s="2"/>
      <c r="L996" s="1"/>
      <c r="M996" s="1"/>
      <c r="N996" s="1"/>
      <c r="O996" s="1"/>
      <c r="P996" s="1"/>
      <c r="Q996" s="1"/>
      <c r="R996" s="1"/>
      <c r="S996" s="1"/>
      <c r="T996" s="1"/>
      <c r="U996" s="1"/>
      <c r="V996" s="1"/>
      <c r="W996" s="1"/>
      <c r="X996" s="1"/>
      <c r="Y996" s="1"/>
      <c r="Z996" s="1"/>
      <c r="AA996" s="1"/>
      <c r="AB996" s="1"/>
      <c r="AC996" s="1"/>
      <c r="AD996" s="1"/>
      <c r="AE996" s="1"/>
      <c r="AF996" s="1"/>
      <c r="AG996" s="1"/>
      <c r="AH996" s="1"/>
    </row>
    <row r="997">
      <c r="A997" s="1"/>
      <c r="B997" s="1"/>
      <c r="C997" s="1"/>
      <c r="D997" s="1"/>
      <c r="E997" s="1"/>
      <c r="F997" s="1"/>
      <c r="G997" s="1"/>
      <c r="H997" s="1"/>
      <c r="I997" s="1"/>
      <c r="J997" s="5"/>
      <c r="K997" s="2"/>
      <c r="L997" s="1"/>
      <c r="M997" s="1"/>
      <c r="N997" s="1"/>
      <c r="O997" s="1"/>
      <c r="P997" s="1"/>
      <c r="Q997" s="1"/>
      <c r="R997" s="1"/>
      <c r="S997" s="1"/>
      <c r="T997" s="1"/>
      <c r="U997" s="1"/>
      <c r="V997" s="1"/>
      <c r="W997" s="1"/>
      <c r="X997" s="1"/>
      <c r="Y997" s="1"/>
      <c r="Z997" s="1"/>
      <c r="AA997" s="1"/>
      <c r="AB997" s="1"/>
      <c r="AC997" s="1"/>
      <c r="AD997" s="1"/>
      <c r="AE997" s="1"/>
      <c r="AF997" s="1"/>
      <c r="AG997" s="1"/>
      <c r="AH997" s="1"/>
    </row>
    <row r="998">
      <c r="A998" s="1"/>
      <c r="B998" s="1"/>
      <c r="C998" s="1"/>
      <c r="D998" s="1"/>
      <c r="E998" s="1"/>
      <c r="F998" s="1"/>
      <c r="G998" s="1"/>
      <c r="H998" s="1"/>
      <c r="I998" s="1"/>
      <c r="J998" s="5"/>
      <c r="K998" s="2"/>
      <c r="L998" s="1"/>
      <c r="M998" s="1"/>
      <c r="N998" s="1"/>
      <c r="O998" s="1"/>
      <c r="P998" s="1"/>
      <c r="Q998" s="1"/>
      <c r="R998" s="1"/>
      <c r="S998" s="1"/>
      <c r="T998" s="1"/>
      <c r="U998" s="1"/>
      <c r="V998" s="1"/>
      <c r="W998" s="1"/>
      <c r="X998" s="1"/>
      <c r="Y998" s="1"/>
      <c r="Z998" s="1"/>
      <c r="AA998" s="1"/>
      <c r="AB998" s="1"/>
      <c r="AC998" s="1"/>
      <c r="AD998" s="1"/>
      <c r="AE998" s="1"/>
      <c r="AF998" s="1"/>
      <c r="AG998" s="1"/>
      <c r="AH998" s="1"/>
    </row>
    <row r="999">
      <c r="A999" s="1"/>
      <c r="B999" s="1"/>
      <c r="C999" s="1"/>
      <c r="D999" s="1"/>
      <c r="E999" s="1"/>
      <c r="F999" s="1"/>
      <c r="G999" s="1"/>
      <c r="H999" s="1"/>
      <c r="I999" s="1"/>
      <c r="J999" s="5"/>
      <c r="K999" s="2"/>
      <c r="L999" s="1"/>
      <c r="M999" s="1"/>
      <c r="N999" s="1"/>
      <c r="O999" s="1"/>
      <c r="P999" s="1"/>
      <c r="Q999" s="1"/>
      <c r="R999" s="1"/>
      <c r="S999" s="1"/>
      <c r="T999" s="1"/>
      <c r="U999" s="1"/>
      <c r="V999" s="1"/>
      <c r="W999" s="1"/>
      <c r="X999" s="1"/>
      <c r="Y999" s="1"/>
      <c r="Z999" s="1"/>
      <c r="AA999" s="1"/>
      <c r="AB999" s="1"/>
      <c r="AC999" s="1"/>
      <c r="AD999" s="1"/>
      <c r="AE999" s="1"/>
      <c r="AF999" s="1"/>
      <c r="AG999" s="1"/>
      <c r="AH999" s="1"/>
    </row>
    <row r="1000">
      <c r="A1000" s="1"/>
      <c r="B1000" s="1"/>
      <c r="C1000" s="1"/>
      <c r="D1000" s="1"/>
      <c r="E1000" s="1"/>
      <c r="F1000" s="1"/>
      <c r="G1000" s="1"/>
      <c r="H1000" s="1"/>
      <c r="I1000" s="1"/>
      <c r="J1000" s="5"/>
      <c r="K1000" s="2"/>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row>
    <row r="1001">
      <c r="A1001" s="1"/>
      <c r="B1001" s="1"/>
      <c r="C1001" s="1"/>
      <c r="D1001" s="1"/>
      <c r="E1001" s="1"/>
      <c r="F1001" s="1"/>
      <c r="G1001" s="1"/>
      <c r="H1001" s="1"/>
      <c r="I1001" s="1"/>
      <c r="J1001" s="5"/>
      <c r="K1001" s="2"/>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row>
    <row r="1002">
      <c r="A1002" s="1"/>
      <c r="B1002" s="1"/>
      <c r="C1002" s="1"/>
      <c r="D1002" s="1"/>
      <c r="E1002" s="1"/>
      <c r="F1002" s="1"/>
      <c r="G1002" s="1"/>
      <c r="H1002" s="1"/>
      <c r="I1002" s="1"/>
      <c r="J1002" s="5"/>
      <c r="K1002" s="2"/>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row>
    <row r="1003">
      <c r="A1003" s="1"/>
      <c r="B1003" s="1"/>
      <c r="C1003" s="1"/>
      <c r="D1003" s="1"/>
      <c r="E1003" s="1"/>
      <c r="F1003" s="1"/>
      <c r="G1003" s="1"/>
      <c r="H1003" s="1"/>
      <c r="I1003" s="1"/>
      <c r="J1003" s="5"/>
      <c r="K1003" s="2"/>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row>
    <row r="1004">
      <c r="A1004" s="1"/>
      <c r="B1004" s="1"/>
      <c r="C1004" s="1"/>
      <c r="D1004" s="1"/>
      <c r="E1004" s="1"/>
      <c r="F1004" s="1"/>
      <c r="G1004" s="1"/>
      <c r="H1004" s="1"/>
      <c r="I1004" s="1"/>
      <c r="J1004" s="5"/>
      <c r="K1004" s="2"/>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row>
    <row r="1005">
      <c r="A1005" s="1"/>
      <c r="B1005" s="1"/>
      <c r="C1005" s="1"/>
      <c r="D1005" s="1"/>
      <c r="E1005" s="1"/>
      <c r="F1005" s="1"/>
      <c r="G1005" s="1"/>
      <c r="H1005" s="1"/>
      <c r="I1005" s="1"/>
      <c r="J1005" s="5"/>
      <c r="K1005" s="2"/>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row>
    <row r="1006">
      <c r="A1006" s="1"/>
      <c r="B1006" s="1"/>
      <c r="C1006" s="1"/>
      <c r="D1006" s="1"/>
      <c r="E1006" s="1"/>
      <c r="F1006" s="1"/>
      <c r="G1006" s="1"/>
      <c r="H1006" s="1"/>
      <c r="I1006" s="1"/>
      <c r="J1006" s="5"/>
      <c r="K1006" s="2"/>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row>
    <row r="1007">
      <c r="A1007" s="1"/>
      <c r="B1007" s="1"/>
      <c r="C1007" s="1"/>
      <c r="D1007" s="1"/>
      <c r="E1007" s="1"/>
      <c r="F1007" s="1"/>
      <c r="G1007" s="1"/>
      <c r="H1007" s="1"/>
      <c r="I1007" s="1"/>
      <c r="J1007" s="5"/>
      <c r="K1007" s="2"/>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row>
    <row r="1008">
      <c r="A1008" s="1"/>
      <c r="B1008" s="1"/>
      <c r="C1008" s="1"/>
      <c r="D1008" s="1"/>
      <c r="E1008" s="1"/>
      <c r="F1008" s="1"/>
      <c r="G1008" s="1"/>
      <c r="H1008" s="1"/>
      <c r="I1008" s="1"/>
      <c r="J1008" s="5"/>
      <c r="K1008" s="2"/>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row>
    <row r="1009">
      <c r="A1009" s="1"/>
      <c r="B1009" s="1"/>
      <c r="C1009" s="1"/>
      <c r="D1009" s="1"/>
      <c r="E1009" s="1"/>
      <c r="F1009" s="1"/>
      <c r="G1009" s="1"/>
      <c r="H1009" s="1"/>
      <c r="I1009" s="1"/>
      <c r="J1009" s="5"/>
      <c r="K1009" s="2"/>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row>
    <row r="1010">
      <c r="A1010" s="1"/>
      <c r="B1010" s="1"/>
      <c r="C1010" s="1"/>
      <c r="D1010" s="1"/>
      <c r="E1010" s="1"/>
      <c r="F1010" s="1"/>
      <c r="G1010" s="1"/>
      <c r="H1010" s="1"/>
      <c r="I1010" s="1"/>
      <c r="J1010" s="5"/>
      <c r="K1010" s="2"/>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row>
    <row r="1011">
      <c r="A1011" s="1"/>
      <c r="B1011" s="1"/>
      <c r="C1011" s="1"/>
      <c r="D1011" s="1"/>
      <c r="E1011" s="1"/>
      <c r="F1011" s="1"/>
      <c r="G1011" s="1"/>
      <c r="H1011" s="1"/>
      <c r="I1011" s="1"/>
      <c r="J1011" s="5"/>
      <c r="K1011" s="2"/>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row>
    <row r="1012">
      <c r="A1012" s="1"/>
      <c r="B1012" s="1"/>
      <c r="C1012" s="1"/>
      <c r="D1012" s="1"/>
      <c r="E1012" s="1"/>
      <c r="F1012" s="1"/>
      <c r="G1012" s="1"/>
      <c r="H1012" s="1"/>
      <c r="I1012" s="1"/>
      <c r="J1012" s="5"/>
      <c r="K1012" s="2"/>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row>
    <row r="1013">
      <c r="A1013" s="1"/>
      <c r="B1013" s="1"/>
      <c r="C1013" s="1"/>
      <c r="D1013" s="1"/>
      <c r="E1013" s="1"/>
      <c r="F1013" s="1"/>
      <c r="G1013" s="1"/>
      <c r="H1013" s="1"/>
      <c r="I1013" s="1"/>
      <c r="J1013" s="5"/>
      <c r="K1013" s="2"/>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row>
    <row r="1014">
      <c r="A1014" s="1"/>
      <c r="B1014" s="1"/>
      <c r="C1014" s="1"/>
      <c r="D1014" s="1"/>
      <c r="E1014" s="1"/>
      <c r="F1014" s="1"/>
      <c r="G1014" s="1"/>
      <c r="H1014" s="1"/>
      <c r="I1014" s="1"/>
      <c r="J1014" s="5"/>
      <c r="K1014" s="2"/>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row>
    <row r="1015">
      <c r="A1015" s="1"/>
      <c r="B1015" s="1"/>
      <c r="C1015" s="1"/>
      <c r="D1015" s="1"/>
      <c r="E1015" s="1"/>
      <c r="F1015" s="1"/>
      <c r="G1015" s="1"/>
      <c r="H1015" s="1"/>
      <c r="I1015" s="1"/>
      <c r="J1015" s="5"/>
      <c r="K1015" s="2"/>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row>
    <row r="1016">
      <c r="A1016" s="1"/>
      <c r="B1016" s="1"/>
      <c r="C1016" s="1"/>
      <c r="D1016" s="1"/>
      <c r="E1016" s="1"/>
      <c r="F1016" s="1"/>
      <c r="G1016" s="1"/>
      <c r="H1016" s="1"/>
      <c r="I1016" s="1"/>
      <c r="J1016" s="5"/>
      <c r="K1016" s="2"/>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row>
    <row r="1017">
      <c r="A1017" s="1"/>
      <c r="B1017" s="1"/>
      <c r="C1017" s="1"/>
      <c r="D1017" s="1"/>
      <c r="E1017" s="1"/>
      <c r="F1017" s="1"/>
      <c r="G1017" s="1"/>
      <c r="H1017" s="1"/>
      <c r="I1017" s="1"/>
      <c r="J1017" s="5"/>
      <c r="K1017" s="2"/>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row>
    <row r="1018">
      <c r="A1018" s="1"/>
      <c r="B1018" s="1"/>
      <c r="C1018" s="1"/>
      <c r="D1018" s="1"/>
      <c r="E1018" s="1"/>
      <c r="F1018" s="1"/>
      <c r="G1018" s="1"/>
      <c r="H1018" s="1"/>
      <c r="I1018" s="1"/>
      <c r="J1018" s="5"/>
      <c r="K1018" s="2"/>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row>
    <row r="1019">
      <c r="A1019" s="1"/>
      <c r="B1019" s="1"/>
      <c r="C1019" s="1"/>
      <c r="D1019" s="1"/>
      <c r="E1019" s="1"/>
      <c r="F1019" s="1"/>
      <c r="G1019" s="1"/>
      <c r="H1019" s="1"/>
      <c r="I1019" s="1"/>
      <c r="J1019" s="5"/>
      <c r="K1019" s="2"/>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row>
  </sheetData>
  <hyperlinks>
    <hyperlink r:id="rId1" ref="F7"/>
    <hyperlink r:id="rId2" ref="F8"/>
    <hyperlink r:id="rId3" ref="F9"/>
    <hyperlink r:id="rId4" ref="F10"/>
    <hyperlink r:id="rId5" ref="F11"/>
    <hyperlink r:id="rId6" ref="P11"/>
    <hyperlink r:id="rId7" ref="F14"/>
    <hyperlink r:id="rId8" ref="P14"/>
    <hyperlink r:id="rId9" ref="F20"/>
    <hyperlink r:id="rId10" ref="F21"/>
    <hyperlink r:id="rId11" ref="F23"/>
    <hyperlink r:id="rId12" ref="F24"/>
    <hyperlink r:id="rId13" ref="P24"/>
    <hyperlink r:id="rId14" ref="F25"/>
    <hyperlink r:id="rId15" ref="O25"/>
    <hyperlink r:id="rId16" ref="F28"/>
    <hyperlink r:id="rId17" ref="P28"/>
    <hyperlink r:id="rId18" ref="F31"/>
    <hyperlink r:id="rId19" ref="P31"/>
    <hyperlink r:id="rId20" ref="P32"/>
    <hyperlink r:id="rId21" ref="P33"/>
    <hyperlink r:id="rId22" ref="I80"/>
    <hyperlink r:id="rId23" ref="I81"/>
    <hyperlink r:id="rId24" ref="I84"/>
    <hyperlink r:id="rId25" ref="I86"/>
    <hyperlink r:id="rId26" ref="I87"/>
    <hyperlink r:id="rId27" ref="I88"/>
    <hyperlink r:id="rId28" ref="I89"/>
    <hyperlink r:id="rId29" ref="I91"/>
  </hyperlinks>
  <printOptions gridLines="1" horizontalCentered="1"/>
  <pageMargins bottom="0.75" footer="0.0" header="0.0" left="0.7" right="0.7" top="0.75"/>
  <pageSetup paperSize="9" cellComments="atEnd" orientation="landscape" pageOrder="overThenDown"/>
  <drawing r:id="rId30"/>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6.0"/>
    <col customWidth="1" min="3" max="3" width="31.13"/>
    <col customWidth="1" min="4" max="5" width="13.5"/>
    <col customWidth="1" min="6" max="6" width="13.75"/>
    <col customWidth="1" min="9" max="9" width="33.88"/>
    <col customWidth="1" min="10" max="11" width="13.5"/>
    <col customWidth="1" min="12" max="12" width="13.75"/>
  </cols>
  <sheetData>
    <row r="1">
      <c r="B1" s="1"/>
      <c r="C1" s="1"/>
      <c r="D1" s="1"/>
      <c r="E1" s="1"/>
    </row>
    <row r="2">
      <c r="B2" s="1" t="s">
        <v>72</v>
      </c>
      <c r="C2" s="1"/>
      <c r="D2" s="3" t="s">
        <v>73</v>
      </c>
      <c r="E2" s="3" t="s">
        <v>74</v>
      </c>
      <c r="F2" s="27" t="s">
        <v>75</v>
      </c>
    </row>
    <row r="3">
      <c r="B3" s="1"/>
      <c r="C3" s="1"/>
      <c r="D3" s="45"/>
      <c r="E3" s="45"/>
      <c r="F3" s="46"/>
    </row>
    <row r="4">
      <c r="A4" s="47"/>
      <c r="B4" s="48" t="s">
        <v>76</v>
      </c>
      <c r="C4" s="5"/>
      <c r="D4" s="5"/>
      <c r="E4" s="5"/>
      <c r="F4" s="47"/>
      <c r="G4" s="47"/>
      <c r="M4" s="47"/>
      <c r="N4" s="47"/>
      <c r="O4" s="47"/>
      <c r="P4" s="47"/>
      <c r="Q4" s="47"/>
      <c r="R4" s="47"/>
      <c r="S4" s="47"/>
      <c r="T4" s="47"/>
      <c r="U4" s="47"/>
      <c r="V4" s="47"/>
      <c r="W4" s="47"/>
      <c r="X4" s="47"/>
      <c r="Y4" s="47"/>
      <c r="Z4" s="47"/>
    </row>
    <row r="5">
      <c r="A5" s="47"/>
      <c r="B5" s="5" t="s">
        <v>77</v>
      </c>
      <c r="C5" s="5"/>
      <c r="D5" s="13">
        <f>'Parity Data'!J7</f>
        <v>24200.71797</v>
      </c>
      <c r="E5" s="13">
        <f>'Parity Data'!J8</f>
        <v>17933.02761</v>
      </c>
      <c r="F5" s="47">
        <f>'Parity Data'!J9</f>
        <v>13573.97951</v>
      </c>
      <c r="G5" s="47"/>
      <c r="M5" s="47"/>
      <c r="N5" s="47"/>
      <c r="O5" s="47"/>
      <c r="P5" s="47"/>
      <c r="Q5" s="47"/>
      <c r="R5" s="47"/>
      <c r="S5" s="47"/>
      <c r="T5" s="47"/>
      <c r="U5" s="47"/>
      <c r="V5" s="47"/>
      <c r="W5" s="47"/>
      <c r="X5" s="47"/>
      <c r="Y5" s="47"/>
      <c r="Z5" s="47"/>
    </row>
    <row r="6">
      <c r="A6" s="47"/>
      <c r="B6" s="5" t="s">
        <v>78</v>
      </c>
      <c r="C6" s="5"/>
      <c r="D6" s="13">
        <f>'Parity Data'!P7</f>
        <v>15194.18</v>
      </c>
      <c r="E6" s="13">
        <f>'Parity Data'!P8</f>
        <v>117869.6907</v>
      </c>
      <c r="F6" s="47">
        <f>'Parity Data'!P9</f>
        <v>9373.876985</v>
      </c>
      <c r="G6" s="47"/>
      <c r="M6" s="47"/>
      <c r="N6" s="47"/>
      <c r="O6" s="47"/>
      <c r="P6" s="47"/>
      <c r="Q6" s="47"/>
      <c r="R6" s="47"/>
      <c r="S6" s="47"/>
      <c r="T6" s="47"/>
      <c r="U6" s="47"/>
      <c r="V6" s="47"/>
      <c r="W6" s="47"/>
      <c r="X6" s="47"/>
      <c r="Y6" s="47"/>
      <c r="Z6" s="47"/>
    </row>
    <row r="7">
      <c r="A7" s="47"/>
      <c r="B7" s="49"/>
      <c r="C7" s="50" t="s">
        <v>79</v>
      </c>
      <c r="D7" s="34">
        <f t="shared" ref="D7:F7" si="1">SUM(D5:D6)</f>
        <v>39394.89797</v>
      </c>
      <c r="E7" s="34">
        <f t="shared" si="1"/>
        <v>135802.7183</v>
      </c>
      <c r="F7" s="34">
        <f t="shared" si="1"/>
        <v>22947.85649</v>
      </c>
      <c r="G7" s="47"/>
      <c r="M7" s="47"/>
      <c r="N7" s="47"/>
      <c r="O7" s="47"/>
      <c r="P7" s="47"/>
      <c r="Q7" s="47"/>
      <c r="R7" s="47"/>
      <c r="S7" s="47"/>
      <c r="T7" s="47"/>
      <c r="U7" s="47"/>
      <c r="V7" s="47"/>
      <c r="W7" s="47"/>
      <c r="X7" s="47"/>
      <c r="Y7" s="47"/>
      <c r="Z7" s="47"/>
    </row>
    <row r="8">
      <c r="A8" s="47"/>
      <c r="B8" s="5"/>
      <c r="C8" s="5"/>
      <c r="D8" s="5"/>
      <c r="E8" s="5"/>
      <c r="F8" s="47"/>
      <c r="G8" s="47"/>
      <c r="M8" s="47"/>
      <c r="N8" s="47"/>
      <c r="O8" s="47"/>
      <c r="P8" s="47"/>
      <c r="Q8" s="47"/>
      <c r="R8" s="47"/>
      <c r="S8" s="47"/>
      <c r="T8" s="47"/>
      <c r="U8" s="47"/>
      <c r="V8" s="47"/>
      <c r="W8" s="47"/>
      <c r="X8" s="47"/>
      <c r="Y8" s="47"/>
      <c r="Z8" s="47"/>
    </row>
    <row r="9">
      <c r="A9" s="47"/>
      <c r="B9" s="5"/>
      <c r="C9" s="5"/>
      <c r="D9" s="5"/>
      <c r="E9" s="5"/>
      <c r="F9" s="47"/>
      <c r="G9" s="47"/>
      <c r="M9" s="47"/>
      <c r="N9" s="47"/>
      <c r="O9" s="47"/>
      <c r="P9" s="47"/>
      <c r="Q9" s="47"/>
      <c r="R9" s="47"/>
      <c r="S9" s="47"/>
      <c r="T9" s="47"/>
      <c r="U9" s="47"/>
      <c r="V9" s="47"/>
      <c r="W9" s="47"/>
      <c r="X9" s="47"/>
      <c r="Y9" s="47"/>
      <c r="Z9" s="47"/>
    </row>
    <row r="10">
      <c r="A10" s="47"/>
      <c r="B10" s="48" t="s">
        <v>80</v>
      </c>
      <c r="C10" s="5"/>
      <c r="D10" s="5"/>
      <c r="E10" s="5"/>
      <c r="F10" s="47"/>
      <c r="G10" s="47"/>
      <c r="M10" s="47"/>
      <c r="N10" s="47"/>
      <c r="O10" s="47"/>
      <c r="P10" s="47"/>
      <c r="Q10" s="47"/>
      <c r="R10" s="47"/>
      <c r="S10" s="47"/>
      <c r="T10" s="47"/>
      <c r="U10" s="47"/>
      <c r="V10" s="47"/>
      <c r="W10" s="47"/>
      <c r="X10" s="47"/>
      <c r="Y10" s="47"/>
      <c r="Z10" s="47"/>
    </row>
    <row r="11">
      <c r="A11" s="47"/>
      <c r="B11" s="5" t="str">
        <f t="array" ref="B11:B17">'Aggregated Pivots'!M17:M23</f>
        <v>Outreach</v>
      </c>
      <c r="C11" s="5"/>
      <c r="D11" s="51">
        <f t="array" ref="D11:F16">'Aggregated Pivots'!P17:R22</f>
        <v>1305833.124</v>
      </c>
      <c r="E11" s="51">
        <v>3816237.5294899982</v>
      </c>
      <c r="F11" s="52">
        <v>1729315.486246065</v>
      </c>
      <c r="G11" s="47"/>
      <c r="M11" s="47"/>
      <c r="N11" s="47"/>
      <c r="O11" s="47"/>
      <c r="P11" s="47"/>
      <c r="Q11" s="47"/>
      <c r="R11" s="47"/>
      <c r="S11" s="47"/>
      <c r="T11" s="47"/>
      <c r="U11" s="47"/>
      <c r="V11" s="47"/>
      <c r="W11" s="47"/>
      <c r="X11" s="47"/>
      <c r="Y11" s="47"/>
      <c r="Z11" s="47"/>
    </row>
    <row r="12">
      <c r="A12" s="47"/>
      <c r="B12" s="5" t="s">
        <v>81</v>
      </c>
      <c r="C12" s="5"/>
      <c r="D12" s="51">
        <v>1606227.344678911</v>
      </c>
      <c r="E12" s="51">
        <v>1386756.7218969066</v>
      </c>
      <c r="F12" s="52">
        <v>2289483.3530633566</v>
      </c>
      <c r="G12" s="47"/>
      <c r="M12" s="47"/>
      <c r="N12" s="47"/>
      <c r="O12" s="47"/>
      <c r="P12" s="47"/>
      <c r="Q12" s="47"/>
      <c r="R12" s="47"/>
      <c r="S12" s="47"/>
      <c r="T12" s="47"/>
      <c r="U12" s="47"/>
      <c r="V12" s="47"/>
      <c r="W12" s="47"/>
      <c r="X12" s="47"/>
      <c r="Y12" s="47"/>
      <c r="Z12" s="47"/>
    </row>
    <row r="13">
      <c r="A13" s="47"/>
      <c r="B13" s="5" t="s">
        <v>82</v>
      </c>
      <c r="C13" s="5"/>
      <c r="D13" s="53">
        <v>393235.027762</v>
      </c>
      <c r="E13" s="51">
        <v>312035.4388179</v>
      </c>
      <c r="F13" s="52">
        <v>769865.8682672601</v>
      </c>
      <c r="G13" s="47"/>
      <c r="M13" s="47"/>
      <c r="N13" s="47"/>
      <c r="O13" s="47"/>
      <c r="P13" s="47"/>
      <c r="Q13" s="47"/>
      <c r="R13" s="47"/>
      <c r="S13" s="47"/>
      <c r="T13" s="47"/>
      <c r="U13" s="47"/>
      <c r="V13" s="47"/>
      <c r="W13" s="47"/>
      <c r="X13" s="47"/>
      <c r="Y13" s="47"/>
      <c r="Z13" s="47"/>
    </row>
    <row r="14">
      <c r="A14" s="47"/>
      <c r="B14" s="5" t="s">
        <v>83</v>
      </c>
      <c r="C14" s="5"/>
      <c r="D14" s="51"/>
      <c r="E14" s="51">
        <v>2000496.55</v>
      </c>
      <c r="F14" s="52"/>
      <c r="G14" s="47"/>
      <c r="M14" s="47"/>
      <c r="N14" s="47"/>
      <c r="O14" s="47"/>
      <c r="P14" s="47"/>
      <c r="Q14" s="47"/>
      <c r="R14" s="47"/>
      <c r="S14" s="47"/>
      <c r="T14" s="47"/>
      <c r="U14" s="47"/>
      <c r="V14" s="47"/>
      <c r="W14" s="47"/>
      <c r="X14" s="47"/>
      <c r="Y14" s="47"/>
      <c r="Z14" s="47"/>
    </row>
    <row r="15">
      <c r="A15" s="47"/>
      <c r="B15" s="5" t="s">
        <v>84</v>
      </c>
      <c r="C15" s="5"/>
      <c r="D15" s="51">
        <v>245964.8272644618</v>
      </c>
      <c r="E15" s="51">
        <v>254540.01552353924</v>
      </c>
      <c r="F15" s="52">
        <v>283751.8674661524</v>
      </c>
      <c r="G15" s="47"/>
      <c r="M15" s="47"/>
      <c r="N15" s="47"/>
      <c r="O15" s="47"/>
      <c r="P15" s="47"/>
      <c r="Q15" s="47"/>
      <c r="R15" s="47"/>
      <c r="S15" s="47"/>
      <c r="T15" s="47"/>
      <c r="U15" s="47"/>
      <c r="V15" s="47"/>
      <c r="W15" s="47"/>
      <c r="X15" s="47"/>
      <c r="Y15" s="47"/>
      <c r="Z15" s="47"/>
    </row>
    <row r="16">
      <c r="A16" s="47"/>
      <c r="B16" s="5" t="s">
        <v>85</v>
      </c>
      <c r="C16" s="5"/>
      <c r="D16" s="51">
        <v>97972.44255691215</v>
      </c>
      <c r="E16" s="51">
        <v>229019.37068849773</v>
      </c>
      <c r="F16" s="52">
        <v>68665.22662544355</v>
      </c>
      <c r="G16" s="47"/>
      <c r="M16" s="47"/>
      <c r="N16" s="47"/>
      <c r="O16" s="47"/>
      <c r="P16" s="47"/>
      <c r="Q16" s="47"/>
      <c r="R16" s="47"/>
      <c r="S16" s="47"/>
      <c r="T16" s="47"/>
      <c r="U16" s="47"/>
      <c r="V16" s="47"/>
      <c r="W16" s="47"/>
      <c r="X16" s="47"/>
      <c r="Y16" s="47"/>
      <c r="Z16" s="47"/>
    </row>
    <row r="17">
      <c r="A17" s="47"/>
      <c r="B17" s="49"/>
      <c r="C17" s="50" t="s">
        <v>86</v>
      </c>
      <c r="D17" s="54">
        <f t="shared" ref="D17:F17" si="2">-SUM(D11:D16)</f>
        <v>-3649232.767</v>
      </c>
      <c r="E17" s="54">
        <f t="shared" si="2"/>
        <v>-7999085.626</v>
      </c>
      <c r="F17" s="54">
        <f t="shared" si="2"/>
        <v>-5141081.802</v>
      </c>
      <c r="G17" s="47"/>
      <c r="M17" s="47"/>
      <c r="N17" s="47"/>
      <c r="O17" s="47"/>
      <c r="P17" s="47"/>
      <c r="Q17" s="47"/>
      <c r="R17" s="47"/>
      <c r="S17" s="47"/>
      <c r="T17" s="47"/>
      <c r="U17" s="47"/>
      <c r="V17" s="47"/>
      <c r="W17" s="47"/>
      <c r="X17" s="47"/>
      <c r="Y17" s="47"/>
      <c r="Z17" s="47"/>
    </row>
    <row r="18">
      <c r="A18" s="47"/>
      <c r="B18" s="5"/>
      <c r="C18" s="5"/>
      <c r="D18" s="5"/>
      <c r="E18" s="5"/>
      <c r="F18" s="47"/>
      <c r="G18" s="47"/>
      <c r="M18" s="47"/>
      <c r="N18" s="47"/>
      <c r="O18" s="47"/>
      <c r="P18" s="47"/>
      <c r="Q18" s="47"/>
      <c r="R18" s="47"/>
      <c r="S18" s="47"/>
      <c r="T18" s="47"/>
      <c r="U18" s="47"/>
      <c r="V18" s="47"/>
      <c r="W18" s="47"/>
      <c r="X18" s="47"/>
      <c r="Y18" s="47"/>
      <c r="Z18" s="47"/>
    </row>
    <row r="19">
      <c r="A19" s="47"/>
      <c r="B19" s="5"/>
      <c r="C19" s="5"/>
      <c r="D19" s="5"/>
      <c r="E19" s="5"/>
      <c r="F19" s="47"/>
      <c r="G19" s="47"/>
      <c r="M19" s="47"/>
      <c r="N19" s="47"/>
      <c r="O19" s="47"/>
      <c r="P19" s="47"/>
      <c r="Q19" s="47"/>
      <c r="R19" s="47"/>
      <c r="S19" s="47"/>
      <c r="T19" s="47"/>
      <c r="U19" s="47"/>
      <c r="V19" s="47"/>
      <c r="W19" s="47"/>
      <c r="X19" s="47"/>
      <c r="Y19" s="47"/>
      <c r="Z19" s="47"/>
    </row>
    <row r="20">
      <c r="A20" s="47"/>
      <c r="B20" s="55" t="s">
        <v>87</v>
      </c>
      <c r="C20" s="56"/>
      <c r="D20" s="57">
        <f t="shared" ref="D20:F20" si="3">D7+D17</f>
        <v>-3609837.869</v>
      </c>
      <c r="E20" s="57">
        <f t="shared" si="3"/>
        <v>-7863282.908</v>
      </c>
      <c r="F20" s="57">
        <f t="shared" si="3"/>
        <v>-5118133.945</v>
      </c>
      <c r="G20" s="47"/>
      <c r="M20" s="47"/>
      <c r="N20" s="47"/>
      <c r="O20" s="47"/>
      <c r="P20" s="47"/>
      <c r="Q20" s="47"/>
      <c r="R20" s="47"/>
      <c r="S20" s="47"/>
      <c r="T20" s="47"/>
      <c r="U20" s="47"/>
      <c r="V20" s="47"/>
      <c r="W20" s="47"/>
      <c r="X20" s="47"/>
      <c r="Y20" s="47"/>
      <c r="Z20" s="47"/>
    </row>
    <row r="21">
      <c r="A21" s="47"/>
      <c r="B21" s="5"/>
      <c r="C21" s="5"/>
      <c r="D21" s="5"/>
      <c r="E21" s="5"/>
      <c r="F21" s="47"/>
      <c r="G21" s="47"/>
      <c r="M21" s="47"/>
      <c r="N21" s="47"/>
      <c r="O21" s="47"/>
      <c r="P21" s="47"/>
      <c r="Q21" s="47"/>
      <c r="R21" s="47"/>
      <c r="S21" s="47"/>
      <c r="T21" s="47"/>
      <c r="U21" s="47"/>
      <c r="V21" s="47"/>
      <c r="W21" s="47"/>
      <c r="X21" s="47"/>
      <c r="Y21" s="47"/>
      <c r="Z21" s="47"/>
    </row>
    <row r="22">
      <c r="A22" s="47"/>
      <c r="B22" s="5"/>
      <c r="C22" s="5"/>
      <c r="D22" s="5"/>
      <c r="E22" s="5"/>
      <c r="F22" s="47"/>
      <c r="G22" s="47"/>
      <c r="M22" s="47"/>
      <c r="N22" s="47"/>
      <c r="O22" s="47"/>
      <c r="P22" s="47"/>
      <c r="Q22" s="47"/>
      <c r="R22" s="47"/>
      <c r="S22" s="47"/>
      <c r="T22" s="47"/>
      <c r="U22" s="47"/>
      <c r="V22" s="47"/>
      <c r="W22" s="47"/>
      <c r="X22" s="47"/>
      <c r="Y22" s="47"/>
      <c r="Z22" s="47"/>
    </row>
    <row r="23">
      <c r="A23" s="47"/>
      <c r="B23" s="48" t="s">
        <v>88</v>
      </c>
      <c r="C23" s="5"/>
      <c r="D23" s="5"/>
      <c r="E23" s="5"/>
      <c r="F23" s="47"/>
      <c r="G23" s="47"/>
      <c r="M23" s="47"/>
      <c r="N23" s="47"/>
      <c r="O23" s="47"/>
      <c r="P23" s="47"/>
      <c r="Q23" s="47"/>
      <c r="R23" s="47"/>
      <c r="S23" s="47"/>
      <c r="T23" s="47"/>
      <c r="U23" s="47"/>
      <c r="V23" s="47"/>
      <c r="W23" s="47"/>
      <c r="X23" s="47"/>
      <c r="Y23" s="47"/>
      <c r="Z23" s="47"/>
    </row>
    <row r="24">
      <c r="A24" s="47"/>
      <c r="B24" s="5" t="s">
        <v>89</v>
      </c>
      <c r="C24" s="5"/>
      <c r="D24" s="13">
        <f>'Parity Data'!K7</f>
        <v>3336760.802</v>
      </c>
      <c r="E24" s="13">
        <f>'Parity Data'!K8</f>
        <v>1928135.148</v>
      </c>
      <c r="F24" s="47">
        <f>'Parity Data'!K9</f>
        <v>425901.1477</v>
      </c>
      <c r="G24" s="47"/>
      <c r="M24" s="47"/>
      <c r="N24" s="47"/>
      <c r="O24" s="47"/>
      <c r="P24" s="47"/>
      <c r="Q24" s="47"/>
      <c r="R24" s="47"/>
      <c r="S24" s="47"/>
      <c r="T24" s="47"/>
      <c r="U24" s="47"/>
      <c r="V24" s="47"/>
      <c r="W24" s="47"/>
      <c r="X24" s="47"/>
      <c r="Y24" s="47"/>
      <c r="Z24" s="47"/>
    </row>
    <row r="25">
      <c r="A25" s="47"/>
      <c r="B25" s="5" t="s">
        <v>90</v>
      </c>
      <c r="C25" s="5"/>
      <c r="D25" s="58">
        <f>'Parity Data'!K18</f>
        <v>-1645067.73</v>
      </c>
      <c r="E25" s="58">
        <f>'Parity Data'!K19</f>
        <v>-1073964.08</v>
      </c>
      <c r="F25" s="59">
        <f>'Parity Data'!K20</f>
        <v>-521409.0196</v>
      </c>
      <c r="G25" s="47"/>
      <c r="M25" s="47"/>
      <c r="N25" s="47"/>
      <c r="O25" s="47"/>
      <c r="P25" s="47"/>
      <c r="Q25" s="47"/>
      <c r="R25" s="47"/>
      <c r="S25" s="47"/>
      <c r="T25" s="47"/>
      <c r="U25" s="47"/>
      <c r="V25" s="47"/>
      <c r="W25" s="47"/>
      <c r="X25" s="47"/>
      <c r="Y25" s="47"/>
      <c r="Z25" s="47"/>
    </row>
    <row r="26">
      <c r="A26" s="47"/>
      <c r="B26" s="49"/>
      <c r="C26" s="50" t="s">
        <v>91</v>
      </c>
      <c r="D26" s="34">
        <f t="shared" ref="D26:F26" si="4">SUM(D24:D25)</f>
        <v>1691693.073</v>
      </c>
      <c r="E26" s="34">
        <f t="shared" si="4"/>
        <v>854171.0679</v>
      </c>
      <c r="F26" s="60">
        <f t="shared" si="4"/>
        <v>-95507.8719</v>
      </c>
      <c r="G26" s="47"/>
      <c r="M26" s="47"/>
      <c r="N26" s="47"/>
      <c r="O26" s="47"/>
      <c r="P26" s="47"/>
      <c r="Q26" s="47"/>
      <c r="R26" s="47"/>
      <c r="S26" s="47"/>
      <c r="T26" s="47"/>
      <c r="U26" s="47"/>
      <c r="V26" s="47"/>
      <c r="W26" s="47"/>
      <c r="X26" s="47"/>
      <c r="Y26" s="47"/>
      <c r="Z26" s="47"/>
    </row>
    <row r="27">
      <c r="A27" s="47"/>
      <c r="B27" s="5"/>
      <c r="C27" s="5"/>
      <c r="D27" s="5"/>
      <c r="E27" s="5"/>
      <c r="F27" s="47"/>
      <c r="G27" s="47"/>
      <c r="M27" s="47"/>
      <c r="N27" s="47"/>
      <c r="O27" s="47"/>
      <c r="P27" s="47"/>
      <c r="Q27" s="47"/>
      <c r="R27" s="47"/>
      <c r="S27" s="47"/>
      <c r="T27" s="47"/>
      <c r="U27" s="47"/>
      <c r="V27" s="47"/>
      <c r="W27" s="47"/>
      <c r="X27" s="47"/>
      <c r="Y27" s="47"/>
      <c r="Z27" s="47"/>
    </row>
    <row r="28">
      <c r="A28" s="47"/>
      <c r="B28" s="61" t="s">
        <v>92</v>
      </c>
      <c r="C28" s="62"/>
      <c r="D28" s="63">
        <f t="shared" ref="D28:F28" si="5">D20+D26</f>
        <v>-1918144.796</v>
      </c>
      <c r="E28" s="63">
        <f t="shared" si="5"/>
        <v>-7009111.84</v>
      </c>
      <c r="F28" s="63">
        <f t="shared" si="5"/>
        <v>-5213641.817</v>
      </c>
      <c r="G28" s="47"/>
      <c r="M28" s="47"/>
      <c r="N28" s="47"/>
      <c r="O28" s="47"/>
      <c r="P28" s="47"/>
      <c r="Q28" s="47"/>
      <c r="R28" s="47"/>
      <c r="S28" s="47"/>
      <c r="T28" s="47"/>
      <c r="U28" s="47"/>
      <c r="V28" s="47"/>
      <c r="W28" s="47"/>
      <c r="X28" s="47"/>
      <c r="Y28" s="47"/>
      <c r="Z28" s="47"/>
    </row>
    <row r="29">
      <c r="B29" s="1"/>
      <c r="C29" s="1"/>
      <c r="D29" s="1"/>
      <c r="E29" s="1"/>
    </row>
    <row r="30">
      <c r="H30" s="64"/>
      <c r="I30" s="64"/>
      <c r="J30" s="64"/>
      <c r="K30" s="64"/>
      <c r="L30" s="64"/>
    </row>
    <row r="31">
      <c r="H31" s="64"/>
      <c r="I31" s="64"/>
      <c r="J31" s="64"/>
      <c r="K31" s="64"/>
      <c r="L31" s="64"/>
    </row>
    <row r="32">
      <c r="H32" s="64"/>
      <c r="I32" s="64"/>
      <c r="J32" s="64"/>
      <c r="K32" s="64"/>
      <c r="L32" s="64"/>
    </row>
    <row r="33">
      <c r="B33" s="64"/>
      <c r="C33" s="64"/>
      <c r="D33" s="64"/>
      <c r="E33" s="64"/>
      <c r="F33" s="64"/>
      <c r="H33" s="64"/>
      <c r="I33" s="64"/>
      <c r="J33" s="64"/>
      <c r="K33" s="64"/>
      <c r="L33" s="64"/>
    </row>
    <row r="34">
      <c r="B34" s="65" t="s">
        <v>93</v>
      </c>
      <c r="C34" s="6"/>
      <c r="D34" s="65" t="s">
        <v>73</v>
      </c>
      <c r="E34" s="65" t="s">
        <v>74</v>
      </c>
      <c r="F34" s="66" t="s">
        <v>75</v>
      </c>
      <c r="H34" s="64"/>
      <c r="I34" s="64"/>
      <c r="J34" s="64"/>
      <c r="K34" s="64"/>
      <c r="L34" s="64"/>
    </row>
    <row r="35">
      <c r="B35" s="6"/>
      <c r="C35" s="6"/>
      <c r="D35" s="6"/>
      <c r="E35" s="6"/>
      <c r="F35" s="64"/>
      <c r="H35" s="64"/>
      <c r="I35" s="64"/>
      <c r="J35" s="64"/>
      <c r="K35" s="64"/>
      <c r="L35" s="64"/>
    </row>
    <row r="36" hidden="1">
      <c r="B36" s="67" t="s">
        <v>76</v>
      </c>
      <c r="C36" s="6"/>
      <c r="D36" s="6"/>
      <c r="E36" s="6"/>
      <c r="F36" s="64"/>
      <c r="H36" s="64"/>
      <c r="I36" s="64"/>
      <c r="J36" s="64"/>
      <c r="K36" s="64"/>
      <c r="L36" s="64"/>
    </row>
    <row r="37" hidden="1">
      <c r="B37" s="6" t="s">
        <v>77</v>
      </c>
      <c r="C37" s="6"/>
      <c r="D37" s="68">
        <f>'Parity Data'!J32</f>
        <v>203441.7414</v>
      </c>
      <c r="E37" s="68">
        <f>'Parity Data'!J33</f>
        <v>128134.3333</v>
      </c>
      <c r="F37" s="64">
        <f>'Parity Data'!J34</f>
        <v>67622.96193</v>
      </c>
      <c r="H37" s="64"/>
      <c r="I37" s="64"/>
      <c r="J37" s="64"/>
      <c r="K37" s="64"/>
      <c r="L37" s="64"/>
    </row>
    <row r="38" hidden="1">
      <c r="B38" s="6" t="s">
        <v>78</v>
      </c>
      <c r="C38" s="6"/>
      <c r="D38" s="68">
        <f>'Parity Data'!P32</f>
        <v>121248.0202</v>
      </c>
      <c r="E38" s="68">
        <f>'Parity Data'!P33</f>
        <v>895010.3931</v>
      </c>
      <c r="F38" s="64">
        <f>'Parity Data'!P34</f>
        <v>45407.35271</v>
      </c>
      <c r="H38" s="64"/>
      <c r="I38" s="64"/>
      <c r="J38" s="64"/>
      <c r="K38" s="64"/>
      <c r="L38" s="64"/>
    </row>
    <row r="39" hidden="1">
      <c r="B39" s="69"/>
      <c r="C39" s="70" t="s">
        <v>79</v>
      </c>
      <c r="D39" s="71">
        <f t="shared" ref="D39:F39" si="6">SUM(D37:D38)</f>
        <v>324689.7616</v>
      </c>
      <c r="E39" s="71">
        <f t="shared" si="6"/>
        <v>1023144.726</v>
      </c>
      <c r="F39" s="71">
        <f t="shared" si="6"/>
        <v>113030.3146</v>
      </c>
      <c r="H39" s="64"/>
      <c r="I39" s="64"/>
      <c r="J39" s="64"/>
      <c r="K39" s="64"/>
      <c r="L39" s="64"/>
    </row>
    <row r="40" hidden="1">
      <c r="B40" s="6"/>
      <c r="C40" s="6"/>
      <c r="D40" s="6"/>
      <c r="E40" s="6"/>
      <c r="F40" s="64"/>
      <c r="H40" s="64"/>
      <c r="I40" s="64"/>
      <c r="J40" s="64"/>
      <c r="K40" s="64"/>
      <c r="L40" s="64"/>
    </row>
    <row r="41" hidden="1">
      <c r="B41" s="6"/>
      <c r="C41" s="6"/>
      <c r="D41" s="6"/>
      <c r="E41" s="6"/>
      <c r="F41" s="64"/>
      <c r="H41" s="64"/>
      <c r="I41" s="64"/>
      <c r="J41" s="64"/>
      <c r="K41" s="64"/>
      <c r="L41" s="64"/>
    </row>
    <row r="42">
      <c r="B42" s="67" t="s">
        <v>80</v>
      </c>
      <c r="C42" s="6"/>
      <c r="D42" s="6"/>
      <c r="E42" s="6"/>
      <c r="F42" s="64"/>
      <c r="H42" s="64"/>
      <c r="I42" s="64"/>
      <c r="J42" s="64"/>
      <c r="K42" s="64"/>
      <c r="L42" s="64"/>
    </row>
    <row r="43">
      <c r="B43" s="6" t="str">
        <f t="array" ref="B43:B49">'Aggregated Pivots'!M17:M23</f>
        <v>Outreach</v>
      </c>
      <c r="C43" s="6"/>
      <c r="D43" s="72">
        <f t="array" ref="D43:F48">'Aggregated Pivots'!P32:R37</f>
        <v>11073482.82</v>
      </c>
      <c r="E43" s="72">
        <v>2.6789774240543265E7</v>
      </c>
      <c r="F43" s="73">
        <v>9876317.660389768</v>
      </c>
      <c r="H43" s="64"/>
      <c r="I43" s="64"/>
      <c r="J43" s="64"/>
      <c r="K43" s="64"/>
      <c r="L43" s="64"/>
    </row>
    <row r="44">
      <c r="B44" s="6" t="s">
        <v>81</v>
      </c>
      <c r="C44" s="6"/>
      <c r="D44" s="72">
        <v>1.3367044706136711E7</v>
      </c>
      <c r="E44" s="72">
        <v>1.0022539495961389E7</v>
      </c>
      <c r="F44" s="73">
        <v>1.1928318258301172E7</v>
      </c>
      <c r="H44" s="64"/>
      <c r="I44" s="64"/>
      <c r="J44" s="64"/>
      <c r="K44" s="64"/>
      <c r="L44" s="64"/>
    </row>
    <row r="45">
      <c r="B45" s="6" t="s">
        <v>82</v>
      </c>
      <c r="C45" s="6"/>
      <c r="D45" s="74"/>
      <c r="E45" s="72">
        <v>1.5261618886884496E7</v>
      </c>
      <c r="F45" s="73"/>
      <c r="H45" s="64"/>
      <c r="I45" s="64"/>
      <c r="J45" s="64"/>
      <c r="K45" s="64"/>
      <c r="L45" s="64"/>
    </row>
    <row r="46">
      <c r="B46" s="6" t="s">
        <v>83</v>
      </c>
      <c r="C46" s="6"/>
      <c r="D46" s="72">
        <v>3216785.058156941</v>
      </c>
      <c r="E46" s="72">
        <v>2316116.673181355</v>
      </c>
      <c r="F46" s="73">
        <v>3755925.852008525</v>
      </c>
      <c r="H46" s="64"/>
      <c r="I46" s="64"/>
      <c r="J46" s="64"/>
      <c r="K46" s="64"/>
      <c r="L46" s="64"/>
    </row>
    <row r="47">
      <c r="B47" s="6" t="s">
        <v>84</v>
      </c>
      <c r="C47" s="6"/>
      <c r="D47" s="72">
        <v>2380532.018930953</v>
      </c>
      <c r="E47" s="72">
        <v>1723293.8730415832</v>
      </c>
      <c r="F47" s="73">
        <v>1307121.343718561</v>
      </c>
      <c r="H47" s="64"/>
      <c r="I47" s="64"/>
      <c r="J47" s="64"/>
      <c r="K47" s="64"/>
      <c r="L47" s="64"/>
    </row>
    <row r="48">
      <c r="B48" s="6" t="s">
        <v>85</v>
      </c>
      <c r="C48" s="6"/>
      <c r="D48" s="72">
        <v>960599.210829734</v>
      </c>
      <c r="E48" s="72">
        <v>1518754.743335937</v>
      </c>
      <c r="F48" s="73">
        <v>312776.8299396403</v>
      </c>
      <c r="H48" s="64"/>
      <c r="I48" s="64"/>
      <c r="J48" s="64"/>
      <c r="K48" s="64"/>
      <c r="L48" s="64"/>
    </row>
    <row r="49">
      <c r="B49" s="69"/>
      <c r="C49" s="70" t="s">
        <v>86</v>
      </c>
      <c r="D49" s="75">
        <f t="shared" ref="D49:F49" si="7">-SUM(D43:D48)</f>
        <v>-30998443.82</v>
      </c>
      <c r="E49" s="75">
        <f t="shared" si="7"/>
        <v>-57632097.91</v>
      </c>
      <c r="F49" s="75">
        <f t="shared" si="7"/>
        <v>-27180459.94</v>
      </c>
      <c r="H49" s="64"/>
      <c r="I49" s="64"/>
      <c r="J49" s="64"/>
      <c r="K49" s="64"/>
      <c r="L49" s="64"/>
    </row>
    <row r="50">
      <c r="B50" s="6"/>
      <c r="C50" s="6"/>
      <c r="D50" s="6"/>
      <c r="E50" s="6"/>
      <c r="F50" s="64"/>
      <c r="H50" s="64"/>
      <c r="I50" s="64"/>
      <c r="J50" s="64"/>
      <c r="K50" s="64"/>
      <c r="L50" s="64"/>
    </row>
    <row r="51">
      <c r="B51" s="6"/>
      <c r="C51" s="6"/>
      <c r="D51" s="6"/>
      <c r="E51" s="6"/>
      <c r="F51" s="64"/>
      <c r="H51" s="64"/>
      <c r="I51" s="64"/>
      <c r="J51" s="64"/>
      <c r="K51" s="64"/>
      <c r="L51" s="64"/>
    </row>
    <row r="52" hidden="1">
      <c r="B52" s="76" t="s">
        <v>87</v>
      </c>
      <c r="C52" s="77"/>
      <c r="D52" s="78">
        <f t="shared" ref="D52:F52" si="8">D39+D49</f>
        <v>-30673754.06</v>
      </c>
      <c r="E52" s="78">
        <f t="shared" si="8"/>
        <v>-56608953.19</v>
      </c>
      <c r="F52" s="78">
        <f t="shared" si="8"/>
        <v>-27067429.63</v>
      </c>
      <c r="H52" s="64"/>
      <c r="I52" s="64"/>
      <c r="J52" s="64"/>
      <c r="K52" s="64"/>
      <c r="L52" s="64"/>
    </row>
    <row r="53" hidden="1">
      <c r="B53" s="6"/>
      <c r="C53" s="6"/>
      <c r="D53" s="6"/>
      <c r="E53" s="6"/>
      <c r="F53" s="64"/>
      <c r="H53" s="64"/>
      <c r="I53" s="64"/>
      <c r="J53" s="64"/>
      <c r="K53" s="64"/>
      <c r="L53" s="64"/>
    </row>
    <row r="54" hidden="1">
      <c r="B54" s="6"/>
      <c r="C54" s="6"/>
      <c r="D54" s="6"/>
      <c r="E54" s="6"/>
      <c r="F54" s="64"/>
      <c r="H54" s="64"/>
      <c r="I54" s="64"/>
      <c r="J54" s="64"/>
      <c r="K54" s="64"/>
      <c r="L54" s="64"/>
    </row>
    <row r="55" hidden="1">
      <c r="B55" s="67" t="s">
        <v>88</v>
      </c>
      <c r="C55" s="6"/>
      <c r="D55" s="6"/>
      <c r="E55" s="6"/>
      <c r="F55" s="64"/>
      <c r="H55" s="64"/>
      <c r="I55" s="64"/>
      <c r="J55" s="64"/>
      <c r="K55" s="64"/>
      <c r="L55" s="64"/>
    </row>
    <row r="56" hidden="1">
      <c r="B56" s="6" t="s">
        <v>89</v>
      </c>
      <c r="C56" s="6"/>
      <c r="D56" s="68" t="str">
        <f>'Parity Data'!Q7</f>
        <v/>
      </c>
      <c r="E56" s="68" t="str">
        <f>'Parity Data'!Q8</f>
        <v/>
      </c>
      <c r="F56" s="64" t="str">
        <f>'Parity Data'!Q9</f>
        <v/>
      </c>
      <c r="H56" s="64"/>
      <c r="I56" s="64"/>
      <c r="J56" s="64"/>
      <c r="K56" s="64"/>
      <c r="L56" s="64"/>
    </row>
    <row r="57" hidden="1">
      <c r="B57" s="6" t="s">
        <v>90</v>
      </c>
      <c r="C57" s="6"/>
      <c r="D57" s="79" t="str">
        <f>'Parity Data'!Q18</f>
        <v/>
      </c>
      <c r="E57" s="79" t="str">
        <f>'Parity Data'!Q19</f>
        <v/>
      </c>
      <c r="F57" s="80" t="str">
        <f>'Parity Data'!Q20</f>
        <v/>
      </c>
      <c r="H57" s="64"/>
      <c r="I57" s="64"/>
      <c r="J57" s="64"/>
      <c r="K57" s="64"/>
      <c r="L57" s="64"/>
    </row>
    <row r="58" hidden="1">
      <c r="B58" s="69"/>
      <c r="C58" s="70" t="s">
        <v>91</v>
      </c>
      <c r="D58" s="71">
        <f t="shared" ref="D58:F58" si="9">SUM(D56:D57)</f>
        <v>0</v>
      </c>
      <c r="E58" s="71">
        <f t="shared" si="9"/>
        <v>0</v>
      </c>
      <c r="F58" s="71">
        <f t="shared" si="9"/>
        <v>0</v>
      </c>
      <c r="H58" s="64"/>
      <c r="I58" s="64"/>
      <c r="J58" s="64"/>
      <c r="K58" s="64"/>
      <c r="L58" s="64"/>
    </row>
    <row r="59" hidden="1">
      <c r="B59" s="6"/>
      <c r="C59" s="6"/>
      <c r="D59" s="6"/>
      <c r="E59" s="6"/>
      <c r="F59" s="64"/>
      <c r="H59" s="64"/>
      <c r="I59" s="64"/>
      <c r="J59" s="64"/>
      <c r="K59" s="64"/>
      <c r="L59" s="64"/>
    </row>
    <row r="60" hidden="1">
      <c r="B60" s="81" t="s">
        <v>92</v>
      </c>
      <c r="C60" s="82"/>
      <c r="D60" s="83">
        <f t="shared" ref="D60:F60" si="10">D52+D58</f>
        <v>-30673754.06</v>
      </c>
      <c r="E60" s="83">
        <f t="shared" si="10"/>
        <v>-56608953.19</v>
      </c>
      <c r="F60" s="83">
        <f t="shared" si="10"/>
        <v>-27067429.63</v>
      </c>
      <c r="H60" s="64"/>
      <c r="I60" s="64"/>
      <c r="J60" s="64"/>
      <c r="K60" s="64"/>
      <c r="L60" s="64"/>
    </row>
    <row r="61">
      <c r="B61" s="64"/>
      <c r="C61" s="64"/>
      <c r="D61" s="64"/>
      <c r="E61" s="64"/>
      <c r="F61" s="64"/>
      <c r="H61" s="64"/>
      <c r="I61" s="64"/>
      <c r="J61" s="64"/>
      <c r="K61" s="64"/>
      <c r="L61" s="64"/>
    </row>
    <row r="62">
      <c r="H62" s="64"/>
      <c r="I62" s="64"/>
      <c r="J62" s="64"/>
      <c r="K62" s="64"/>
      <c r="L62" s="64"/>
    </row>
    <row r="63">
      <c r="H63" s="64"/>
      <c r="I63" s="64"/>
      <c r="J63" s="64"/>
      <c r="K63" s="64"/>
      <c r="L63" s="64"/>
    </row>
    <row r="64">
      <c r="H64" s="64"/>
      <c r="I64" s="64"/>
      <c r="J64" s="64"/>
      <c r="K64" s="64"/>
      <c r="L64" s="64"/>
    </row>
    <row r="65">
      <c r="H65" s="64"/>
      <c r="I65" s="64"/>
      <c r="J65" s="64"/>
      <c r="K65" s="64"/>
      <c r="L65" s="64"/>
    </row>
    <row r="66">
      <c r="H66" s="64"/>
      <c r="I66" s="64"/>
      <c r="J66" s="64"/>
      <c r="K66" s="64"/>
      <c r="L66" s="64"/>
    </row>
    <row r="67">
      <c r="H67" s="64"/>
      <c r="I67" s="64"/>
      <c r="J67" s="64"/>
      <c r="K67" s="64"/>
      <c r="L67" s="64"/>
    </row>
    <row r="68">
      <c r="H68" s="64"/>
      <c r="I68" s="64"/>
      <c r="J68" s="64"/>
      <c r="K68" s="64"/>
      <c r="L68" s="64"/>
    </row>
    <row r="69">
      <c r="H69" s="64"/>
      <c r="I69" s="64"/>
      <c r="J69" s="64"/>
      <c r="K69" s="64"/>
      <c r="L69" s="64"/>
    </row>
    <row r="70">
      <c r="H70" s="64"/>
      <c r="I70" s="64"/>
      <c r="J70" s="64"/>
      <c r="K70" s="64"/>
      <c r="L70" s="64"/>
    </row>
    <row r="71">
      <c r="H71" s="64"/>
      <c r="I71" s="64"/>
      <c r="J71" s="64"/>
      <c r="K71" s="64"/>
      <c r="L71" s="64"/>
    </row>
    <row r="72">
      <c r="H72" s="64"/>
      <c r="I72" s="64"/>
      <c r="J72" s="64"/>
      <c r="K72" s="64"/>
      <c r="L72" s="64"/>
    </row>
    <row r="73">
      <c r="H73" s="64"/>
      <c r="I73" s="64"/>
      <c r="J73" s="64"/>
      <c r="K73" s="64"/>
      <c r="L73" s="64"/>
    </row>
    <row r="74">
      <c r="H74" s="64"/>
      <c r="I74" s="64"/>
      <c r="J74" s="64"/>
      <c r="K74" s="64"/>
      <c r="L74" s="64"/>
    </row>
    <row r="75">
      <c r="H75" s="64"/>
      <c r="I75" s="64"/>
      <c r="J75" s="64"/>
      <c r="K75" s="64"/>
      <c r="L75" s="64"/>
    </row>
    <row r="76">
      <c r="H76" s="64"/>
      <c r="I76" s="64"/>
      <c r="J76" s="64"/>
      <c r="K76" s="64"/>
      <c r="L76" s="64"/>
    </row>
    <row r="77">
      <c r="H77" s="64"/>
      <c r="I77" s="64"/>
      <c r="J77" s="64"/>
      <c r="K77" s="64"/>
      <c r="L77" s="64"/>
    </row>
    <row r="78">
      <c r="H78" s="64"/>
      <c r="I78" s="64"/>
      <c r="J78" s="64"/>
      <c r="K78" s="64"/>
      <c r="L78" s="64"/>
    </row>
    <row r="79">
      <c r="H79" s="64"/>
      <c r="I79" s="64"/>
      <c r="J79" s="64"/>
      <c r="K79" s="64"/>
      <c r="L79" s="64"/>
    </row>
    <row r="80">
      <c r="H80" s="64"/>
      <c r="I80" s="64"/>
      <c r="J80" s="64"/>
      <c r="K80" s="64"/>
      <c r="L80" s="64"/>
    </row>
    <row r="81">
      <c r="H81" s="64"/>
      <c r="I81" s="64"/>
      <c r="J81" s="64"/>
      <c r="K81" s="64"/>
      <c r="L81" s="64"/>
    </row>
    <row r="82">
      <c r="H82" s="64"/>
      <c r="I82" s="64"/>
      <c r="J82" s="64"/>
      <c r="K82" s="64"/>
      <c r="L82" s="64"/>
    </row>
    <row r="83">
      <c r="H83" s="64"/>
      <c r="I83" s="64"/>
      <c r="J83" s="64"/>
      <c r="K83" s="64"/>
      <c r="L83" s="64"/>
    </row>
    <row r="84">
      <c r="H84" s="64"/>
      <c r="I84" s="64"/>
      <c r="J84" s="64"/>
      <c r="K84" s="64"/>
      <c r="L84" s="64"/>
    </row>
    <row r="85">
      <c r="H85" s="64"/>
      <c r="I85" s="64"/>
      <c r="J85" s="64"/>
      <c r="K85" s="64"/>
      <c r="L85" s="64"/>
    </row>
    <row r="86">
      <c r="H86" s="64"/>
      <c r="I86" s="64"/>
      <c r="J86" s="64"/>
      <c r="K86" s="64"/>
      <c r="L86" s="64"/>
    </row>
    <row r="87">
      <c r="H87" s="64"/>
      <c r="I87" s="64"/>
      <c r="J87" s="64"/>
      <c r="K87" s="64"/>
      <c r="L87" s="64"/>
    </row>
    <row r="88">
      <c r="H88" s="64"/>
      <c r="I88" s="64"/>
      <c r="J88" s="64"/>
      <c r="K88" s="64"/>
      <c r="L88" s="64"/>
    </row>
    <row r="89">
      <c r="H89" s="64"/>
      <c r="I89" s="64"/>
      <c r="J89" s="64"/>
      <c r="K89" s="64"/>
      <c r="L89" s="64"/>
    </row>
    <row r="90">
      <c r="H90" s="64"/>
      <c r="I90" s="64"/>
      <c r="J90" s="64"/>
      <c r="K90" s="64"/>
      <c r="L90" s="64"/>
    </row>
    <row r="91">
      <c r="H91" s="64"/>
      <c r="I91" s="64"/>
      <c r="J91" s="64"/>
      <c r="K91" s="64"/>
      <c r="L91" s="64"/>
    </row>
    <row r="92">
      <c r="H92" s="64"/>
      <c r="I92" s="64"/>
      <c r="J92" s="64"/>
      <c r="K92" s="64"/>
      <c r="L92" s="64"/>
    </row>
    <row r="93">
      <c r="H93" s="64"/>
      <c r="I93" s="64"/>
      <c r="J93" s="64"/>
      <c r="K93" s="64"/>
      <c r="L93" s="64"/>
    </row>
    <row r="94">
      <c r="H94" s="64"/>
      <c r="I94" s="64"/>
      <c r="J94" s="64"/>
      <c r="K94" s="64"/>
      <c r="L94" s="64"/>
    </row>
    <row r="95">
      <c r="H95" s="64"/>
      <c r="I95" s="64"/>
      <c r="J95" s="64"/>
      <c r="K95" s="64"/>
      <c r="L95" s="64"/>
    </row>
    <row r="96">
      <c r="H96" s="64"/>
      <c r="I96" s="64"/>
      <c r="J96" s="64"/>
      <c r="K96" s="64"/>
      <c r="L96" s="64"/>
    </row>
    <row r="97">
      <c r="H97" s="64"/>
      <c r="I97" s="64"/>
      <c r="J97" s="64"/>
      <c r="K97" s="64"/>
      <c r="L97" s="64"/>
    </row>
    <row r="98">
      <c r="H98" s="64"/>
      <c r="I98" s="64"/>
      <c r="J98" s="64"/>
      <c r="K98" s="64"/>
      <c r="L98" s="64"/>
    </row>
    <row r="99">
      <c r="H99" s="64"/>
      <c r="I99" s="64"/>
      <c r="J99" s="64"/>
      <c r="K99" s="64"/>
      <c r="L99" s="64"/>
    </row>
    <row r="100">
      <c r="H100" s="64"/>
      <c r="I100" s="64"/>
      <c r="J100" s="64"/>
      <c r="K100" s="64"/>
      <c r="L100" s="64"/>
    </row>
    <row r="101">
      <c r="H101" s="64"/>
      <c r="I101" s="64"/>
      <c r="J101" s="64"/>
      <c r="K101" s="64"/>
      <c r="L101" s="64"/>
    </row>
    <row r="102">
      <c r="H102" s="64"/>
      <c r="I102" s="64"/>
      <c r="J102" s="64"/>
      <c r="K102" s="64"/>
      <c r="L102" s="64"/>
    </row>
    <row r="103">
      <c r="H103" s="64"/>
      <c r="I103" s="64"/>
      <c r="J103" s="64"/>
      <c r="K103" s="64"/>
      <c r="L103" s="64"/>
    </row>
    <row r="104">
      <c r="H104" s="64"/>
      <c r="I104" s="64"/>
      <c r="J104" s="64"/>
      <c r="K104" s="64"/>
      <c r="L104" s="64"/>
    </row>
    <row r="105">
      <c r="H105" s="64"/>
      <c r="I105" s="64"/>
      <c r="J105" s="64"/>
      <c r="K105" s="64"/>
      <c r="L105" s="64"/>
    </row>
    <row r="106">
      <c r="H106" s="64"/>
      <c r="I106" s="64"/>
      <c r="J106" s="64"/>
      <c r="K106" s="64"/>
      <c r="L106" s="64"/>
    </row>
    <row r="107">
      <c r="H107" s="64"/>
      <c r="I107" s="64"/>
      <c r="J107" s="64"/>
      <c r="K107" s="64"/>
      <c r="L107" s="64"/>
    </row>
    <row r="108">
      <c r="H108" s="64"/>
      <c r="I108" s="64"/>
      <c r="J108" s="64"/>
      <c r="K108" s="64"/>
      <c r="L108" s="64"/>
    </row>
    <row r="109">
      <c r="H109" s="64"/>
      <c r="I109" s="64"/>
      <c r="J109" s="64"/>
      <c r="K109" s="64"/>
      <c r="L109" s="64"/>
    </row>
    <row r="110">
      <c r="H110" s="64"/>
      <c r="I110" s="64"/>
      <c r="J110" s="64"/>
      <c r="K110" s="64"/>
      <c r="L110" s="64"/>
    </row>
    <row r="111">
      <c r="H111" s="64"/>
      <c r="I111" s="64"/>
      <c r="J111" s="64"/>
      <c r="K111" s="64"/>
      <c r="L111" s="64"/>
    </row>
    <row r="112">
      <c r="H112" s="64"/>
      <c r="I112" s="64"/>
      <c r="J112" s="64"/>
      <c r="K112" s="64"/>
      <c r="L112" s="64"/>
    </row>
    <row r="113">
      <c r="H113" s="64"/>
      <c r="I113" s="64"/>
      <c r="J113" s="64"/>
      <c r="K113" s="64"/>
      <c r="L113" s="64"/>
    </row>
    <row r="114">
      <c r="H114" s="64"/>
      <c r="I114" s="64"/>
      <c r="J114" s="64"/>
      <c r="K114" s="64"/>
      <c r="L114" s="64"/>
    </row>
    <row r="115">
      <c r="H115" s="64"/>
      <c r="I115" s="64"/>
      <c r="J115" s="64"/>
      <c r="K115" s="64"/>
      <c r="L115" s="64"/>
    </row>
    <row r="116">
      <c r="H116" s="64"/>
      <c r="I116" s="64"/>
      <c r="J116" s="64"/>
      <c r="K116" s="64"/>
      <c r="L116" s="64"/>
    </row>
    <row r="117">
      <c r="H117" s="64"/>
      <c r="I117" s="64"/>
      <c r="J117" s="64"/>
      <c r="K117" s="64"/>
      <c r="L117" s="64"/>
    </row>
    <row r="118">
      <c r="H118" s="64"/>
      <c r="I118" s="64"/>
      <c r="J118" s="64"/>
      <c r="K118" s="64"/>
      <c r="L118" s="64"/>
    </row>
    <row r="119">
      <c r="H119" s="64"/>
      <c r="I119" s="64"/>
      <c r="J119" s="64"/>
      <c r="K119" s="64"/>
      <c r="L119" s="64"/>
    </row>
    <row r="120">
      <c r="H120" s="64"/>
      <c r="I120" s="64"/>
      <c r="J120" s="64"/>
      <c r="K120" s="64"/>
      <c r="L120" s="64"/>
    </row>
    <row r="121">
      <c r="H121" s="64"/>
      <c r="I121" s="64"/>
      <c r="J121" s="64"/>
      <c r="K121" s="64"/>
      <c r="L121" s="64"/>
    </row>
    <row r="122">
      <c r="H122" s="64"/>
      <c r="I122" s="64"/>
      <c r="J122" s="64"/>
      <c r="K122" s="64"/>
      <c r="L122" s="64"/>
    </row>
    <row r="123">
      <c r="H123" s="64"/>
      <c r="I123" s="64"/>
      <c r="J123" s="64"/>
      <c r="K123" s="64"/>
      <c r="L123" s="64"/>
    </row>
    <row r="124">
      <c r="H124" s="64"/>
      <c r="I124" s="64"/>
      <c r="J124" s="64"/>
      <c r="K124" s="64"/>
      <c r="L124" s="64"/>
    </row>
    <row r="125">
      <c r="H125" s="64"/>
      <c r="I125" s="64"/>
      <c r="J125" s="64"/>
      <c r="K125" s="64"/>
      <c r="L125" s="64"/>
    </row>
    <row r="126">
      <c r="H126" s="64"/>
      <c r="I126" s="64"/>
      <c r="J126" s="64"/>
      <c r="K126" s="64"/>
      <c r="L126" s="64"/>
    </row>
    <row r="127">
      <c r="H127" s="64"/>
      <c r="I127" s="64"/>
      <c r="J127" s="64"/>
      <c r="K127" s="64"/>
      <c r="L127" s="64"/>
    </row>
    <row r="128">
      <c r="H128" s="64"/>
      <c r="I128" s="64"/>
      <c r="J128" s="64"/>
      <c r="K128" s="64"/>
      <c r="L128" s="64"/>
    </row>
    <row r="129">
      <c r="H129" s="64"/>
      <c r="I129" s="64"/>
      <c r="J129" s="64"/>
      <c r="K129" s="64"/>
      <c r="L129" s="64"/>
    </row>
    <row r="130">
      <c r="H130" s="64"/>
      <c r="I130" s="64"/>
      <c r="J130" s="64"/>
      <c r="K130" s="64"/>
      <c r="L130" s="64"/>
    </row>
    <row r="131">
      <c r="H131" s="64"/>
      <c r="I131" s="64"/>
      <c r="J131" s="64"/>
      <c r="K131" s="64"/>
      <c r="L131" s="64"/>
    </row>
    <row r="132">
      <c r="H132" s="64"/>
      <c r="I132" s="64"/>
      <c r="J132" s="64"/>
      <c r="K132" s="64"/>
      <c r="L132" s="64"/>
    </row>
    <row r="133">
      <c r="H133" s="64"/>
      <c r="I133" s="64"/>
      <c r="J133" s="64"/>
      <c r="K133" s="64"/>
      <c r="L133" s="64"/>
    </row>
    <row r="134">
      <c r="H134" s="64"/>
      <c r="I134" s="64"/>
      <c r="J134" s="64"/>
      <c r="K134" s="64"/>
      <c r="L134" s="64"/>
    </row>
    <row r="135">
      <c r="H135" s="64"/>
      <c r="I135" s="64"/>
      <c r="J135" s="64"/>
      <c r="K135" s="64"/>
      <c r="L135" s="64"/>
    </row>
    <row r="136">
      <c r="H136" s="64"/>
      <c r="I136" s="64"/>
      <c r="J136" s="64"/>
      <c r="K136" s="64"/>
      <c r="L136" s="64"/>
    </row>
    <row r="137">
      <c r="H137" s="64"/>
      <c r="I137" s="64"/>
      <c r="J137" s="64"/>
      <c r="K137" s="64"/>
      <c r="L137" s="64"/>
    </row>
    <row r="138">
      <c r="H138" s="64"/>
      <c r="I138" s="64"/>
      <c r="J138" s="64"/>
      <c r="K138" s="64"/>
      <c r="L138" s="64"/>
    </row>
    <row r="139">
      <c r="H139" s="64"/>
      <c r="I139" s="64"/>
      <c r="J139" s="64"/>
      <c r="K139" s="64"/>
      <c r="L139" s="64"/>
    </row>
    <row r="140">
      <c r="H140" s="64"/>
      <c r="I140" s="64"/>
      <c r="J140" s="64"/>
      <c r="K140" s="64"/>
      <c r="L140" s="64"/>
    </row>
    <row r="141">
      <c r="H141" s="64"/>
      <c r="I141" s="64"/>
      <c r="J141" s="64"/>
      <c r="K141" s="64"/>
      <c r="L141" s="64"/>
    </row>
    <row r="142">
      <c r="H142" s="64"/>
      <c r="I142" s="64"/>
      <c r="J142" s="64"/>
      <c r="K142" s="64"/>
      <c r="L142" s="64"/>
    </row>
    <row r="143">
      <c r="H143" s="64"/>
      <c r="I143" s="64"/>
      <c r="J143" s="64"/>
      <c r="K143" s="64"/>
      <c r="L143" s="64"/>
    </row>
    <row r="144">
      <c r="H144" s="64"/>
      <c r="I144" s="64"/>
      <c r="J144" s="64"/>
      <c r="K144" s="64"/>
      <c r="L144" s="64"/>
    </row>
    <row r="145">
      <c r="H145" s="64"/>
      <c r="I145" s="64"/>
      <c r="J145" s="64"/>
      <c r="K145" s="64"/>
      <c r="L145" s="64"/>
    </row>
    <row r="146">
      <c r="H146" s="64"/>
      <c r="I146" s="64"/>
      <c r="J146" s="64"/>
      <c r="K146" s="64"/>
      <c r="L146" s="64"/>
    </row>
    <row r="147">
      <c r="H147" s="64"/>
      <c r="I147" s="64"/>
      <c r="J147" s="64"/>
      <c r="K147" s="64"/>
      <c r="L147" s="64"/>
    </row>
    <row r="148">
      <c r="H148" s="64"/>
      <c r="I148" s="64"/>
      <c r="J148" s="64"/>
      <c r="K148" s="64"/>
      <c r="L148" s="64"/>
    </row>
    <row r="149">
      <c r="H149" s="64"/>
      <c r="I149" s="64"/>
      <c r="J149" s="64"/>
      <c r="K149" s="64"/>
      <c r="L149" s="64"/>
    </row>
    <row r="150">
      <c r="H150" s="64"/>
      <c r="I150" s="64"/>
      <c r="J150" s="64"/>
      <c r="K150" s="64"/>
      <c r="L150" s="64"/>
    </row>
    <row r="151">
      <c r="H151" s="64"/>
      <c r="I151" s="64"/>
      <c r="J151" s="64"/>
      <c r="K151" s="64"/>
      <c r="L151" s="64"/>
    </row>
    <row r="152">
      <c r="H152" s="64"/>
      <c r="I152" s="64"/>
      <c r="J152" s="64"/>
      <c r="K152" s="64"/>
      <c r="L152" s="64"/>
    </row>
    <row r="153">
      <c r="H153" s="64"/>
      <c r="I153" s="64"/>
      <c r="J153" s="64"/>
      <c r="K153" s="64"/>
      <c r="L153" s="64"/>
    </row>
    <row r="154">
      <c r="H154" s="64"/>
      <c r="I154" s="64"/>
      <c r="J154" s="64"/>
      <c r="K154" s="64"/>
      <c r="L154" s="64"/>
    </row>
    <row r="155">
      <c r="H155" s="64"/>
      <c r="I155" s="64"/>
      <c r="J155" s="64"/>
      <c r="K155" s="64"/>
      <c r="L155" s="64"/>
    </row>
    <row r="156">
      <c r="H156" s="64"/>
      <c r="I156" s="64"/>
      <c r="J156" s="64"/>
      <c r="K156" s="64"/>
      <c r="L156" s="64"/>
    </row>
    <row r="157">
      <c r="H157" s="64"/>
      <c r="I157" s="64"/>
      <c r="J157" s="64"/>
      <c r="K157" s="64"/>
      <c r="L157" s="64"/>
    </row>
    <row r="158">
      <c r="H158" s="64"/>
      <c r="I158" s="64"/>
      <c r="J158" s="64"/>
      <c r="K158" s="64"/>
      <c r="L158" s="64"/>
    </row>
    <row r="159">
      <c r="H159" s="64"/>
      <c r="I159" s="64"/>
      <c r="J159" s="64"/>
      <c r="K159" s="64"/>
      <c r="L159" s="64"/>
    </row>
    <row r="160">
      <c r="H160" s="64"/>
      <c r="I160" s="64"/>
      <c r="J160" s="64"/>
      <c r="K160" s="64"/>
      <c r="L160" s="64"/>
    </row>
    <row r="161">
      <c r="H161" s="64"/>
      <c r="I161" s="64"/>
      <c r="J161" s="64"/>
      <c r="K161" s="64"/>
      <c r="L161" s="64"/>
    </row>
    <row r="162">
      <c r="H162" s="64"/>
      <c r="I162" s="64"/>
      <c r="J162" s="64"/>
      <c r="K162" s="64"/>
      <c r="L162" s="64"/>
    </row>
    <row r="163">
      <c r="H163" s="64"/>
      <c r="I163" s="64"/>
      <c r="J163" s="64"/>
      <c r="K163" s="64"/>
      <c r="L163" s="64"/>
    </row>
    <row r="164">
      <c r="H164" s="64"/>
      <c r="I164" s="64"/>
      <c r="J164" s="64"/>
      <c r="K164" s="64"/>
      <c r="L164" s="64"/>
    </row>
    <row r="165">
      <c r="H165" s="64"/>
      <c r="I165" s="64"/>
      <c r="J165" s="64"/>
      <c r="K165" s="64"/>
      <c r="L165" s="64"/>
    </row>
    <row r="166">
      <c r="H166" s="64"/>
      <c r="I166" s="64"/>
      <c r="J166" s="64"/>
      <c r="K166" s="64"/>
      <c r="L166" s="64"/>
    </row>
    <row r="167">
      <c r="H167" s="64"/>
      <c r="I167" s="64"/>
      <c r="J167" s="64"/>
      <c r="K167" s="64"/>
      <c r="L167" s="64"/>
    </row>
    <row r="168">
      <c r="H168" s="64"/>
      <c r="I168" s="64"/>
      <c r="J168" s="64"/>
      <c r="K168" s="64"/>
      <c r="L168" s="64"/>
    </row>
    <row r="169">
      <c r="H169" s="64"/>
      <c r="I169" s="64"/>
      <c r="J169" s="64"/>
      <c r="K169" s="64"/>
      <c r="L169" s="64"/>
    </row>
    <row r="170">
      <c r="H170" s="64"/>
      <c r="I170" s="64"/>
      <c r="J170" s="64"/>
      <c r="K170" s="64"/>
      <c r="L170" s="64"/>
    </row>
    <row r="171">
      <c r="H171" s="64"/>
      <c r="I171" s="64"/>
      <c r="J171" s="64"/>
      <c r="K171" s="64"/>
      <c r="L171" s="64"/>
    </row>
    <row r="172">
      <c r="H172" s="64"/>
      <c r="I172" s="64"/>
      <c r="J172" s="64"/>
      <c r="K172" s="64"/>
      <c r="L172" s="64"/>
    </row>
    <row r="173">
      <c r="H173" s="64"/>
      <c r="I173" s="64"/>
      <c r="J173" s="64"/>
      <c r="K173" s="64"/>
      <c r="L173" s="64"/>
    </row>
    <row r="174">
      <c r="H174" s="64"/>
      <c r="I174" s="64"/>
      <c r="J174" s="64"/>
      <c r="K174" s="64"/>
      <c r="L174" s="64"/>
    </row>
    <row r="175">
      <c r="H175" s="64"/>
      <c r="I175" s="64"/>
      <c r="J175" s="64"/>
      <c r="K175" s="64"/>
      <c r="L175" s="64"/>
    </row>
    <row r="176">
      <c r="H176" s="64"/>
      <c r="I176" s="64"/>
      <c r="J176" s="64"/>
      <c r="K176" s="64"/>
      <c r="L176" s="64"/>
    </row>
    <row r="177">
      <c r="H177" s="64"/>
      <c r="I177" s="64"/>
      <c r="J177" s="64"/>
      <c r="K177" s="64"/>
      <c r="L177" s="64"/>
    </row>
    <row r="178">
      <c r="H178" s="64"/>
      <c r="I178" s="64"/>
      <c r="J178" s="64"/>
      <c r="K178" s="64"/>
      <c r="L178" s="64"/>
    </row>
    <row r="179">
      <c r="H179" s="64"/>
      <c r="I179" s="64"/>
      <c r="J179" s="64"/>
      <c r="K179" s="64"/>
      <c r="L179" s="64"/>
    </row>
    <row r="180">
      <c r="H180" s="64"/>
      <c r="I180" s="64"/>
      <c r="J180" s="64"/>
      <c r="K180" s="64"/>
      <c r="L180" s="64"/>
    </row>
    <row r="181">
      <c r="H181" s="64"/>
      <c r="I181" s="64"/>
      <c r="J181" s="64"/>
      <c r="K181" s="64"/>
      <c r="L181" s="64"/>
    </row>
    <row r="182">
      <c r="H182" s="64"/>
      <c r="I182" s="64"/>
      <c r="J182" s="64"/>
      <c r="K182" s="64"/>
      <c r="L182" s="64"/>
    </row>
    <row r="183">
      <c r="H183" s="64"/>
      <c r="I183" s="64"/>
      <c r="J183" s="64"/>
      <c r="K183" s="64"/>
      <c r="L183" s="64"/>
    </row>
    <row r="184">
      <c r="H184" s="64"/>
      <c r="I184" s="64"/>
      <c r="J184" s="64"/>
      <c r="K184" s="64"/>
      <c r="L184" s="64"/>
    </row>
    <row r="185">
      <c r="H185" s="64"/>
      <c r="I185" s="64"/>
      <c r="J185" s="64"/>
      <c r="K185" s="64"/>
      <c r="L185" s="64"/>
    </row>
    <row r="186">
      <c r="H186" s="64"/>
      <c r="I186" s="64"/>
      <c r="J186" s="64"/>
      <c r="K186" s="64"/>
      <c r="L186" s="64"/>
    </row>
    <row r="187">
      <c r="H187" s="64"/>
      <c r="I187" s="64"/>
      <c r="J187" s="64"/>
      <c r="K187" s="64"/>
      <c r="L187" s="64"/>
    </row>
    <row r="188">
      <c r="H188" s="64"/>
      <c r="I188" s="64"/>
      <c r="J188" s="64"/>
      <c r="K188" s="64"/>
      <c r="L188" s="64"/>
    </row>
    <row r="189">
      <c r="H189" s="64"/>
      <c r="I189" s="64"/>
      <c r="J189" s="64"/>
      <c r="K189" s="64"/>
      <c r="L189" s="64"/>
    </row>
    <row r="190">
      <c r="H190" s="64"/>
      <c r="I190" s="64"/>
      <c r="J190" s="64"/>
      <c r="K190" s="64"/>
      <c r="L190" s="64"/>
    </row>
    <row r="191">
      <c r="H191" s="64"/>
      <c r="I191" s="64"/>
      <c r="J191" s="64"/>
      <c r="K191" s="64"/>
      <c r="L191" s="64"/>
    </row>
    <row r="192">
      <c r="H192" s="64"/>
      <c r="I192" s="64"/>
      <c r="J192" s="64"/>
      <c r="K192" s="64"/>
      <c r="L192" s="64"/>
    </row>
    <row r="193">
      <c r="H193" s="64"/>
      <c r="I193" s="64"/>
      <c r="J193" s="64"/>
      <c r="K193" s="64"/>
      <c r="L193" s="64"/>
    </row>
    <row r="194">
      <c r="H194" s="64"/>
      <c r="I194" s="64"/>
      <c r="J194" s="64"/>
      <c r="K194" s="64"/>
      <c r="L194" s="64"/>
    </row>
    <row r="195">
      <c r="H195" s="64"/>
      <c r="I195" s="64"/>
      <c r="J195" s="64"/>
      <c r="K195" s="64"/>
      <c r="L195" s="64"/>
    </row>
    <row r="196">
      <c r="H196" s="64"/>
      <c r="I196" s="64"/>
      <c r="J196" s="64"/>
      <c r="K196" s="64"/>
      <c r="L196" s="64"/>
    </row>
    <row r="197">
      <c r="H197" s="64"/>
      <c r="I197" s="64"/>
      <c r="J197" s="64"/>
      <c r="K197" s="64"/>
      <c r="L197" s="64"/>
    </row>
    <row r="198">
      <c r="H198" s="64"/>
      <c r="I198" s="64"/>
      <c r="J198" s="64"/>
      <c r="K198" s="64"/>
      <c r="L198" s="64"/>
    </row>
    <row r="199">
      <c r="H199" s="64"/>
      <c r="I199" s="64"/>
      <c r="J199" s="64"/>
      <c r="K199" s="64"/>
      <c r="L199" s="64"/>
    </row>
    <row r="200">
      <c r="H200" s="64"/>
      <c r="I200" s="64"/>
      <c r="J200" s="64"/>
      <c r="K200" s="64"/>
      <c r="L200" s="64"/>
    </row>
    <row r="201">
      <c r="H201" s="64"/>
      <c r="I201" s="64"/>
      <c r="J201" s="64"/>
      <c r="K201" s="64"/>
      <c r="L201" s="64"/>
    </row>
    <row r="202">
      <c r="H202" s="64"/>
      <c r="I202" s="64"/>
      <c r="J202" s="64"/>
      <c r="K202" s="64"/>
      <c r="L202" s="64"/>
    </row>
    <row r="203">
      <c r="H203" s="64"/>
      <c r="I203" s="64"/>
      <c r="J203" s="64"/>
      <c r="K203" s="64"/>
      <c r="L203" s="64"/>
    </row>
    <row r="204">
      <c r="H204" s="64"/>
      <c r="I204" s="64"/>
      <c r="J204" s="64"/>
      <c r="K204" s="64"/>
      <c r="L204" s="64"/>
    </row>
    <row r="205">
      <c r="H205" s="64"/>
      <c r="I205" s="64"/>
      <c r="J205" s="64"/>
      <c r="K205" s="64"/>
      <c r="L205" s="64"/>
    </row>
    <row r="206">
      <c r="H206" s="64"/>
      <c r="I206" s="64"/>
      <c r="J206" s="64"/>
      <c r="K206" s="64"/>
      <c r="L206" s="64"/>
    </row>
    <row r="207">
      <c r="H207" s="64"/>
      <c r="I207" s="64"/>
      <c r="J207" s="64"/>
      <c r="K207" s="64"/>
      <c r="L207" s="64"/>
    </row>
    <row r="208">
      <c r="H208" s="64"/>
      <c r="I208" s="64"/>
      <c r="J208" s="64"/>
      <c r="K208" s="64"/>
      <c r="L208" s="64"/>
    </row>
    <row r="209">
      <c r="H209" s="64"/>
      <c r="I209" s="64"/>
      <c r="J209" s="64"/>
      <c r="K209" s="64"/>
      <c r="L209" s="64"/>
    </row>
    <row r="210">
      <c r="H210" s="64"/>
      <c r="I210" s="64"/>
      <c r="J210" s="64"/>
      <c r="K210" s="64"/>
      <c r="L210" s="64"/>
    </row>
    <row r="211">
      <c r="H211" s="64"/>
      <c r="I211" s="64"/>
      <c r="J211" s="64"/>
      <c r="K211" s="64"/>
      <c r="L211" s="64"/>
    </row>
    <row r="212">
      <c r="H212" s="64"/>
      <c r="I212" s="64"/>
      <c r="J212" s="64"/>
      <c r="K212" s="64"/>
      <c r="L212" s="64"/>
    </row>
    <row r="213">
      <c r="H213" s="64"/>
      <c r="I213" s="64"/>
      <c r="J213" s="64"/>
      <c r="K213" s="64"/>
      <c r="L213" s="64"/>
    </row>
    <row r="214">
      <c r="H214" s="64"/>
      <c r="I214" s="64"/>
      <c r="J214" s="64"/>
      <c r="K214" s="64"/>
      <c r="L214" s="64"/>
    </row>
    <row r="215">
      <c r="H215" s="64"/>
      <c r="I215" s="64"/>
      <c r="J215" s="64"/>
      <c r="K215" s="64"/>
      <c r="L215" s="64"/>
    </row>
    <row r="216">
      <c r="H216" s="64"/>
      <c r="I216" s="64"/>
      <c r="J216" s="64"/>
      <c r="K216" s="64"/>
      <c r="L216" s="64"/>
    </row>
    <row r="217">
      <c r="H217" s="64"/>
      <c r="I217" s="64"/>
      <c r="J217" s="64"/>
      <c r="K217" s="64"/>
      <c r="L217" s="64"/>
    </row>
    <row r="218">
      <c r="H218" s="64"/>
      <c r="I218" s="64"/>
      <c r="J218" s="64"/>
      <c r="K218" s="64"/>
      <c r="L218" s="64"/>
    </row>
    <row r="219">
      <c r="H219" s="64"/>
      <c r="I219" s="64"/>
      <c r="J219" s="64"/>
      <c r="K219" s="64"/>
      <c r="L219" s="64"/>
    </row>
    <row r="220">
      <c r="H220" s="64"/>
      <c r="I220" s="64"/>
      <c r="J220" s="64"/>
      <c r="K220" s="64"/>
      <c r="L220" s="64"/>
    </row>
    <row r="221">
      <c r="H221" s="64"/>
      <c r="I221" s="64"/>
      <c r="J221" s="64"/>
      <c r="K221" s="64"/>
      <c r="L221" s="64"/>
    </row>
    <row r="222">
      <c r="H222" s="64"/>
      <c r="I222" s="64"/>
      <c r="J222" s="64"/>
      <c r="K222" s="64"/>
      <c r="L222" s="64"/>
    </row>
    <row r="223">
      <c r="H223" s="64"/>
      <c r="I223" s="64"/>
      <c r="J223" s="64"/>
      <c r="K223" s="64"/>
      <c r="L223" s="64"/>
    </row>
    <row r="224">
      <c r="H224" s="64"/>
      <c r="I224" s="64"/>
      <c r="J224" s="64"/>
      <c r="K224" s="64"/>
      <c r="L224" s="64"/>
    </row>
    <row r="225">
      <c r="H225" s="64"/>
      <c r="I225" s="64"/>
      <c r="J225" s="64"/>
      <c r="K225" s="64"/>
      <c r="L225" s="64"/>
    </row>
    <row r="226">
      <c r="H226" s="64"/>
      <c r="I226" s="64"/>
      <c r="J226" s="64"/>
      <c r="K226" s="64"/>
      <c r="L226" s="64"/>
    </row>
    <row r="227">
      <c r="H227" s="64"/>
      <c r="I227" s="64"/>
      <c r="J227" s="64"/>
      <c r="K227" s="64"/>
      <c r="L227" s="64"/>
    </row>
    <row r="228">
      <c r="H228" s="64"/>
      <c r="I228" s="64"/>
      <c r="J228" s="64"/>
      <c r="K228" s="64"/>
      <c r="L228" s="64"/>
    </row>
    <row r="229">
      <c r="H229" s="64"/>
      <c r="I229" s="64"/>
      <c r="J229" s="64"/>
      <c r="K229" s="64"/>
      <c r="L229" s="64"/>
    </row>
    <row r="230">
      <c r="H230" s="64"/>
      <c r="I230" s="64"/>
      <c r="J230" s="64"/>
      <c r="K230" s="64"/>
      <c r="L230" s="64"/>
    </row>
    <row r="231">
      <c r="H231" s="64"/>
      <c r="I231" s="64"/>
      <c r="J231" s="64"/>
      <c r="K231" s="64"/>
      <c r="L231" s="64"/>
    </row>
    <row r="232">
      <c r="H232" s="64"/>
      <c r="I232" s="64"/>
      <c r="J232" s="64"/>
      <c r="K232" s="64"/>
      <c r="L232" s="64"/>
    </row>
    <row r="233">
      <c r="H233" s="64"/>
      <c r="I233" s="64"/>
      <c r="J233" s="64"/>
      <c r="K233" s="64"/>
      <c r="L233" s="64"/>
    </row>
    <row r="234">
      <c r="H234" s="64"/>
      <c r="I234" s="64"/>
      <c r="J234" s="64"/>
      <c r="K234" s="64"/>
      <c r="L234" s="64"/>
    </row>
    <row r="235">
      <c r="H235" s="64"/>
      <c r="I235" s="64"/>
      <c r="J235" s="64"/>
      <c r="K235" s="64"/>
      <c r="L235" s="64"/>
    </row>
    <row r="236">
      <c r="H236" s="64"/>
      <c r="I236" s="64"/>
      <c r="J236" s="64"/>
      <c r="K236" s="64"/>
      <c r="L236" s="64"/>
    </row>
    <row r="237">
      <c r="H237" s="64"/>
      <c r="I237" s="64"/>
      <c r="J237" s="64"/>
      <c r="K237" s="64"/>
      <c r="L237" s="64"/>
    </row>
    <row r="238">
      <c r="H238" s="64"/>
      <c r="I238" s="64"/>
      <c r="J238" s="64"/>
      <c r="K238" s="64"/>
      <c r="L238" s="64"/>
    </row>
    <row r="239">
      <c r="H239" s="64"/>
      <c r="I239" s="64"/>
      <c r="J239" s="64"/>
      <c r="K239" s="64"/>
      <c r="L239" s="64"/>
    </row>
    <row r="240">
      <c r="H240" s="64"/>
      <c r="I240" s="64"/>
      <c r="J240" s="64"/>
      <c r="K240" s="64"/>
      <c r="L240" s="64"/>
    </row>
    <row r="241">
      <c r="H241" s="64"/>
      <c r="I241" s="64"/>
      <c r="J241" s="64"/>
      <c r="K241" s="64"/>
      <c r="L241" s="64"/>
    </row>
    <row r="242">
      <c r="H242" s="64"/>
      <c r="I242" s="64"/>
      <c r="J242" s="64"/>
      <c r="K242" s="64"/>
      <c r="L242" s="64"/>
    </row>
    <row r="243">
      <c r="H243" s="64"/>
      <c r="I243" s="64"/>
      <c r="J243" s="64"/>
      <c r="K243" s="64"/>
      <c r="L243" s="64"/>
    </row>
    <row r="244">
      <c r="H244" s="64"/>
      <c r="I244" s="64"/>
      <c r="J244" s="64"/>
      <c r="K244" s="64"/>
      <c r="L244" s="64"/>
    </row>
    <row r="245">
      <c r="H245" s="64"/>
      <c r="I245" s="64"/>
      <c r="J245" s="64"/>
      <c r="K245" s="64"/>
      <c r="L245" s="64"/>
    </row>
    <row r="246">
      <c r="H246" s="64"/>
      <c r="I246" s="64"/>
      <c r="J246" s="64"/>
      <c r="K246" s="64"/>
      <c r="L246" s="64"/>
    </row>
    <row r="247">
      <c r="H247" s="64"/>
      <c r="I247" s="64"/>
      <c r="J247" s="64"/>
      <c r="K247" s="64"/>
      <c r="L247" s="64"/>
    </row>
    <row r="248">
      <c r="H248" s="64"/>
      <c r="I248" s="64"/>
      <c r="J248" s="64"/>
      <c r="K248" s="64"/>
      <c r="L248" s="64"/>
    </row>
    <row r="249">
      <c r="H249" s="64"/>
      <c r="I249" s="64"/>
      <c r="J249" s="64"/>
      <c r="K249" s="64"/>
      <c r="L249" s="64"/>
    </row>
    <row r="250">
      <c r="H250" s="64"/>
      <c r="I250" s="64"/>
      <c r="J250" s="64"/>
      <c r="K250" s="64"/>
      <c r="L250" s="64"/>
    </row>
    <row r="251">
      <c r="H251" s="64"/>
      <c r="I251" s="64"/>
      <c r="J251" s="64"/>
      <c r="K251" s="64"/>
      <c r="L251" s="64"/>
    </row>
    <row r="252">
      <c r="H252" s="64"/>
      <c r="I252" s="64"/>
      <c r="J252" s="64"/>
      <c r="K252" s="64"/>
      <c r="L252" s="64"/>
    </row>
    <row r="253">
      <c r="H253" s="64"/>
      <c r="I253" s="64"/>
      <c r="J253" s="64"/>
      <c r="K253" s="64"/>
      <c r="L253" s="64"/>
    </row>
    <row r="254">
      <c r="H254" s="64"/>
      <c r="I254" s="64"/>
      <c r="J254" s="64"/>
      <c r="K254" s="64"/>
      <c r="L254" s="64"/>
    </row>
    <row r="255">
      <c r="H255" s="64"/>
      <c r="I255" s="64"/>
      <c r="J255" s="64"/>
      <c r="K255" s="64"/>
      <c r="L255" s="64"/>
    </row>
    <row r="256">
      <c r="H256" s="64"/>
      <c r="I256" s="64"/>
      <c r="J256" s="64"/>
      <c r="K256" s="64"/>
      <c r="L256" s="64"/>
    </row>
    <row r="257">
      <c r="H257" s="64"/>
      <c r="I257" s="64"/>
      <c r="J257" s="64"/>
      <c r="K257" s="64"/>
      <c r="L257" s="64"/>
    </row>
    <row r="258">
      <c r="H258" s="64"/>
      <c r="I258" s="64"/>
      <c r="J258" s="64"/>
      <c r="K258" s="64"/>
      <c r="L258" s="64"/>
    </row>
    <row r="259">
      <c r="H259" s="64"/>
      <c r="I259" s="64"/>
      <c r="J259" s="64"/>
      <c r="K259" s="64"/>
      <c r="L259" s="64"/>
    </row>
    <row r="260">
      <c r="H260" s="64"/>
      <c r="I260" s="64"/>
      <c r="J260" s="64"/>
      <c r="K260" s="64"/>
      <c r="L260" s="64"/>
    </row>
    <row r="261">
      <c r="H261" s="64"/>
      <c r="I261" s="64"/>
      <c r="J261" s="64"/>
      <c r="K261" s="64"/>
      <c r="L261" s="64"/>
    </row>
    <row r="262">
      <c r="H262" s="64"/>
      <c r="I262" s="64"/>
      <c r="J262" s="64"/>
      <c r="K262" s="64"/>
      <c r="L262" s="64"/>
    </row>
    <row r="263">
      <c r="H263" s="64"/>
      <c r="I263" s="64"/>
      <c r="J263" s="64"/>
      <c r="K263" s="64"/>
      <c r="L263" s="64"/>
    </row>
    <row r="264">
      <c r="H264" s="64"/>
      <c r="I264" s="64"/>
      <c r="J264" s="64"/>
      <c r="K264" s="64"/>
      <c r="L264" s="64"/>
    </row>
    <row r="265">
      <c r="H265" s="64"/>
      <c r="I265" s="64"/>
      <c r="J265" s="64"/>
      <c r="K265" s="64"/>
      <c r="L265" s="64"/>
    </row>
    <row r="266">
      <c r="H266" s="64"/>
      <c r="I266" s="64"/>
      <c r="J266" s="64"/>
      <c r="K266" s="64"/>
      <c r="L266" s="64"/>
    </row>
    <row r="267">
      <c r="H267" s="64"/>
      <c r="I267" s="64"/>
      <c r="J267" s="64"/>
      <c r="K267" s="64"/>
      <c r="L267" s="64"/>
    </row>
    <row r="268">
      <c r="H268" s="64"/>
      <c r="I268" s="64"/>
      <c r="J268" s="64"/>
      <c r="K268" s="64"/>
      <c r="L268" s="64"/>
    </row>
    <row r="269">
      <c r="H269" s="64"/>
      <c r="I269" s="64"/>
      <c r="J269" s="64"/>
      <c r="K269" s="64"/>
      <c r="L269" s="64"/>
    </row>
    <row r="270">
      <c r="H270" s="64"/>
      <c r="I270" s="64"/>
      <c r="J270" s="64"/>
      <c r="K270" s="64"/>
      <c r="L270" s="64"/>
    </row>
    <row r="271">
      <c r="H271" s="64"/>
      <c r="I271" s="64"/>
      <c r="J271" s="64"/>
      <c r="K271" s="64"/>
      <c r="L271" s="64"/>
    </row>
    <row r="272">
      <c r="H272" s="64"/>
      <c r="I272" s="64"/>
      <c r="J272" s="64"/>
      <c r="K272" s="64"/>
      <c r="L272" s="64"/>
    </row>
    <row r="273">
      <c r="H273" s="64"/>
      <c r="I273" s="64"/>
      <c r="J273" s="64"/>
      <c r="K273" s="64"/>
      <c r="L273" s="64"/>
    </row>
    <row r="274">
      <c r="H274" s="64"/>
      <c r="I274" s="64"/>
      <c r="J274" s="64"/>
      <c r="K274" s="64"/>
      <c r="L274" s="64"/>
    </row>
    <row r="275">
      <c r="H275" s="64"/>
      <c r="I275" s="64"/>
      <c r="J275" s="64"/>
      <c r="K275" s="64"/>
      <c r="L275" s="64"/>
    </row>
    <row r="276">
      <c r="H276" s="64"/>
      <c r="I276" s="64"/>
      <c r="J276" s="64"/>
      <c r="K276" s="64"/>
      <c r="L276" s="64"/>
    </row>
    <row r="277">
      <c r="H277" s="64"/>
      <c r="I277" s="64"/>
      <c r="J277" s="64"/>
      <c r="K277" s="64"/>
      <c r="L277" s="64"/>
    </row>
    <row r="278">
      <c r="H278" s="64"/>
      <c r="I278" s="64"/>
      <c r="J278" s="64"/>
      <c r="K278" s="64"/>
      <c r="L278" s="64"/>
    </row>
    <row r="279">
      <c r="H279" s="64"/>
      <c r="I279" s="64"/>
      <c r="J279" s="64"/>
      <c r="K279" s="64"/>
      <c r="L279" s="64"/>
    </row>
    <row r="280">
      <c r="H280" s="64"/>
      <c r="I280" s="64"/>
      <c r="J280" s="64"/>
      <c r="K280" s="64"/>
      <c r="L280" s="64"/>
    </row>
    <row r="281">
      <c r="H281" s="64"/>
      <c r="I281" s="64"/>
      <c r="J281" s="64"/>
      <c r="K281" s="64"/>
      <c r="L281" s="64"/>
    </row>
    <row r="282">
      <c r="H282" s="64"/>
      <c r="I282" s="64"/>
      <c r="J282" s="64"/>
      <c r="K282" s="64"/>
      <c r="L282" s="64"/>
    </row>
    <row r="283">
      <c r="H283" s="64"/>
      <c r="I283" s="64"/>
      <c r="J283" s="64"/>
      <c r="K283" s="64"/>
      <c r="L283" s="64"/>
    </row>
    <row r="284">
      <c r="H284" s="64"/>
      <c r="I284" s="64"/>
      <c r="J284" s="64"/>
      <c r="K284" s="64"/>
      <c r="L284" s="64"/>
    </row>
    <row r="285">
      <c r="H285" s="64"/>
      <c r="I285" s="64"/>
      <c r="J285" s="64"/>
      <c r="K285" s="64"/>
      <c r="L285" s="64"/>
    </row>
    <row r="286">
      <c r="H286" s="64"/>
      <c r="I286" s="64"/>
      <c r="J286" s="64"/>
      <c r="K286" s="64"/>
      <c r="L286" s="64"/>
    </row>
    <row r="287">
      <c r="H287" s="64"/>
      <c r="I287" s="64"/>
      <c r="J287" s="64"/>
      <c r="K287" s="64"/>
      <c r="L287" s="64"/>
    </row>
    <row r="288">
      <c r="H288" s="64"/>
      <c r="I288" s="64"/>
      <c r="J288" s="64"/>
      <c r="K288" s="64"/>
      <c r="L288" s="64"/>
    </row>
    <row r="289">
      <c r="H289" s="64"/>
      <c r="I289" s="64"/>
      <c r="J289" s="64"/>
      <c r="K289" s="64"/>
      <c r="L289" s="64"/>
    </row>
    <row r="290">
      <c r="H290" s="64"/>
      <c r="I290" s="64"/>
      <c r="J290" s="64"/>
      <c r="K290" s="64"/>
      <c r="L290" s="64"/>
    </row>
    <row r="291">
      <c r="H291" s="64"/>
      <c r="I291" s="64"/>
      <c r="J291" s="64"/>
      <c r="K291" s="64"/>
      <c r="L291" s="64"/>
    </row>
    <row r="292">
      <c r="H292" s="64"/>
      <c r="I292" s="64"/>
      <c r="J292" s="64"/>
      <c r="K292" s="64"/>
      <c r="L292" s="64"/>
    </row>
    <row r="293">
      <c r="H293" s="64"/>
      <c r="I293" s="64"/>
      <c r="J293" s="64"/>
      <c r="K293" s="64"/>
      <c r="L293" s="64"/>
    </row>
    <row r="294">
      <c r="H294" s="64"/>
      <c r="I294" s="64"/>
      <c r="J294" s="64"/>
      <c r="K294" s="64"/>
      <c r="L294" s="64"/>
    </row>
    <row r="295">
      <c r="H295" s="64"/>
      <c r="I295" s="64"/>
      <c r="J295" s="64"/>
      <c r="K295" s="64"/>
      <c r="L295" s="64"/>
    </row>
    <row r="296">
      <c r="H296" s="64"/>
      <c r="I296" s="64"/>
      <c r="J296" s="64"/>
      <c r="K296" s="64"/>
      <c r="L296" s="64"/>
    </row>
    <row r="297">
      <c r="H297" s="64"/>
      <c r="I297" s="64"/>
      <c r="J297" s="64"/>
      <c r="K297" s="64"/>
      <c r="L297" s="64"/>
    </row>
    <row r="298">
      <c r="H298" s="64"/>
      <c r="I298" s="64"/>
      <c r="J298" s="64"/>
      <c r="K298" s="64"/>
      <c r="L298" s="64"/>
    </row>
    <row r="299">
      <c r="H299" s="64"/>
      <c r="I299" s="64"/>
      <c r="J299" s="64"/>
      <c r="K299" s="64"/>
      <c r="L299" s="64"/>
    </row>
    <row r="300">
      <c r="H300" s="64"/>
      <c r="I300" s="64"/>
      <c r="J300" s="64"/>
      <c r="K300" s="64"/>
      <c r="L300" s="64"/>
    </row>
    <row r="301">
      <c r="H301" s="64"/>
      <c r="I301" s="64"/>
      <c r="J301" s="64"/>
      <c r="K301" s="64"/>
      <c r="L301" s="64"/>
    </row>
    <row r="302">
      <c r="H302" s="64"/>
      <c r="I302" s="64"/>
      <c r="J302" s="64"/>
      <c r="K302" s="64"/>
      <c r="L302" s="64"/>
    </row>
    <row r="303">
      <c r="H303" s="64"/>
      <c r="I303" s="64"/>
      <c r="J303" s="64"/>
      <c r="K303" s="64"/>
      <c r="L303" s="64"/>
    </row>
    <row r="304">
      <c r="H304" s="64"/>
      <c r="I304" s="64"/>
      <c r="J304" s="64"/>
      <c r="K304" s="64"/>
      <c r="L304" s="64"/>
    </row>
    <row r="305">
      <c r="H305" s="64"/>
      <c r="I305" s="64"/>
      <c r="J305" s="64"/>
      <c r="K305" s="64"/>
      <c r="L305" s="64"/>
    </row>
    <row r="306">
      <c r="H306" s="64"/>
      <c r="I306" s="64"/>
      <c r="J306" s="64"/>
      <c r="K306" s="64"/>
      <c r="L306" s="64"/>
    </row>
    <row r="307">
      <c r="H307" s="64"/>
      <c r="I307" s="64"/>
      <c r="J307" s="64"/>
      <c r="K307" s="64"/>
      <c r="L307" s="64"/>
    </row>
    <row r="308">
      <c r="H308" s="64"/>
      <c r="I308" s="64"/>
      <c r="J308" s="64"/>
      <c r="K308" s="64"/>
      <c r="L308" s="64"/>
    </row>
    <row r="309">
      <c r="H309" s="64"/>
      <c r="I309" s="64"/>
      <c r="J309" s="64"/>
      <c r="K309" s="64"/>
      <c r="L309" s="64"/>
    </row>
    <row r="310">
      <c r="H310" s="64"/>
      <c r="I310" s="64"/>
      <c r="J310" s="64"/>
      <c r="K310" s="64"/>
      <c r="L310" s="64"/>
    </row>
    <row r="311">
      <c r="H311" s="64"/>
      <c r="I311" s="64"/>
      <c r="J311" s="64"/>
      <c r="K311" s="64"/>
      <c r="L311" s="64"/>
    </row>
    <row r="312">
      <c r="H312" s="64"/>
      <c r="I312" s="64"/>
      <c r="J312" s="64"/>
      <c r="K312" s="64"/>
      <c r="L312" s="64"/>
    </row>
    <row r="313">
      <c r="H313" s="64"/>
      <c r="I313" s="64"/>
      <c r="J313" s="64"/>
      <c r="K313" s="64"/>
      <c r="L313" s="64"/>
    </row>
    <row r="314">
      <c r="H314" s="64"/>
      <c r="I314" s="64"/>
      <c r="J314" s="64"/>
      <c r="K314" s="64"/>
      <c r="L314" s="64"/>
    </row>
    <row r="315">
      <c r="H315" s="64"/>
      <c r="I315" s="64"/>
      <c r="J315" s="64"/>
      <c r="K315" s="64"/>
      <c r="L315" s="64"/>
    </row>
    <row r="316">
      <c r="H316" s="64"/>
      <c r="I316" s="64"/>
      <c r="J316" s="64"/>
      <c r="K316" s="64"/>
      <c r="L316" s="64"/>
    </row>
    <row r="317">
      <c r="H317" s="64"/>
      <c r="I317" s="64"/>
      <c r="J317" s="64"/>
      <c r="K317" s="64"/>
      <c r="L317" s="64"/>
    </row>
    <row r="318">
      <c r="H318" s="64"/>
      <c r="I318" s="64"/>
      <c r="J318" s="64"/>
      <c r="K318" s="64"/>
      <c r="L318" s="64"/>
    </row>
    <row r="319">
      <c r="H319" s="64"/>
      <c r="I319" s="64"/>
      <c r="J319" s="64"/>
      <c r="K319" s="64"/>
      <c r="L319" s="64"/>
    </row>
    <row r="320">
      <c r="H320" s="64"/>
      <c r="I320" s="64"/>
      <c r="J320" s="64"/>
      <c r="K320" s="64"/>
      <c r="L320" s="64"/>
    </row>
    <row r="321">
      <c r="H321" s="64"/>
      <c r="I321" s="64"/>
      <c r="J321" s="64"/>
      <c r="K321" s="64"/>
      <c r="L321" s="64"/>
    </row>
    <row r="322">
      <c r="H322" s="64"/>
      <c r="I322" s="64"/>
      <c r="J322" s="64"/>
      <c r="K322" s="64"/>
      <c r="L322" s="64"/>
    </row>
    <row r="323">
      <c r="H323" s="64"/>
      <c r="I323" s="64"/>
      <c r="J323" s="64"/>
      <c r="K323" s="64"/>
      <c r="L323" s="64"/>
    </row>
    <row r="324">
      <c r="H324" s="64"/>
      <c r="I324" s="64"/>
      <c r="J324" s="64"/>
      <c r="K324" s="64"/>
      <c r="L324" s="64"/>
    </row>
    <row r="325">
      <c r="H325" s="64"/>
      <c r="I325" s="64"/>
      <c r="J325" s="64"/>
      <c r="K325" s="64"/>
      <c r="L325" s="64"/>
    </row>
    <row r="326">
      <c r="H326" s="64"/>
      <c r="I326" s="64"/>
      <c r="J326" s="64"/>
      <c r="K326" s="64"/>
      <c r="L326" s="64"/>
    </row>
    <row r="327">
      <c r="H327" s="64"/>
      <c r="I327" s="64"/>
      <c r="J327" s="64"/>
      <c r="K327" s="64"/>
      <c r="L327" s="64"/>
    </row>
    <row r="328">
      <c r="H328" s="64"/>
      <c r="I328" s="64"/>
      <c r="J328" s="64"/>
      <c r="K328" s="64"/>
      <c r="L328" s="64"/>
    </row>
    <row r="329">
      <c r="H329" s="64"/>
      <c r="I329" s="64"/>
      <c r="J329" s="64"/>
      <c r="K329" s="64"/>
      <c r="L329" s="64"/>
    </row>
    <row r="330">
      <c r="H330" s="64"/>
      <c r="I330" s="64"/>
      <c r="J330" s="64"/>
      <c r="K330" s="64"/>
      <c r="L330" s="64"/>
    </row>
    <row r="331">
      <c r="H331" s="64"/>
      <c r="I331" s="64"/>
      <c r="J331" s="64"/>
      <c r="K331" s="64"/>
      <c r="L331" s="64"/>
    </row>
    <row r="332">
      <c r="H332" s="64"/>
      <c r="I332" s="64"/>
      <c r="J332" s="64"/>
      <c r="K332" s="64"/>
      <c r="L332" s="64"/>
    </row>
    <row r="333">
      <c r="H333" s="64"/>
      <c r="I333" s="64"/>
      <c r="J333" s="64"/>
      <c r="K333" s="64"/>
      <c r="L333" s="64"/>
    </row>
    <row r="334">
      <c r="H334" s="64"/>
      <c r="I334" s="64"/>
      <c r="J334" s="64"/>
      <c r="K334" s="64"/>
      <c r="L334" s="64"/>
    </row>
    <row r="335">
      <c r="H335" s="64"/>
      <c r="I335" s="64"/>
      <c r="J335" s="64"/>
      <c r="K335" s="64"/>
      <c r="L335" s="64"/>
    </row>
    <row r="336">
      <c r="H336" s="64"/>
      <c r="I336" s="64"/>
      <c r="J336" s="64"/>
      <c r="K336" s="64"/>
      <c r="L336" s="64"/>
    </row>
    <row r="337">
      <c r="H337" s="64"/>
      <c r="I337" s="64"/>
      <c r="J337" s="64"/>
      <c r="K337" s="64"/>
      <c r="L337" s="64"/>
    </row>
    <row r="338">
      <c r="H338" s="64"/>
      <c r="I338" s="64"/>
      <c r="J338" s="64"/>
      <c r="K338" s="64"/>
      <c r="L338" s="64"/>
    </row>
    <row r="339">
      <c r="H339" s="64"/>
      <c r="I339" s="64"/>
      <c r="J339" s="64"/>
      <c r="K339" s="64"/>
      <c r="L339" s="64"/>
    </row>
    <row r="340">
      <c r="H340" s="64"/>
      <c r="I340" s="64"/>
      <c r="J340" s="64"/>
      <c r="K340" s="64"/>
      <c r="L340" s="64"/>
    </row>
    <row r="341">
      <c r="H341" s="64"/>
      <c r="I341" s="64"/>
      <c r="J341" s="64"/>
      <c r="K341" s="64"/>
      <c r="L341" s="64"/>
    </row>
    <row r="342">
      <c r="H342" s="64"/>
      <c r="I342" s="64"/>
      <c r="J342" s="64"/>
      <c r="K342" s="64"/>
      <c r="L342" s="64"/>
    </row>
    <row r="343">
      <c r="H343" s="64"/>
      <c r="I343" s="64"/>
      <c r="J343" s="64"/>
      <c r="K343" s="64"/>
      <c r="L343" s="64"/>
    </row>
    <row r="344">
      <c r="H344" s="64"/>
      <c r="I344" s="64"/>
      <c r="J344" s="64"/>
      <c r="K344" s="64"/>
      <c r="L344" s="64"/>
    </row>
    <row r="345">
      <c r="H345" s="64"/>
      <c r="I345" s="64"/>
      <c r="J345" s="64"/>
      <c r="K345" s="64"/>
      <c r="L345" s="64"/>
    </row>
    <row r="346">
      <c r="H346" s="64"/>
      <c r="I346" s="64"/>
      <c r="J346" s="64"/>
      <c r="K346" s="64"/>
      <c r="L346" s="64"/>
    </row>
    <row r="347">
      <c r="H347" s="64"/>
      <c r="I347" s="64"/>
      <c r="J347" s="64"/>
      <c r="K347" s="64"/>
      <c r="L347" s="64"/>
    </row>
    <row r="348">
      <c r="H348" s="64"/>
      <c r="I348" s="64"/>
      <c r="J348" s="64"/>
      <c r="K348" s="64"/>
      <c r="L348" s="64"/>
    </row>
    <row r="349">
      <c r="H349" s="64"/>
      <c r="I349" s="64"/>
      <c r="J349" s="64"/>
      <c r="K349" s="64"/>
      <c r="L349" s="64"/>
    </row>
    <row r="350">
      <c r="H350" s="64"/>
      <c r="I350" s="64"/>
      <c r="J350" s="64"/>
      <c r="K350" s="64"/>
      <c r="L350" s="64"/>
    </row>
    <row r="351">
      <c r="H351" s="64"/>
      <c r="I351" s="64"/>
      <c r="J351" s="64"/>
      <c r="K351" s="64"/>
      <c r="L351" s="64"/>
    </row>
    <row r="352">
      <c r="H352" s="64"/>
      <c r="I352" s="64"/>
      <c r="J352" s="64"/>
      <c r="K352" s="64"/>
      <c r="L352" s="64"/>
    </row>
    <row r="353">
      <c r="H353" s="64"/>
      <c r="I353" s="64"/>
      <c r="J353" s="64"/>
      <c r="K353" s="64"/>
      <c r="L353" s="64"/>
    </row>
    <row r="354">
      <c r="H354" s="64"/>
      <c r="I354" s="64"/>
      <c r="J354" s="64"/>
      <c r="K354" s="64"/>
      <c r="L354" s="64"/>
    </row>
    <row r="355">
      <c r="H355" s="64"/>
      <c r="I355" s="64"/>
      <c r="J355" s="64"/>
      <c r="K355" s="64"/>
      <c r="L355" s="64"/>
    </row>
    <row r="356">
      <c r="H356" s="64"/>
      <c r="I356" s="64"/>
      <c r="J356" s="64"/>
      <c r="K356" s="64"/>
      <c r="L356" s="64"/>
    </row>
    <row r="357">
      <c r="H357" s="64"/>
      <c r="I357" s="64"/>
      <c r="J357" s="64"/>
      <c r="K357" s="64"/>
      <c r="L357" s="64"/>
    </row>
    <row r="358">
      <c r="H358" s="64"/>
      <c r="I358" s="64"/>
      <c r="J358" s="64"/>
      <c r="K358" s="64"/>
      <c r="L358" s="64"/>
    </row>
    <row r="359">
      <c r="H359" s="64"/>
      <c r="I359" s="64"/>
      <c r="J359" s="64"/>
      <c r="K359" s="64"/>
      <c r="L359" s="64"/>
    </row>
    <row r="360">
      <c r="H360" s="64"/>
      <c r="I360" s="64"/>
      <c r="J360" s="64"/>
      <c r="K360" s="64"/>
      <c r="L360" s="64"/>
    </row>
    <row r="361">
      <c r="H361" s="64"/>
      <c r="I361" s="64"/>
      <c r="J361" s="64"/>
      <c r="K361" s="64"/>
      <c r="L361" s="64"/>
    </row>
    <row r="362">
      <c r="H362" s="64"/>
      <c r="I362" s="64"/>
      <c r="J362" s="64"/>
      <c r="K362" s="64"/>
      <c r="L362" s="64"/>
    </row>
    <row r="363">
      <c r="H363" s="64"/>
      <c r="I363" s="64"/>
      <c r="J363" s="64"/>
      <c r="K363" s="64"/>
      <c r="L363" s="64"/>
    </row>
    <row r="364">
      <c r="H364" s="64"/>
      <c r="I364" s="64"/>
      <c r="J364" s="64"/>
      <c r="K364" s="64"/>
      <c r="L364" s="64"/>
    </row>
    <row r="365">
      <c r="H365" s="64"/>
      <c r="I365" s="64"/>
      <c r="J365" s="64"/>
      <c r="K365" s="64"/>
      <c r="L365" s="64"/>
    </row>
    <row r="366">
      <c r="H366" s="64"/>
      <c r="I366" s="64"/>
      <c r="J366" s="64"/>
      <c r="K366" s="64"/>
      <c r="L366" s="64"/>
    </row>
    <row r="367">
      <c r="H367" s="64"/>
      <c r="I367" s="64"/>
      <c r="J367" s="64"/>
      <c r="K367" s="64"/>
      <c r="L367" s="64"/>
    </row>
    <row r="368">
      <c r="H368" s="64"/>
      <c r="I368" s="64"/>
      <c r="J368" s="64"/>
      <c r="K368" s="64"/>
      <c r="L368" s="64"/>
    </row>
    <row r="369">
      <c r="H369" s="64"/>
      <c r="I369" s="64"/>
      <c r="J369" s="64"/>
      <c r="K369" s="64"/>
      <c r="L369" s="64"/>
    </row>
    <row r="370">
      <c r="H370" s="64"/>
      <c r="I370" s="64"/>
      <c r="J370" s="64"/>
      <c r="K370" s="64"/>
      <c r="L370" s="64"/>
    </row>
    <row r="371">
      <c r="H371" s="64"/>
      <c r="I371" s="64"/>
      <c r="J371" s="64"/>
      <c r="K371" s="64"/>
      <c r="L371" s="64"/>
    </row>
    <row r="372">
      <c r="H372" s="64"/>
      <c r="I372" s="64"/>
      <c r="J372" s="64"/>
      <c r="K372" s="64"/>
      <c r="L372" s="64"/>
    </row>
    <row r="373">
      <c r="H373" s="64"/>
      <c r="I373" s="64"/>
      <c r="J373" s="64"/>
      <c r="K373" s="64"/>
      <c r="L373" s="64"/>
    </row>
    <row r="374">
      <c r="H374" s="64"/>
      <c r="I374" s="64"/>
      <c r="J374" s="64"/>
      <c r="K374" s="64"/>
      <c r="L374" s="64"/>
    </row>
    <row r="375">
      <c r="H375" s="64"/>
      <c r="I375" s="64"/>
      <c r="J375" s="64"/>
      <c r="K375" s="64"/>
      <c r="L375" s="64"/>
    </row>
    <row r="376">
      <c r="H376" s="64"/>
      <c r="I376" s="64"/>
      <c r="J376" s="64"/>
      <c r="K376" s="64"/>
      <c r="L376" s="64"/>
    </row>
    <row r="377">
      <c r="H377" s="64"/>
      <c r="I377" s="64"/>
      <c r="J377" s="64"/>
      <c r="K377" s="64"/>
      <c r="L377" s="64"/>
    </row>
    <row r="378">
      <c r="H378" s="64"/>
      <c r="I378" s="64"/>
      <c r="J378" s="64"/>
      <c r="K378" s="64"/>
      <c r="L378" s="64"/>
    </row>
    <row r="379">
      <c r="H379" s="64"/>
      <c r="I379" s="64"/>
      <c r="J379" s="64"/>
      <c r="K379" s="64"/>
      <c r="L379" s="64"/>
    </row>
    <row r="380">
      <c r="H380" s="64"/>
      <c r="I380" s="64"/>
      <c r="J380" s="64"/>
      <c r="K380" s="64"/>
      <c r="L380" s="64"/>
    </row>
    <row r="381">
      <c r="H381" s="64"/>
      <c r="I381" s="64"/>
      <c r="J381" s="64"/>
      <c r="K381" s="64"/>
      <c r="L381" s="64"/>
    </row>
    <row r="382">
      <c r="H382" s="64"/>
      <c r="I382" s="64"/>
      <c r="J382" s="64"/>
      <c r="K382" s="64"/>
      <c r="L382" s="64"/>
    </row>
    <row r="383">
      <c r="H383" s="64"/>
      <c r="I383" s="64"/>
      <c r="J383" s="64"/>
      <c r="K383" s="64"/>
      <c r="L383" s="64"/>
    </row>
    <row r="384">
      <c r="H384" s="64"/>
      <c r="I384" s="64"/>
      <c r="J384" s="64"/>
      <c r="K384" s="64"/>
      <c r="L384" s="64"/>
    </row>
    <row r="385">
      <c r="H385" s="64"/>
      <c r="I385" s="64"/>
      <c r="J385" s="64"/>
      <c r="K385" s="64"/>
      <c r="L385" s="64"/>
    </row>
    <row r="386">
      <c r="H386" s="64"/>
      <c r="I386" s="64"/>
      <c r="J386" s="64"/>
      <c r="K386" s="64"/>
      <c r="L386" s="64"/>
    </row>
    <row r="387">
      <c r="H387" s="64"/>
      <c r="I387" s="64"/>
      <c r="J387" s="64"/>
      <c r="K387" s="64"/>
      <c r="L387" s="64"/>
    </row>
    <row r="388">
      <c r="H388" s="64"/>
      <c r="I388" s="64"/>
      <c r="J388" s="64"/>
      <c r="K388" s="64"/>
      <c r="L388" s="64"/>
    </row>
    <row r="389">
      <c r="H389" s="64"/>
      <c r="I389" s="64"/>
      <c r="J389" s="64"/>
      <c r="K389" s="64"/>
      <c r="L389" s="64"/>
    </row>
    <row r="390">
      <c r="H390" s="64"/>
      <c r="I390" s="64"/>
      <c r="J390" s="64"/>
      <c r="K390" s="64"/>
      <c r="L390" s="64"/>
    </row>
    <row r="391">
      <c r="H391" s="64"/>
      <c r="I391" s="64"/>
      <c r="J391" s="64"/>
      <c r="K391" s="64"/>
      <c r="L391" s="64"/>
    </row>
    <row r="392">
      <c r="H392" s="64"/>
      <c r="I392" s="64"/>
      <c r="J392" s="64"/>
      <c r="K392" s="64"/>
      <c r="L392" s="64"/>
    </row>
    <row r="393">
      <c r="H393" s="64"/>
      <c r="I393" s="64"/>
      <c r="J393" s="64"/>
      <c r="K393" s="64"/>
      <c r="L393" s="64"/>
    </row>
    <row r="394">
      <c r="H394" s="64"/>
      <c r="I394" s="64"/>
      <c r="J394" s="64"/>
      <c r="K394" s="64"/>
      <c r="L394" s="64"/>
    </row>
    <row r="395">
      <c r="H395" s="64"/>
      <c r="I395" s="64"/>
      <c r="J395" s="64"/>
      <c r="K395" s="64"/>
      <c r="L395" s="64"/>
    </row>
    <row r="396">
      <c r="H396" s="64"/>
      <c r="I396" s="64"/>
      <c r="J396" s="64"/>
      <c r="K396" s="64"/>
      <c r="L396" s="64"/>
    </row>
    <row r="397">
      <c r="H397" s="64"/>
      <c r="I397" s="64"/>
      <c r="J397" s="64"/>
      <c r="K397" s="64"/>
      <c r="L397" s="64"/>
    </row>
    <row r="398">
      <c r="H398" s="64"/>
      <c r="I398" s="64"/>
      <c r="J398" s="64"/>
      <c r="K398" s="64"/>
      <c r="L398" s="64"/>
    </row>
    <row r="399">
      <c r="H399" s="64"/>
      <c r="I399" s="64"/>
      <c r="J399" s="64"/>
      <c r="K399" s="64"/>
      <c r="L399" s="64"/>
    </row>
    <row r="400">
      <c r="H400" s="64"/>
      <c r="I400" s="64"/>
      <c r="J400" s="64"/>
      <c r="K400" s="64"/>
      <c r="L400" s="64"/>
    </row>
    <row r="401">
      <c r="H401" s="64"/>
      <c r="I401" s="64"/>
      <c r="J401" s="64"/>
      <c r="K401" s="64"/>
      <c r="L401" s="64"/>
    </row>
    <row r="402">
      <c r="H402" s="64"/>
      <c r="I402" s="64"/>
      <c r="J402" s="64"/>
      <c r="K402" s="64"/>
      <c r="L402" s="64"/>
    </row>
    <row r="403">
      <c r="H403" s="64"/>
      <c r="I403" s="64"/>
      <c r="J403" s="64"/>
      <c r="K403" s="64"/>
      <c r="L403" s="64"/>
    </row>
    <row r="404">
      <c r="H404" s="64"/>
      <c r="I404" s="64"/>
      <c r="J404" s="64"/>
      <c r="K404" s="64"/>
      <c r="L404" s="64"/>
    </row>
    <row r="405">
      <c r="H405" s="64"/>
      <c r="I405" s="64"/>
      <c r="J405" s="64"/>
      <c r="K405" s="64"/>
      <c r="L405" s="64"/>
    </row>
    <row r="406">
      <c r="H406" s="64"/>
      <c r="I406" s="64"/>
      <c r="J406" s="64"/>
      <c r="K406" s="64"/>
      <c r="L406" s="64"/>
    </row>
    <row r="407">
      <c r="H407" s="64"/>
      <c r="I407" s="64"/>
      <c r="J407" s="64"/>
      <c r="K407" s="64"/>
      <c r="L407" s="64"/>
    </row>
    <row r="408">
      <c r="H408" s="64"/>
      <c r="I408" s="64"/>
      <c r="J408" s="64"/>
      <c r="K408" s="64"/>
      <c r="L408" s="64"/>
    </row>
    <row r="409">
      <c r="H409" s="64"/>
      <c r="I409" s="64"/>
      <c r="J409" s="64"/>
      <c r="K409" s="64"/>
      <c r="L409" s="64"/>
    </row>
    <row r="410">
      <c r="H410" s="64"/>
      <c r="I410" s="64"/>
      <c r="J410" s="64"/>
      <c r="K410" s="64"/>
      <c r="L410" s="64"/>
    </row>
    <row r="411">
      <c r="H411" s="64"/>
      <c r="I411" s="64"/>
      <c r="J411" s="64"/>
      <c r="K411" s="64"/>
      <c r="L411" s="64"/>
    </row>
    <row r="412">
      <c r="H412" s="64"/>
      <c r="I412" s="64"/>
      <c r="J412" s="64"/>
      <c r="K412" s="64"/>
      <c r="L412" s="64"/>
    </row>
    <row r="413">
      <c r="H413" s="64"/>
      <c r="I413" s="64"/>
      <c r="J413" s="64"/>
      <c r="K413" s="64"/>
      <c r="L413" s="64"/>
    </row>
    <row r="414">
      <c r="H414" s="64"/>
      <c r="I414" s="64"/>
      <c r="J414" s="64"/>
      <c r="K414" s="64"/>
      <c r="L414" s="64"/>
    </row>
    <row r="415">
      <c r="H415" s="64"/>
      <c r="I415" s="64"/>
      <c r="J415" s="64"/>
      <c r="K415" s="64"/>
      <c r="L415" s="64"/>
    </row>
    <row r="416">
      <c r="H416" s="64"/>
      <c r="I416" s="64"/>
      <c r="J416" s="64"/>
      <c r="K416" s="64"/>
      <c r="L416" s="64"/>
    </row>
    <row r="417">
      <c r="H417" s="64"/>
      <c r="I417" s="64"/>
      <c r="J417" s="64"/>
      <c r="K417" s="64"/>
      <c r="L417" s="64"/>
    </row>
    <row r="418">
      <c r="H418" s="64"/>
      <c r="I418" s="64"/>
      <c r="J418" s="64"/>
      <c r="K418" s="64"/>
      <c r="L418" s="64"/>
    </row>
    <row r="419">
      <c r="H419" s="64"/>
      <c r="I419" s="64"/>
      <c r="J419" s="64"/>
      <c r="K419" s="64"/>
      <c r="L419" s="64"/>
    </row>
    <row r="420">
      <c r="H420" s="64"/>
      <c r="I420" s="64"/>
      <c r="J420" s="64"/>
      <c r="K420" s="64"/>
      <c r="L420" s="64"/>
    </row>
    <row r="421">
      <c r="H421" s="64"/>
      <c r="I421" s="64"/>
      <c r="J421" s="64"/>
      <c r="K421" s="64"/>
      <c r="L421" s="64"/>
    </row>
    <row r="422">
      <c r="H422" s="64"/>
      <c r="I422" s="64"/>
      <c r="J422" s="64"/>
      <c r="K422" s="64"/>
      <c r="L422" s="64"/>
    </row>
    <row r="423">
      <c r="H423" s="64"/>
      <c r="I423" s="64"/>
      <c r="J423" s="64"/>
      <c r="K423" s="64"/>
      <c r="L423" s="64"/>
    </row>
    <row r="424">
      <c r="H424" s="64"/>
      <c r="I424" s="64"/>
      <c r="J424" s="64"/>
      <c r="K424" s="64"/>
      <c r="L424" s="64"/>
    </row>
    <row r="425">
      <c r="H425" s="64"/>
      <c r="I425" s="64"/>
      <c r="J425" s="64"/>
      <c r="K425" s="64"/>
      <c r="L425" s="64"/>
    </row>
    <row r="426">
      <c r="H426" s="64"/>
      <c r="I426" s="64"/>
      <c r="J426" s="64"/>
      <c r="K426" s="64"/>
      <c r="L426" s="64"/>
    </row>
    <row r="427">
      <c r="H427" s="64"/>
      <c r="I427" s="64"/>
      <c r="J427" s="64"/>
      <c r="K427" s="64"/>
      <c r="L427" s="64"/>
    </row>
    <row r="428">
      <c r="H428" s="64"/>
      <c r="I428" s="64"/>
      <c r="J428" s="64"/>
      <c r="K428" s="64"/>
      <c r="L428" s="64"/>
    </row>
    <row r="429">
      <c r="H429" s="64"/>
      <c r="I429" s="64"/>
      <c r="J429" s="64"/>
      <c r="K429" s="64"/>
      <c r="L429" s="64"/>
    </row>
    <row r="430">
      <c r="H430" s="64"/>
      <c r="I430" s="64"/>
      <c r="J430" s="64"/>
      <c r="K430" s="64"/>
      <c r="L430" s="64"/>
    </row>
    <row r="431">
      <c r="H431" s="64"/>
      <c r="I431" s="64"/>
      <c r="J431" s="64"/>
      <c r="K431" s="64"/>
      <c r="L431" s="64"/>
    </row>
    <row r="432">
      <c r="H432" s="64"/>
      <c r="I432" s="64"/>
      <c r="J432" s="64"/>
      <c r="K432" s="64"/>
      <c r="L432" s="64"/>
    </row>
    <row r="433">
      <c r="H433" s="64"/>
      <c r="I433" s="64"/>
      <c r="J433" s="64"/>
      <c r="K433" s="64"/>
      <c r="L433" s="64"/>
    </row>
    <row r="434">
      <c r="H434" s="64"/>
      <c r="I434" s="64"/>
      <c r="J434" s="64"/>
      <c r="K434" s="64"/>
      <c r="L434" s="64"/>
    </row>
    <row r="435">
      <c r="H435" s="64"/>
      <c r="I435" s="64"/>
      <c r="J435" s="64"/>
      <c r="K435" s="64"/>
      <c r="L435" s="64"/>
    </row>
    <row r="436">
      <c r="H436" s="64"/>
      <c r="I436" s="64"/>
      <c r="J436" s="64"/>
      <c r="K436" s="64"/>
      <c r="L436" s="64"/>
    </row>
    <row r="437">
      <c r="H437" s="64"/>
      <c r="I437" s="64"/>
      <c r="J437" s="64"/>
      <c r="K437" s="64"/>
      <c r="L437" s="64"/>
    </row>
    <row r="438">
      <c r="H438" s="64"/>
      <c r="I438" s="64"/>
      <c r="J438" s="64"/>
      <c r="K438" s="64"/>
      <c r="L438" s="64"/>
    </row>
    <row r="439">
      <c r="H439" s="64"/>
      <c r="I439" s="64"/>
      <c r="J439" s="64"/>
      <c r="K439" s="64"/>
      <c r="L439" s="64"/>
    </row>
    <row r="440">
      <c r="H440" s="64"/>
      <c r="I440" s="64"/>
      <c r="J440" s="64"/>
      <c r="K440" s="64"/>
      <c r="L440" s="64"/>
    </row>
    <row r="441">
      <c r="H441" s="64"/>
      <c r="I441" s="64"/>
      <c r="J441" s="64"/>
      <c r="K441" s="64"/>
      <c r="L441" s="64"/>
    </row>
    <row r="442">
      <c r="H442" s="64"/>
      <c r="I442" s="64"/>
      <c r="J442" s="64"/>
      <c r="K442" s="64"/>
      <c r="L442" s="64"/>
    </row>
    <row r="443">
      <c r="H443" s="64"/>
      <c r="I443" s="64"/>
      <c r="J443" s="64"/>
      <c r="K443" s="64"/>
      <c r="L443" s="64"/>
    </row>
    <row r="444">
      <c r="H444" s="64"/>
      <c r="I444" s="64"/>
      <c r="J444" s="64"/>
      <c r="K444" s="64"/>
      <c r="L444" s="64"/>
    </row>
    <row r="445">
      <c r="H445" s="64"/>
      <c r="I445" s="64"/>
      <c r="J445" s="64"/>
      <c r="K445" s="64"/>
      <c r="L445" s="64"/>
    </row>
    <row r="446">
      <c r="H446" s="64"/>
      <c r="I446" s="64"/>
      <c r="J446" s="64"/>
      <c r="K446" s="64"/>
      <c r="L446" s="64"/>
    </row>
    <row r="447">
      <c r="H447" s="64"/>
      <c r="I447" s="64"/>
      <c r="J447" s="64"/>
      <c r="K447" s="64"/>
      <c r="L447" s="64"/>
    </row>
    <row r="448">
      <c r="H448" s="64"/>
      <c r="I448" s="64"/>
      <c r="J448" s="64"/>
      <c r="K448" s="64"/>
      <c r="L448" s="64"/>
    </row>
    <row r="449">
      <c r="H449" s="64"/>
      <c r="I449" s="64"/>
      <c r="J449" s="64"/>
      <c r="K449" s="64"/>
      <c r="L449" s="64"/>
    </row>
    <row r="450">
      <c r="H450" s="64"/>
      <c r="I450" s="64"/>
      <c r="J450" s="64"/>
      <c r="K450" s="64"/>
      <c r="L450" s="64"/>
    </row>
    <row r="451">
      <c r="H451" s="64"/>
      <c r="I451" s="64"/>
      <c r="J451" s="64"/>
      <c r="K451" s="64"/>
      <c r="L451" s="64"/>
    </row>
    <row r="452">
      <c r="H452" s="64"/>
      <c r="I452" s="64"/>
      <c r="J452" s="64"/>
      <c r="K452" s="64"/>
      <c r="L452" s="64"/>
    </row>
    <row r="453">
      <c r="H453" s="64"/>
      <c r="I453" s="64"/>
      <c r="J453" s="64"/>
      <c r="K453" s="64"/>
      <c r="L453" s="64"/>
    </row>
    <row r="454">
      <c r="H454" s="64"/>
      <c r="I454" s="64"/>
      <c r="J454" s="64"/>
      <c r="K454" s="64"/>
      <c r="L454" s="64"/>
    </row>
    <row r="455">
      <c r="H455" s="64"/>
      <c r="I455" s="64"/>
      <c r="J455" s="64"/>
      <c r="K455" s="64"/>
      <c r="L455" s="64"/>
    </row>
    <row r="456">
      <c r="H456" s="64"/>
      <c r="I456" s="64"/>
      <c r="J456" s="64"/>
      <c r="K456" s="64"/>
      <c r="L456" s="64"/>
    </row>
    <row r="457">
      <c r="H457" s="64"/>
      <c r="I457" s="64"/>
      <c r="J457" s="64"/>
      <c r="K457" s="64"/>
      <c r="L457" s="64"/>
    </row>
    <row r="458">
      <c r="H458" s="64"/>
      <c r="I458" s="64"/>
      <c r="J458" s="64"/>
      <c r="K458" s="64"/>
      <c r="L458" s="64"/>
    </row>
    <row r="459">
      <c r="H459" s="64"/>
      <c r="I459" s="64"/>
      <c r="J459" s="64"/>
      <c r="K459" s="64"/>
      <c r="L459" s="64"/>
    </row>
    <row r="460">
      <c r="H460" s="64"/>
      <c r="I460" s="64"/>
      <c r="J460" s="64"/>
      <c r="K460" s="64"/>
      <c r="L460" s="64"/>
    </row>
    <row r="461">
      <c r="H461" s="64"/>
      <c r="I461" s="64"/>
      <c r="J461" s="64"/>
      <c r="K461" s="64"/>
      <c r="L461" s="64"/>
    </row>
    <row r="462">
      <c r="H462" s="64"/>
      <c r="I462" s="64"/>
      <c r="J462" s="64"/>
      <c r="K462" s="64"/>
      <c r="L462" s="64"/>
    </row>
    <row r="463">
      <c r="H463" s="64"/>
      <c r="I463" s="64"/>
      <c r="J463" s="64"/>
      <c r="K463" s="64"/>
      <c r="L463" s="64"/>
    </row>
    <row r="464">
      <c r="H464" s="64"/>
      <c r="I464" s="64"/>
      <c r="J464" s="64"/>
      <c r="K464" s="64"/>
      <c r="L464" s="64"/>
    </row>
    <row r="465">
      <c r="H465" s="64"/>
      <c r="I465" s="64"/>
      <c r="J465" s="64"/>
      <c r="K465" s="64"/>
      <c r="L465" s="64"/>
    </row>
    <row r="466">
      <c r="H466" s="64"/>
      <c r="I466" s="64"/>
      <c r="J466" s="64"/>
      <c r="K466" s="64"/>
      <c r="L466" s="64"/>
    </row>
    <row r="467">
      <c r="H467" s="64"/>
      <c r="I467" s="64"/>
      <c r="J467" s="64"/>
      <c r="K467" s="64"/>
      <c r="L467" s="64"/>
    </row>
    <row r="468">
      <c r="H468" s="64"/>
      <c r="I468" s="64"/>
      <c r="J468" s="64"/>
      <c r="K468" s="64"/>
      <c r="L468" s="64"/>
    </row>
    <row r="469">
      <c r="H469" s="64"/>
      <c r="I469" s="64"/>
      <c r="J469" s="64"/>
      <c r="K469" s="64"/>
      <c r="L469" s="64"/>
    </row>
    <row r="470">
      <c r="H470" s="64"/>
      <c r="I470" s="64"/>
      <c r="J470" s="64"/>
      <c r="K470" s="64"/>
      <c r="L470" s="64"/>
    </row>
    <row r="471">
      <c r="H471" s="64"/>
      <c r="I471" s="64"/>
      <c r="J471" s="64"/>
      <c r="K471" s="64"/>
      <c r="L471" s="64"/>
    </row>
    <row r="472">
      <c r="H472" s="64"/>
      <c r="I472" s="64"/>
      <c r="J472" s="64"/>
      <c r="K472" s="64"/>
      <c r="L472" s="64"/>
    </row>
    <row r="473">
      <c r="H473" s="64"/>
      <c r="I473" s="64"/>
      <c r="J473" s="64"/>
      <c r="K473" s="64"/>
      <c r="L473" s="64"/>
    </row>
    <row r="474">
      <c r="H474" s="64"/>
      <c r="I474" s="64"/>
      <c r="J474" s="64"/>
      <c r="K474" s="64"/>
      <c r="L474" s="64"/>
    </row>
    <row r="475">
      <c r="H475" s="64"/>
      <c r="I475" s="64"/>
      <c r="J475" s="64"/>
      <c r="K475" s="64"/>
      <c r="L475" s="64"/>
    </row>
    <row r="476">
      <c r="H476" s="64"/>
      <c r="I476" s="64"/>
      <c r="J476" s="64"/>
      <c r="K476" s="64"/>
      <c r="L476" s="64"/>
    </row>
    <row r="477">
      <c r="H477" s="64"/>
      <c r="I477" s="64"/>
      <c r="J477" s="64"/>
      <c r="K477" s="64"/>
      <c r="L477" s="64"/>
    </row>
    <row r="478">
      <c r="H478" s="64"/>
      <c r="I478" s="64"/>
      <c r="J478" s="64"/>
      <c r="K478" s="64"/>
      <c r="L478" s="64"/>
    </row>
    <row r="479">
      <c r="H479" s="64"/>
      <c r="I479" s="64"/>
      <c r="J479" s="64"/>
      <c r="K479" s="64"/>
      <c r="L479" s="64"/>
    </row>
    <row r="480">
      <c r="H480" s="64"/>
      <c r="I480" s="64"/>
      <c r="J480" s="64"/>
      <c r="K480" s="64"/>
      <c r="L480" s="64"/>
    </row>
    <row r="481">
      <c r="H481" s="64"/>
      <c r="I481" s="64"/>
      <c r="J481" s="64"/>
      <c r="K481" s="64"/>
      <c r="L481" s="64"/>
    </row>
    <row r="482">
      <c r="H482" s="64"/>
      <c r="I482" s="64"/>
      <c r="J482" s="64"/>
      <c r="K482" s="64"/>
      <c r="L482" s="64"/>
    </row>
    <row r="483">
      <c r="H483" s="64"/>
      <c r="I483" s="64"/>
      <c r="J483" s="64"/>
      <c r="K483" s="64"/>
      <c r="L483" s="64"/>
    </row>
    <row r="484">
      <c r="H484" s="64"/>
      <c r="I484" s="64"/>
      <c r="J484" s="64"/>
      <c r="K484" s="64"/>
      <c r="L484" s="64"/>
    </row>
    <row r="485">
      <c r="H485" s="64"/>
      <c r="I485" s="64"/>
      <c r="J485" s="64"/>
      <c r="K485" s="64"/>
      <c r="L485" s="64"/>
    </row>
    <row r="486">
      <c r="H486" s="64"/>
      <c r="I486" s="64"/>
      <c r="J486" s="64"/>
      <c r="K486" s="64"/>
      <c r="L486" s="64"/>
    </row>
    <row r="487">
      <c r="H487" s="64"/>
      <c r="I487" s="64"/>
      <c r="J487" s="64"/>
      <c r="K487" s="64"/>
      <c r="L487" s="64"/>
    </row>
    <row r="488">
      <c r="H488" s="64"/>
      <c r="I488" s="64"/>
      <c r="J488" s="64"/>
      <c r="K488" s="64"/>
      <c r="L488" s="64"/>
    </row>
    <row r="489">
      <c r="H489" s="64"/>
      <c r="I489" s="64"/>
      <c r="J489" s="64"/>
      <c r="K489" s="64"/>
      <c r="L489" s="64"/>
    </row>
    <row r="490">
      <c r="H490" s="64"/>
      <c r="I490" s="64"/>
      <c r="J490" s="64"/>
      <c r="K490" s="64"/>
      <c r="L490" s="64"/>
    </row>
    <row r="491">
      <c r="H491" s="64"/>
      <c r="I491" s="64"/>
      <c r="J491" s="64"/>
      <c r="K491" s="64"/>
      <c r="L491" s="64"/>
    </row>
    <row r="492">
      <c r="H492" s="64"/>
      <c r="I492" s="64"/>
      <c r="J492" s="64"/>
      <c r="K492" s="64"/>
      <c r="L492" s="64"/>
    </row>
    <row r="493">
      <c r="H493" s="64"/>
      <c r="I493" s="64"/>
      <c r="J493" s="64"/>
      <c r="K493" s="64"/>
      <c r="L493" s="64"/>
    </row>
    <row r="494">
      <c r="H494" s="64"/>
      <c r="I494" s="64"/>
      <c r="J494" s="64"/>
      <c r="K494" s="64"/>
      <c r="L494" s="64"/>
    </row>
    <row r="495">
      <c r="H495" s="64"/>
      <c r="I495" s="64"/>
      <c r="J495" s="64"/>
      <c r="K495" s="64"/>
      <c r="L495" s="64"/>
    </row>
    <row r="496">
      <c r="H496" s="64"/>
      <c r="I496" s="64"/>
      <c r="J496" s="64"/>
      <c r="K496" s="64"/>
      <c r="L496" s="64"/>
    </row>
    <row r="497">
      <c r="H497" s="64"/>
      <c r="I497" s="64"/>
      <c r="J497" s="64"/>
      <c r="K497" s="64"/>
      <c r="L497" s="64"/>
    </row>
    <row r="498">
      <c r="H498" s="64"/>
      <c r="I498" s="64"/>
      <c r="J498" s="64"/>
      <c r="K498" s="64"/>
      <c r="L498" s="64"/>
    </row>
    <row r="499">
      <c r="H499" s="64"/>
      <c r="I499" s="64"/>
      <c r="J499" s="64"/>
      <c r="K499" s="64"/>
      <c r="L499" s="64"/>
    </row>
    <row r="500">
      <c r="H500" s="64"/>
      <c r="I500" s="64"/>
      <c r="J500" s="64"/>
      <c r="K500" s="64"/>
      <c r="L500" s="64"/>
    </row>
    <row r="501">
      <c r="H501" s="64"/>
      <c r="I501" s="64"/>
      <c r="J501" s="64"/>
      <c r="K501" s="64"/>
      <c r="L501" s="64"/>
    </row>
    <row r="502">
      <c r="H502" s="64"/>
      <c r="I502" s="64"/>
      <c r="J502" s="64"/>
      <c r="K502" s="64"/>
      <c r="L502" s="64"/>
    </row>
    <row r="503">
      <c r="H503" s="64"/>
      <c r="I503" s="64"/>
      <c r="J503" s="64"/>
      <c r="K503" s="64"/>
      <c r="L503" s="64"/>
    </row>
    <row r="504">
      <c r="H504" s="64"/>
      <c r="I504" s="64"/>
      <c r="J504" s="64"/>
      <c r="K504" s="64"/>
      <c r="L504" s="64"/>
    </row>
    <row r="505">
      <c r="H505" s="64"/>
      <c r="I505" s="64"/>
      <c r="J505" s="64"/>
      <c r="K505" s="64"/>
      <c r="L505" s="64"/>
    </row>
    <row r="506">
      <c r="H506" s="64"/>
      <c r="I506" s="64"/>
      <c r="J506" s="64"/>
      <c r="K506" s="64"/>
      <c r="L506" s="64"/>
    </row>
    <row r="507">
      <c r="H507" s="64"/>
      <c r="I507" s="64"/>
      <c r="J507" s="64"/>
      <c r="K507" s="64"/>
      <c r="L507" s="64"/>
    </row>
    <row r="508">
      <c r="H508" s="64"/>
      <c r="I508" s="64"/>
      <c r="J508" s="64"/>
      <c r="K508" s="64"/>
      <c r="L508" s="64"/>
    </row>
    <row r="509">
      <c r="H509" s="64"/>
      <c r="I509" s="64"/>
      <c r="J509" s="64"/>
      <c r="K509" s="64"/>
      <c r="L509" s="64"/>
    </row>
    <row r="510">
      <c r="H510" s="64"/>
      <c r="I510" s="64"/>
      <c r="J510" s="64"/>
      <c r="K510" s="64"/>
      <c r="L510" s="64"/>
    </row>
    <row r="511">
      <c r="H511" s="64"/>
      <c r="I511" s="64"/>
      <c r="J511" s="64"/>
      <c r="K511" s="64"/>
      <c r="L511" s="64"/>
    </row>
    <row r="512">
      <c r="H512" s="64"/>
      <c r="I512" s="64"/>
      <c r="J512" s="64"/>
      <c r="K512" s="64"/>
      <c r="L512" s="64"/>
    </row>
    <row r="513">
      <c r="H513" s="64"/>
      <c r="I513" s="64"/>
      <c r="J513" s="64"/>
      <c r="K513" s="64"/>
      <c r="L513" s="64"/>
    </row>
    <row r="514">
      <c r="H514" s="64"/>
      <c r="I514" s="64"/>
      <c r="J514" s="64"/>
      <c r="K514" s="64"/>
      <c r="L514" s="64"/>
    </row>
    <row r="515">
      <c r="H515" s="64"/>
      <c r="I515" s="64"/>
      <c r="J515" s="64"/>
      <c r="K515" s="64"/>
      <c r="L515" s="64"/>
    </row>
    <row r="516">
      <c r="H516" s="64"/>
      <c r="I516" s="64"/>
      <c r="J516" s="64"/>
      <c r="K516" s="64"/>
      <c r="L516" s="64"/>
    </row>
    <row r="517">
      <c r="H517" s="64"/>
      <c r="I517" s="64"/>
      <c r="J517" s="64"/>
      <c r="K517" s="64"/>
      <c r="L517" s="64"/>
    </row>
    <row r="518">
      <c r="H518" s="64"/>
      <c r="I518" s="64"/>
      <c r="J518" s="64"/>
      <c r="K518" s="64"/>
      <c r="L518" s="64"/>
    </row>
    <row r="519">
      <c r="H519" s="64"/>
      <c r="I519" s="64"/>
      <c r="J519" s="64"/>
      <c r="K519" s="64"/>
      <c r="L519" s="64"/>
    </row>
    <row r="520">
      <c r="H520" s="64"/>
      <c r="I520" s="64"/>
      <c r="J520" s="64"/>
      <c r="K520" s="64"/>
      <c r="L520" s="64"/>
    </row>
    <row r="521">
      <c r="H521" s="64"/>
      <c r="I521" s="64"/>
      <c r="J521" s="64"/>
      <c r="K521" s="64"/>
      <c r="L521" s="64"/>
    </row>
    <row r="522">
      <c r="H522" s="64"/>
      <c r="I522" s="64"/>
      <c r="J522" s="64"/>
      <c r="K522" s="64"/>
      <c r="L522" s="64"/>
    </row>
    <row r="523">
      <c r="H523" s="64"/>
      <c r="I523" s="64"/>
      <c r="J523" s="64"/>
      <c r="K523" s="64"/>
      <c r="L523" s="64"/>
    </row>
    <row r="524">
      <c r="H524" s="64"/>
      <c r="I524" s="64"/>
      <c r="J524" s="64"/>
      <c r="K524" s="64"/>
      <c r="L524" s="64"/>
    </row>
    <row r="525">
      <c r="H525" s="64"/>
      <c r="I525" s="64"/>
      <c r="J525" s="64"/>
      <c r="K525" s="64"/>
      <c r="L525" s="64"/>
    </row>
    <row r="526">
      <c r="H526" s="64"/>
      <c r="I526" s="64"/>
      <c r="J526" s="64"/>
      <c r="K526" s="64"/>
      <c r="L526" s="64"/>
    </row>
    <row r="527">
      <c r="H527" s="64"/>
      <c r="I527" s="64"/>
      <c r="J527" s="64"/>
      <c r="K527" s="64"/>
      <c r="L527" s="64"/>
    </row>
    <row r="528">
      <c r="H528" s="64"/>
      <c r="I528" s="64"/>
      <c r="J528" s="64"/>
      <c r="K528" s="64"/>
      <c r="L528" s="64"/>
    </row>
    <row r="529">
      <c r="H529" s="64"/>
      <c r="I529" s="64"/>
      <c r="J529" s="64"/>
      <c r="K529" s="64"/>
      <c r="L529" s="64"/>
    </row>
    <row r="530">
      <c r="H530" s="64"/>
      <c r="I530" s="64"/>
      <c r="J530" s="64"/>
      <c r="K530" s="64"/>
      <c r="L530" s="64"/>
    </row>
    <row r="531">
      <c r="H531" s="64"/>
      <c r="I531" s="64"/>
      <c r="J531" s="64"/>
      <c r="K531" s="64"/>
      <c r="L531" s="64"/>
    </row>
    <row r="532">
      <c r="H532" s="64"/>
      <c r="I532" s="64"/>
      <c r="J532" s="64"/>
      <c r="K532" s="64"/>
      <c r="L532" s="64"/>
    </row>
    <row r="533">
      <c r="H533" s="64"/>
      <c r="I533" s="64"/>
      <c r="J533" s="64"/>
      <c r="K533" s="64"/>
      <c r="L533" s="64"/>
    </row>
    <row r="534">
      <c r="H534" s="64"/>
      <c r="I534" s="64"/>
      <c r="J534" s="64"/>
      <c r="K534" s="64"/>
      <c r="L534" s="64"/>
    </row>
    <row r="535">
      <c r="H535" s="64"/>
      <c r="I535" s="64"/>
      <c r="J535" s="64"/>
      <c r="K535" s="64"/>
      <c r="L535" s="64"/>
    </row>
    <row r="536">
      <c r="H536" s="64"/>
      <c r="I536" s="64"/>
      <c r="J536" s="64"/>
      <c r="K536" s="64"/>
      <c r="L536" s="64"/>
    </row>
    <row r="537">
      <c r="H537" s="64"/>
      <c r="I537" s="64"/>
      <c r="J537" s="64"/>
      <c r="K537" s="64"/>
      <c r="L537" s="64"/>
    </row>
    <row r="538">
      <c r="H538" s="64"/>
      <c r="I538" s="64"/>
      <c r="J538" s="64"/>
      <c r="K538" s="64"/>
      <c r="L538" s="64"/>
    </row>
    <row r="539">
      <c r="H539" s="64"/>
      <c r="I539" s="64"/>
      <c r="J539" s="64"/>
      <c r="K539" s="64"/>
      <c r="L539" s="64"/>
    </row>
    <row r="540">
      <c r="H540" s="64"/>
      <c r="I540" s="64"/>
      <c r="J540" s="64"/>
      <c r="K540" s="64"/>
      <c r="L540" s="64"/>
    </row>
    <row r="541">
      <c r="H541" s="64"/>
      <c r="I541" s="64"/>
      <c r="J541" s="64"/>
      <c r="K541" s="64"/>
      <c r="L541" s="64"/>
    </row>
    <row r="542">
      <c r="H542" s="64"/>
      <c r="I542" s="64"/>
      <c r="J542" s="64"/>
      <c r="K542" s="64"/>
      <c r="L542" s="64"/>
    </row>
    <row r="543">
      <c r="H543" s="64"/>
      <c r="I543" s="64"/>
      <c r="J543" s="64"/>
      <c r="K543" s="64"/>
      <c r="L543" s="64"/>
    </row>
    <row r="544">
      <c r="H544" s="64"/>
      <c r="I544" s="64"/>
      <c r="J544" s="64"/>
      <c r="K544" s="64"/>
      <c r="L544" s="64"/>
    </row>
    <row r="545">
      <c r="H545" s="64"/>
      <c r="I545" s="64"/>
      <c r="J545" s="64"/>
      <c r="K545" s="64"/>
      <c r="L545" s="64"/>
    </row>
    <row r="546">
      <c r="H546" s="64"/>
      <c r="I546" s="64"/>
      <c r="J546" s="64"/>
      <c r="K546" s="64"/>
      <c r="L546" s="64"/>
    </row>
    <row r="547">
      <c r="H547" s="64"/>
      <c r="I547" s="64"/>
      <c r="J547" s="64"/>
      <c r="K547" s="64"/>
      <c r="L547" s="64"/>
    </row>
    <row r="548">
      <c r="H548" s="64"/>
      <c r="I548" s="64"/>
      <c r="J548" s="64"/>
      <c r="K548" s="64"/>
      <c r="L548" s="64"/>
    </row>
    <row r="549">
      <c r="H549" s="64"/>
      <c r="I549" s="64"/>
      <c r="J549" s="64"/>
      <c r="K549" s="64"/>
      <c r="L549" s="64"/>
    </row>
    <row r="550">
      <c r="H550" s="64"/>
      <c r="I550" s="64"/>
      <c r="J550" s="64"/>
      <c r="K550" s="64"/>
      <c r="L550" s="64"/>
    </row>
    <row r="551">
      <c r="H551" s="64"/>
      <c r="I551" s="64"/>
      <c r="J551" s="64"/>
      <c r="K551" s="64"/>
      <c r="L551" s="64"/>
    </row>
    <row r="552">
      <c r="H552" s="64"/>
      <c r="I552" s="64"/>
      <c r="J552" s="64"/>
      <c r="K552" s="64"/>
      <c r="L552" s="64"/>
    </row>
    <row r="553">
      <c r="H553" s="64"/>
      <c r="I553" s="64"/>
      <c r="J553" s="64"/>
      <c r="K553" s="64"/>
      <c r="L553" s="64"/>
    </row>
    <row r="554">
      <c r="H554" s="64"/>
      <c r="I554" s="64"/>
      <c r="J554" s="64"/>
      <c r="K554" s="64"/>
      <c r="L554" s="64"/>
    </row>
    <row r="555">
      <c r="H555" s="64"/>
      <c r="I555" s="64"/>
      <c r="J555" s="64"/>
      <c r="K555" s="64"/>
      <c r="L555" s="64"/>
    </row>
    <row r="556">
      <c r="H556" s="64"/>
      <c r="I556" s="64"/>
      <c r="J556" s="64"/>
      <c r="K556" s="64"/>
      <c r="L556" s="64"/>
    </row>
    <row r="557">
      <c r="H557" s="64"/>
      <c r="I557" s="64"/>
      <c r="J557" s="64"/>
      <c r="K557" s="64"/>
      <c r="L557" s="64"/>
    </row>
    <row r="558">
      <c r="H558" s="64"/>
      <c r="I558" s="64"/>
      <c r="J558" s="64"/>
      <c r="K558" s="64"/>
      <c r="L558" s="64"/>
    </row>
    <row r="559">
      <c r="H559" s="64"/>
      <c r="I559" s="64"/>
      <c r="J559" s="64"/>
      <c r="K559" s="64"/>
      <c r="L559" s="64"/>
    </row>
    <row r="560">
      <c r="H560" s="64"/>
      <c r="I560" s="64"/>
      <c r="J560" s="64"/>
      <c r="K560" s="64"/>
      <c r="L560" s="64"/>
    </row>
    <row r="561">
      <c r="H561" s="64"/>
      <c r="I561" s="64"/>
      <c r="J561" s="64"/>
      <c r="K561" s="64"/>
      <c r="L561" s="64"/>
    </row>
    <row r="562">
      <c r="H562" s="64"/>
      <c r="I562" s="64"/>
      <c r="J562" s="64"/>
      <c r="K562" s="64"/>
      <c r="L562" s="64"/>
    </row>
    <row r="563">
      <c r="H563" s="64"/>
      <c r="I563" s="64"/>
      <c r="J563" s="64"/>
      <c r="K563" s="64"/>
      <c r="L563" s="64"/>
    </row>
    <row r="564">
      <c r="H564" s="64"/>
      <c r="I564" s="64"/>
      <c r="J564" s="64"/>
      <c r="K564" s="64"/>
      <c r="L564" s="64"/>
    </row>
    <row r="565">
      <c r="H565" s="64"/>
      <c r="I565" s="64"/>
      <c r="J565" s="64"/>
      <c r="K565" s="64"/>
      <c r="L565" s="64"/>
    </row>
    <row r="566">
      <c r="H566" s="64"/>
      <c r="I566" s="64"/>
      <c r="J566" s="64"/>
      <c r="K566" s="64"/>
      <c r="L566" s="64"/>
    </row>
    <row r="567">
      <c r="H567" s="64"/>
      <c r="I567" s="64"/>
      <c r="J567" s="64"/>
      <c r="K567" s="64"/>
      <c r="L567" s="64"/>
    </row>
    <row r="568">
      <c r="H568" s="64"/>
      <c r="I568" s="64"/>
      <c r="J568" s="64"/>
      <c r="K568" s="64"/>
      <c r="L568" s="64"/>
    </row>
    <row r="569">
      <c r="H569" s="64"/>
      <c r="I569" s="64"/>
      <c r="J569" s="64"/>
      <c r="K569" s="64"/>
      <c r="L569" s="64"/>
    </row>
    <row r="570">
      <c r="H570" s="64"/>
      <c r="I570" s="64"/>
      <c r="J570" s="64"/>
      <c r="K570" s="64"/>
      <c r="L570" s="64"/>
    </row>
    <row r="571">
      <c r="H571" s="64"/>
      <c r="I571" s="64"/>
      <c r="J571" s="64"/>
      <c r="K571" s="64"/>
      <c r="L571" s="64"/>
    </row>
    <row r="572">
      <c r="H572" s="64"/>
      <c r="I572" s="64"/>
      <c r="J572" s="64"/>
      <c r="K572" s="64"/>
      <c r="L572" s="64"/>
    </row>
    <row r="573">
      <c r="H573" s="64"/>
      <c r="I573" s="64"/>
      <c r="J573" s="64"/>
      <c r="K573" s="64"/>
      <c r="L573" s="64"/>
    </row>
    <row r="574">
      <c r="H574" s="64"/>
      <c r="I574" s="64"/>
      <c r="J574" s="64"/>
      <c r="K574" s="64"/>
      <c r="L574" s="64"/>
    </row>
    <row r="575">
      <c r="H575" s="64"/>
      <c r="I575" s="64"/>
      <c r="J575" s="64"/>
      <c r="K575" s="64"/>
      <c r="L575" s="64"/>
    </row>
    <row r="576">
      <c r="H576" s="64"/>
      <c r="I576" s="64"/>
      <c r="J576" s="64"/>
      <c r="K576" s="64"/>
      <c r="L576" s="64"/>
    </row>
    <row r="577">
      <c r="H577" s="64"/>
      <c r="I577" s="64"/>
      <c r="J577" s="64"/>
      <c r="K577" s="64"/>
      <c r="L577" s="64"/>
    </row>
    <row r="578">
      <c r="H578" s="64"/>
      <c r="I578" s="64"/>
      <c r="J578" s="64"/>
      <c r="K578" s="64"/>
      <c r="L578" s="64"/>
    </row>
    <row r="579">
      <c r="H579" s="64"/>
      <c r="I579" s="64"/>
      <c r="J579" s="64"/>
      <c r="K579" s="64"/>
      <c r="L579" s="64"/>
    </row>
    <row r="580">
      <c r="H580" s="64"/>
      <c r="I580" s="64"/>
      <c r="J580" s="64"/>
      <c r="K580" s="64"/>
      <c r="L580" s="64"/>
    </row>
    <row r="581">
      <c r="H581" s="64"/>
      <c r="I581" s="64"/>
      <c r="J581" s="64"/>
      <c r="K581" s="64"/>
      <c r="L581" s="64"/>
    </row>
    <row r="582">
      <c r="H582" s="64"/>
      <c r="I582" s="64"/>
      <c r="J582" s="64"/>
      <c r="K582" s="64"/>
      <c r="L582" s="64"/>
    </row>
    <row r="583">
      <c r="H583" s="64"/>
      <c r="I583" s="64"/>
      <c r="J583" s="64"/>
      <c r="K583" s="64"/>
      <c r="L583" s="64"/>
    </row>
    <row r="584">
      <c r="H584" s="64"/>
      <c r="I584" s="64"/>
      <c r="J584" s="64"/>
      <c r="K584" s="64"/>
      <c r="L584" s="64"/>
    </row>
    <row r="585">
      <c r="H585" s="64"/>
      <c r="I585" s="64"/>
      <c r="J585" s="64"/>
      <c r="K585" s="64"/>
      <c r="L585" s="64"/>
    </row>
    <row r="586">
      <c r="H586" s="64"/>
      <c r="I586" s="64"/>
      <c r="J586" s="64"/>
      <c r="K586" s="64"/>
      <c r="L586" s="64"/>
    </row>
    <row r="587">
      <c r="H587" s="64"/>
      <c r="I587" s="64"/>
      <c r="J587" s="64"/>
      <c r="K587" s="64"/>
      <c r="L587" s="64"/>
    </row>
    <row r="588">
      <c r="H588" s="64"/>
      <c r="I588" s="64"/>
      <c r="J588" s="64"/>
      <c r="K588" s="64"/>
      <c r="L588" s="64"/>
    </row>
    <row r="589">
      <c r="H589" s="64"/>
      <c r="I589" s="64"/>
      <c r="J589" s="64"/>
      <c r="K589" s="64"/>
      <c r="L589" s="64"/>
    </row>
    <row r="590">
      <c r="H590" s="64"/>
      <c r="I590" s="64"/>
      <c r="J590" s="64"/>
      <c r="K590" s="64"/>
      <c r="L590" s="64"/>
    </row>
    <row r="591">
      <c r="H591" s="64"/>
      <c r="I591" s="64"/>
      <c r="J591" s="64"/>
      <c r="K591" s="64"/>
      <c r="L591" s="64"/>
    </row>
    <row r="592">
      <c r="H592" s="64"/>
      <c r="I592" s="64"/>
      <c r="J592" s="64"/>
      <c r="K592" s="64"/>
      <c r="L592" s="64"/>
    </row>
    <row r="593">
      <c r="H593" s="64"/>
      <c r="I593" s="64"/>
      <c r="J593" s="64"/>
      <c r="K593" s="64"/>
      <c r="L593" s="64"/>
    </row>
    <row r="594">
      <c r="H594" s="64"/>
      <c r="I594" s="64"/>
      <c r="J594" s="64"/>
      <c r="K594" s="64"/>
      <c r="L594" s="64"/>
    </row>
    <row r="595">
      <c r="H595" s="64"/>
      <c r="I595" s="64"/>
      <c r="J595" s="64"/>
      <c r="K595" s="64"/>
      <c r="L595" s="64"/>
    </row>
    <row r="596">
      <c r="H596" s="64"/>
      <c r="I596" s="64"/>
      <c r="J596" s="64"/>
      <c r="K596" s="64"/>
      <c r="L596" s="64"/>
    </row>
    <row r="597">
      <c r="H597" s="64"/>
      <c r="I597" s="64"/>
      <c r="J597" s="64"/>
      <c r="K597" s="64"/>
      <c r="L597" s="64"/>
    </row>
    <row r="598">
      <c r="H598" s="64"/>
      <c r="I598" s="64"/>
      <c r="J598" s="64"/>
      <c r="K598" s="64"/>
      <c r="L598" s="64"/>
    </row>
    <row r="599">
      <c r="H599" s="64"/>
      <c r="I599" s="64"/>
      <c r="J599" s="64"/>
      <c r="K599" s="64"/>
      <c r="L599" s="64"/>
    </row>
    <row r="600">
      <c r="H600" s="64"/>
      <c r="I600" s="64"/>
      <c r="J600" s="64"/>
      <c r="K600" s="64"/>
      <c r="L600" s="64"/>
    </row>
    <row r="601">
      <c r="H601" s="64"/>
      <c r="I601" s="64"/>
      <c r="J601" s="64"/>
      <c r="K601" s="64"/>
      <c r="L601" s="64"/>
    </row>
    <row r="602">
      <c r="H602" s="64"/>
      <c r="I602" s="64"/>
      <c r="J602" s="64"/>
      <c r="K602" s="64"/>
      <c r="L602" s="64"/>
    </row>
    <row r="603">
      <c r="H603" s="64"/>
      <c r="I603" s="64"/>
      <c r="J603" s="64"/>
      <c r="K603" s="64"/>
      <c r="L603" s="64"/>
    </row>
    <row r="604">
      <c r="H604" s="64"/>
      <c r="I604" s="64"/>
      <c r="J604" s="64"/>
      <c r="K604" s="64"/>
      <c r="L604" s="64"/>
    </row>
    <row r="605">
      <c r="H605" s="64"/>
      <c r="I605" s="64"/>
      <c r="J605" s="64"/>
      <c r="K605" s="64"/>
      <c r="L605" s="64"/>
    </row>
    <row r="606">
      <c r="H606" s="64"/>
      <c r="I606" s="64"/>
      <c r="J606" s="64"/>
      <c r="K606" s="64"/>
      <c r="L606" s="64"/>
    </row>
    <row r="607">
      <c r="H607" s="64"/>
      <c r="I607" s="64"/>
      <c r="J607" s="64"/>
      <c r="K607" s="64"/>
      <c r="L607" s="64"/>
    </row>
    <row r="608">
      <c r="H608" s="64"/>
      <c r="I608" s="64"/>
      <c r="J608" s="64"/>
      <c r="K608" s="64"/>
      <c r="L608" s="64"/>
    </row>
    <row r="609">
      <c r="H609" s="64"/>
      <c r="I609" s="64"/>
      <c r="J609" s="64"/>
      <c r="K609" s="64"/>
      <c r="L609" s="64"/>
    </row>
    <row r="610">
      <c r="H610" s="64"/>
      <c r="I610" s="64"/>
      <c r="J610" s="64"/>
      <c r="K610" s="64"/>
      <c r="L610" s="64"/>
    </row>
    <row r="611">
      <c r="H611" s="64"/>
      <c r="I611" s="64"/>
      <c r="J611" s="64"/>
      <c r="K611" s="64"/>
      <c r="L611" s="64"/>
    </row>
    <row r="612">
      <c r="H612" s="64"/>
      <c r="I612" s="64"/>
      <c r="J612" s="64"/>
      <c r="K612" s="64"/>
      <c r="L612" s="64"/>
    </row>
    <row r="613">
      <c r="H613" s="64"/>
      <c r="I613" s="64"/>
      <c r="J613" s="64"/>
      <c r="K613" s="64"/>
      <c r="L613" s="64"/>
    </row>
    <row r="614">
      <c r="H614" s="64"/>
      <c r="I614" s="64"/>
      <c r="J614" s="64"/>
      <c r="K614" s="64"/>
      <c r="L614" s="64"/>
    </row>
    <row r="615">
      <c r="H615" s="64"/>
      <c r="I615" s="64"/>
      <c r="J615" s="64"/>
      <c r="K615" s="64"/>
      <c r="L615" s="64"/>
    </row>
    <row r="616">
      <c r="H616" s="64"/>
      <c r="I616" s="64"/>
      <c r="J616" s="64"/>
      <c r="K616" s="64"/>
      <c r="L616" s="64"/>
    </row>
    <row r="617">
      <c r="H617" s="64"/>
      <c r="I617" s="64"/>
      <c r="J617" s="64"/>
      <c r="K617" s="64"/>
      <c r="L617" s="64"/>
    </row>
    <row r="618">
      <c r="H618" s="64"/>
      <c r="I618" s="64"/>
      <c r="J618" s="64"/>
      <c r="K618" s="64"/>
      <c r="L618" s="64"/>
    </row>
    <row r="619">
      <c r="H619" s="64"/>
      <c r="I619" s="64"/>
      <c r="J619" s="64"/>
      <c r="K619" s="64"/>
      <c r="L619" s="64"/>
    </row>
    <row r="620">
      <c r="H620" s="64"/>
      <c r="I620" s="64"/>
      <c r="J620" s="64"/>
      <c r="K620" s="64"/>
      <c r="L620" s="64"/>
    </row>
    <row r="621">
      <c r="H621" s="64"/>
      <c r="I621" s="64"/>
      <c r="J621" s="64"/>
      <c r="K621" s="64"/>
      <c r="L621" s="64"/>
    </row>
    <row r="622">
      <c r="H622" s="64"/>
      <c r="I622" s="64"/>
      <c r="J622" s="64"/>
      <c r="K622" s="64"/>
      <c r="L622" s="64"/>
    </row>
    <row r="623">
      <c r="H623" s="64"/>
      <c r="I623" s="64"/>
      <c r="J623" s="64"/>
      <c r="K623" s="64"/>
      <c r="L623" s="64"/>
    </row>
    <row r="624">
      <c r="H624" s="64"/>
      <c r="I624" s="64"/>
      <c r="J624" s="64"/>
      <c r="K624" s="64"/>
      <c r="L624" s="64"/>
    </row>
    <row r="625">
      <c r="H625" s="64"/>
      <c r="I625" s="64"/>
      <c r="J625" s="64"/>
      <c r="K625" s="64"/>
      <c r="L625" s="64"/>
    </row>
    <row r="626">
      <c r="H626" s="64"/>
      <c r="I626" s="64"/>
      <c r="J626" s="64"/>
      <c r="K626" s="64"/>
      <c r="L626" s="64"/>
    </row>
    <row r="627">
      <c r="H627" s="64"/>
      <c r="I627" s="64"/>
      <c r="J627" s="64"/>
      <c r="K627" s="64"/>
      <c r="L627" s="64"/>
    </row>
    <row r="628">
      <c r="H628" s="64"/>
      <c r="I628" s="64"/>
      <c r="J628" s="64"/>
      <c r="K628" s="64"/>
      <c r="L628" s="64"/>
    </row>
    <row r="629">
      <c r="H629" s="64"/>
      <c r="I629" s="64"/>
      <c r="J629" s="64"/>
      <c r="K629" s="64"/>
      <c r="L629" s="64"/>
    </row>
    <row r="630">
      <c r="H630" s="64"/>
      <c r="I630" s="64"/>
      <c r="J630" s="64"/>
      <c r="K630" s="64"/>
      <c r="L630" s="64"/>
    </row>
    <row r="631">
      <c r="H631" s="64"/>
      <c r="I631" s="64"/>
      <c r="J631" s="64"/>
      <c r="K631" s="64"/>
      <c r="L631" s="64"/>
    </row>
    <row r="632">
      <c r="H632" s="64"/>
      <c r="I632" s="64"/>
      <c r="J632" s="64"/>
      <c r="K632" s="64"/>
      <c r="L632" s="64"/>
    </row>
    <row r="633">
      <c r="H633" s="64"/>
      <c r="I633" s="64"/>
      <c r="J633" s="64"/>
      <c r="K633" s="64"/>
      <c r="L633" s="64"/>
    </row>
    <row r="634">
      <c r="H634" s="64"/>
      <c r="I634" s="64"/>
      <c r="J634" s="64"/>
      <c r="K634" s="64"/>
      <c r="L634" s="64"/>
    </row>
    <row r="635">
      <c r="H635" s="64"/>
      <c r="I635" s="64"/>
      <c r="J635" s="64"/>
      <c r="K635" s="64"/>
      <c r="L635" s="64"/>
    </row>
    <row r="636">
      <c r="H636" s="64"/>
      <c r="I636" s="64"/>
      <c r="J636" s="64"/>
      <c r="K636" s="64"/>
      <c r="L636" s="64"/>
    </row>
    <row r="637">
      <c r="H637" s="64"/>
      <c r="I637" s="64"/>
      <c r="J637" s="64"/>
      <c r="K637" s="64"/>
      <c r="L637" s="64"/>
    </row>
    <row r="638">
      <c r="H638" s="64"/>
      <c r="I638" s="64"/>
      <c r="J638" s="64"/>
      <c r="K638" s="64"/>
      <c r="L638" s="64"/>
    </row>
    <row r="639">
      <c r="H639" s="64"/>
      <c r="I639" s="64"/>
      <c r="J639" s="64"/>
      <c r="K639" s="64"/>
      <c r="L639" s="64"/>
    </row>
    <row r="640">
      <c r="H640" s="64"/>
      <c r="I640" s="64"/>
      <c r="J640" s="64"/>
      <c r="K640" s="64"/>
      <c r="L640" s="64"/>
    </row>
    <row r="641">
      <c r="H641" s="64"/>
      <c r="I641" s="64"/>
      <c r="J641" s="64"/>
      <c r="K641" s="64"/>
      <c r="L641" s="64"/>
    </row>
    <row r="642">
      <c r="H642" s="64"/>
      <c r="I642" s="64"/>
      <c r="J642" s="64"/>
      <c r="K642" s="64"/>
      <c r="L642" s="64"/>
    </row>
    <row r="643">
      <c r="H643" s="64"/>
      <c r="I643" s="64"/>
      <c r="J643" s="64"/>
      <c r="K643" s="64"/>
      <c r="L643" s="64"/>
    </row>
    <row r="644">
      <c r="H644" s="64"/>
      <c r="I644" s="64"/>
      <c r="J644" s="64"/>
      <c r="K644" s="64"/>
      <c r="L644" s="64"/>
    </row>
    <row r="645">
      <c r="H645" s="64"/>
      <c r="I645" s="64"/>
      <c r="J645" s="64"/>
      <c r="K645" s="64"/>
      <c r="L645" s="64"/>
    </row>
    <row r="646">
      <c r="H646" s="64"/>
      <c r="I646" s="64"/>
      <c r="J646" s="64"/>
      <c r="K646" s="64"/>
      <c r="L646" s="64"/>
    </row>
    <row r="647">
      <c r="H647" s="64"/>
      <c r="I647" s="64"/>
      <c r="J647" s="64"/>
      <c r="K647" s="64"/>
      <c r="L647" s="64"/>
    </row>
    <row r="648">
      <c r="H648" s="64"/>
      <c r="I648" s="64"/>
      <c r="J648" s="64"/>
      <c r="K648" s="64"/>
      <c r="L648" s="64"/>
    </row>
    <row r="649">
      <c r="H649" s="64"/>
      <c r="I649" s="64"/>
      <c r="J649" s="64"/>
      <c r="K649" s="64"/>
      <c r="L649" s="64"/>
    </row>
    <row r="650">
      <c r="H650" s="64"/>
      <c r="I650" s="64"/>
      <c r="J650" s="64"/>
      <c r="K650" s="64"/>
      <c r="L650" s="64"/>
    </row>
    <row r="651">
      <c r="H651" s="64"/>
      <c r="I651" s="64"/>
      <c r="J651" s="64"/>
      <c r="K651" s="64"/>
      <c r="L651" s="64"/>
    </row>
    <row r="652">
      <c r="H652" s="64"/>
      <c r="I652" s="64"/>
      <c r="J652" s="64"/>
      <c r="K652" s="64"/>
      <c r="L652" s="64"/>
    </row>
    <row r="653">
      <c r="H653" s="64"/>
      <c r="I653" s="64"/>
      <c r="J653" s="64"/>
      <c r="K653" s="64"/>
      <c r="L653" s="64"/>
    </row>
    <row r="654">
      <c r="H654" s="64"/>
      <c r="I654" s="64"/>
      <c r="J654" s="64"/>
      <c r="K654" s="64"/>
      <c r="L654" s="64"/>
    </row>
    <row r="655">
      <c r="H655" s="64"/>
      <c r="I655" s="64"/>
      <c r="J655" s="64"/>
      <c r="K655" s="64"/>
      <c r="L655" s="64"/>
    </row>
    <row r="656">
      <c r="H656" s="64"/>
      <c r="I656" s="64"/>
      <c r="J656" s="64"/>
      <c r="K656" s="64"/>
      <c r="L656" s="64"/>
    </row>
    <row r="657">
      <c r="H657" s="64"/>
      <c r="I657" s="64"/>
      <c r="J657" s="64"/>
      <c r="K657" s="64"/>
      <c r="L657" s="64"/>
    </row>
    <row r="658">
      <c r="H658" s="64"/>
      <c r="I658" s="64"/>
      <c r="J658" s="64"/>
      <c r="K658" s="64"/>
      <c r="L658" s="64"/>
    </row>
    <row r="659">
      <c r="H659" s="64"/>
      <c r="I659" s="64"/>
      <c r="J659" s="64"/>
      <c r="K659" s="64"/>
      <c r="L659" s="64"/>
    </row>
    <row r="660">
      <c r="H660" s="64"/>
      <c r="I660" s="64"/>
      <c r="J660" s="64"/>
      <c r="K660" s="64"/>
      <c r="L660" s="64"/>
    </row>
    <row r="661">
      <c r="H661" s="64"/>
      <c r="I661" s="64"/>
      <c r="J661" s="64"/>
      <c r="K661" s="64"/>
      <c r="L661" s="64"/>
    </row>
    <row r="662">
      <c r="H662" s="64"/>
      <c r="I662" s="64"/>
      <c r="J662" s="64"/>
      <c r="K662" s="64"/>
      <c r="L662" s="64"/>
    </row>
    <row r="663">
      <c r="H663" s="64"/>
      <c r="I663" s="64"/>
      <c r="J663" s="64"/>
      <c r="K663" s="64"/>
      <c r="L663" s="64"/>
    </row>
    <row r="664">
      <c r="H664" s="64"/>
      <c r="I664" s="64"/>
      <c r="J664" s="64"/>
      <c r="K664" s="64"/>
      <c r="L664" s="64"/>
    </row>
    <row r="665">
      <c r="H665" s="64"/>
      <c r="I665" s="64"/>
      <c r="J665" s="64"/>
      <c r="K665" s="64"/>
      <c r="L665" s="64"/>
    </row>
    <row r="666">
      <c r="H666" s="64"/>
      <c r="I666" s="64"/>
      <c r="J666" s="64"/>
      <c r="K666" s="64"/>
      <c r="L666" s="64"/>
    </row>
    <row r="667">
      <c r="H667" s="64"/>
      <c r="I667" s="64"/>
      <c r="J667" s="64"/>
      <c r="K667" s="64"/>
      <c r="L667" s="64"/>
    </row>
    <row r="668">
      <c r="H668" s="64"/>
      <c r="I668" s="64"/>
      <c r="J668" s="64"/>
      <c r="K668" s="64"/>
      <c r="L668" s="64"/>
    </row>
    <row r="669">
      <c r="H669" s="64"/>
      <c r="I669" s="64"/>
      <c r="J669" s="64"/>
      <c r="K669" s="64"/>
      <c r="L669" s="64"/>
    </row>
    <row r="670">
      <c r="H670" s="64"/>
      <c r="I670" s="64"/>
      <c r="J670" s="64"/>
      <c r="K670" s="64"/>
      <c r="L670" s="64"/>
    </row>
    <row r="671">
      <c r="H671" s="64"/>
      <c r="I671" s="64"/>
      <c r="J671" s="64"/>
      <c r="K671" s="64"/>
      <c r="L671" s="64"/>
    </row>
    <row r="672">
      <c r="H672" s="64"/>
      <c r="I672" s="64"/>
      <c r="J672" s="64"/>
      <c r="K672" s="64"/>
      <c r="L672" s="64"/>
    </row>
    <row r="673">
      <c r="H673" s="64"/>
      <c r="I673" s="64"/>
      <c r="J673" s="64"/>
      <c r="K673" s="64"/>
      <c r="L673" s="64"/>
    </row>
    <row r="674">
      <c r="H674" s="64"/>
      <c r="I674" s="64"/>
      <c r="J674" s="64"/>
      <c r="K674" s="64"/>
      <c r="L674" s="64"/>
    </row>
    <row r="675">
      <c r="H675" s="64"/>
      <c r="I675" s="64"/>
      <c r="J675" s="64"/>
      <c r="K675" s="64"/>
      <c r="L675" s="64"/>
    </row>
    <row r="676">
      <c r="H676" s="64"/>
      <c r="I676" s="64"/>
      <c r="J676" s="64"/>
      <c r="K676" s="64"/>
      <c r="L676" s="64"/>
    </row>
    <row r="677">
      <c r="H677" s="64"/>
      <c r="I677" s="64"/>
      <c r="J677" s="64"/>
      <c r="K677" s="64"/>
      <c r="L677" s="64"/>
    </row>
    <row r="678">
      <c r="H678" s="64"/>
      <c r="I678" s="64"/>
      <c r="J678" s="64"/>
      <c r="K678" s="64"/>
      <c r="L678" s="64"/>
    </row>
    <row r="679">
      <c r="H679" s="64"/>
      <c r="I679" s="64"/>
      <c r="J679" s="64"/>
      <c r="K679" s="64"/>
      <c r="L679" s="64"/>
    </row>
    <row r="680">
      <c r="H680" s="64"/>
      <c r="I680" s="64"/>
      <c r="J680" s="64"/>
      <c r="K680" s="64"/>
      <c r="L680" s="64"/>
    </row>
    <row r="681">
      <c r="H681" s="64"/>
      <c r="I681" s="64"/>
      <c r="J681" s="64"/>
      <c r="K681" s="64"/>
      <c r="L681" s="64"/>
    </row>
    <row r="682">
      <c r="H682" s="64"/>
      <c r="I682" s="64"/>
      <c r="J682" s="64"/>
      <c r="K682" s="64"/>
      <c r="L682" s="64"/>
    </row>
    <row r="683">
      <c r="H683" s="64"/>
      <c r="I683" s="64"/>
      <c r="J683" s="64"/>
      <c r="K683" s="64"/>
      <c r="L683" s="64"/>
    </row>
    <row r="684">
      <c r="H684" s="64"/>
      <c r="I684" s="64"/>
      <c r="J684" s="64"/>
      <c r="K684" s="64"/>
      <c r="L684" s="64"/>
    </row>
    <row r="685">
      <c r="H685" s="64"/>
      <c r="I685" s="64"/>
      <c r="J685" s="64"/>
      <c r="K685" s="64"/>
      <c r="L685" s="64"/>
    </row>
    <row r="686">
      <c r="H686" s="64"/>
      <c r="I686" s="64"/>
      <c r="J686" s="64"/>
      <c r="K686" s="64"/>
      <c r="L686" s="64"/>
    </row>
    <row r="687">
      <c r="H687" s="64"/>
      <c r="I687" s="64"/>
      <c r="J687" s="64"/>
      <c r="K687" s="64"/>
      <c r="L687" s="64"/>
    </row>
    <row r="688">
      <c r="H688" s="64"/>
      <c r="I688" s="64"/>
      <c r="J688" s="64"/>
      <c r="K688" s="64"/>
      <c r="L688" s="64"/>
    </row>
    <row r="689">
      <c r="H689" s="64"/>
      <c r="I689" s="64"/>
      <c r="J689" s="64"/>
      <c r="K689" s="64"/>
      <c r="L689" s="64"/>
    </row>
    <row r="690">
      <c r="H690" s="64"/>
      <c r="I690" s="64"/>
      <c r="J690" s="64"/>
      <c r="K690" s="64"/>
      <c r="L690" s="64"/>
    </row>
    <row r="691">
      <c r="H691" s="64"/>
      <c r="I691" s="64"/>
      <c r="J691" s="64"/>
      <c r="K691" s="64"/>
      <c r="L691" s="64"/>
    </row>
    <row r="692">
      <c r="H692" s="64"/>
      <c r="I692" s="64"/>
      <c r="J692" s="64"/>
      <c r="K692" s="64"/>
      <c r="L692" s="64"/>
    </row>
    <row r="693">
      <c r="H693" s="64"/>
      <c r="I693" s="64"/>
      <c r="J693" s="64"/>
      <c r="K693" s="64"/>
      <c r="L693" s="64"/>
    </row>
    <row r="694">
      <c r="H694" s="64"/>
      <c r="I694" s="64"/>
      <c r="J694" s="64"/>
      <c r="K694" s="64"/>
      <c r="L694" s="64"/>
    </row>
    <row r="695">
      <c r="H695" s="64"/>
      <c r="I695" s="64"/>
      <c r="J695" s="64"/>
      <c r="K695" s="64"/>
      <c r="L695" s="64"/>
    </row>
    <row r="696">
      <c r="H696" s="64"/>
      <c r="I696" s="64"/>
      <c r="J696" s="64"/>
      <c r="K696" s="64"/>
      <c r="L696" s="64"/>
    </row>
    <row r="697">
      <c r="H697" s="64"/>
      <c r="I697" s="64"/>
      <c r="J697" s="64"/>
      <c r="K697" s="64"/>
      <c r="L697" s="64"/>
    </row>
    <row r="698">
      <c r="H698" s="64"/>
      <c r="I698" s="64"/>
      <c r="J698" s="64"/>
      <c r="K698" s="64"/>
      <c r="L698" s="64"/>
    </row>
    <row r="699">
      <c r="H699" s="64"/>
      <c r="I699" s="64"/>
      <c r="J699" s="64"/>
      <c r="K699" s="64"/>
      <c r="L699" s="64"/>
    </row>
    <row r="700">
      <c r="H700" s="64"/>
      <c r="I700" s="64"/>
      <c r="J700" s="64"/>
      <c r="K700" s="64"/>
      <c r="L700" s="64"/>
    </row>
    <row r="701">
      <c r="H701" s="64"/>
      <c r="I701" s="64"/>
      <c r="J701" s="64"/>
      <c r="K701" s="64"/>
      <c r="L701" s="64"/>
    </row>
    <row r="702">
      <c r="H702" s="64"/>
      <c r="I702" s="64"/>
      <c r="J702" s="64"/>
      <c r="K702" s="64"/>
      <c r="L702" s="64"/>
    </row>
    <row r="703">
      <c r="H703" s="64"/>
      <c r="I703" s="64"/>
      <c r="J703" s="64"/>
      <c r="K703" s="64"/>
      <c r="L703" s="64"/>
    </row>
    <row r="704">
      <c r="H704" s="64"/>
      <c r="I704" s="64"/>
      <c r="J704" s="64"/>
      <c r="K704" s="64"/>
      <c r="L704" s="64"/>
    </row>
    <row r="705">
      <c r="H705" s="64"/>
      <c r="I705" s="64"/>
      <c r="J705" s="64"/>
      <c r="K705" s="64"/>
      <c r="L705" s="64"/>
    </row>
    <row r="706">
      <c r="H706" s="64"/>
      <c r="I706" s="64"/>
      <c r="J706" s="64"/>
      <c r="K706" s="64"/>
      <c r="L706" s="64"/>
    </row>
    <row r="707">
      <c r="H707" s="64"/>
      <c r="I707" s="64"/>
      <c r="J707" s="64"/>
      <c r="K707" s="64"/>
      <c r="L707" s="64"/>
    </row>
    <row r="708">
      <c r="H708" s="64"/>
      <c r="I708" s="64"/>
      <c r="J708" s="64"/>
      <c r="K708" s="64"/>
      <c r="L708" s="64"/>
    </row>
    <row r="709">
      <c r="H709" s="64"/>
      <c r="I709" s="64"/>
      <c r="J709" s="64"/>
      <c r="K709" s="64"/>
      <c r="L709" s="64"/>
    </row>
    <row r="710">
      <c r="H710" s="64"/>
      <c r="I710" s="64"/>
      <c r="J710" s="64"/>
      <c r="K710" s="64"/>
      <c r="L710" s="64"/>
    </row>
    <row r="711">
      <c r="H711" s="64"/>
      <c r="I711" s="64"/>
      <c r="J711" s="64"/>
      <c r="K711" s="64"/>
      <c r="L711" s="64"/>
    </row>
    <row r="712">
      <c r="H712" s="64"/>
      <c r="I712" s="64"/>
      <c r="J712" s="64"/>
      <c r="K712" s="64"/>
      <c r="L712" s="64"/>
    </row>
    <row r="713">
      <c r="H713" s="64"/>
      <c r="I713" s="64"/>
      <c r="J713" s="64"/>
      <c r="K713" s="64"/>
      <c r="L713" s="64"/>
    </row>
    <row r="714">
      <c r="H714" s="64"/>
      <c r="I714" s="64"/>
      <c r="J714" s="64"/>
      <c r="K714" s="64"/>
      <c r="L714" s="64"/>
    </row>
    <row r="715">
      <c r="H715" s="64"/>
      <c r="I715" s="64"/>
      <c r="J715" s="64"/>
      <c r="K715" s="64"/>
      <c r="L715" s="64"/>
    </row>
    <row r="716">
      <c r="H716" s="64"/>
      <c r="I716" s="64"/>
      <c r="J716" s="64"/>
      <c r="K716" s="64"/>
      <c r="L716" s="64"/>
    </row>
    <row r="717">
      <c r="H717" s="64"/>
      <c r="I717" s="64"/>
      <c r="J717" s="64"/>
      <c r="K717" s="64"/>
      <c r="L717" s="64"/>
    </row>
    <row r="718">
      <c r="H718" s="64"/>
      <c r="I718" s="64"/>
      <c r="J718" s="64"/>
      <c r="K718" s="64"/>
      <c r="L718" s="64"/>
    </row>
    <row r="719">
      <c r="H719" s="64"/>
      <c r="I719" s="64"/>
      <c r="J719" s="64"/>
      <c r="K719" s="64"/>
      <c r="L719" s="64"/>
    </row>
    <row r="720">
      <c r="H720" s="64"/>
      <c r="I720" s="64"/>
      <c r="J720" s="64"/>
      <c r="K720" s="64"/>
      <c r="L720" s="64"/>
    </row>
    <row r="721">
      <c r="H721" s="64"/>
      <c r="I721" s="64"/>
      <c r="J721" s="64"/>
      <c r="K721" s="64"/>
      <c r="L721" s="64"/>
    </row>
    <row r="722">
      <c r="H722" s="64"/>
      <c r="I722" s="64"/>
      <c r="J722" s="64"/>
      <c r="K722" s="64"/>
      <c r="L722" s="64"/>
    </row>
    <row r="723">
      <c r="H723" s="64"/>
      <c r="I723" s="64"/>
      <c r="J723" s="64"/>
      <c r="K723" s="64"/>
      <c r="L723" s="64"/>
    </row>
    <row r="724">
      <c r="H724" s="64"/>
      <c r="I724" s="64"/>
      <c r="J724" s="64"/>
      <c r="K724" s="64"/>
      <c r="L724" s="64"/>
    </row>
    <row r="725">
      <c r="H725" s="64"/>
      <c r="I725" s="64"/>
      <c r="J725" s="64"/>
      <c r="K725" s="64"/>
      <c r="L725" s="64"/>
    </row>
    <row r="726">
      <c r="H726" s="64"/>
      <c r="I726" s="64"/>
      <c r="J726" s="64"/>
      <c r="K726" s="64"/>
      <c r="L726" s="64"/>
    </row>
    <row r="727">
      <c r="H727" s="64"/>
      <c r="I727" s="64"/>
      <c r="J727" s="64"/>
      <c r="K727" s="64"/>
      <c r="L727" s="64"/>
    </row>
    <row r="728">
      <c r="H728" s="64"/>
      <c r="I728" s="64"/>
      <c r="J728" s="64"/>
      <c r="K728" s="64"/>
      <c r="L728" s="64"/>
    </row>
    <row r="729">
      <c r="H729" s="64"/>
      <c r="I729" s="64"/>
      <c r="J729" s="64"/>
      <c r="K729" s="64"/>
      <c r="L729" s="64"/>
    </row>
    <row r="730">
      <c r="H730" s="64"/>
      <c r="I730" s="64"/>
      <c r="J730" s="64"/>
      <c r="K730" s="64"/>
      <c r="L730" s="64"/>
    </row>
    <row r="731">
      <c r="H731" s="64"/>
      <c r="I731" s="64"/>
      <c r="J731" s="64"/>
      <c r="K731" s="64"/>
      <c r="L731" s="64"/>
    </row>
    <row r="732">
      <c r="H732" s="64"/>
      <c r="I732" s="64"/>
      <c r="J732" s="64"/>
      <c r="K732" s="64"/>
      <c r="L732" s="64"/>
    </row>
    <row r="733">
      <c r="H733" s="64"/>
      <c r="I733" s="64"/>
      <c r="J733" s="64"/>
      <c r="K733" s="64"/>
      <c r="L733" s="64"/>
    </row>
    <row r="734">
      <c r="H734" s="64"/>
      <c r="I734" s="64"/>
      <c r="J734" s="64"/>
      <c r="K734" s="64"/>
      <c r="L734" s="64"/>
    </row>
    <row r="735">
      <c r="H735" s="64"/>
      <c r="I735" s="64"/>
      <c r="J735" s="64"/>
      <c r="K735" s="64"/>
      <c r="L735" s="64"/>
    </row>
    <row r="736">
      <c r="H736" s="64"/>
      <c r="I736" s="64"/>
      <c r="J736" s="64"/>
      <c r="K736" s="64"/>
      <c r="L736" s="64"/>
    </row>
    <row r="737">
      <c r="H737" s="64"/>
      <c r="I737" s="64"/>
      <c r="J737" s="64"/>
      <c r="K737" s="64"/>
      <c r="L737" s="64"/>
    </row>
    <row r="738">
      <c r="H738" s="64"/>
      <c r="I738" s="64"/>
      <c r="J738" s="64"/>
      <c r="K738" s="64"/>
      <c r="L738" s="64"/>
    </row>
    <row r="739">
      <c r="H739" s="64"/>
      <c r="I739" s="64"/>
      <c r="J739" s="64"/>
      <c r="K739" s="64"/>
      <c r="L739" s="64"/>
    </row>
    <row r="740">
      <c r="H740" s="64"/>
      <c r="I740" s="64"/>
      <c r="J740" s="64"/>
      <c r="K740" s="64"/>
      <c r="L740" s="64"/>
    </row>
    <row r="741">
      <c r="H741" s="64"/>
      <c r="I741" s="64"/>
      <c r="J741" s="64"/>
      <c r="K741" s="64"/>
      <c r="L741" s="64"/>
    </row>
    <row r="742">
      <c r="H742" s="64"/>
      <c r="I742" s="64"/>
      <c r="J742" s="64"/>
      <c r="K742" s="64"/>
      <c r="L742" s="64"/>
    </row>
    <row r="743">
      <c r="H743" s="64"/>
      <c r="I743" s="64"/>
      <c r="J743" s="64"/>
      <c r="K743" s="64"/>
      <c r="L743" s="64"/>
    </row>
    <row r="744">
      <c r="H744" s="64"/>
      <c r="I744" s="64"/>
      <c r="J744" s="64"/>
      <c r="K744" s="64"/>
      <c r="L744" s="64"/>
    </row>
    <row r="745">
      <c r="H745" s="64"/>
      <c r="I745" s="64"/>
      <c r="J745" s="64"/>
      <c r="K745" s="64"/>
      <c r="L745" s="64"/>
    </row>
    <row r="746">
      <c r="H746" s="64"/>
      <c r="I746" s="64"/>
      <c r="J746" s="64"/>
      <c r="K746" s="64"/>
      <c r="L746" s="64"/>
    </row>
    <row r="747">
      <c r="H747" s="64"/>
      <c r="I747" s="64"/>
      <c r="J747" s="64"/>
      <c r="K747" s="64"/>
      <c r="L747" s="64"/>
    </row>
    <row r="748">
      <c r="H748" s="64"/>
      <c r="I748" s="64"/>
      <c r="J748" s="64"/>
      <c r="K748" s="64"/>
      <c r="L748" s="64"/>
    </row>
    <row r="749">
      <c r="H749" s="64"/>
      <c r="I749" s="64"/>
      <c r="J749" s="64"/>
      <c r="K749" s="64"/>
      <c r="L749" s="64"/>
    </row>
    <row r="750">
      <c r="H750" s="64"/>
      <c r="I750" s="64"/>
      <c r="J750" s="64"/>
      <c r="K750" s="64"/>
      <c r="L750" s="64"/>
    </row>
    <row r="751">
      <c r="H751" s="64"/>
      <c r="I751" s="64"/>
      <c r="J751" s="64"/>
      <c r="K751" s="64"/>
      <c r="L751" s="64"/>
    </row>
    <row r="752">
      <c r="H752" s="64"/>
      <c r="I752" s="64"/>
      <c r="J752" s="64"/>
      <c r="K752" s="64"/>
      <c r="L752" s="64"/>
    </row>
    <row r="753">
      <c r="H753" s="64"/>
      <c r="I753" s="64"/>
      <c r="J753" s="64"/>
      <c r="K753" s="64"/>
      <c r="L753" s="64"/>
    </row>
    <row r="754">
      <c r="H754" s="64"/>
      <c r="I754" s="64"/>
      <c r="J754" s="64"/>
      <c r="K754" s="64"/>
      <c r="L754" s="64"/>
    </row>
    <row r="755">
      <c r="H755" s="64"/>
      <c r="I755" s="64"/>
      <c r="J755" s="64"/>
      <c r="K755" s="64"/>
      <c r="L755" s="64"/>
    </row>
    <row r="756">
      <c r="H756" s="64"/>
      <c r="I756" s="64"/>
      <c r="J756" s="64"/>
      <c r="K756" s="64"/>
      <c r="L756" s="64"/>
    </row>
    <row r="757">
      <c r="H757" s="64"/>
      <c r="I757" s="64"/>
      <c r="J757" s="64"/>
      <c r="K757" s="64"/>
      <c r="L757" s="64"/>
    </row>
    <row r="758">
      <c r="H758" s="64"/>
      <c r="I758" s="64"/>
      <c r="J758" s="64"/>
      <c r="K758" s="64"/>
      <c r="L758" s="64"/>
    </row>
    <row r="759">
      <c r="H759" s="64"/>
      <c r="I759" s="64"/>
      <c r="J759" s="64"/>
      <c r="K759" s="64"/>
      <c r="L759" s="64"/>
    </row>
    <row r="760">
      <c r="H760" s="64"/>
      <c r="I760" s="64"/>
      <c r="J760" s="64"/>
      <c r="K760" s="64"/>
      <c r="L760" s="64"/>
    </row>
    <row r="761">
      <c r="H761" s="64"/>
      <c r="I761" s="64"/>
      <c r="J761" s="64"/>
      <c r="K761" s="64"/>
      <c r="L761" s="64"/>
    </row>
    <row r="762">
      <c r="H762" s="64"/>
      <c r="I762" s="64"/>
      <c r="J762" s="64"/>
      <c r="K762" s="64"/>
      <c r="L762" s="64"/>
    </row>
    <row r="763">
      <c r="H763" s="64"/>
      <c r="I763" s="64"/>
      <c r="J763" s="64"/>
      <c r="K763" s="64"/>
      <c r="L763" s="64"/>
    </row>
    <row r="764">
      <c r="H764" s="64"/>
      <c r="I764" s="64"/>
      <c r="J764" s="64"/>
      <c r="K764" s="64"/>
      <c r="L764" s="64"/>
    </row>
    <row r="765">
      <c r="H765" s="64"/>
      <c r="I765" s="64"/>
      <c r="J765" s="64"/>
      <c r="K765" s="64"/>
      <c r="L765" s="64"/>
    </row>
    <row r="766">
      <c r="H766" s="64"/>
      <c r="I766" s="64"/>
      <c r="J766" s="64"/>
      <c r="K766" s="64"/>
      <c r="L766" s="64"/>
    </row>
    <row r="767">
      <c r="H767" s="64"/>
      <c r="I767" s="64"/>
      <c r="J767" s="64"/>
      <c r="K767" s="64"/>
      <c r="L767" s="64"/>
    </row>
    <row r="768">
      <c r="H768" s="64"/>
      <c r="I768" s="64"/>
      <c r="J768" s="64"/>
      <c r="K768" s="64"/>
      <c r="L768" s="64"/>
    </row>
    <row r="769">
      <c r="H769" s="64"/>
      <c r="I769" s="64"/>
      <c r="J769" s="64"/>
      <c r="K769" s="64"/>
      <c r="L769" s="64"/>
    </row>
    <row r="770">
      <c r="H770" s="64"/>
      <c r="I770" s="64"/>
      <c r="J770" s="64"/>
      <c r="K770" s="64"/>
      <c r="L770" s="64"/>
    </row>
    <row r="771">
      <c r="H771" s="64"/>
      <c r="I771" s="64"/>
      <c r="J771" s="64"/>
      <c r="K771" s="64"/>
      <c r="L771" s="64"/>
    </row>
    <row r="772">
      <c r="H772" s="64"/>
      <c r="I772" s="64"/>
      <c r="J772" s="64"/>
      <c r="K772" s="64"/>
      <c r="L772" s="64"/>
    </row>
    <row r="773">
      <c r="H773" s="64"/>
      <c r="I773" s="64"/>
      <c r="J773" s="64"/>
      <c r="K773" s="64"/>
      <c r="L773" s="64"/>
    </row>
    <row r="774">
      <c r="H774" s="64"/>
      <c r="I774" s="64"/>
      <c r="J774" s="64"/>
      <c r="K774" s="64"/>
      <c r="L774" s="64"/>
    </row>
    <row r="775">
      <c r="H775" s="64"/>
      <c r="I775" s="64"/>
      <c r="J775" s="64"/>
      <c r="K775" s="64"/>
      <c r="L775" s="64"/>
    </row>
    <row r="776">
      <c r="H776" s="64"/>
      <c r="I776" s="64"/>
      <c r="J776" s="64"/>
      <c r="K776" s="64"/>
      <c r="L776" s="64"/>
    </row>
    <row r="777">
      <c r="H777" s="64"/>
      <c r="I777" s="64"/>
      <c r="J777" s="64"/>
      <c r="K777" s="64"/>
      <c r="L777" s="64"/>
    </row>
    <row r="778">
      <c r="H778" s="64"/>
      <c r="I778" s="64"/>
      <c r="J778" s="64"/>
      <c r="K778" s="64"/>
      <c r="L778" s="64"/>
    </row>
    <row r="779">
      <c r="H779" s="64"/>
      <c r="I779" s="64"/>
      <c r="J779" s="64"/>
      <c r="K779" s="64"/>
      <c r="L779" s="64"/>
    </row>
    <row r="780">
      <c r="H780" s="64"/>
      <c r="I780" s="64"/>
      <c r="J780" s="64"/>
      <c r="K780" s="64"/>
      <c r="L780" s="64"/>
    </row>
    <row r="781">
      <c r="H781" s="64"/>
      <c r="I781" s="64"/>
      <c r="J781" s="64"/>
      <c r="K781" s="64"/>
      <c r="L781" s="64"/>
    </row>
    <row r="782">
      <c r="H782" s="64"/>
      <c r="I782" s="64"/>
      <c r="J782" s="64"/>
      <c r="K782" s="64"/>
      <c r="L782" s="64"/>
    </row>
    <row r="783">
      <c r="H783" s="64"/>
      <c r="I783" s="64"/>
      <c r="J783" s="64"/>
      <c r="K783" s="64"/>
      <c r="L783" s="64"/>
    </row>
    <row r="784">
      <c r="H784" s="64"/>
      <c r="I784" s="64"/>
      <c r="J784" s="64"/>
      <c r="K784" s="64"/>
      <c r="L784" s="64"/>
    </row>
    <row r="785">
      <c r="H785" s="64"/>
      <c r="I785" s="64"/>
      <c r="J785" s="64"/>
      <c r="K785" s="64"/>
      <c r="L785" s="64"/>
    </row>
    <row r="786">
      <c r="H786" s="64"/>
      <c r="I786" s="64"/>
      <c r="J786" s="64"/>
      <c r="K786" s="64"/>
      <c r="L786" s="64"/>
    </row>
    <row r="787">
      <c r="H787" s="64"/>
      <c r="I787" s="64"/>
      <c r="J787" s="64"/>
      <c r="K787" s="64"/>
      <c r="L787" s="64"/>
    </row>
    <row r="788">
      <c r="H788" s="64"/>
      <c r="I788" s="64"/>
      <c r="J788" s="64"/>
      <c r="K788" s="64"/>
      <c r="L788" s="64"/>
    </row>
    <row r="789">
      <c r="H789" s="64"/>
      <c r="I789" s="64"/>
      <c r="J789" s="64"/>
      <c r="K789" s="64"/>
      <c r="L789" s="64"/>
    </row>
    <row r="790">
      <c r="H790" s="64"/>
      <c r="I790" s="64"/>
      <c r="J790" s="64"/>
      <c r="K790" s="64"/>
      <c r="L790" s="64"/>
    </row>
    <row r="791">
      <c r="H791" s="64"/>
      <c r="I791" s="64"/>
      <c r="J791" s="64"/>
      <c r="K791" s="64"/>
      <c r="L791" s="64"/>
    </row>
    <row r="792">
      <c r="H792" s="64"/>
      <c r="I792" s="64"/>
      <c r="J792" s="64"/>
      <c r="K792" s="64"/>
      <c r="L792" s="64"/>
    </row>
    <row r="793">
      <c r="H793" s="64"/>
      <c r="I793" s="64"/>
      <c r="J793" s="64"/>
      <c r="K793" s="64"/>
      <c r="L793" s="64"/>
    </row>
    <row r="794">
      <c r="H794" s="64"/>
      <c r="I794" s="64"/>
      <c r="J794" s="64"/>
      <c r="K794" s="64"/>
      <c r="L794" s="64"/>
    </row>
    <row r="795">
      <c r="H795" s="64"/>
      <c r="I795" s="64"/>
      <c r="J795" s="64"/>
      <c r="K795" s="64"/>
      <c r="L795" s="64"/>
    </row>
    <row r="796">
      <c r="H796" s="64"/>
      <c r="I796" s="64"/>
      <c r="J796" s="64"/>
      <c r="K796" s="64"/>
      <c r="L796" s="64"/>
    </row>
    <row r="797">
      <c r="H797" s="64"/>
      <c r="I797" s="64"/>
      <c r="J797" s="64"/>
      <c r="K797" s="64"/>
      <c r="L797" s="64"/>
    </row>
    <row r="798">
      <c r="H798" s="64"/>
      <c r="I798" s="64"/>
      <c r="J798" s="64"/>
      <c r="K798" s="64"/>
      <c r="L798" s="64"/>
    </row>
    <row r="799">
      <c r="H799" s="64"/>
      <c r="I799" s="64"/>
      <c r="J799" s="64"/>
      <c r="K799" s="64"/>
      <c r="L799" s="64"/>
    </row>
    <row r="800">
      <c r="H800" s="64"/>
      <c r="I800" s="64"/>
      <c r="J800" s="64"/>
      <c r="K800" s="64"/>
      <c r="L800" s="64"/>
    </row>
    <row r="801">
      <c r="H801" s="64"/>
      <c r="I801" s="64"/>
      <c r="J801" s="64"/>
      <c r="K801" s="64"/>
      <c r="L801" s="64"/>
    </row>
    <row r="802">
      <c r="H802" s="64"/>
      <c r="I802" s="64"/>
      <c r="J802" s="64"/>
      <c r="K802" s="64"/>
      <c r="L802" s="64"/>
    </row>
    <row r="803">
      <c r="H803" s="64"/>
      <c r="I803" s="64"/>
      <c r="J803" s="64"/>
      <c r="K803" s="64"/>
      <c r="L803" s="64"/>
    </row>
    <row r="804">
      <c r="H804" s="64"/>
      <c r="I804" s="64"/>
      <c r="J804" s="64"/>
      <c r="K804" s="64"/>
      <c r="L804" s="64"/>
    </row>
    <row r="805">
      <c r="H805" s="64"/>
      <c r="I805" s="64"/>
      <c r="J805" s="64"/>
      <c r="K805" s="64"/>
      <c r="L805" s="64"/>
    </row>
    <row r="806">
      <c r="H806" s="64"/>
      <c r="I806" s="64"/>
      <c r="J806" s="64"/>
      <c r="K806" s="64"/>
      <c r="L806" s="64"/>
    </row>
    <row r="807">
      <c r="H807" s="64"/>
      <c r="I807" s="64"/>
      <c r="J807" s="64"/>
      <c r="K807" s="64"/>
      <c r="L807" s="64"/>
    </row>
    <row r="808">
      <c r="H808" s="64"/>
      <c r="I808" s="64"/>
      <c r="J808" s="64"/>
      <c r="K808" s="64"/>
      <c r="L808" s="64"/>
    </row>
    <row r="809">
      <c r="H809" s="64"/>
      <c r="I809" s="64"/>
      <c r="J809" s="64"/>
      <c r="K809" s="64"/>
      <c r="L809" s="64"/>
    </row>
    <row r="810">
      <c r="H810" s="64"/>
      <c r="I810" s="64"/>
      <c r="J810" s="64"/>
      <c r="K810" s="64"/>
      <c r="L810" s="64"/>
    </row>
    <row r="811">
      <c r="H811" s="64"/>
      <c r="I811" s="64"/>
      <c r="J811" s="64"/>
      <c r="K811" s="64"/>
      <c r="L811" s="64"/>
    </row>
    <row r="812">
      <c r="H812" s="64"/>
      <c r="I812" s="64"/>
      <c r="J812" s="64"/>
      <c r="K812" s="64"/>
      <c r="L812" s="64"/>
    </row>
    <row r="813">
      <c r="H813" s="64"/>
      <c r="I813" s="64"/>
      <c r="J813" s="64"/>
      <c r="K813" s="64"/>
      <c r="L813" s="64"/>
    </row>
    <row r="814">
      <c r="H814" s="64"/>
      <c r="I814" s="64"/>
      <c r="J814" s="64"/>
      <c r="K814" s="64"/>
      <c r="L814" s="64"/>
    </row>
    <row r="815">
      <c r="H815" s="64"/>
      <c r="I815" s="64"/>
      <c r="J815" s="64"/>
      <c r="K815" s="64"/>
      <c r="L815" s="64"/>
    </row>
    <row r="816">
      <c r="H816" s="64"/>
      <c r="I816" s="64"/>
      <c r="J816" s="64"/>
      <c r="K816" s="64"/>
      <c r="L816" s="64"/>
    </row>
    <row r="817">
      <c r="H817" s="64"/>
      <c r="I817" s="64"/>
      <c r="J817" s="64"/>
      <c r="K817" s="64"/>
      <c r="L817" s="64"/>
    </row>
    <row r="818">
      <c r="H818" s="64"/>
      <c r="I818" s="64"/>
      <c r="J818" s="64"/>
      <c r="K818" s="64"/>
      <c r="L818" s="64"/>
    </row>
    <row r="819">
      <c r="H819" s="64"/>
      <c r="I819" s="64"/>
      <c r="J819" s="64"/>
      <c r="K819" s="64"/>
      <c r="L819" s="64"/>
    </row>
    <row r="820">
      <c r="H820" s="64"/>
      <c r="I820" s="64"/>
      <c r="J820" s="64"/>
      <c r="K820" s="64"/>
      <c r="L820" s="64"/>
    </row>
    <row r="821">
      <c r="H821" s="64"/>
      <c r="I821" s="64"/>
      <c r="J821" s="64"/>
      <c r="K821" s="64"/>
      <c r="L821" s="64"/>
    </row>
    <row r="822">
      <c r="H822" s="64"/>
      <c r="I822" s="64"/>
      <c r="J822" s="64"/>
      <c r="K822" s="64"/>
      <c r="L822" s="64"/>
    </row>
    <row r="823">
      <c r="H823" s="64"/>
      <c r="I823" s="64"/>
      <c r="J823" s="64"/>
      <c r="K823" s="64"/>
      <c r="L823" s="64"/>
    </row>
    <row r="824">
      <c r="H824" s="64"/>
      <c r="I824" s="64"/>
      <c r="J824" s="64"/>
      <c r="K824" s="64"/>
      <c r="L824" s="64"/>
    </row>
    <row r="825">
      <c r="H825" s="64"/>
      <c r="I825" s="64"/>
      <c r="J825" s="64"/>
      <c r="K825" s="64"/>
      <c r="L825" s="64"/>
    </row>
    <row r="826">
      <c r="H826" s="64"/>
      <c r="I826" s="64"/>
      <c r="J826" s="64"/>
      <c r="K826" s="64"/>
      <c r="L826" s="64"/>
    </row>
    <row r="827">
      <c r="H827" s="64"/>
      <c r="I827" s="64"/>
      <c r="J827" s="64"/>
      <c r="K827" s="64"/>
      <c r="L827" s="64"/>
    </row>
    <row r="828">
      <c r="H828" s="64"/>
      <c r="I828" s="64"/>
      <c r="J828" s="64"/>
      <c r="K828" s="64"/>
      <c r="L828" s="64"/>
    </row>
    <row r="829">
      <c r="H829" s="64"/>
      <c r="I829" s="64"/>
      <c r="J829" s="64"/>
      <c r="K829" s="64"/>
      <c r="L829" s="64"/>
    </row>
    <row r="830">
      <c r="H830" s="64"/>
      <c r="I830" s="64"/>
      <c r="J830" s="64"/>
      <c r="K830" s="64"/>
      <c r="L830" s="64"/>
    </row>
    <row r="831">
      <c r="H831" s="64"/>
      <c r="I831" s="64"/>
      <c r="J831" s="64"/>
      <c r="K831" s="64"/>
      <c r="L831" s="64"/>
    </row>
    <row r="832">
      <c r="H832" s="64"/>
      <c r="I832" s="64"/>
      <c r="J832" s="64"/>
      <c r="K832" s="64"/>
      <c r="L832" s="64"/>
    </row>
    <row r="833">
      <c r="H833" s="64"/>
      <c r="I833" s="64"/>
      <c r="J833" s="64"/>
      <c r="K833" s="64"/>
      <c r="L833" s="64"/>
    </row>
    <row r="834">
      <c r="H834" s="64"/>
      <c r="I834" s="64"/>
      <c r="J834" s="64"/>
      <c r="K834" s="64"/>
      <c r="L834" s="64"/>
    </row>
    <row r="835">
      <c r="H835" s="64"/>
      <c r="I835" s="64"/>
      <c r="J835" s="64"/>
      <c r="K835" s="64"/>
      <c r="L835" s="64"/>
    </row>
    <row r="836">
      <c r="H836" s="64"/>
      <c r="I836" s="64"/>
      <c r="J836" s="64"/>
      <c r="K836" s="64"/>
      <c r="L836" s="64"/>
    </row>
    <row r="837">
      <c r="H837" s="64"/>
      <c r="I837" s="64"/>
      <c r="J837" s="64"/>
      <c r="K837" s="64"/>
      <c r="L837" s="64"/>
    </row>
    <row r="838">
      <c r="H838" s="64"/>
      <c r="I838" s="64"/>
      <c r="J838" s="64"/>
      <c r="K838" s="64"/>
      <c r="L838" s="64"/>
    </row>
    <row r="839">
      <c r="H839" s="64"/>
      <c r="I839" s="64"/>
      <c r="J839" s="64"/>
      <c r="K839" s="64"/>
      <c r="L839" s="64"/>
    </row>
    <row r="840">
      <c r="H840" s="64"/>
      <c r="I840" s="64"/>
      <c r="J840" s="64"/>
      <c r="K840" s="64"/>
      <c r="L840" s="64"/>
    </row>
    <row r="841">
      <c r="H841" s="64"/>
      <c r="I841" s="64"/>
      <c r="J841" s="64"/>
      <c r="K841" s="64"/>
      <c r="L841" s="64"/>
    </row>
    <row r="842">
      <c r="H842" s="64"/>
      <c r="I842" s="64"/>
      <c r="J842" s="64"/>
      <c r="K842" s="64"/>
      <c r="L842" s="64"/>
    </row>
    <row r="843">
      <c r="H843" s="64"/>
      <c r="I843" s="64"/>
      <c r="J843" s="64"/>
      <c r="K843" s="64"/>
      <c r="L843" s="64"/>
    </row>
    <row r="844">
      <c r="H844" s="64"/>
      <c r="I844" s="64"/>
      <c r="J844" s="64"/>
      <c r="K844" s="64"/>
      <c r="L844" s="64"/>
    </row>
    <row r="845">
      <c r="H845" s="64"/>
      <c r="I845" s="64"/>
      <c r="J845" s="64"/>
      <c r="K845" s="64"/>
      <c r="L845" s="64"/>
    </row>
    <row r="846">
      <c r="H846" s="64"/>
      <c r="I846" s="64"/>
      <c r="J846" s="64"/>
      <c r="K846" s="64"/>
      <c r="L846" s="64"/>
    </row>
    <row r="847">
      <c r="H847" s="64"/>
      <c r="I847" s="64"/>
      <c r="J847" s="64"/>
      <c r="K847" s="64"/>
      <c r="L847" s="64"/>
    </row>
    <row r="848">
      <c r="H848" s="64"/>
      <c r="I848" s="64"/>
      <c r="J848" s="64"/>
      <c r="K848" s="64"/>
      <c r="L848" s="64"/>
    </row>
    <row r="849">
      <c r="H849" s="64"/>
      <c r="I849" s="64"/>
      <c r="J849" s="64"/>
      <c r="K849" s="64"/>
      <c r="L849" s="64"/>
    </row>
    <row r="850">
      <c r="H850" s="64"/>
      <c r="I850" s="64"/>
      <c r="J850" s="64"/>
      <c r="K850" s="64"/>
      <c r="L850" s="64"/>
    </row>
    <row r="851">
      <c r="H851" s="64"/>
      <c r="I851" s="64"/>
      <c r="J851" s="64"/>
      <c r="K851" s="64"/>
      <c r="L851" s="64"/>
    </row>
    <row r="852">
      <c r="H852" s="64"/>
      <c r="I852" s="64"/>
      <c r="J852" s="64"/>
      <c r="K852" s="64"/>
      <c r="L852" s="64"/>
    </row>
    <row r="853">
      <c r="H853" s="64"/>
      <c r="I853" s="64"/>
      <c r="J853" s="64"/>
      <c r="K853" s="64"/>
      <c r="L853" s="64"/>
    </row>
    <row r="854">
      <c r="H854" s="64"/>
      <c r="I854" s="64"/>
      <c r="J854" s="64"/>
      <c r="K854" s="64"/>
      <c r="L854" s="64"/>
    </row>
    <row r="855">
      <c r="H855" s="64"/>
      <c r="I855" s="64"/>
      <c r="J855" s="64"/>
      <c r="K855" s="64"/>
      <c r="L855" s="64"/>
    </row>
    <row r="856">
      <c r="H856" s="64"/>
      <c r="I856" s="64"/>
      <c r="J856" s="64"/>
      <c r="K856" s="64"/>
      <c r="L856" s="64"/>
    </row>
    <row r="857">
      <c r="H857" s="64"/>
      <c r="I857" s="64"/>
      <c r="J857" s="64"/>
      <c r="K857" s="64"/>
      <c r="L857" s="64"/>
    </row>
    <row r="858">
      <c r="H858" s="64"/>
      <c r="I858" s="64"/>
      <c r="J858" s="64"/>
      <c r="K858" s="64"/>
      <c r="L858" s="64"/>
    </row>
    <row r="859">
      <c r="H859" s="64"/>
      <c r="I859" s="64"/>
      <c r="J859" s="64"/>
      <c r="K859" s="64"/>
      <c r="L859" s="64"/>
    </row>
    <row r="860">
      <c r="H860" s="64"/>
      <c r="I860" s="64"/>
      <c r="J860" s="64"/>
      <c r="K860" s="64"/>
      <c r="L860" s="64"/>
    </row>
    <row r="861">
      <c r="H861" s="64"/>
      <c r="I861" s="64"/>
      <c r="J861" s="64"/>
      <c r="K861" s="64"/>
      <c r="L861" s="64"/>
    </row>
    <row r="862">
      <c r="H862" s="64"/>
      <c r="I862" s="64"/>
      <c r="J862" s="64"/>
      <c r="K862" s="64"/>
      <c r="L862" s="64"/>
    </row>
    <row r="863">
      <c r="H863" s="64"/>
      <c r="I863" s="64"/>
      <c r="J863" s="64"/>
      <c r="K863" s="64"/>
      <c r="L863" s="64"/>
    </row>
    <row r="864">
      <c r="H864" s="64"/>
      <c r="I864" s="64"/>
      <c r="J864" s="64"/>
      <c r="K864" s="64"/>
      <c r="L864" s="64"/>
    </row>
    <row r="865">
      <c r="H865" s="64"/>
      <c r="I865" s="64"/>
      <c r="J865" s="64"/>
      <c r="K865" s="64"/>
      <c r="L865" s="64"/>
    </row>
    <row r="866">
      <c r="H866" s="64"/>
      <c r="I866" s="64"/>
      <c r="J866" s="64"/>
      <c r="K866" s="64"/>
      <c r="L866" s="64"/>
    </row>
    <row r="867">
      <c r="H867" s="64"/>
      <c r="I867" s="64"/>
      <c r="J867" s="64"/>
      <c r="K867" s="64"/>
      <c r="L867" s="64"/>
    </row>
    <row r="868">
      <c r="H868" s="64"/>
      <c r="I868" s="64"/>
      <c r="J868" s="64"/>
      <c r="K868" s="64"/>
      <c r="L868" s="64"/>
    </row>
    <row r="869">
      <c r="H869" s="64"/>
      <c r="I869" s="64"/>
      <c r="J869" s="64"/>
      <c r="K869" s="64"/>
      <c r="L869" s="64"/>
    </row>
    <row r="870">
      <c r="H870" s="64"/>
      <c r="I870" s="64"/>
      <c r="J870" s="64"/>
      <c r="K870" s="64"/>
      <c r="L870" s="64"/>
    </row>
    <row r="871">
      <c r="H871" s="64"/>
      <c r="I871" s="64"/>
      <c r="J871" s="64"/>
      <c r="K871" s="64"/>
      <c r="L871" s="64"/>
    </row>
    <row r="872">
      <c r="H872" s="64"/>
      <c r="I872" s="64"/>
      <c r="J872" s="64"/>
      <c r="K872" s="64"/>
      <c r="L872" s="64"/>
    </row>
    <row r="873">
      <c r="H873" s="64"/>
      <c r="I873" s="64"/>
      <c r="J873" s="64"/>
      <c r="K873" s="64"/>
      <c r="L873" s="64"/>
    </row>
    <row r="874">
      <c r="H874" s="64"/>
      <c r="I874" s="64"/>
      <c r="J874" s="64"/>
      <c r="K874" s="64"/>
      <c r="L874" s="64"/>
    </row>
    <row r="875">
      <c r="H875" s="64"/>
      <c r="I875" s="64"/>
      <c r="J875" s="64"/>
      <c r="K875" s="64"/>
      <c r="L875" s="64"/>
    </row>
    <row r="876">
      <c r="H876" s="64"/>
      <c r="I876" s="64"/>
      <c r="J876" s="64"/>
      <c r="K876" s="64"/>
      <c r="L876" s="64"/>
    </row>
    <row r="877">
      <c r="H877" s="64"/>
      <c r="I877" s="64"/>
      <c r="J877" s="64"/>
      <c r="K877" s="64"/>
      <c r="L877" s="64"/>
    </row>
    <row r="878">
      <c r="H878" s="64"/>
      <c r="I878" s="64"/>
      <c r="J878" s="64"/>
      <c r="K878" s="64"/>
      <c r="L878" s="64"/>
    </row>
    <row r="879">
      <c r="H879" s="64"/>
      <c r="I879" s="64"/>
      <c r="J879" s="64"/>
      <c r="K879" s="64"/>
      <c r="L879" s="64"/>
    </row>
    <row r="880">
      <c r="H880" s="64"/>
      <c r="I880" s="64"/>
      <c r="J880" s="64"/>
      <c r="K880" s="64"/>
      <c r="L880" s="64"/>
    </row>
    <row r="881">
      <c r="H881" s="64"/>
      <c r="I881" s="64"/>
      <c r="J881" s="64"/>
      <c r="K881" s="64"/>
      <c r="L881" s="64"/>
    </row>
    <row r="882">
      <c r="H882" s="64"/>
      <c r="I882" s="64"/>
      <c r="J882" s="64"/>
      <c r="K882" s="64"/>
      <c r="L882" s="64"/>
    </row>
    <row r="883">
      <c r="H883" s="64"/>
      <c r="I883" s="64"/>
      <c r="J883" s="64"/>
      <c r="K883" s="64"/>
      <c r="L883" s="64"/>
    </row>
    <row r="884">
      <c r="H884" s="64"/>
      <c r="I884" s="64"/>
      <c r="J884" s="64"/>
      <c r="K884" s="64"/>
      <c r="L884" s="64"/>
    </row>
    <row r="885">
      <c r="H885" s="64"/>
      <c r="I885" s="64"/>
      <c r="J885" s="64"/>
      <c r="K885" s="64"/>
      <c r="L885" s="64"/>
    </row>
    <row r="886">
      <c r="H886" s="64"/>
      <c r="I886" s="64"/>
      <c r="J886" s="64"/>
      <c r="K886" s="64"/>
      <c r="L886" s="64"/>
    </row>
    <row r="887">
      <c r="H887" s="64"/>
      <c r="I887" s="64"/>
      <c r="J887" s="64"/>
      <c r="K887" s="64"/>
      <c r="L887" s="64"/>
    </row>
    <row r="888">
      <c r="H888" s="64"/>
      <c r="I888" s="64"/>
      <c r="J888" s="64"/>
      <c r="K888" s="64"/>
      <c r="L888" s="64"/>
    </row>
    <row r="889">
      <c r="H889" s="64"/>
      <c r="I889" s="64"/>
      <c r="J889" s="64"/>
      <c r="K889" s="64"/>
      <c r="L889" s="64"/>
    </row>
    <row r="890">
      <c r="H890" s="64"/>
      <c r="I890" s="64"/>
      <c r="J890" s="64"/>
      <c r="K890" s="64"/>
      <c r="L890" s="64"/>
    </row>
    <row r="891">
      <c r="H891" s="64"/>
      <c r="I891" s="64"/>
      <c r="J891" s="64"/>
      <c r="K891" s="64"/>
      <c r="L891" s="64"/>
    </row>
    <row r="892">
      <c r="H892" s="64"/>
      <c r="I892" s="64"/>
      <c r="J892" s="64"/>
      <c r="K892" s="64"/>
      <c r="L892" s="64"/>
    </row>
    <row r="893">
      <c r="H893" s="64"/>
      <c r="I893" s="64"/>
      <c r="J893" s="64"/>
      <c r="K893" s="64"/>
      <c r="L893" s="64"/>
    </row>
    <row r="894">
      <c r="H894" s="64"/>
      <c r="I894" s="64"/>
      <c r="J894" s="64"/>
      <c r="K894" s="64"/>
      <c r="L894" s="64"/>
    </row>
    <row r="895">
      <c r="H895" s="64"/>
      <c r="I895" s="64"/>
      <c r="J895" s="64"/>
      <c r="K895" s="64"/>
      <c r="L895" s="64"/>
    </row>
    <row r="896">
      <c r="H896" s="64"/>
      <c r="I896" s="64"/>
      <c r="J896" s="64"/>
      <c r="K896" s="64"/>
      <c r="L896" s="64"/>
    </row>
    <row r="897">
      <c r="H897" s="64"/>
      <c r="I897" s="64"/>
      <c r="J897" s="64"/>
      <c r="K897" s="64"/>
      <c r="L897" s="64"/>
    </row>
    <row r="898">
      <c r="H898" s="64"/>
      <c r="I898" s="64"/>
      <c r="J898" s="64"/>
      <c r="K898" s="64"/>
      <c r="L898" s="64"/>
    </row>
    <row r="899">
      <c r="H899" s="64"/>
      <c r="I899" s="64"/>
      <c r="J899" s="64"/>
      <c r="K899" s="64"/>
      <c r="L899" s="64"/>
    </row>
    <row r="900">
      <c r="H900" s="64"/>
      <c r="I900" s="64"/>
      <c r="J900" s="64"/>
      <c r="K900" s="64"/>
      <c r="L900" s="64"/>
    </row>
    <row r="901">
      <c r="H901" s="64"/>
      <c r="I901" s="64"/>
      <c r="J901" s="64"/>
      <c r="K901" s="64"/>
      <c r="L901" s="64"/>
    </row>
    <row r="902">
      <c r="H902" s="64"/>
      <c r="I902" s="64"/>
      <c r="J902" s="64"/>
      <c r="K902" s="64"/>
      <c r="L902" s="64"/>
    </row>
    <row r="903">
      <c r="H903" s="64"/>
      <c r="I903" s="64"/>
      <c r="J903" s="64"/>
      <c r="K903" s="64"/>
      <c r="L903" s="64"/>
    </row>
    <row r="904">
      <c r="H904" s="64"/>
      <c r="I904" s="64"/>
      <c r="J904" s="64"/>
      <c r="K904" s="64"/>
      <c r="L904" s="64"/>
    </row>
    <row r="905">
      <c r="H905" s="64"/>
      <c r="I905" s="64"/>
      <c r="J905" s="64"/>
      <c r="K905" s="64"/>
      <c r="L905" s="64"/>
    </row>
    <row r="906">
      <c r="H906" s="64"/>
      <c r="I906" s="64"/>
      <c r="J906" s="64"/>
      <c r="K906" s="64"/>
      <c r="L906" s="64"/>
    </row>
    <row r="907">
      <c r="H907" s="64"/>
      <c r="I907" s="64"/>
      <c r="J907" s="64"/>
      <c r="K907" s="64"/>
      <c r="L907" s="64"/>
    </row>
    <row r="908">
      <c r="H908" s="64"/>
      <c r="I908" s="64"/>
      <c r="J908" s="64"/>
      <c r="K908" s="64"/>
      <c r="L908" s="64"/>
    </row>
    <row r="909">
      <c r="H909" s="64"/>
      <c r="I909" s="64"/>
      <c r="J909" s="64"/>
      <c r="K909" s="64"/>
      <c r="L909" s="64"/>
    </row>
    <row r="910">
      <c r="H910" s="64"/>
      <c r="I910" s="64"/>
      <c r="J910" s="64"/>
      <c r="K910" s="64"/>
      <c r="L910" s="64"/>
    </row>
    <row r="911">
      <c r="H911" s="64"/>
      <c r="I911" s="64"/>
      <c r="J911" s="64"/>
      <c r="K911" s="64"/>
      <c r="L911" s="64"/>
    </row>
    <row r="912">
      <c r="H912" s="64"/>
      <c r="I912" s="64"/>
      <c r="J912" s="64"/>
      <c r="K912" s="64"/>
      <c r="L912" s="64"/>
    </row>
    <row r="913">
      <c r="H913" s="64"/>
      <c r="I913" s="64"/>
      <c r="J913" s="64"/>
      <c r="K913" s="64"/>
      <c r="L913" s="64"/>
    </row>
    <row r="914">
      <c r="H914" s="64"/>
      <c r="I914" s="64"/>
      <c r="J914" s="64"/>
      <c r="K914" s="64"/>
      <c r="L914" s="64"/>
    </row>
    <row r="915">
      <c r="H915" s="64"/>
      <c r="I915" s="64"/>
      <c r="J915" s="64"/>
      <c r="K915" s="64"/>
      <c r="L915" s="64"/>
    </row>
    <row r="916">
      <c r="H916" s="64"/>
      <c r="I916" s="64"/>
      <c r="J916" s="64"/>
      <c r="K916" s="64"/>
      <c r="L916" s="64"/>
    </row>
    <row r="917">
      <c r="H917" s="64"/>
      <c r="I917" s="64"/>
      <c r="J917" s="64"/>
      <c r="K917" s="64"/>
      <c r="L917" s="64"/>
    </row>
    <row r="918">
      <c r="H918" s="64"/>
      <c r="I918" s="64"/>
      <c r="J918" s="64"/>
      <c r="K918" s="64"/>
      <c r="L918" s="64"/>
    </row>
    <row r="919">
      <c r="H919" s="64"/>
      <c r="I919" s="64"/>
      <c r="J919" s="64"/>
      <c r="K919" s="64"/>
      <c r="L919" s="64"/>
    </row>
    <row r="920">
      <c r="H920" s="64"/>
      <c r="I920" s="64"/>
      <c r="J920" s="64"/>
      <c r="K920" s="64"/>
      <c r="L920" s="64"/>
    </row>
    <row r="921">
      <c r="H921" s="64"/>
      <c r="I921" s="64"/>
      <c r="J921" s="64"/>
      <c r="K921" s="64"/>
      <c r="L921" s="64"/>
    </row>
    <row r="922">
      <c r="H922" s="64"/>
      <c r="I922" s="64"/>
      <c r="J922" s="64"/>
      <c r="K922" s="64"/>
      <c r="L922" s="64"/>
    </row>
    <row r="923">
      <c r="H923" s="64"/>
      <c r="I923" s="64"/>
      <c r="J923" s="64"/>
      <c r="K923" s="64"/>
      <c r="L923" s="64"/>
    </row>
    <row r="924">
      <c r="H924" s="64"/>
      <c r="I924" s="64"/>
      <c r="J924" s="64"/>
      <c r="K924" s="64"/>
      <c r="L924" s="64"/>
    </row>
    <row r="925">
      <c r="H925" s="64"/>
      <c r="I925" s="64"/>
      <c r="J925" s="64"/>
      <c r="K925" s="64"/>
      <c r="L925" s="64"/>
    </row>
    <row r="926">
      <c r="H926" s="64"/>
      <c r="I926" s="64"/>
      <c r="J926" s="64"/>
      <c r="K926" s="64"/>
      <c r="L926" s="64"/>
    </row>
    <row r="927">
      <c r="H927" s="64"/>
      <c r="I927" s="64"/>
      <c r="J927" s="64"/>
      <c r="K927" s="64"/>
      <c r="L927" s="64"/>
    </row>
    <row r="928">
      <c r="H928" s="64"/>
      <c r="I928" s="64"/>
      <c r="J928" s="64"/>
      <c r="K928" s="64"/>
      <c r="L928" s="64"/>
    </row>
    <row r="929">
      <c r="H929" s="64"/>
      <c r="I929" s="64"/>
      <c r="J929" s="64"/>
      <c r="K929" s="64"/>
      <c r="L929" s="64"/>
    </row>
    <row r="930">
      <c r="H930" s="64"/>
      <c r="I930" s="64"/>
      <c r="J930" s="64"/>
      <c r="K930" s="64"/>
      <c r="L930" s="64"/>
    </row>
    <row r="931">
      <c r="H931" s="64"/>
      <c r="I931" s="64"/>
      <c r="J931" s="64"/>
      <c r="K931" s="64"/>
      <c r="L931" s="64"/>
    </row>
    <row r="932">
      <c r="H932" s="64"/>
      <c r="I932" s="64"/>
      <c r="J932" s="64"/>
      <c r="K932" s="64"/>
      <c r="L932" s="64"/>
    </row>
    <row r="933">
      <c r="H933" s="64"/>
      <c r="I933" s="64"/>
      <c r="J933" s="64"/>
      <c r="K933" s="64"/>
      <c r="L933" s="64"/>
    </row>
    <row r="934">
      <c r="H934" s="64"/>
      <c r="I934" s="64"/>
      <c r="J934" s="64"/>
      <c r="K934" s="64"/>
      <c r="L934" s="64"/>
    </row>
    <row r="935">
      <c r="H935" s="64"/>
      <c r="I935" s="64"/>
      <c r="J935" s="64"/>
      <c r="K935" s="64"/>
      <c r="L935" s="64"/>
    </row>
    <row r="936">
      <c r="H936" s="64"/>
      <c r="I936" s="64"/>
      <c r="J936" s="64"/>
      <c r="K936" s="64"/>
      <c r="L936" s="64"/>
    </row>
    <row r="937">
      <c r="H937" s="64"/>
      <c r="I937" s="64"/>
      <c r="J937" s="64"/>
      <c r="K937" s="64"/>
      <c r="L937" s="64"/>
    </row>
    <row r="938">
      <c r="H938" s="64"/>
      <c r="I938" s="64"/>
      <c r="J938" s="64"/>
      <c r="K938" s="64"/>
      <c r="L938" s="64"/>
    </row>
    <row r="939">
      <c r="H939" s="64"/>
      <c r="I939" s="64"/>
      <c r="J939" s="64"/>
      <c r="K939" s="64"/>
      <c r="L939" s="64"/>
    </row>
    <row r="940">
      <c r="H940" s="64"/>
      <c r="I940" s="64"/>
      <c r="J940" s="64"/>
      <c r="K940" s="64"/>
      <c r="L940" s="64"/>
    </row>
    <row r="941">
      <c r="H941" s="64"/>
      <c r="I941" s="64"/>
      <c r="J941" s="64"/>
      <c r="K941" s="64"/>
      <c r="L941" s="64"/>
    </row>
    <row r="942">
      <c r="H942" s="64"/>
      <c r="I942" s="64"/>
      <c r="J942" s="64"/>
      <c r="K942" s="64"/>
      <c r="L942" s="64"/>
    </row>
    <row r="943">
      <c r="H943" s="64"/>
      <c r="I943" s="64"/>
      <c r="J943" s="64"/>
      <c r="K943" s="64"/>
      <c r="L943" s="64"/>
    </row>
    <row r="944">
      <c r="H944" s="64"/>
      <c r="I944" s="64"/>
      <c r="J944" s="64"/>
      <c r="K944" s="64"/>
      <c r="L944" s="64"/>
    </row>
    <row r="945">
      <c r="H945" s="64"/>
      <c r="I945" s="64"/>
      <c r="J945" s="64"/>
      <c r="K945" s="64"/>
      <c r="L945" s="64"/>
    </row>
    <row r="946">
      <c r="H946" s="64"/>
      <c r="I946" s="64"/>
      <c r="J946" s="64"/>
      <c r="K946" s="64"/>
      <c r="L946" s="64"/>
    </row>
    <row r="947">
      <c r="H947" s="64"/>
      <c r="I947" s="64"/>
      <c r="J947" s="64"/>
      <c r="K947" s="64"/>
      <c r="L947" s="64"/>
    </row>
    <row r="948">
      <c r="H948" s="64"/>
      <c r="I948" s="64"/>
      <c r="J948" s="64"/>
      <c r="K948" s="64"/>
      <c r="L948" s="64"/>
    </row>
    <row r="949">
      <c r="H949" s="64"/>
      <c r="I949" s="64"/>
      <c r="J949" s="64"/>
      <c r="K949" s="64"/>
      <c r="L949" s="64"/>
    </row>
    <row r="950">
      <c r="H950" s="64"/>
      <c r="I950" s="64"/>
      <c r="J950" s="64"/>
      <c r="K950" s="64"/>
      <c r="L950" s="64"/>
    </row>
    <row r="951">
      <c r="H951" s="64"/>
      <c r="I951" s="64"/>
      <c r="J951" s="64"/>
      <c r="K951" s="64"/>
      <c r="L951" s="64"/>
    </row>
    <row r="952">
      <c r="H952" s="64"/>
      <c r="I952" s="64"/>
      <c r="J952" s="64"/>
      <c r="K952" s="64"/>
      <c r="L952" s="64"/>
    </row>
    <row r="953">
      <c r="H953" s="64"/>
      <c r="I953" s="64"/>
      <c r="J953" s="64"/>
      <c r="K953" s="64"/>
      <c r="L953" s="64"/>
    </row>
    <row r="954">
      <c r="H954" s="64"/>
      <c r="I954" s="64"/>
      <c r="J954" s="64"/>
      <c r="K954" s="64"/>
      <c r="L954" s="64"/>
    </row>
    <row r="955">
      <c r="H955" s="64"/>
      <c r="I955" s="64"/>
      <c r="J955" s="64"/>
      <c r="K955" s="64"/>
      <c r="L955" s="64"/>
    </row>
    <row r="956">
      <c r="H956" s="64"/>
      <c r="I956" s="64"/>
      <c r="J956" s="64"/>
      <c r="K956" s="64"/>
      <c r="L956" s="64"/>
    </row>
    <row r="957">
      <c r="H957" s="64"/>
      <c r="I957" s="64"/>
      <c r="J957" s="64"/>
      <c r="K957" s="64"/>
      <c r="L957" s="64"/>
    </row>
    <row r="958">
      <c r="H958" s="64"/>
      <c r="I958" s="64"/>
      <c r="J958" s="64"/>
      <c r="K958" s="64"/>
      <c r="L958" s="64"/>
    </row>
    <row r="959">
      <c r="H959" s="64"/>
      <c r="I959" s="64"/>
      <c r="J959" s="64"/>
      <c r="K959" s="64"/>
      <c r="L959" s="64"/>
    </row>
    <row r="960">
      <c r="H960" s="64"/>
      <c r="I960" s="64"/>
      <c r="J960" s="64"/>
      <c r="K960" s="64"/>
      <c r="L960" s="64"/>
    </row>
    <row r="961">
      <c r="H961" s="64"/>
      <c r="I961" s="64"/>
      <c r="J961" s="64"/>
      <c r="K961" s="64"/>
      <c r="L961" s="64"/>
    </row>
    <row r="962">
      <c r="H962" s="64"/>
      <c r="I962" s="64"/>
      <c r="J962" s="64"/>
      <c r="K962" s="64"/>
      <c r="L962" s="64"/>
    </row>
    <row r="963">
      <c r="H963" s="64"/>
      <c r="I963" s="64"/>
      <c r="J963" s="64"/>
      <c r="K963" s="64"/>
      <c r="L963" s="64"/>
    </row>
    <row r="964">
      <c r="H964" s="64"/>
      <c r="I964" s="64"/>
      <c r="J964" s="64"/>
      <c r="K964" s="64"/>
      <c r="L964" s="64"/>
    </row>
    <row r="965">
      <c r="H965" s="64"/>
      <c r="I965" s="64"/>
      <c r="J965" s="64"/>
      <c r="K965" s="64"/>
      <c r="L965" s="64"/>
    </row>
    <row r="966">
      <c r="H966" s="64"/>
      <c r="I966" s="64"/>
      <c r="J966" s="64"/>
      <c r="K966" s="64"/>
      <c r="L966" s="64"/>
    </row>
    <row r="967">
      <c r="H967" s="64"/>
      <c r="I967" s="64"/>
      <c r="J967" s="64"/>
      <c r="K967" s="64"/>
      <c r="L967" s="64"/>
    </row>
    <row r="968">
      <c r="H968" s="64"/>
      <c r="I968" s="64"/>
      <c r="J968" s="64"/>
      <c r="K968" s="64"/>
      <c r="L968" s="64"/>
    </row>
    <row r="969">
      <c r="H969" s="64"/>
      <c r="I969" s="64"/>
      <c r="J969" s="64"/>
      <c r="K969" s="64"/>
      <c r="L969" s="64"/>
    </row>
    <row r="970">
      <c r="H970" s="64"/>
      <c r="I970" s="64"/>
      <c r="J970" s="64"/>
      <c r="K970" s="64"/>
      <c r="L970" s="64"/>
    </row>
    <row r="971">
      <c r="H971" s="64"/>
      <c r="I971" s="64"/>
      <c r="J971" s="64"/>
      <c r="K971" s="64"/>
      <c r="L971" s="64"/>
    </row>
    <row r="972">
      <c r="H972" s="64"/>
      <c r="I972" s="64"/>
      <c r="J972" s="64"/>
      <c r="K972" s="64"/>
      <c r="L972" s="64"/>
    </row>
    <row r="973">
      <c r="H973" s="64"/>
      <c r="I973" s="64"/>
      <c r="J973" s="64"/>
      <c r="K973" s="64"/>
      <c r="L973" s="64"/>
    </row>
    <row r="974">
      <c r="H974" s="64"/>
      <c r="I974" s="64"/>
      <c r="J974" s="64"/>
      <c r="K974" s="64"/>
      <c r="L974" s="64"/>
    </row>
    <row r="975">
      <c r="H975" s="64"/>
      <c r="I975" s="64"/>
      <c r="J975" s="64"/>
      <c r="K975" s="64"/>
      <c r="L975" s="64"/>
    </row>
    <row r="976">
      <c r="H976" s="64"/>
      <c r="I976" s="64"/>
      <c r="J976" s="64"/>
      <c r="K976" s="64"/>
      <c r="L976" s="64"/>
    </row>
    <row r="977">
      <c r="H977" s="64"/>
      <c r="I977" s="64"/>
      <c r="J977" s="64"/>
      <c r="K977" s="64"/>
      <c r="L977" s="64"/>
    </row>
    <row r="978">
      <c r="H978" s="64"/>
      <c r="I978" s="64"/>
      <c r="J978" s="64"/>
      <c r="K978" s="64"/>
      <c r="L978" s="64"/>
    </row>
    <row r="979">
      <c r="H979" s="64"/>
      <c r="I979" s="64"/>
      <c r="J979" s="64"/>
      <c r="K979" s="64"/>
      <c r="L979" s="64"/>
    </row>
    <row r="980">
      <c r="H980" s="64"/>
      <c r="I980" s="64"/>
      <c r="J980" s="64"/>
      <c r="K980" s="64"/>
      <c r="L980" s="64"/>
    </row>
    <row r="981">
      <c r="H981" s="64"/>
      <c r="I981" s="64"/>
      <c r="J981" s="64"/>
      <c r="K981" s="64"/>
      <c r="L981" s="64"/>
    </row>
    <row r="982">
      <c r="H982" s="64"/>
      <c r="I982" s="64"/>
      <c r="J982" s="64"/>
      <c r="K982" s="64"/>
      <c r="L982" s="64"/>
    </row>
    <row r="983">
      <c r="H983" s="64"/>
      <c r="I983" s="64"/>
      <c r="J983" s="64"/>
      <c r="K983" s="64"/>
      <c r="L983" s="64"/>
    </row>
    <row r="984">
      <c r="H984" s="64"/>
      <c r="I984" s="64"/>
      <c r="J984" s="64"/>
      <c r="K984" s="64"/>
      <c r="L984" s="64"/>
    </row>
    <row r="985">
      <c r="H985" s="64"/>
      <c r="I985" s="64"/>
      <c r="J985" s="64"/>
      <c r="K985" s="64"/>
      <c r="L985" s="64"/>
    </row>
    <row r="986">
      <c r="H986" s="64"/>
      <c r="I986" s="64"/>
      <c r="J986" s="64"/>
      <c r="K986" s="64"/>
      <c r="L986" s="64"/>
    </row>
    <row r="987">
      <c r="H987" s="64"/>
      <c r="I987" s="64"/>
      <c r="J987" s="64"/>
      <c r="K987" s="64"/>
      <c r="L987" s="64"/>
    </row>
    <row r="988">
      <c r="H988" s="64"/>
      <c r="I988" s="64"/>
      <c r="J988" s="64"/>
      <c r="K988" s="64"/>
      <c r="L988" s="64"/>
    </row>
    <row r="989">
      <c r="H989" s="64"/>
      <c r="I989" s="64"/>
      <c r="J989" s="64"/>
      <c r="K989" s="64"/>
      <c r="L989" s="64"/>
    </row>
    <row r="990">
      <c r="H990" s="64"/>
      <c r="I990" s="64"/>
      <c r="J990" s="64"/>
      <c r="K990" s="64"/>
      <c r="L990" s="64"/>
    </row>
    <row r="991">
      <c r="H991" s="64"/>
      <c r="I991" s="64"/>
      <c r="J991" s="64"/>
      <c r="K991" s="64"/>
      <c r="L991" s="64"/>
    </row>
    <row r="992">
      <c r="H992" s="64"/>
      <c r="I992" s="64"/>
      <c r="J992" s="64"/>
      <c r="K992" s="64"/>
      <c r="L992" s="64"/>
    </row>
    <row r="993">
      <c r="H993" s="64"/>
      <c r="I993" s="64"/>
      <c r="J993" s="64"/>
      <c r="K993" s="64"/>
      <c r="L993" s="64"/>
    </row>
    <row r="994">
      <c r="H994" s="64"/>
      <c r="I994" s="64"/>
      <c r="J994" s="64"/>
      <c r="K994" s="64"/>
      <c r="L994" s="64"/>
    </row>
    <row r="995">
      <c r="H995" s="64"/>
      <c r="I995" s="64"/>
      <c r="J995" s="64"/>
      <c r="K995" s="64"/>
      <c r="L995" s="64"/>
    </row>
    <row r="996">
      <c r="H996" s="64"/>
      <c r="I996" s="64"/>
      <c r="J996" s="64"/>
      <c r="K996" s="64"/>
      <c r="L996" s="64"/>
    </row>
    <row r="997">
      <c r="H997" s="64"/>
      <c r="I997" s="64"/>
      <c r="J997" s="64"/>
      <c r="K997" s="64"/>
      <c r="L997" s="64"/>
    </row>
    <row r="998">
      <c r="H998" s="64"/>
      <c r="I998" s="64"/>
      <c r="J998" s="64"/>
      <c r="K998" s="64"/>
      <c r="L998" s="64"/>
    </row>
    <row r="999">
      <c r="H999" s="64"/>
      <c r="I999" s="64"/>
      <c r="J999" s="64"/>
      <c r="K999" s="64"/>
      <c r="L999" s="64"/>
    </row>
    <row r="1000">
      <c r="H1000" s="64"/>
      <c r="I1000" s="64"/>
      <c r="J1000" s="64"/>
      <c r="K1000" s="64"/>
      <c r="L1000" s="64"/>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0" max="11" width="13.88"/>
    <col customWidth="1" min="12" max="12" width="14.75"/>
    <col customWidth="1" min="13" max="13" width="12.38"/>
    <col customWidth="1" min="14" max="14" width="13.38"/>
    <col customWidth="1" min="15" max="15" width="14.88"/>
  </cols>
  <sheetData>
    <row r="1">
      <c r="A1" s="84" t="s">
        <v>94</v>
      </c>
      <c r="B1" s="27" t="s">
        <v>95</v>
      </c>
      <c r="C1" s="27" t="s">
        <v>96</v>
      </c>
      <c r="D1" s="85" t="s">
        <v>97</v>
      </c>
      <c r="E1" s="85" t="s">
        <v>98</v>
      </c>
      <c r="F1" s="85"/>
      <c r="G1" s="85" t="s">
        <v>99</v>
      </c>
      <c r="H1" s="86"/>
      <c r="I1" s="86"/>
      <c r="J1" s="86"/>
      <c r="K1" s="86"/>
      <c r="L1" s="86"/>
      <c r="M1" s="86"/>
      <c r="N1" s="86"/>
      <c r="O1" s="87"/>
    </row>
    <row r="2">
      <c r="A2" s="88">
        <v>45536.0</v>
      </c>
      <c r="B2" s="27" t="s">
        <v>100</v>
      </c>
      <c r="C2" s="27">
        <v>75.5428891354</v>
      </c>
      <c r="D2" s="27">
        <v>327.904405835414</v>
      </c>
      <c r="E2" s="89" t="str">
        <f t="shared" ref="E2:E113" si="1">LEFT(A2,4) &amp; "-Q" &amp; ROUNDUP(MID(A2,6,2)/3,0)
</f>
        <v>2024-Q3</v>
      </c>
      <c r="G2" s="89" t="s">
        <v>101</v>
      </c>
      <c r="H2" s="47" t="s">
        <v>95</v>
      </c>
      <c r="I2" s="47"/>
      <c r="J2" s="47"/>
      <c r="K2" s="47"/>
      <c r="L2" s="47"/>
      <c r="M2" s="47"/>
      <c r="N2" s="47"/>
      <c r="O2" s="90"/>
    </row>
    <row r="3">
      <c r="A3" s="88">
        <v>45536.0</v>
      </c>
      <c r="B3" s="27" t="s">
        <v>102</v>
      </c>
      <c r="C3" s="27">
        <v>-7152358.62</v>
      </c>
      <c r="D3" s="27">
        <v>-7694379.36823245</v>
      </c>
      <c r="E3" s="89" t="str">
        <f t="shared" si="1"/>
        <v>2024-Q3</v>
      </c>
      <c r="G3" s="89" t="s">
        <v>98</v>
      </c>
      <c r="H3" s="47" t="s">
        <v>103</v>
      </c>
      <c r="I3" s="47" t="s">
        <v>100</v>
      </c>
      <c r="J3" s="47" t="s">
        <v>104</v>
      </c>
      <c r="K3" s="47" t="s">
        <v>105</v>
      </c>
      <c r="L3" s="47" t="s">
        <v>106</v>
      </c>
      <c r="M3" s="47" t="s">
        <v>107</v>
      </c>
      <c r="N3" s="47" t="s">
        <v>71</v>
      </c>
      <c r="P3" s="91" t="s">
        <v>108</v>
      </c>
    </row>
    <row r="4">
      <c r="A4" s="88">
        <v>45536.0</v>
      </c>
      <c r="B4" s="27" t="s">
        <v>109</v>
      </c>
      <c r="C4" s="27">
        <v>-256383.05</v>
      </c>
      <c r="D4" s="27">
        <v>-1067363.26424097</v>
      </c>
      <c r="E4" s="89" t="str">
        <f t="shared" si="1"/>
        <v>2024-Q3</v>
      </c>
      <c r="G4" s="89" t="s">
        <v>110</v>
      </c>
      <c r="H4" s="47"/>
      <c r="I4" s="47"/>
      <c r="J4" s="47">
        <v>4214.5223853776</v>
      </c>
      <c r="K4" s="47">
        <v>1576980.124122</v>
      </c>
      <c r="L4" s="47"/>
      <c r="M4" s="47"/>
      <c r="N4" s="47">
        <v>1581194.6465073777</v>
      </c>
      <c r="P4" s="90">
        <f t="shared" ref="P4:P10" si="2">M4+L4+I4+H4</f>
        <v>0</v>
      </c>
    </row>
    <row r="5">
      <c r="A5" s="88">
        <v>45536.0</v>
      </c>
      <c r="B5" s="27" t="s">
        <v>106</v>
      </c>
      <c r="C5" s="27">
        <v>13.0400000000008</v>
      </c>
      <c r="D5" s="27">
        <v>58.2302301709423</v>
      </c>
      <c r="E5" s="89" t="str">
        <f t="shared" si="1"/>
        <v>2024-Q3</v>
      </c>
      <c r="G5" s="89" t="s">
        <v>111</v>
      </c>
      <c r="H5" s="47"/>
      <c r="I5" s="47"/>
      <c r="J5" s="47">
        <v>12007.5566877611</v>
      </c>
      <c r="K5" s="47">
        <v>2969363.624665534</v>
      </c>
      <c r="L5" s="47">
        <v>19224.9535</v>
      </c>
      <c r="M5" s="47"/>
      <c r="N5" s="47">
        <v>3000596.134853295</v>
      </c>
      <c r="P5" s="90">
        <f t="shared" si="2"/>
        <v>19224.9535</v>
      </c>
    </row>
    <row r="6">
      <c r="A6" s="88">
        <v>45536.0</v>
      </c>
      <c r="B6" s="27" t="s">
        <v>112</v>
      </c>
      <c r="C6" s="27">
        <v>-258023.175414444</v>
      </c>
      <c r="D6" s="27">
        <v>-1151648.74377004</v>
      </c>
      <c r="E6" s="89" t="str">
        <f t="shared" si="1"/>
        <v>2024-Q3</v>
      </c>
      <c r="G6" s="89" t="s">
        <v>113</v>
      </c>
      <c r="H6" s="47"/>
      <c r="I6" s="47"/>
      <c r="J6" s="47">
        <v>297221.35691350856</v>
      </c>
      <c r="K6" s="47">
        <v>3322756.805284858</v>
      </c>
      <c r="L6" s="47">
        <v>101.0</v>
      </c>
      <c r="M6" s="47">
        <v>81521.45</v>
      </c>
      <c r="N6" s="47">
        <v>3701600.612198367</v>
      </c>
      <c r="P6" s="90">
        <f t="shared" si="2"/>
        <v>81622.45</v>
      </c>
    </row>
    <row r="7">
      <c r="A7" s="88">
        <v>45536.0</v>
      </c>
      <c r="B7" s="27" t="s">
        <v>105</v>
      </c>
      <c r="C7" s="27">
        <v>121591.452917814</v>
      </c>
      <c r="D7" s="27">
        <v>527269.055821534</v>
      </c>
      <c r="E7" s="89" t="str">
        <f t="shared" si="1"/>
        <v>2024-Q3</v>
      </c>
      <c r="G7" s="89" t="s">
        <v>114</v>
      </c>
      <c r="H7" s="47"/>
      <c r="I7" s="47"/>
      <c r="J7" s="47">
        <v>24200.717970751302</v>
      </c>
      <c r="K7" s="47">
        <v>3336760.802437352</v>
      </c>
      <c r="L7" s="47">
        <v>12.1300000000046</v>
      </c>
      <c r="M7" s="47">
        <v>15182.05</v>
      </c>
      <c r="N7" s="47">
        <v>3376155.700408103</v>
      </c>
      <c r="P7" s="90">
        <f t="shared" si="2"/>
        <v>15194.18</v>
      </c>
    </row>
    <row r="8">
      <c r="A8" s="88">
        <v>45536.0</v>
      </c>
      <c r="B8" s="27" t="s">
        <v>107</v>
      </c>
      <c r="C8" s="27">
        <v>2210.28376</v>
      </c>
      <c r="D8" s="27">
        <v>9842.37513846344</v>
      </c>
      <c r="E8" s="89" t="str">
        <f t="shared" si="1"/>
        <v>2024-Q3</v>
      </c>
      <c r="G8" s="89" t="s">
        <v>115</v>
      </c>
      <c r="H8" s="47"/>
      <c r="I8" s="47">
        <v>311.3444838717</v>
      </c>
      <c r="J8" s="47">
        <v>17933.02761143499</v>
      </c>
      <c r="K8" s="47">
        <v>1928135.148259914</v>
      </c>
      <c r="L8" s="47">
        <v>10.0</v>
      </c>
      <c r="M8" s="47">
        <v>117548.346225235</v>
      </c>
      <c r="N8" s="47">
        <v>2063937.8665804556</v>
      </c>
      <c r="P8" s="90">
        <f t="shared" si="2"/>
        <v>117869.6907</v>
      </c>
    </row>
    <row r="9">
      <c r="A9" s="88">
        <v>45536.0</v>
      </c>
      <c r="B9" s="27" t="s">
        <v>116</v>
      </c>
      <c r="C9" s="27">
        <v>-168868.976306092</v>
      </c>
      <c r="D9" s="27">
        <v>-703028.307757093</v>
      </c>
      <c r="E9" s="89" t="str">
        <f t="shared" si="1"/>
        <v>2024-Q3</v>
      </c>
      <c r="G9" s="89" t="s">
        <v>117</v>
      </c>
      <c r="H9" s="47">
        <v>392.0</v>
      </c>
      <c r="I9" s="47">
        <v>306.754040804</v>
      </c>
      <c r="J9" s="47">
        <v>13573.9795068173</v>
      </c>
      <c r="K9" s="47">
        <v>425901.147688308</v>
      </c>
      <c r="L9" s="47">
        <v>330.7591846930008</v>
      </c>
      <c r="M9" s="47">
        <v>8344.36376</v>
      </c>
      <c r="N9" s="47">
        <v>448849.0041806222</v>
      </c>
      <c r="P9" s="90">
        <f t="shared" si="2"/>
        <v>9373.876985</v>
      </c>
    </row>
    <row r="10">
      <c r="A10" s="88">
        <v>45536.0</v>
      </c>
      <c r="B10" s="27" t="s">
        <v>104</v>
      </c>
      <c r="C10" s="27">
        <v>4270.7867772908</v>
      </c>
      <c r="D10" s="27">
        <v>18550.1528116708</v>
      </c>
      <c r="E10" s="89" t="str">
        <f t="shared" si="1"/>
        <v>2024-Q3</v>
      </c>
      <c r="G10" s="89" t="s">
        <v>71</v>
      </c>
      <c r="H10" s="47">
        <v>392.0</v>
      </c>
      <c r="I10" s="47">
        <v>618.0985246757</v>
      </c>
      <c r="J10" s="47">
        <v>369151.16107565083</v>
      </c>
      <c r="K10" s="47">
        <v>1.3559897652457966E7</v>
      </c>
      <c r="L10" s="47">
        <v>19678.842684693005</v>
      </c>
      <c r="M10" s="47">
        <v>222596.209985235</v>
      </c>
      <c r="N10" s="47">
        <v>1.417233396472822E7</v>
      </c>
      <c r="P10" s="90">
        <f t="shared" si="2"/>
        <v>243285.1512</v>
      </c>
    </row>
    <row r="11">
      <c r="A11" s="88">
        <v>45505.0</v>
      </c>
      <c r="B11" s="27" t="s">
        <v>102</v>
      </c>
      <c r="C11" s="27">
        <v>-1232135.66</v>
      </c>
      <c r="D11" s="27">
        <v>-2064778.79801855</v>
      </c>
      <c r="E11" s="89" t="str">
        <f t="shared" si="1"/>
        <v>2024-Q3</v>
      </c>
      <c r="H11" s="47"/>
      <c r="I11" s="47"/>
      <c r="J11" s="47"/>
      <c r="K11" s="47"/>
      <c r="L11" s="47"/>
      <c r="M11" s="47"/>
      <c r="N11" s="47"/>
      <c r="O11" s="90"/>
    </row>
    <row r="12">
      <c r="A12" s="88">
        <v>45505.0</v>
      </c>
      <c r="B12" s="27" t="s">
        <v>103</v>
      </c>
      <c r="C12" s="27">
        <v>392.0</v>
      </c>
      <c r="D12" s="27">
        <v>1668.66323665943</v>
      </c>
      <c r="E12" s="89" t="str">
        <f t="shared" si="1"/>
        <v>2024-Q3</v>
      </c>
      <c r="G12" s="27" t="s">
        <v>118</v>
      </c>
      <c r="H12" s="47"/>
      <c r="I12" s="47"/>
      <c r="J12" s="47"/>
      <c r="K12" s="47"/>
      <c r="L12" s="47"/>
      <c r="M12" s="47"/>
      <c r="N12" s="47"/>
      <c r="O12" s="90"/>
    </row>
    <row r="13">
      <c r="A13" s="88">
        <v>45505.0</v>
      </c>
      <c r="B13" s="27" t="s">
        <v>119</v>
      </c>
      <c r="C13" s="27">
        <v>-20619.000001478</v>
      </c>
      <c r="D13" s="27">
        <v>-91783.1080798181</v>
      </c>
      <c r="E13" s="89" t="str">
        <f t="shared" si="1"/>
        <v>2024-Q3</v>
      </c>
    </row>
    <row r="14">
      <c r="A14" s="88">
        <v>45505.0</v>
      </c>
      <c r="B14" s="27" t="s">
        <v>100</v>
      </c>
      <c r="C14" s="27">
        <v>116.8435346</v>
      </c>
      <c r="D14" s="27">
        <v>541.243643523389</v>
      </c>
      <c r="E14" s="89" t="str">
        <f t="shared" si="1"/>
        <v>2024-Q3</v>
      </c>
      <c r="P14" s="27" t="s">
        <v>121</v>
      </c>
    </row>
    <row r="15">
      <c r="A15" s="88">
        <v>45505.0</v>
      </c>
      <c r="B15" s="27" t="s">
        <v>112</v>
      </c>
      <c r="C15" s="27">
        <v>-410369.822890843</v>
      </c>
      <c r="D15" s="27">
        <v>-1973070.80999483</v>
      </c>
      <c r="E15" s="89" t="str">
        <f t="shared" si="1"/>
        <v>2024-Q3</v>
      </c>
    </row>
    <row r="16">
      <c r="A16" s="88">
        <v>45505.0</v>
      </c>
      <c r="B16" s="27" t="s">
        <v>116</v>
      </c>
      <c r="C16" s="27">
        <v>-171766.997126488</v>
      </c>
      <c r="D16" s="27">
        <v>-735364.617812245</v>
      </c>
      <c r="E16" s="89" t="str">
        <f t="shared" si="1"/>
        <v>2024-Q3</v>
      </c>
    </row>
    <row r="17">
      <c r="A17" s="88">
        <v>45505.0</v>
      </c>
      <c r="B17" s="27" t="s">
        <v>105</v>
      </c>
      <c r="C17" s="27">
        <v>141016.708851877</v>
      </c>
      <c r="D17" s="27">
        <v>654432.894226676</v>
      </c>
      <c r="E17" s="89" t="str">
        <f t="shared" si="1"/>
        <v>2024-Q3</v>
      </c>
    </row>
    <row r="18">
      <c r="A18" s="88">
        <v>45505.0</v>
      </c>
      <c r="B18" s="27" t="s">
        <v>104</v>
      </c>
      <c r="C18" s="27">
        <v>5053.6266287027</v>
      </c>
      <c r="D18" s="27">
        <v>23384.975557212</v>
      </c>
      <c r="E18" s="89" t="str">
        <f t="shared" si="1"/>
        <v>2024-Q3</v>
      </c>
    </row>
    <row r="19">
      <c r="A19" s="88">
        <v>45505.0</v>
      </c>
      <c r="B19" s="27" t="s">
        <v>109</v>
      </c>
      <c r="C19" s="27">
        <v>-423071.04</v>
      </c>
      <c r="D19" s="27">
        <v>-1811241.26777351</v>
      </c>
      <c r="E19" s="89" t="str">
        <f t="shared" si="1"/>
        <v>2024-Q3</v>
      </c>
    </row>
    <row r="20">
      <c r="A20" s="88">
        <v>45505.0</v>
      </c>
      <c r="B20" s="27" t="s">
        <v>107</v>
      </c>
      <c r="C20" s="27">
        <v>3454.61</v>
      </c>
      <c r="D20" s="27">
        <v>15621.3766353835</v>
      </c>
      <c r="E20" s="89" t="str">
        <f t="shared" si="1"/>
        <v>2024-Q3</v>
      </c>
    </row>
    <row r="21">
      <c r="A21" s="88">
        <v>45505.0</v>
      </c>
      <c r="B21" s="27" t="s">
        <v>106</v>
      </c>
      <c r="C21" s="27">
        <v>317.719184693</v>
      </c>
      <c r="D21" s="27">
        <v>1485.90280819752</v>
      </c>
      <c r="E21" s="89" t="str">
        <f t="shared" si="1"/>
        <v>2024-Q3</v>
      </c>
    </row>
    <row r="22">
      <c r="A22" s="88">
        <v>45474.0</v>
      </c>
      <c r="B22" s="27" t="s">
        <v>102</v>
      </c>
      <c r="C22" s="27">
        <v>-813682.0</v>
      </c>
      <c r="D22" s="27">
        <v>-813682.0</v>
      </c>
      <c r="E22" s="89" t="str">
        <f t="shared" si="1"/>
        <v>2024-Q3</v>
      </c>
      <c r="H22" s="47"/>
      <c r="I22" s="47"/>
      <c r="J22" s="47"/>
      <c r="K22" s="47"/>
      <c r="L22" s="47"/>
      <c r="M22" s="47"/>
      <c r="N22" s="47"/>
      <c r="O22" s="90"/>
    </row>
    <row r="23">
      <c r="A23" s="88">
        <v>45474.0</v>
      </c>
      <c r="B23" s="27" t="s">
        <v>100</v>
      </c>
      <c r="C23" s="27">
        <v>114.3676170686</v>
      </c>
      <c r="D23" s="27">
        <v>687.000475509689</v>
      </c>
      <c r="E23" s="89" t="str">
        <f t="shared" si="1"/>
        <v>2024-Q3</v>
      </c>
      <c r="F23" s="27"/>
      <c r="H23" s="47"/>
      <c r="I23" s="47"/>
      <c r="J23" s="47"/>
      <c r="K23" s="47"/>
      <c r="L23" s="47"/>
      <c r="M23" s="47"/>
      <c r="N23" s="47"/>
      <c r="O23" s="90"/>
    </row>
    <row r="24">
      <c r="A24" s="88">
        <v>45474.0</v>
      </c>
      <c r="B24" s="27" t="s">
        <v>112</v>
      </c>
      <c r="C24" s="27">
        <v>-709054.694383693</v>
      </c>
      <c r="D24" s="27">
        <v>-4294409.57518707</v>
      </c>
      <c r="E24" s="89" t="str">
        <f t="shared" si="1"/>
        <v>2024-Q3</v>
      </c>
      <c r="H24" s="47"/>
      <c r="I24" s="47"/>
      <c r="J24" s="47"/>
      <c r="K24" s="47"/>
      <c r="L24" s="47"/>
      <c r="M24" s="47"/>
      <c r="N24" s="47"/>
      <c r="O24" s="90"/>
    </row>
    <row r="25">
      <c r="A25" s="88">
        <v>45474.0</v>
      </c>
      <c r="B25" s="27" t="s">
        <v>107</v>
      </c>
      <c r="C25" s="27">
        <v>2679.47</v>
      </c>
      <c r="D25" s="27">
        <v>15174.6561344399</v>
      </c>
      <c r="E25" s="89" t="str">
        <f t="shared" si="1"/>
        <v>2024-Q3</v>
      </c>
      <c r="F25" s="64"/>
      <c r="G25" s="64"/>
      <c r="H25" s="64"/>
      <c r="I25" s="64"/>
      <c r="J25" s="64"/>
      <c r="K25" s="64"/>
      <c r="L25" s="64"/>
      <c r="M25" s="64"/>
      <c r="N25" s="64"/>
      <c r="O25" s="92"/>
      <c r="P25" s="64"/>
    </row>
    <row r="26">
      <c r="A26" s="88">
        <v>45474.0</v>
      </c>
      <c r="B26" s="27" t="s">
        <v>105</v>
      </c>
      <c r="C26" s="27">
        <v>163292.985918617</v>
      </c>
      <c r="D26" s="27">
        <v>985180.425015485</v>
      </c>
      <c r="E26" s="89" t="str">
        <f t="shared" si="1"/>
        <v>2024-Q3</v>
      </c>
      <c r="F26" s="64"/>
      <c r="G26" s="93" t="s">
        <v>99</v>
      </c>
      <c r="H26" s="64"/>
      <c r="I26" s="64"/>
      <c r="J26" s="64"/>
      <c r="K26" s="64"/>
      <c r="L26" s="64"/>
      <c r="M26" s="64"/>
      <c r="N26" s="64"/>
      <c r="O26" s="92"/>
      <c r="P26" s="64"/>
    </row>
    <row r="27">
      <c r="A27" s="88">
        <v>45474.0</v>
      </c>
      <c r="B27" s="27" t="s">
        <v>116</v>
      </c>
      <c r="C27" s="27">
        <v>-180773.046154</v>
      </c>
      <c r="D27" s="27">
        <v>-1104875.3177095</v>
      </c>
      <c r="E27" s="89" t="str">
        <f t="shared" si="1"/>
        <v>2024-Q3</v>
      </c>
      <c r="F27" s="64"/>
      <c r="O27" s="92"/>
      <c r="P27" s="64"/>
    </row>
    <row r="28">
      <c r="A28" s="88">
        <v>45474.0</v>
      </c>
      <c r="B28" s="27" t="s">
        <v>104</v>
      </c>
      <c r="C28" s="27">
        <v>4249.5661008238</v>
      </c>
      <c r="D28" s="27">
        <v>25687.8335577175</v>
      </c>
      <c r="E28" s="89" t="str">
        <f t="shared" si="1"/>
        <v>2024-Q3</v>
      </c>
      <c r="F28" s="64"/>
      <c r="O28" s="92"/>
      <c r="P28" s="64"/>
    </row>
    <row r="29">
      <c r="A29" s="88">
        <v>45474.0</v>
      </c>
      <c r="B29" s="27" t="s">
        <v>109</v>
      </c>
      <c r="C29" s="27">
        <v>-1078862.8767</v>
      </c>
      <c r="D29" s="27">
        <v>-6593952.96488744</v>
      </c>
      <c r="E29" s="89" t="str">
        <f t="shared" si="1"/>
        <v>2024-Q3</v>
      </c>
      <c r="F29" s="64"/>
      <c r="O29" s="92"/>
      <c r="P29" s="90">
        <f t="shared" ref="P29:P35" si="3">M29+L29+I29+H29</f>
        <v>0</v>
      </c>
    </row>
    <row r="30">
      <c r="A30" s="88">
        <v>45444.0</v>
      </c>
      <c r="B30" s="27" t="s">
        <v>102</v>
      </c>
      <c r="C30" s="27">
        <v>-101462.0</v>
      </c>
      <c r="D30" s="27">
        <v>-101462.0</v>
      </c>
      <c r="E30" s="89" t="str">
        <f t="shared" si="1"/>
        <v>2024-Q2</v>
      </c>
      <c r="F30" s="64"/>
      <c r="O30" s="92"/>
      <c r="P30" s="90">
        <f t="shared" si="3"/>
        <v>97315.57565</v>
      </c>
    </row>
    <row r="31">
      <c r="A31" s="88">
        <v>45444.0</v>
      </c>
      <c r="B31" s="27" t="s">
        <v>100</v>
      </c>
      <c r="C31" s="27">
        <v>181.7221554931</v>
      </c>
      <c r="D31" s="27">
        <v>1127.56330939835</v>
      </c>
      <c r="E31" s="89" t="str">
        <f t="shared" si="1"/>
        <v>2024-Q2</v>
      </c>
      <c r="F31" s="64"/>
      <c r="O31" s="92"/>
      <c r="P31" s="90">
        <f t="shared" si="3"/>
        <v>348020.4351</v>
      </c>
    </row>
    <row r="32">
      <c r="A32" s="88">
        <v>45444.0</v>
      </c>
      <c r="B32" s="27" t="s">
        <v>112</v>
      </c>
      <c r="C32" s="27">
        <v>-212704.932776557</v>
      </c>
      <c r="D32" s="27">
        <v>-1357761.71431613</v>
      </c>
      <c r="E32" s="89" t="str">
        <f t="shared" si="1"/>
        <v>2024-Q2</v>
      </c>
      <c r="F32" s="64"/>
      <c r="O32" s="92"/>
      <c r="P32" s="90">
        <f t="shared" si="3"/>
        <v>121248.0202</v>
      </c>
    </row>
    <row r="33">
      <c r="A33" s="88">
        <v>45444.0</v>
      </c>
      <c r="B33" s="27" t="s">
        <v>109</v>
      </c>
      <c r="C33" s="27">
        <v>-2128047.5185729</v>
      </c>
      <c r="D33" s="27">
        <v>-1.45289091684634E7</v>
      </c>
      <c r="E33" s="89" t="str">
        <f t="shared" si="1"/>
        <v>2024-Q2</v>
      </c>
      <c r="F33" s="64"/>
      <c r="O33" s="92"/>
      <c r="P33" s="90">
        <f t="shared" si="3"/>
        <v>895010.3931</v>
      </c>
    </row>
    <row r="34">
      <c r="A34" s="88">
        <v>45444.0</v>
      </c>
      <c r="B34" s="27" t="s">
        <v>116</v>
      </c>
      <c r="C34" s="27">
        <v>-443230.120138642</v>
      </c>
      <c r="D34" s="27">
        <v>-2970089.42259221</v>
      </c>
      <c r="E34" s="89" t="str">
        <f t="shared" si="1"/>
        <v>2024-Q2</v>
      </c>
      <c r="F34" s="64"/>
      <c r="O34" s="92"/>
      <c r="P34" s="90">
        <f t="shared" si="3"/>
        <v>45407.35271</v>
      </c>
    </row>
    <row r="35">
      <c r="A35" s="88">
        <v>45444.0</v>
      </c>
      <c r="B35" s="27" t="s">
        <v>104</v>
      </c>
      <c r="C35" s="27">
        <v>4887.91272876389</v>
      </c>
      <c r="D35" s="27">
        <v>31030.5288861066</v>
      </c>
      <c r="E35" s="89" t="str">
        <f t="shared" si="1"/>
        <v>2024-Q2</v>
      </c>
      <c r="F35" s="64"/>
      <c r="O35" s="92"/>
      <c r="P35" s="90">
        <f t="shared" si="3"/>
        <v>1507001.777</v>
      </c>
    </row>
    <row r="36">
      <c r="A36" s="88">
        <v>45444.0</v>
      </c>
      <c r="B36" s="27" t="s">
        <v>106</v>
      </c>
      <c r="C36" s="27">
        <v>10.0</v>
      </c>
      <c r="D36" s="27">
        <v>61.6292983187853</v>
      </c>
      <c r="E36" s="89" t="str">
        <f t="shared" si="1"/>
        <v>2024-Q2</v>
      </c>
      <c r="F36" s="64"/>
      <c r="G36" s="64"/>
      <c r="H36" s="64"/>
      <c r="I36" s="64"/>
      <c r="J36" s="64"/>
      <c r="K36" s="64"/>
      <c r="L36" s="64"/>
      <c r="M36" s="64"/>
      <c r="N36" s="64"/>
      <c r="O36" s="92"/>
      <c r="P36" s="64"/>
    </row>
    <row r="37">
      <c r="A37" s="88">
        <v>45444.0</v>
      </c>
      <c r="B37" s="27" t="s">
        <v>105</v>
      </c>
      <c r="C37" s="27">
        <v>270417.538520708</v>
      </c>
      <c r="D37" s="27">
        <v>1737949.3470554</v>
      </c>
      <c r="E37" s="89" t="str">
        <f t="shared" si="1"/>
        <v>2024-Q2</v>
      </c>
      <c r="F37" s="64"/>
      <c r="G37" s="64"/>
      <c r="H37" s="64"/>
      <c r="I37" s="64"/>
      <c r="J37" s="64"/>
      <c r="K37" s="64"/>
      <c r="L37" s="64"/>
      <c r="M37" s="64"/>
      <c r="N37" s="64"/>
      <c r="O37" s="92"/>
      <c r="P37" s="64"/>
    </row>
    <row r="38">
      <c r="A38" s="88">
        <v>45444.0</v>
      </c>
      <c r="B38" s="27" t="s">
        <v>107</v>
      </c>
      <c r="C38" s="27">
        <v>7717.0</v>
      </c>
      <c r="D38" s="27">
        <v>54981.8935006916</v>
      </c>
      <c r="E38" s="89" t="str">
        <f t="shared" si="1"/>
        <v>2024-Q2</v>
      </c>
      <c r="F38" s="64"/>
      <c r="G38" s="66" t="s">
        <v>118</v>
      </c>
      <c r="H38" s="64"/>
      <c r="I38" s="64"/>
      <c r="J38" s="64"/>
      <c r="K38" s="64"/>
      <c r="L38" s="64"/>
      <c r="M38" s="64"/>
      <c r="N38" s="64"/>
      <c r="O38" s="92"/>
      <c r="P38" s="64"/>
    </row>
    <row r="39">
      <c r="A39" s="88">
        <v>45413.0</v>
      </c>
      <c r="B39" s="27" t="s">
        <v>102</v>
      </c>
      <c r="C39" s="27">
        <v>-69.0</v>
      </c>
      <c r="D39" s="27">
        <v>-69.0</v>
      </c>
      <c r="E39" s="89" t="str">
        <f t="shared" si="1"/>
        <v>2024-Q2</v>
      </c>
      <c r="F39" s="64"/>
      <c r="P39" s="64"/>
    </row>
    <row r="40">
      <c r="A40" s="88">
        <v>45413.0</v>
      </c>
      <c r="B40" s="27" t="s">
        <v>100</v>
      </c>
      <c r="C40" s="27">
        <v>95.9817883786</v>
      </c>
      <c r="D40" s="27">
        <v>683.194427393904</v>
      </c>
      <c r="E40" s="89" t="str">
        <f t="shared" si="1"/>
        <v>2024-Q2</v>
      </c>
      <c r="F40" s="64"/>
      <c r="P40" s="64"/>
    </row>
    <row r="41">
      <c r="A41" s="88">
        <v>45413.0</v>
      </c>
      <c r="B41" s="27" t="s">
        <v>107</v>
      </c>
      <c r="C41" s="27">
        <v>103894.346225235</v>
      </c>
      <c r="D41" s="27">
        <v>786354.639586789</v>
      </c>
      <c r="E41" s="89" t="str">
        <f t="shared" si="1"/>
        <v>2024-Q2</v>
      </c>
      <c r="F41" s="64"/>
      <c r="P41" s="64"/>
    </row>
    <row r="42">
      <c r="A42" s="88">
        <v>45413.0</v>
      </c>
      <c r="B42" s="27" t="s">
        <v>112</v>
      </c>
      <c r="C42" s="27">
        <v>-471888.948110687</v>
      </c>
      <c r="D42" s="27">
        <v>-3495158.89874784</v>
      </c>
      <c r="E42" s="89" t="str">
        <f t="shared" si="1"/>
        <v>2024-Q2</v>
      </c>
      <c r="F42" s="64"/>
      <c r="P42" s="64"/>
    </row>
    <row r="43">
      <c r="A43" s="88">
        <v>45413.0</v>
      </c>
      <c r="B43" s="27" t="s">
        <v>116</v>
      </c>
      <c r="C43" s="27">
        <v>-298052.569897118</v>
      </c>
      <c r="D43" s="27">
        <v>-1983453.47221774</v>
      </c>
      <c r="E43" s="89" t="str">
        <f t="shared" si="1"/>
        <v>2024-Q2</v>
      </c>
      <c r="F43" s="64"/>
      <c r="P43" s="64"/>
    </row>
    <row r="44">
      <c r="A44" s="88">
        <v>45413.0</v>
      </c>
      <c r="B44" s="27" t="s">
        <v>104</v>
      </c>
      <c r="C44" s="27">
        <v>5921.2515006542</v>
      </c>
      <c r="D44" s="27">
        <v>42193.0195809747</v>
      </c>
      <c r="E44" s="89" t="str">
        <f t="shared" si="1"/>
        <v>2024-Q2</v>
      </c>
      <c r="F44" s="64"/>
      <c r="P44" s="64"/>
    </row>
    <row r="45">
      <c r="A45" s="88">
        <v>45413.0</v>
      </c>
      <c r="B45" s="27" t="s">
        <v>105</v>
      </c>
      <c r="C45" s="27">
        <v>556335.165316746</v>
      </c>
      <c r="D45" s="27">
        <v>3933317.69144359</v>
      </c>
      <c r="E45" s="89" t="str">
        <f t="shared" si="1"/>
        <v>2024-Q2</v>
      </c>
      <c r="F45" s="64"/>
      <c r="P45" s="64"/>
    </row>
    <row r="46">
      <c r="A46" s="88">
        <v>45413.0</v>
      </c>
      <c r="B46" s="27" t="s">
        <v>109</v>
      </c>
      <c r="C46" s="27">
        <v>-2837982.463518</v>
      </c>
      <c r="D46" s="27">
        <v>-1.88859508015679E7</v>
      </c>
      <c r="E46" s="89" t="str">
        <f t="shared" si="1"/>
        <v>2024-Q2</v>
      </c>
      <c r="F46" s="64"/>
      <c r="P46" s="64"/>
    </row>
    <row r="47">
      <c r="A47" s="88">
        <v>45383.0</v>
      </c>
      <c r="B47" s="27" t="s">
        <v>100</v>
      </c>
      <c r="C47" s="27">
        <v>33.64054</v>
      </c>
      <c r="D47" s="27">
        <v>236.025002047516</v>
      </c>
      <c r="E47" s="89" t="str">
        <f t="shared" si="1"/>
        <v>2024-Q2</v>
      </c>
      <c r="F47" s="64"/>
      <c r="P47" s="64"/>
    </row>
    <row r="48">
      <c r="A48" s="88">
        <v>45383.0</v>
      </c>
      <c r="B48" s="27" t="s">
        <v>116</v>
      </c>
      <c r="C48" s="27">
        <v>-332681.390357072</v>
      </c>
      <c r="D48" s="27">
        <v>-2190389.99345115</v>
      </c>
      <c r="E48" s="89" t="str">
        <f t="shared" si="1"/>
        <v>2024-Q2</v>
      </c>
      <c r="F48" s="64"/>
      <c r="G48" s="64"/>
      <c r="H48" s="64"/>
      <c r="I48" s="64"/>
      <c r="J48" s="64"/>
      <c r="K48" s="64"/>
      <c r="L48" s="64"/>
      <c r="M48" s="64"/>
      <c r="N48" s="64"/>
      <c r="O48" s="92"/>
      <c r="P48" s="64"/>
    </row>
    <row r="49">
      <c r="A49" s="88">
        <v>45383.0</v>
      </c>
      <c r="B49" s="27" t="s">
        <v>109</v>
      </c>
      <c r="C49" s="27">
        <v>-3872009.15979</v>
      </c>
      <c r="D49" s="27">
        <v>-2.54934912621719E7</v>
      </c>
      <c r="E49" s="89" t="str">
        <f t="shared" si="1"/>
        <v>2024-Q2</v>
      </c>
      <c r="H49" s="47"/>
      <c r="I49" s="47"/>
      <c r="J49" s="47"/>
      <c r="K49" s="47"/>
      <c r="L49" s="47"/>
      <c r="M49" s="47"/>
      <c r="N49" s="47"/>
      <c r="O49" s="90"/>
    </row>
    <row r="50">
      <c r="A50" s="88">
        <v>45383.0</v>
      </c>
      <c r="B50" s="27" t="s">
        <v>112</v>
      </c>
      <c r="C50" s="27">
        <v>-353344.565405416</v>
      </c>
      <c r="D50" s="27">
        <v>-2724853.31358538</v>
      </c>
      <c r="E50" s="89" t="str">
        <f t="shared" si="1"/>
        <v>2024-Q2</v>
      </c>
      <c r="H50" s="47"/>
      <c r="I50" s="47"/>
      <c r="J50" s="47"/>
      <c r="K50" s="47"/>
      <c r="L50" s="47"/>
      <c r="M50" s="47"/>
      <c r="N50" s="47"/>
      <c r="O50" s="90"/>
    </row>
    <row r="51">
      <c r="A51" s="88">
        <v>45383.0</v>
      </c>
      <c r="B51" s="27" t="s">
        <v>104</v>
      </c>
      <c r="C51" s="27">
        <v>7123.8633820169</v>
      </c>
      <c r="D51" s="27">
        <v>54910.7848669002</v>
      </c>
      <c r="E51" s="89" t="str">
        <f t="shared" si="1"/>
        <v>2024-Q2</v>
      </c>
      <c r="H51" s="47"/>
      <c r="I51" s="47"/>
      <c r="J51" s="47"/>
      <c r="K51" s="47"/>
      <c r="L51" s="47"/>
      <c r="M51" s="47"/>
      <c r="N51" s="47"/>
      <c r="O51" s="90"/>
    </row>
    <row r="52">
      <c r="A52" s="88">
        <v>45383.0</v>
      </c>
      <c r="B52" s="27" t="s">
        <v>105</v>
      </c>
      <c r="C52" s="27">
        <v>1101382.44442246</v>
      </c>
      <c r="D52" s="27">
        <v>8451310.08067739</v>
      </c>
      <c r="E52" s="89" t="str">
        <f t="shared" si="1"/>
        <v>2024-Q2</v>
      </c>
      <c r="H52" s="47"/>
      <c r="I52" s="47"/>
      <c r="J52" s="47"/>
      <c r="K52" s="47"/>
      <c r="L52" s="47"/>
      <c r="M52" s="47"/>
      <c r="N52" s="47"/>
      <c r="O52" s="90"/>
    </row>
    <row r="53">
      <c r="A53" s="88">
        <v>45383.0</v>
      </c>
      <c r="B53" s="27" t="s">
        <v>107</v>
      </c>
      <c r="C53" s="27">
        <v>5937.0</v>
      </c>
      <c r="D53" s="27">
        <v>51565.4479399854</v>
      </c>
      <c r="E53" s="89" t="str">
        <f t="shared" si="1"/>
        <v>2024-Q2</v>
      </c>
      <c r="G53" s="94" t="s">
        <v>123</v>
      </c>
      <c r="H53" s="47"/>
      <c r="I53" s="47"/>
      <c r="J53" s="47"/>
      <c r="K53" s="47"/>
      <c r="L53" s="47"/>
      <c r="M53" s="47"/>
      <c r="N53" s="47"/>
      <c r="O53" s="90"/>
    </row>
    <row r="54">
      <c r="A54" s="88">
        <v>45352.0</v>
      </c>
      <c r="B54" s="27" t="s">
        <v>109</v>
      </c>
      <c r="C54" s="27">
        <v>-1005285.248651</v>
      </c>
      <c r="D54" s="27">
        <v>-9062790.87579063</v>
      </c>
      <c r="E54" s="89" t="str">
        <f t="shared" si="1"/>
        <v>2024-Q1</v>
      </c>
      <c r="H54" s="47"/>
      <c r="I54" s="47"/>
      <c r="J54" s="47"/>
      <c r="K54" s="47"/>
      <c r="L54" s="47"/>
      <c r="M54" s="47"/>
      <c r="N54" s="47"/>
      <c r="O54" s="90"/>
    </row>
    <row r="55">
      <c r="A55" s="88">
        <v>45352.0</v>
      </c>
      <c r="B55" s="27" t="s">
        <v>112</v>
      </c>
      <c r="C55" s="27">
        <v>-240332.032164168</v>
      </c>
      <c r="D55" s="27">
        <v>-2365660.65974943</v>
      </c>
      <c r="E55" s="89" t="str">
        <f t="shared" si="1"/>
        <v>2024-Q1</v>
      </c>
      <c r="H55" s="47"/>
      <c r="I55" s="47"/>
      <c r="J55" s="47"/>
      <c r="K55" s="47"/>
      <c r="L55" s="47"/>
      <c r="M55" s="47"/>
      <c r="N55" s="47"/>
      <c r="O55" s="90"/>
    </row>
    <row r="56">
      <c r="A56" s="88">
        <v>45352.0</v>
      </c>
      <c r="B56" s="27" t="s">
        <v>104</v>
      </c>
      <c r="C56" s="27">
        <v>9973.7386672626</v>
      </c>
      <c r="D56" s="27">
        <v>98494.2235214999</v>
      </c>
      <c r="E56" s="89" t="str">
        <f t="shared" si="1"/>
        <v>2024-Q1</v>
      </c>
      <c r="H56" s="47"/>
      <c r="I56" s="47"/>
      <c r="J56" s="47"/>
      <c r="K56" s="47"/>
      <c r="L56" s="47"/>
      <c r="M56" s="47"/>
      <c r="N56" s="47"/>
      <c r="O56" s="90"/>
    </row>
    <row r="57">
      <c r="A57" s="88">
        <v>45352.0</v>
      </c>
      <c r="B57" s="27" t="s">
        <v>105</v>
      </c>
      <c r="C57" s="27">
        <v>1222759.41326793</v>
      </c>
      <c r="D57" s="27">
        <v>1.20472041440289E7</v>
      </c>
      <c r="E57" s="89" t="str">
        <f t="shared" si="1"/>
        <v>2024-Q1</v>
      </c>
      <c r="H57" s="47"/>
      <c r="I57" s="47"/>
      <c r="J57" s="47"/>
      <c r="K57" s="47"/>
      <c r="L57" s="47"/>
      <c r="M57" s="47"/>
      <c r="N57" s="47"/>
      <c r="O57" s="90"/>
    </row>
    <row r="58">
      <c r="A58" s="88">
        <v>45352.0</v>
      </c>
      <c r="B58" s="27" t="s">
        <v>106</v>
      </c>
      <c r="C58" s="27">
        <v>12.1300000000046</v>
      </c>
      <c r="D58" s="27">
        <v>114.545990590582</v>
      </c>
      <c r="E58" s="89" t="str">
        <f t="shared" si="1"/>
        <v>2024-Q1</v>
      </c>
      <c r="H58" s="47"/>
      <c r="I58" s="47"/>
      <c r="J58" s="47"/>
      <c r="K58" s="47"/>
      <c r="L58" s="47"/>
      <c r="M58" s="47"/>
      <c r="N58" s="47"/>
      <c r="O58" s="90"/>
    </row>
    <row r="59">
      <c r="A59" s="88">
        <v>45352.0</v>
      </c>
      <c r="B59" s="27" t="s">
        <v>116</v>
      </c>
      <c r="C59" s="27">
        <v>-368289.741142955</v>
      </c>
      <c r="D59" s="27">
        <v>-3320184.90289855</v>
      </c>
      <c r="E59" s="89" t="str">
        <f t="shared" si="1"/>
        <v>2024-Q1</v>
      </c>
      <c r="H59" s="47"/>
      <c r="I59" s="47"/>
      <c r="J59" s="47"/>
      <c r="K59" s="47"/>
      <c r="L59" s="47"/>
      <c r="M59" s="47"/>
      <c r="N59" s="47"/>
      <c r="O59" s="90"/>
    </row>
    <row r="60">
      <c r="A60" s="88">
        <v>45323.0</v>
      </c>
      <c r="B60" s="27" t="s">
        <v>112</v>
      </c>
      <c r="C60" s="27">
        <v>-219450.433813827</v>
      </c>
      <c r="D60" s="27">
        <v>-1662480.41209315</v>
      </c>
      <c r="E60" s="89" t="str">
        <f t="shared" si="1"/>
        <v>2024-Q1</v>
      </c>
      <c r="H60" s="47"/>
      <c r="I60" s="47"/>
      <c r="J60" s="47"/>
      <c r="K60" s="47"/>
      <c r="L60" s="47"/>
      <c r="M60" s="47"/>
      <c r="N60" s="47"/>
      <c r="O60" s="90"/>
    </row>
    <row r="61">
      <c r="A61" s="88">
        <v>45323.0</v>
      </c>
      <c r="B61" s="27" t="s">
        <v>109</v>
      </c>
      <c r="C61" s="27">
        <v>-1861772.46301377</v>
      </c>
      <c r="D61" s="27">
        <v>-1.42437417424415E7</v>
      </c>
      <c r="E61" s="89" t="str">
        <f t="shared" si="1"/>
        <v>2024-Q1</v>
      </c>
      <c r="H61" s="47"/>
      <c r="I61" s="47"/>
      <c r="J61" s="47"/>
      <c r="K61" s="47"/>
      <c r="L61" s="47"/>
      <c r="M61" s="47"/>
      <c r="N61" s="47"/>
      <c r="O61" s="90"/>
    </row>
    <row r="62">
      <c r="A62" s="88">
        <v>45323.0</v>
      </c>
      <c r="B62" s="27" t="s">
        <v>105</v>
      </c>
      <c r="C62" s="27">
        <v>958413.129727022</v>
      </c>
      <c r="D62" s="27">
        <v>7115738.77291283</v>
      </c>
      <c r="E62" s="89" t="str">
        <f t="shared" si="1"/>
        <v>2024-Q1</v>
      </c>
      <c r="H62" s="47"/>
      <c r="I62" s="47"/>
      <c r="J62" s="47"/>
      <c r="K62" s="47"/>
      <c r="L62" s="47"/>
      <c r="M62" s="47"/>
      <c r="N62" s="47"/>
      <c r="O62" s="90"/>
    </row>
    <row r="63">
      <c r="A63" s="88">
        <v>45323.0</v>
      </c>
      <c r="B63" s="27" t="s">
        <v>116</v>
      </c>
      <c r="C63" s="27">
        <v>-844982.423937498</v>
      </c>
      <c r="D63" s="27">
        <v>-6348690.13765699</v>
      </c>
      <c r="E63" s="89" t="str">
        <f t="shared" si="1"/>
        <v>2024-Q1</v>
      </c>
      <c r="H63" s="47"/>
      <c r="I63" s="47"/>
      <c r="J63" s="47"/>
      <c r="K63" s="47"/>
      <c r="L63" s="47"/>
      <c r="M63" s="47"/>
      <c r="N63" s="47"/>
      <c r="O63" s="90"/>
    </row>
    <row r="64">
      <c r="A64" s="88">
        <v>45323.0</v>
      </c>
      <c r="B64" s="27" t="s">
        <v>104</v>
      </c>
      <c r="C64" s="27">
        <v>7349.6988539243</v>
      </c>
      <c r="D64" s="27">
        <v>54786.4850043477</v>
      </c>
      <c r="E64" s="89" t="str">
        <f t="shared" si="1"/>
        <v>2024-Q1</v>
      </c>
      <c r="H64" s="47"/>
      <c r="I64" s="47"/>
      <c r="J64" s="47"/>
      <c r="K64" s="47"/>
      <c r="L64" s="47"/>
      <c r="M64" s="47"/>
      <c r="N64" s="47"/>
      <c r="O64" s="90"/>
    </row>
    <row r="65">
      <c r="A65" s="88">
        <v>45323.0</v>
      </c>
      <c r="B65" s="27" t="s">
        <v>107</v>
      </c>
      <c r="C65" s="27">
        <v>47.05</v>
      </c>
      <c r="D65" s="27">
        <v>393.940662111522</v>
      </c>
      <c r="E65" s="89" t="str">
        <f t="shared" si="1"/>
        <v>2024-Q1</v>
      </c>
      <c r="H65" s="47"/>
      <c r="I65" s="47"/>
      <c r="J65" s="47"/>
      <c r="K65" s="47"/>
      <c r="L65" s="47"/>
      <c r="M65" s="47"/>
      <c r="N65" s="47"/>
      <c r="O65" s="90"/>
    </row>
    <row r="66">
      <c r="A66" s="88">
        <v>45292.0</v>
      </c>
      <c r="B66" s="27" t="s">
        <v>109</v>
      </c>
      <c r="C66" s="27">
        <v>-1035551.1564</v>
      </c>
      <c r="D66" s="27">
        <v>-8447160.57405289</v>
      </c>
      <c r="E66" s="89" t="str">
        <f t="shared" si="1"/>
        <v>2024-Q1</v>
      </c>
      <c r="H66" s="47"/>
      <c r="I66" s="47"/>
      <c r="J66" s="47"/>
      <c r="K66" s="47"/>
      <c r="L66" s="47"/>
      <c r="M66" s="47"/>
      <c r="N66" s="47"/>
      <c r="O66" s="90"/>
    </row>
    <row r="67">
      <c r="A67" s="88">
        <v>45292.0</v>
      </c>
      <c r="B67" s="27" t="s">
        <v>107</v>
      </c>
      <c r="C67" s="27">
        <v>15135.0</v>
      </c>
      <c r="D67" s="27">
        <v>120739.533506956</v>
      </c>
      <c r="E67" s="89" t="str">
        <f t="shared" si="1"/>
        <v>2024-Q1</v>
      </c>
      <c r="H67" s="47"/>
      <c r="I67" s="47"/>
      <c r="J67" s="47"/>
      <c r="K67" s="47"/>
      <c r="L67" s="47"/>
      <c r="M67" s="47"/>
      <c r="N67" s="47"/>
      <c r="O67" s="90"/>
    </row>
    <row r="68">
      <c r="A68" s="88">
        <v>45292.0</v>
      </c>
      <c r="B68" s="27" t="s">
        <v>116</v>
      </c>
      <c r="C68" s="27">
        <v>-431795.564524716</v>
      </c>
      <c r="D68" s="27">
        <v>-3522227.21800061</v>
      </c>
      <c r="E68" s="89" t="str">
        <f t="shared" si="1"/>
        <v>2024-Q1</v>
      </c>
      <c r="H68" s="47"/>
      <c r="I68" s="47"/>
      <c r="J68" s="47"/>
      <c r="K68" s="47"/>
      <c r="L68" s="47"/>
      <c r="M68" s="47"/>
      <c r="N68" s="47"/>
      <c r="O68" s="90"/>
    </row>
    <row r="69">
      <c r="A69" s="88">
        <v>45292.0</v>
      </c>
      <c r="B69" s="27" t="s">
        <v>105</v>
      </c>
      <c r="C69" s="27">
        <v>1155588.2594424</v>
      </c>
      <c r="D69" s="27">
        <v>8407262.39652482</v>
      </c>
      <c r="E69" s="89" t="str">
        <f t="shared" si="1"/>
        <v>2024-Q1</v>
      </c>
      <c r="H69" s="47"/>
      <c r="I69" s="47"/>
      <c r="J69" s="47"/>
      <c r="K69" s="47"/>
      <c r="L69" s="47"/>
      <c r="M69" s="47"/>
      <c r="N69" s="47"/>
      <c r="O69" s="90"/>
    </row>
    <row r="70">
      <c r="A70" s="88">
        <v>45292.0</v>
      </c>
      <c r="B70" s="27" t="s">
        <v>112</v>
      </c>
      <c r="C70" s="27">
        <v>-86689.6060738947</v>
      </c>
      <c r="D70" s="27">
        <v>-622926.846573093</v>
      </c>
      <c r="E70" s="89" t="str">
        <f t="shared" si="1"/>
        <v>2024-Q1</v>
      </c>
      <c r="H70" s="47"/>
      <c r="I70" s="47"/>
      <c r="J70" s="47"/>
      <c r="K70" s="47"/>
      <c r="L70" s="47"/>
      <c r="M70" s="47"/>
      <c r="N70" s="47"/>
      <c r="O70" s="90"/>
    </row>
    <row r="71">
      <c r="A71" s="88">
        <v>45292.0</v>
      </c>
      <c r="B71" s="27" t="s">
        <v>104</v>
      </c>
      <c r="C71" s="27">
        <v>6877.2804495644</v>
      </c>
      <c r="D71" s="27">
        <v>50161.0328817225</v>
      </c>
      <c r="E71" s="89" t="str">
        <f t="shared" si="1"/>
        <v>2024-Q1</v>
      </c>
      <c r="H71" s="47"/>
      <c r="I71" s="47"/>
      <c r="J71" s="47"/>
      <c r="K71" s="47"/>
      <c r="L71" s="47"/>
      <c r="M71" s="47"/>
      <c r="N71" s="47"/>
      <c r="O71" s="90"/>
    </row>
    <row r="72">
      <c r="A72" s="95">
        <v>45261.0</v>
      </c>
      <c r="B72" s="27" t="s">
        <v>116</v>
      </c>
      <c r="C72" s="27">
        <v>-434424.682828081</v>
      </c>
      <c r="D72" s="27">
        <v>-2986128.22535939</v>
      </c>
      <c r="E72" s="89" t="str">
        <f t="shared" si="1"/>
        <v>2023-Q4</v>
      </c>
      <c r="H72" s="47"/>
      <c r="I72" s="47"/>
      <c r="J72" s="47"/>
      <c r="K72" s="47"/>
      <c r="L72" s="47"/>
      <c r="M72" s="47"/>
      <c r="N72" s="47"/>
      <c r="O72" s="90"/>
    </row>
    <row r="73">
      <c r="A73" s="95">
        <v>45261.0</v>
      </c>
      <c r="B73" s="27" t="s">
        <v>112</v>
      </c>
      <c r="C73" s="27">
        <v>-51264.9386978337</v>
      </c>
      <c r="D73" s="27">
        <v>-364882.93676121</v>
      </c>
      <c r="E73" s="89" t="str">
        <f t="shared" si="1"/>
        <v>2023-Q4</v>
      </c>
      <c r="H73" s="47"/>
      <c r="I73" s="47"/>
      <c r="J73" s="47"/>
      <c r="K73" s="47"/>
      <c r="L73" s="47"/>
      <c r="M73" s="47"/>
      <c r="N73" s="47"/>
      <c r="O73" s="90"/>
    </row>
    <row r="74">
      <c r="A74" s="95">
        <v>45261.0</v>
      </c>
      <c r="B74" s="27" t="s">
        <v>109</v>
      </c>
      <c r="C74" s="27">
        <v>-837736.559</v>
      </c>
      <c r="D74" s="27">
        <v>-5758394.68411451</v>
      </c>
      <c r="E74" s="89" t="str">
        <f t="shared" si="1"/>
        <v>2023-Q4</v>
      </c>
      <c r="H74" s="47"/>
      <c r="I74" s="47"/>
      <c r="J74" s="47"/>
      <c r="K74" s="47"/>
      <c r="L74" s="47"/>
      <c r="M74" s="47"/>
      <c r="N74" s="47"/>
      <c r="O74" s="90"/>
    </row>
    <row r="75">
      <c r="A75" s="95">
        <v>45261.0</v>
      </c>
      <c r="B75" s="27" t="s">
        <v>107</v>
      </c>
      <c r="C75" s="27">
        <v>-448673.62</v>
      </c>
      <c r="D75" s="27">
        <v>-2461205.0177622</v>
      </c>
      <c r="E75" s="89" t="str">
        <f t="shared" si="1"/>
        <v>2023-Q4</v>
      </c>
      <c r="H75" s="47"/>
      <c r="I75" s="47"/>
      <c r="J75" s="47"/>
      <c r="K75" s="47"/>
      <c r="L75" s="47"/>
      <c r="M75" s="47"/>
      <c r="N75" s="47"/>
      <c r="O75" s="90"/>
    </row>
    <row r="76">
      <c r="A76" s="95">
        <v>45261.0</v>
      </c>
      <c r="B76" s="27" t="s">
        <v>104</v>
      </c>
      <c r="C76" s="27">
        <v>286012.094054346</v>
      </c>
      <c r="D76" s="27">
        <v>2192411.88595145</v>
      </c>
      <c r="E76" s="89" t="str">
        <f t="shared" si="1"/>
        <v>2023-Q4</v>
      </c>
      <c r="H76" s="47"/>
      <c r="I76" s="47"/>
      <c r="J76" s="47"/>
      <c r="K76" s="47"/>
      <c r="L76" s="47"/>
      <c r="M76" s="47"/>
      <c r="N76" s="47"/>
      <c r="O76" s="90"/>
    </row>
    <row r="77">
      <c r="A77" s="95">
        <v>45261.0</v>
      </c>
      <c r="B77" s="27" t="s">
        <v>105</v>
      </c>
      <c r="C77" s="27">
        <v>1230252.32422189</v>
      </c>
      <c r="D77" s="27">
        <v>8855702.77465599</v>
      </c>
      <c r="E77" s="89" t="str">
        <f t="shared" si="1"/>
        <v>2023-Q4</v>
      </c>
      <c r="H77" s="47"/>
      <c r="I77" s="47"/>
      <c r="J77" s="47"/>
      <c r="K77" s="47"/>
      <c r="L77" s="47"/>
      <c r="M77" s="47"/>
      <c r="N77" s="47"/>
      <c r="O77" s="90"/>
    </row>
    <row r="78">
      <c r="A78" s="95">
        <v>45231.0</v>
      </c>
      <c r="B78" s="27" t="s">
        <v>104</v>
      </c>
      <c r="C78" s="27">
        <v>6254.9157596411</v>
      </c>
      <c r="D78" s="27">
        <v>32067.2363388706</v>
      </c>
      <c r="E78" s="89" t="str">
        <f t="shared" si="1"/>
        <v>2023-Q4</v>
      </c>
      <c r="H78" s="47"/>
      <c r="I78" s="47"/>
      <c r="J78" s="47"/>
      <c r="K78" s="47"/>
      <c r="L78" s="47"/>
      <c r="M78" s="47"/>
      <c r="N78" s="47"/>
      <c r="O78" s="90"/>
    </row>
    <row r="79">
      <c r="A79" s="95">
        <v>45231.0</v>
      </c>
      <c r="B79" s="27" t="s">
        <v>106</v>
      </c>
      <c r="C79" s="27">
        <v>101.0</v>
      </c>
      <c r="D79" s="27">
        <v>501.408306349993</v>
      </c>
      <c r="E79" s="89" t="str">
        <f t="shared" si="1"/>
        <v>2023-Q4</v>
      </c>
      <c r="H79" s="47"/>
      <c r="I79" s="47"/>
      <c r="J79" s="47"/>
      <c r="K79" s="47"/>
      <c r="L79" s="47"/>
      <c r="M79" s="47"/>
      <c r="N79" s="47"/>
      <c r="O79" s="90"/>
    </row>
    <row r="80">
      <c r="A80" s="95">
        <v>45231.0</v>
      </c>
      <c r="B80" s="27" t="s">
        <v>112</v>
      </c>
      <c r="C80" s="27">
        <v>-82700.6294367575</v>
      </c>
      <c r="D80" s="27">
        <v>-409434.813106199</v>
      </c>
      <c r="E80" s="89" t="str">
        <f t="shared" si="1"/>
        <v>2023-Q4</v>
      </c>
      <c r="H80" s="47"/>
      <c r="I80" s="47"/>
      <c r="J80" s="47"/>
      <c r="K80" s="47"/>
      <c r="L80" s="47"/>
      <c r="M80" s="47"/>
      <c r="N80" s="47"/>
      <c r="O80" s="90"/>
    </row>
    <row r="81">
      <c r="A81" s="95">
        <v>45231.0</v>
      </c>
      <c r="B81" s="27" t="s">
        <v>116</v>
      </c>
      <c r="C81" s="27">
        <v>-885001.041692049</v>
      </c>
      <c r="D81" s="27">
        <v>-4291881.27639661</v>
      </c>
      <c r="E81" s="89" t="str">
        <f t="shared" si="1"/>
        <v>2023-Q4</v>
      </c>
      <c r="H81" s="47"/>
      <c r="I81" s="47"/>
      <c r="J81" s="47"/>
      <c r="K81" s="47"/>
      <c r="L81" s="47"/>
      <c r="M81" s="47"/>
      <c r="N81" s="47"/>
      <c r="O81" s="90"/>
    </row>
    <row r="82">
      <c r="A82" s="95">
        <v>45231.0</v>
      </c>
      <c r="B82" s="27" t="s">
        <v>105</v>
      </c>
      <c r="C82" s="27">
        <v>1247787.94106623</v>
      </c>
      <c r="D82" s="27">
        <v>6396514.22015683</v>
      </c>
      <c r="E82" s="89" t="str">
        <f t="shared" si="1"/>
        <v>2023-Q4</v>
      </c>
      <c r="H82" s="47"/>
      <c r="I82" s="47"/>
      <c r="J82" s="47"/>
      <c r="K82" s="47"/>
      <c r="L82" s="47"/>
      <c r="M82" s="47"/>
      <c r="N82" s="47"/>
      <c r="O82" s="90"/>
    </row>
    <row r="83">
      <c r="A83" s="95">
        <v>45231.0</v>
      </c>
      <c r="B83" s="27" t="s">
        <v>109</v>
      </c>
      <c r="C83" s="27">
        <v>-1381319.1015423</v>
      </c>
      <c r="D83" s="27">
        <v>-6575668.66283509</v>
      </c>
      <c r="E83" s="89" t="str">
        <f t="shared" si="1"/>
        <v>2023-Q4</v>
      </c>
      <c r="H83" s="47"/>
      <c r="I83" s="47"/>
      <c r="J83" s="47"/>
      <c r="K83" s="47"/>
      <c r="L83" s="47"/>
      <c r="M83" s="47"/>
      <c r="N83" s="47"/>
      <c r="O83" s="90"/>
    </row>
    <row r="84">
      <c r="A84" s="95">
        <v>45231.0</v>
      </c>
      <c r="B84" s="27" t="s">
        <v>107</v>
      </c>
      <c r="C84" s="27">
        <v>6102.45</v>
      </c>
      <c r="D84" s="27">
        <v>31695.2729184839</v>
      </c>
      <c r="E84" s="89" t="str">
        <f t="shared" si="1"/>
        <v>2023-Q4</v>
      </c>
      <c r="H84" s="47"/>
      <c r="I84" s="47"/>
      <c r="J84" s="47"/>
      <c r="K84" s="47"/>
      <c r="L84" s="47"/>
      <c r="M84" s="47"/>
      <c r="N84" s="47"/>
      <c r="O84" s="90"/>
    </row>
    <row r="85">
      <c r="A85" s="95">
        <v>45200.0</v>
      </c>
      <c r="B85" s="27" t="s">
        <v>116</v>
      </c>
      <c r="C85" s="27">
        <v>-448198.596304195</v>
      </c>
      <c r="D85" s="27">
        <v>-1817837.16693595</v>
      </c>
      <c r="E85" s="89" t="str">
        <f t="shared" si="1"/>
        <v>2023-Q4</v>
      </c>
      <c r="H85" s="47"/>
      <c r="I85" s="47"/>
      <c r="J85" s="47"/>
      <c r="K85" s="47"/>
      <c r="L85" s="47"/>
      <c r="M85" s="47"/>
      <c r="N85" s="47"/>
      <c r="O85" s="90"/>
    </row>
    <row r="86">
      <c r="A86" s="95">
        <v>45200.0</v>
      </c>
      <c r="B86" s="27" t="s">
        <v>112</v>
      </c>
      <c r="C86" s="27">
        <v>-225339.816901209</v>
      </c>
      <c r="D86" s="27">
        <v>-873975.884930685</v>
      </c>
      <c r="E86" s="89" t="str">
        <f t="shared" si="1"/>
        <v>2023-Q4</v>
      </c>
      <c r="H86" s="47"/>
      <c r="I86" s="47"/>
      <c r="J86" s="47"/>
      <c r="K86" s="47"/>
      <c r="L86" s="47"/>
      <c r="M86" s="47"/>
      <c r="N86" s="47"/>
      <c r="O86" s="90"/>
    </row>
    <row r="87">
      <c r="A87" s="96">
        <v>45200.0</v>
      </c>
      <c r="B87" s="97" t="s">
        <v>105</v>
      </c>
      <c r="C87" s="97">
        <v>844716.539996738</v>
      </c>
      <c r="D87" s="27">
        <v>3426290.75629929</v>
      </c>
      <c r="E87" s="89" t="str">
        <f t="shared" si="1"/>
        <v>2023-Q4</v>
      </c>
      <c r="H87" s="47"/>
      <c r="I87" s="47"/>
      <c r="J87" s="47"/>
      <c r="K87" s="47"/>
      <c r="L87" s="47"/>
      <c r="M87" s="47"/>
      <c r="N87" s="47"/>
      <c r="O87" s="90"/>
    </row>
    <row r="88">
      <c r="A88" s="98">
        <v>45200.0</v>
      </c>
      <c r="B88" s="27" t="s">
        <v>109</v>
      </c>
      <c r="C88" s="27">
        <v>-532545.206</v>
      </c>
      <c r="D88" s="27">
        <v>-2159936.41328435</v>
      </c>
      <c r="E88" s="89" t="str">
        <f t="shared" si="1"/>
        <v>2023-Q4</v>
      </c>
      <c r="H88" s="47"/>
      <c r="I88" s="47"/>
      <c r="J88" s="47"/>
      <c r="K88" s="47"/>
      <c r="L88" s="47"/>
      <c r="M88" s="47"/>
      <c r="N88" s="47"/>
      <c r="O88" s="90"/>
    </row>
    <row r="89">
      <c r="A89" s="98">
        <v>45200.0</v>
      </c>
      <c r="B89" s="27" t="s">
        <v>104</v>
      </c>
      <c r="C89" s="27">
        <v>4954.34709952149</v>
      </c>
      <c r="D89" s="27">
        <v>19994.2874890689</v>
      </c>
      <c r="E89" s="89" t="str">
        <f t="shared" si="1"/>
        <v>2023-Q4</v>
      </c>
      <c r="H89" s="47"/>
      <c r="I89" s="47"/>
      <c r="J89" s="47"/>
      <c r="K89" s="47"/>
      <c r="L89" s="47"/>
      <c r="M89" s="47"/>
      <c r="N89" s="47"/>
      <c r="O89" s="90"/>
    </row>
    <row r="90">
      <c r="A90" s="98">
        <v>45200.0</v>
      </c>
      <c r="B90" s="27" t="s">
        <v>107</v>
      </c>
      <c r="C90" s="27">
        <v>75419.0</v>
      </c>
      <c r="D90" s="27">
        <v>315823.753835458</v>
      </c>
      <c r="E90" s="89" t="str">
        <f t="shared" si="1"/>
        <v>2023-Q4</v>
      </c>
      <c r="H90" s="47"/>
      <c r="I90" s="47"/>
      <c r="J90" s="47"/>
      <c r="K90" s="47"/>
      <c r="L90" s="47"/>
      <c r="M90" s="47"/>
      <c r="N90" s="47"/>
      <c r="O90" s="90"/>
    </row>
    <row r="91">
      <c r="A91" s="99">
        <v>45170.0</v>
      </c>
      <c r="B91" s="27" t="s">
        <v>116</v>
      </c>
      <c r="C91" s="27">
        <v>-453478.84378484</v>
      </c>
      <c r="D91" s="27">
        <v>-1814368.51688118</v>
      </c>
      <c r="E91" s="89" t="str">
        <f t="shared" si="1"/>
        <v>2023-Q3</v>
      </c>
      <c r="H91" s="47"/>
      <c r="I91" s="47"/>
      <c r="J91" s="47"/>
      <c r="K91" s="47"/>
      <c r="L91" s="47"/>
      <c r="M91" s="47"/>
      <c r="N91" s="47"/>
      <c r="O91" s="90"/>
    </row>
    <row r="92">
      <c r="A92" s="99">
        <v>45170.0</v>
      </c>
      <c r="B92" s="27" t="s">
        <v>105</v>
      </c>
      <c r="C92" s="27">
        <v>590476.351780591</v>
      </c>
      <c r="D92" s="27">
        <v>2435532.90930219</v>
      </c>
      <c r="E92" s="89" t="str">
        <f t="shared" si="1"/>
        <v>2023-Q3</v>
      </c>
      <c r="H92" s="47"/>
      <c r="I92" s="47"/>
      <c r="J92" s="47"/>
      <c r="K92" s="47"/>
      <c r="L92" s="47"/>
      <c r="M92" s="47"/>
      <c r="N92" s="47"/>
      <c r="O92" s="90"/>
    </row>
    <row r="93">
      <c r="A93" s="99">
        <v>45170.0</v>
      </c>
      <c r="B93" s="27" t="s">
        <v>112</v>
      </c>
      <c r="C93" s="27">
        <v>-94211.0449711789</v>
      </c>
      <c r="D93" s="27">
        <v>-387510.802186602</v>
      </c>
      <c r="E93" s="89" t="str">
        <f t="shared" si="1"/>
        <v>2023-Q3</v>
      </c>
      <c r="H93" s="47"/>
      <c r="I93" s="47"/>
      <c r="J93" s="47"/>
      <c r="K93" s="47"/>
      <c r="L93" s="47"/>
      <c r="M93" s="47"/>
      <c r="N93" s="47"/>
      <c r="O93" s="90"/>
    </row>
    <row r="94">
      <c r="A94" s="99">
        <v>45170.0</v>
      </c>
      <c r="B94" s="27" t="s">
        <v>104</v>
      </c>
      <c r="C94" s="27">
        <v>3785.0024491633</v>
      </c>
      <c r="D94" s="27">
        <v>15556.1784403073</v>
      </c>
      <c r="E94" s="89" t="str">
        <f t="shared" si="1"/>
        <v>2023-Q3</v>
      </c>
      <c r="H94" s="47"/>
      <c r="I94" s="47"/>
      <c r="J94" s="47"/>
      <c r="K94" s="47"/>
      <c r="L94" s="47"/>
      <c r="M94" s="47"/>
      <c r="N94" s="47"/>
      <c r="O94" s="90"/>
    </row>
    <row r="95">
      <c r="A95" s="99">
        <v>45170.0</v>
      </c>
      <c r="B95" s="27" t="s">
        <v>109</v>
      </c>
      <c r="C95" s="27">
        <v>-282888.9769</v>
      </c>
      <c r="D95" s="27">
        <v>-1131838.58628609</v>
      </c>
      <c r="E95" s="89" t="str">
        <f t="shared" si="1"/>
        <v>2023-Q3</v>
      </c>
      <c r="H95" s="47"/>
      <c r="I95" s="47"/>
      <c r="J95" s="47"/>
      <c r="K95" s="47"/>
      <c r="L95" s="47"/>
      <c r="M95" s="47"/>
      <c r="N95" s="47"/>
      <c r="O95" s="90"/>
    </row>
    <row r="96">
      <c r="A96" s="99">
        <v>45139.0</v>
      </c>
      <c r="B96" s="27" t="s">
        <v>105</v>
      </c>
      <c r="C96" s="27">
        <v>877464.095642453</v>
      </c>
      <c r="D96" s="27">
        <v>4244414.21946084</v>
      </c>
      <c r="E96" s="89" t="str">
        <f t="shared" si="1"/>
        <v>2023-Q3</v>
      </c>
      <c r="H96" s="47"/>
      <c r="I96" s="47"/>
      <c r="J96" s="47"/>
      <c r="K96" s="47"/>
      <c r="L96" s="47"/>
      <c r="M96" s="47"/>
      <c r="N96" s="47"/>
      <c r="O96" s="90"/>
    </row>
    <row r="97">
      <c r="A97" s="99">
        <v>45139.0</v>
      </c>
      <c r="B97" s="27" t="s">
        <v>106</v>
      </c>
      <c r="C97" s="27">
        <v>19224.9535</v>
      </c>
      <c r="D97" s="27">
        <v>97315.5756497548</v>
      </c>
      <c r="E97" s="89" t="str">
        <f t="shared" si="1"/>
        <v>2023-Q3</v>
      </c>
      <c r="H97" s="47"/>
      <c r="I97" s="47"/>
      <c r="J97" s="47"/>
      <c r="K97" s="47"/>
      <c r="L97" s="47"/>
      <c r="M97" s="47"/>
      <c r="N97" s="47"/>
      <c r="O97" s="90"/>
    </row>
    <row r="98">
      <c r="A98" s="99">
        <v>45139.0</v>
      </c>
      <c r="B98" s="27" t="s">
        <v>112</v>
      </c>
      <c r="C98" s="27">
        <v>-37779.3656501209</v>
      </c>
      <c r="D98" s="27">
        <v>-183772.265400802</v>
      </c>
      <c r="E98" s="89" t="str">
        <f t="shared" si="1"/>
        <v>2023-Q3</v>
      </c>
      <c r="H98" s="47"/>
      <c r="I98" s="47"/>
      <c r="J98" s="47"/>
      <c r="K98" s="47"/>
      <c r="L98" s="47"/>
      <c r="M98" s="47"/>
      <c r="N98" s="47"/>
      <c r="O98" s="90"/>
    </row>
    <row r="99">
      <c r="A99" s="99">
        <v>45139.0</v>
      </c>
      <c r="B99" s="27" t="s">
        <v>116</v>
      </c>
      <c r="C99" s="27">
        <v>-456100.37413604</v>
      </c>
      <c r="D99" s="27">
        <v>-2059375.40234263</v>
      </c>
      <c r="E99" s="89" t="str">
        <f t="shared" si="1"/>
        <v>2023-Q3</v>
      </c>
      <c r="H99" s="47"/>
      <c r="I99" s="47"/>
      <c r="J99" s="47"/>
      <c r="K99" s="47"/>
      <c r="L99" s="47"/>
      <c r="M99" s="47"/>
      <c r="N99" s="47"/>
      <c r="O99" s="90"/>
    </row>
    <row r="100">
      <c r="A100" s="99">
        <v>45139.0</v>
      </c>
      <c r="B100" s="27" t="s">
        <v>104</v>
      </c>
      <c r="C100" s="27">
        <v>3990.788481433</v>
      </c>
      <c r="D100" s="27">
        <v>19013.8911134596</v>
      </c>
      <c r="E100" s="89" t="str">
        <f t="shared" si="1"/>
        <v>2023-Q3</v>
      </c>
      <c r="H100" s="47"/>
      <c r="I100" s="47"/>
      <c r="J100" s="47"/>
      <c r="K100" s="47"/>
      <c r="L100" s="47"/>
      <c r="M100" s="47"/>
      <c r="N100" s="47"/>
      <c r="O100" s="90"/>
    </row>
    <row r="101">
      <c r="A101" s="99">
        <v>45139.0</v>
      </c>
      <c r="B101" s="27" t="s">
        <v>109</v>
      </c>
      <c r="C101" s="27">
        <v>-227860.6825</v>
      </c>
      <c r="D101" s="27">
        <v>-1028832.05388808</v>
      </c>
      <c r="E101" s="89" t="str">
        <f t="shared" si="1"/>
        <v>2023-Q3</v>
      </c>
      <c r="H101" s="47"/>
      <c r="I101" s="47"/>
      <c r="J101" s="47"/>
      <c r="K101" s="47"/>
      <c r="L101" s="47"/>
      <c r="M101" s="47"/>
      <c r="N101" s="47"/>
      <c r="O101" s="90"/>
    </row>
    <row r="102">
      <c r="A102" s="99">
        <v>45108.0</v>
      </c>
      <c r="B102" s="27" t="s">
        <v>116</v>
      </c>
      <c r="C102" s="27">
        <v>-923238.684553963</v>
      </c>
      <c r="D102" s="27">
        <v>-4954914.56812294</v>
      </c>
      <c r="E102" s="89" t="str">
        <f t="shared" si="1"/>
        <v>2023-Q3</v>
      </c>
      <c r="H102" s="47"/>
      <c r="I102" s="47"/>
      <c r="J102" s="47"/>
      <c r="K102" s="47"/>
      <c r="L102" s="47"/>
      <c r="M102" s="47"/>
      <c r="N102" s="47"/>
      <c r="O102" s="90"/>
    </row>
    <row r="103">
      <c r="A103" s="99">
        <v>45108.0</v>
      </c>
      <c r="B103" s="27" t="s">
        <v>104</v>
      </c>
      <c r="C103" s="27">
        <v>4231.7657571648</v>
      </c>
      <c r="D103" s="27">
        <v>22382.8040792717</v>
      </c>
      <c r="E103" s="89" t="str">
        <f t="shared" si="1"/>
        <v>2023-Q3</v>
      </c>
      <c r="H103" s="47"/>
      <c r="I103" s="47"/>
      <c r="J103" s="47"/>
      <c r="K103" s="47"/>
      <c r="L103" s="47"/>
      <c r="M103" s="47"/>
      <c r="N103" s="47"/>
      <c r="O103" s="90"/>
    </row>
    <row r="104">
      <c r="A104" s="99">
        <v>45108.0</v>
      </c>
      <c r="B104" s="27" t="s">
        <v>107</v>
      </c>
      <c r="C104" s="27">
        <v>-141.9796334012</v>
      </c>
      <c r="D104" s="27">
        <v>-743.612943987957</v>
      </c>
      <c r="E104" s="89" t="str">
        <f t="shared" si="1"/>
        <v>2023-Q3</v>
      </c>
      <c r="H104" s="47"/>
      <c r="I104" s="47"/>
      <c r="J104" s="47"/>
      <c r="K104" s="47"/>
      <c r="L104" s="47"/>
      <c r="M104" s="47"/>
      <c r="N104" s="47"/>
      <c r="O104" s="90"/>
    </row>
    <row r="105">
      <c r="A105" s="99">
        <v>45108.0</v>
      </c>
      <c r="B105" s="27" t="s">
        <v>105</v>
      </c>
      <c r="C105" s="27">
        <v>1501423.17724249</v>
      </c>
      <c r="D105" s="27">
        <v>7906344.01964254</v>
      </c>
      <c r="E105" s="89" t="str">
        <f t="shared" si="1"/>
        <v>2023-Q3</v>
      </c>
      <c r="H105" s="47"/>
      <c r="I105" s="47"/>
      <c r="J105" s="47"/>
      <c r="K105" s="47"/>
      <c r="L105" s="47"/>
      <c r="M105" s="47"/>
      <c r="N105" s="47"/>
      <c r="O105" s="90"/>
    </row>
    <row r="106">
      <c r="A106" s="99">
        <v>45108.0</v>
      </c>
      <c r="B106" s="27" t="s">
        <v>112</v>
      </c>
      <c r="C106" s="27">
        <v>-46732.144504634</v>
      </c>
      <c r="D106" s="27">
        <v>-250005.908851945</v>
      </c>
      <c r="E106" s="89" t="str">
        <f t="shared" si="1"/>
        <v>2023-Q3</v>
      </c>
      <c r="H106" s="47"/>
      <c r="I106" s="47"/>
      <c r="J106" s="47"/>
      <c r="K106" s="47"/>
      <c r="L106" s="47"/>
      <c r="M106" s="47"/>
      <c r="N106" s="47"/>
      <c r="O106" s="90"/>
    </row>
    <row r="107">
      <c r="A107" s="99">
        <v>45108.0</v>
      </c>
      <c r="B107" s="27" t="s">
        <v>109</v>
      </c>
      <c r="C107" s="27">
        <v>-969861.527599999</v>
      </c>
      <c r="D107" s="27">
        <v>-5101643.32274397</v>
      </c>
      <c r="E107" s="89" t="str">
        <f t="shared" si="1"/>
        <v>2023-Q3</v>
      </c>
      <c r="H107" s="47"/>
      <c r="I107" s="47"/>
      <c r="J107" s="47"/>
      <c r="K107" s="47"/>
      <c r="L107" s="47"/>
      <c r="M107" s="47"/>
      <c r="N107" s="47"/>
      <c r="O107" s="90"/>
    </row>
    <row r="108">
      <c r="A108" s="99">
        <v>45078.0</v>
      </c>
      <c r="B108" s="27" t="s">
        <v>116</v>
      </c>
      <c r="C108" s="27">
        <v>-458022.550537059</v>
      </c>
      <c r="D108" s="27">
        <v>-2301512.28393386</v>
      </c>
      <c r="E108" s="89" t="str">
        <f t="shared" si="1"/>
        <v>2023-Q2</v>
      </c>
      <c r="H108" s="47"/>
      <c r="I108" s="47"/>
      <c r="J108" s="47"/>
      <c r="K108" s="47"/>
      <c r="L108" s="47"/>
      <c r="M108" s="47"/>
      <c r="N108" s="47"/>
      <c r="O108" s="90"/>
    </row>
    <row r="109">
      <c r="A109" s="99">
        <v>45078.0</v>
      </c>
      <c r="B109" s="27" t="s">
        <v>120</v>
      </c>
      <c r="C109" s="27">
        <v>-695.15</v>
      </c>
      <c r="D109" s="27">
        <v>-3229.64932759094</v>
      </c>
      <c r="E109" s="89" t="str">
        <f t="shared" si="1"/>
        <v>2023-Q2</v>
      </c>
      <c r="H109" s="47"/>
      <c r="I109" s="47"/>
      <c r="J109" s="47"/>
      <c r="K109" s="47"/>
      <c r="L109" s="47"/>
      <c r="M109" s="47"/>
      <c r="N109" s="47"/>
      <c r="O109" s="90"/>
    </row>
    <row r="110">
      <c r="A110" s="99">
        <v>45078.0</v>
      </c>
      <c r="B110" s="27" t="s">
        <v>112</v>
      </c>
      <c r="C110" s="27">
        <v>-228599.843564164</v>
      </c>
      <c r="D110" s="27">
        <v>-1122468.79346482</v>
      </c>
      <c r="E110" s="89" t="str">
        <f t="shared" si="1"/>
        <v>2023-Q2</v>
      </c>
      <c r="H110" s="47"/>
      <c r="I110" s="47"/>
      <c r="J110" s="47"/>
      <c r="K110" s="47"/>
      <c r="L110" s="47"/>
      <c r="M110" s="47"/>
      <c r="N110" s="47"/>
      <c r="O110" s="90"/>
    </row>
    <row r="111">
      <c r="A111" s="99">
        <v>45078.0</v>
      </c>
      <c r="B111" s="27" t="s">
        <v>105</v>
      </c>
      <c r="C111" s="27">
        <v>1576980.124122</v>
      </c>
      <c r="D111" s="27">
        <v>7699354.99854813</v>
      </c>
      <c r="E111" s="89" t="str">
        <f t="shared" si="1"/>
        <v>2023-Q2</v>
      </c>
      <c r="H111" s="47"/>
      <c r="I111" s="47"/>
      <c r="J111" s="47"/>
      <c r="K111" s="47"/>
      <c r="L111" s="47"/>
      <c r="M111" s="47"/>
      <c r="N111" s="47"/>
      <c r="O111" s="90"/>
    </row>
    <row r="112">
      <c r="A112" s="99">
        <v>45078.0</v>
      </c>
      <c r="B112" s="27" t="s">
        <v>104</v>
      </c>
      <c r="C112" s="27">
        <v>4214.5223853776</v>
      </c>
      <c r="D112" s="97">
        <v>20512.5861632762</v>
      </c>
      <c r="E112" s="89" t="str">
        <f t="shared" si="1"/>
        <v>2023-Q2</v>
      </c>
      <c r="F112" s="100"/>
      <c r="G112" s="100"/>
      <c r="H112" s="101"/>
      <c r="I112" s="101"/>
      <c r="J112" s="101"/>
      <c r="K112" s="101"/>
      <c r="L112" s="101"/>
      <c r="M112" s="101"/>
      <c r="N112" s="101"/>
      <c r="O112" s="102"/>
    </row>
    <row r="113">
      <c r="A113" s="99">
        <v>45078.0</v>
      </c>
      <c r="B113" s="27" t="s">
        <v>109</v>
      </c>
      <c r="C113" s="27">
        <v>-102893.6065</v>
      </c>
      <c r="D113" s="27">
        <v>-517028.908337224</v>
      </c>
      <c r="E113" s="89" t="str">
        <f t="shared" si="1"/>
        <v>2023-Q2</v>
      </c>
      <c r="H113" s="47"/>
      <c r="I113" s="47"/>
      <c r="J113" s="47"/>
      <c r="K113" s="47"/>
      <c r="L113" s="47"/>
      <c r="M113" s="47"/>
      <c r="N113" s="47"/>
      <c r="O113" s="47"/>
    </row>
    <row r="114">
      <c r="H114" s="47"/>
      <c r="I114" s="47"/>
      <c r="J114" s="47"/>
      <c r="K114" s="47"/>
      <c r="L114" s="47"/>
      <c r="M114" s="47"/>
      <c r="N114" s="47"/>
      <c r="O114" s="47"/>
    </row>
    <row r="115">
      <c r="H115" s="47"/>
      <c r="I115" s="47"/>
      <c r="J115" s="47"/>
      <c r="K115" s="47"/>
      <c r="L115" s="47"/>
      <c r="M115" s="47"/>
      <c r="N115" s="47"/>
      <c r="O115" s="47"/>
    </row>
    <row r="116">
      <c r="H116" s="47"/>
      <c r="I116" s="47"/>
      <c r="J116" s="47"/>
      <c r="K116" s="47"/>
      <c r="L116" s="47"/>
      <c r="M116" s="47"/>
      <c r="N116" s="47"/>
      <c r="O116" s="47"/>
    </row>
    <row r="117">
      <c r="H117" s="47"/>
      <c r="I117" s="47"/>
      <c r="J117" s="47"/>
      <c r="K117" s="47"/>
      <c r="L117" s="47"/>
      <c r="M117" s="47"/>
      <c r="N117" s="47"/>
      <c r="O117" s="47"/>
    </row>
    <row r="118">
      <c r="H118" s="47"/>
      <c r="I118" s="47"/>
      <c r="J118" s="47"/>
      <c r="K118" s="47"/>
      <c r="L118" s="47"/>
      <c r="M118" s="47"/>
      <c r="N118" s="47"/>
      <c r="O118" s="47"/>
    </row>
    <row r="119">
      <c r="H119" s="47"/>
      <c r="I119" s="47"/>
      <c r="J119" s="47"/>
      <c r="K119" s="47"/>
      <c r="L119" s="47"/>
      <c r="M119" s="47"/>
      <c r="N119" s="47"/>
      <c r="O119" s="47"/>
    </row>
    <row r="120">
      <c r="H120" s="47"/>
      <c r="I120" s="47"/>
      <c r="J120" s="47"/>
      <c r="K120" s="47"/>
      <c r="L120" s="47"/>
      <c r="M120" s="47"/>
      <c r="N120" s="47"/>
      <c r="O120" s="47"/>
    </row>
    <row r="121">
      <c r="H121" s="47"/>
      <c r="I121" s="47"/>
      <c r="J121" s="47"/>
      <c r="K121" s="47"/>
      <c r="L121" s="47"/>
      <c r="M121" s="47"/>
      <c r="N121" s="47"/>
      <c r="O121" s="47"/>
    </row>
    <row r="122">
      <c r="H122" s="47"/>
      <c r="I122" s="47"/>
      <c r="J122" s="47"/>
      <c r="K122" s="47"/>
      <c r="L122" s="47"/>
      <c r="M122" s="47"/>
      <c r="N122" s="47"/>
      <c r="O122" s="47"/>
    </row>
    <row r="123">
      <c r="H123" s="47"/>
      <c r="I123" s="47"/>
      <c r="J123" s="47"/>
      <c r="K123" s="47"/>
      <c r="L123" s="47"/>
      <c r="M123" s="47"/>
      <c r="N123" s="47"/>
      <c r="O123" s="47"/>
    </row>
    <row r="124">
      <c r="H124" s="47"/>
      <c r="I124" s="47"/>
      <c r="J124" s="47"/>
      <c r="K124" s="47"/>
      <c r="L124" s="47"/>
      <c r="M124" s="47"/>
      <c r="N124" s="47"/>
      <c r="O124" s="47"/>
    </row>
    <row r="125">
      <c r="H125" s="47"/>
      <c r="I125" s="47"/>
      <c r="J125" s="47"/>
      <c r="K125" s="47"/>
      <c r="L125" s="47"/>
      <c r="M125" s="47"/>
      <c r="N125" s="47"/>
      <c r="O125" s="47"/>
    </row>
    <row r="126">
      <c r="H126" s="47"/>
      <c r="I126" s="47"/>
      <c r="J126" s="47"/>
      <c r="K126" s="47"/>
      <c r="L126" s="47"/>
      <c r="M126" s="47"/>
      <c r="N126" s="47"/>
      <c r="O126" s="47"/>
    </row>
    <row r="127">
      <c r="H127" s="47"/>
      <c r="I127" s="47"/>
      <c r="J127" s="47"/>
      <c r="K127" s="47"/>
      <c r="L127" s="47"/>
      <c r="M127" s="47"/>
      <c r="N127" s="47"/>
      <c r="O127" s="47"/>
    </row>
    <row r="128">
      <c r="H128" s="47"/>
      <c r="I128" s="47"/>
      <c r="J128" s="47"/>
      <c r="K128" s="47"/>
      <c r="L128" s="47"/>
      <c r="M128" s="47"/>
      <c r="N128" s="47"/>
      <c r="O128" s="47"/>
    </row>
    <row r="129">
      <c r="H129" s="47"/>
      <c r="I129" s="47"/>
      <c r="J129" s="47"/>
      <c r="K129" s="47"/>
      <c r="L129" s="47"/>
      <c r="M129" s="47"/>
      <c r="N129" s="47"/>
      <c r="O129" s="47"/>
    </row>
    <row r="130">
      <c r="H130" s="47"/>
      <c r="I130" s="47"/>
      <c r="J130" s="47"/>
      <c r="K130" s="47"/>
      <c r="L130" s="47"/>
      <c r="M130" s="47"/>
      <c r="N130" s="47"/>
      <c r="O130" s="47"/>
    </row>
    <row r="131">
      <c r="H131" s="47"/>
      <c r="I131" s="47"/>
      <c r="J131" s="47"/>
      <c r="K131" s="47"/>
      <c r="L131" s="47"/>
      <c r="M131" s="47"/>
      <c r="N131" s="47"/>
      <c r="O131" s="47"/>
    </row>
    <row r="132">
      <c r="H132" s="47"/>
      <c r="I132" s="47"/>
      <c r="J132" s="47"/>
      <c r="K132" s="47"/>
      <c r="L132" s="47"/>
      <c r="M132" s="47"/>
      <c r="N132" s="47"/>
      <c r="O132" s="47"/>
    </row>
    <row r="133">
      <c r="H133" s="47"/>
      <c r="I133" s="47"/>
      <c r="J133" s="47"/>
      <c r="K133" s="47"/>
      <c r="L133" s="47"/>
      <c r="M133" s="47"/>
      <c r="N133" s="47"/>
      <c r="O133" s="47"/>
    </row>
    <row r="134">
      <c r="H134" s="47"/>
      <c r="I134" s="47"/>
      <c r="J134" s="47"/>
      <c r="K134" s="47"/>
      <c r="L134" s="47"/>
      <c r="M134" s="47"/>
      <c r="N134" s="47"/>
      <c r="O134" s="47"/>
    </row>
    <row r="135">
      <c r="H135" s="47"/>
      <c r="I135" s="47"/>
      <c r="J135" s="47"/>
      <c r="K135" s="47"/>
      <c r="L135" s="47"/>
      <c r="M135" s="47"/>
      <c r="N135" s="47"/>
      <c r="O135" s="47"/>
    </row>
    <row r="136">
      <c r="H136" s="47"/>
      <c r="I136" s="47"/>
      <c r="J136" s="47"/>
      <c r="K136" s="47"/>
      <c r="L136" s="47"/>
      <c r="M136" s="47"/>
      <c r="N136" s="47"/>
      <c r="O136" s="47"/>
    </row>
    <row r="137">
      <c r="H137" s="47"/>
      <c r="I137" s="47"/>
      <c r="J137" s="47"/>
      <c r="K137" s="47"/>
      <c r="L137" s="47"/>
      <c r="M137" s="47"/>
      <c r="N137" s="47"/>
      <c r="O137" s="47"/>
    </row>
    <row r="138">
      <c r="H138" s="47"/>
      <c r="I138" s="47"/>
      <c r="J138" s="47"/>
      <c r="K138" s="47"/>
      <c r="L138" s="47"/>
      <c r="M138" s="47"/>
      <c r="N138" s="47"/>
      <c r="O138" s="47"/>
    </row>
    <row r="139">
      <c r="H139" s="47"/>
      <c r="I139" s="47"/>
      <c r="J139" s="47"/>
      <c r="K139" s="47"/>
      <c r="L139" s="47"/>
      <c r="M139" s="47"/>
      <c r="N139" s="47"/>
      <c r="O139" s="47"/>
    </row>
    <row r="140">
      <c r="H140" s="47"/>
      <c r="I140" s="47"/>
      <c r="J140" s="47"/>
      <c r="K140" s="47"/>
      <c r="L140" s="47"/>
      <c r="M140" s="47"/>
      <c r="N140" s="47"/>
      <c r="O140" s="47"/>
    </row>
    <row r="141">
      <c r="H141" s="47"/>
      <c r="I141" s="47"/>
      <c r="J141" s="47"/>
      <c r="K141" s="47"/>
      <c r="L141" s="47"/>
      <c r="M141" s="47"/>
      <c r="N141" s="47"/>
      <c r="O141" s="47"/>
    </row>
    <row r="142">
      <c r="H142" s="47"/>
      <c r="I142" s="47"/>
      <c r="J142" s="47"/>
      <c r="K142" s="47"/>
      <c r="L142" s="47"/>
      <c r="M142" s="47"/>
      <c r="N142" s="47"/>
      <c r="O142" s="47"/>
    </row>
    <row r="143">
      <c r="H143" s="47"/>
      <c r="I143" s="47"/>
      <c r="J143" s="47"/>
      <c r="K143" s="47"/>
      <c r="L143" s="47"/>
      <c r="M143" s="47"/>
      <c r="N143" s="47"/>
      <c r="O143" s="47"/>
    </row>
    <row r="144">
      <c r="H144" s="47"/>
      <c r="I144" s="47"/>
      <c r="J144" s="47"/>
      <c r="K144" s="47"/>
      <c r="L144" s="47"/>
      <c r="M144" s="47"/>
      <c r="N144" s="47"/>
      <c r="O144" s="47"/>
    </row>
    <row r="145">
      <c r="H145" s="47"/>
      <c r="I145" s="47"/>
      <c r="J145" s="47"/>
      <c r="K145" s="47"/>
      <c r="L145" s="47"/>
      <c r="M145" s="47"/>
      <c r="N145" s="47"/>
      <c r="O145" s="47"/>
    </row>
    <row r="146">
      <c r="H146" s="47"/>
      <c r="I146" s="47"/>
      <c r="J146" s="47"/>
      <c r="K146" s="47"/>
      <c r="L146" s="47"/>
      <c r="M146" s="47"/>
      <c r="N146" s="47"/>
      <c r="O146" s="47"/>
    </row>
    <row r="147">
      <c r="H147" s="47"/>
      <c r="I147" s="47"/>
      <c r="J147" s="47"/>
      <c r="K147" s="47"/>
      <c r="L147" s="47"/>
      <c r="M147" s="47"/>
      <c r="N147" s="47"/>
      <c r="O147" s="47"/>
    </row>
    <row r="148">
      <c r="H148" s="47"/>
      <c r="I148" s="47"/>
      <c r="J148" s="47"/>
      <c r="K148" s="47"/>
      <c r="L148" s="47"/>
      <c r="M148" s="47"/>
      <c r="N148" s="47"/>
      <c r="O148" s="47"/>
    </row>
    <row r="149">
      <c r="H149" s="47"/>
      <c r="I149" s="47"/>
      <c r="J149" s="47"/>
      <c r="K149" s="47"/>
      <c r="L149" s="47"/>
      <c r="M149" s="47"/>
      <c r="N149" s="47"/>
      <c r="O149" s="47"/>
    </row>
    <row r="150">
      <c r="H150" s="47"/>
      <c r="I150" s="47"/>
      <c r="J150" s="47"/>
      <c r="K150" s="47"/>
      <c r="L150" s="47"/>
      <c r="M150" s="47"/>
      <c r="N150" s="47"/>
      <c r="O150" s="47"/>
    </row>
    <row r="151">
      <c r="H151" s="47"/>
      <c r="I151" s="47"/>
      <c r="J151" s="47"/>
      <c r="K151" s="47"/>
      <c r="L151" s="47"/>
      <c r="M151" s="47"/>
      <c r="N151" s="47"/>
      <c r="O151" s="47"/>
    </row>
    <row r="152">
      <c r="H152" s="47"/>
      <c r="I152" s="47"/>
      <c r="J152" s="47"/>
      <c r="K152" s="47"/>
      <c r="L152" s="47"/>
      <c r="M152" s="47"/>
      <c r="N152" s="47"/>
      <c r="O152" s="47"/>
    </row>
    <row r="153">
      <c r="H153" s="47"/>
      <c r="I153" s="47"/>
      <c r="J153" s="47"/>
      <c r="K153" s="47"/>
      <c r="L153" s="47"/>
      <c r="M153" s="47"/>
      <c r="N153" s="47"/>
      <c r="O153" s="47"/>
    </row>
    <row r="154">
      <c r="H154" s="47"/>
      <c r="I154" s="47"/>
      <c r="J154" s="47"/>
      <c r="K154" s="47"/>
      <c r="L154" s="47"/>
      <c r="M154" s="47"/>
      <c r="N154" s="47"/>
      <c r="O154" s="47"/>
    </row>
    <row r="155">
      <c r="H155" s="47"/>
      <c r="I155" s="47"/>
      <c r="J155" s="47"/>
      <c r="K155" s="47"/>
      <c r="L155" s="47"/>
      <c r="M155" s="47"/>
      <c r="N155" s="47"/>
      <c r="O155" s="47"/>
    </row>
    <row r="156">
      <c r="H156" s="47"/>
      <c r="I156" s="47"/>
      <c r="J156" s="47"/>
      <c r="K156" s="47"/>
      <c r="L156" s="47"/>
      <c r="M156" s="47"/>
      <c r="N156" s="47"/>
      <c r="O156" s="47"/>
    </row>
    <row r="157">
      <c r="H157" s="47"/>
      <c r="I157" s="47"/>
      <c r="J157" s="47"/>
      <c r="K157" s="47"/>
      <c r="L157" s="47"/>
      <c r="M157" s="47"/>
      <c r="N157" s="47"/>
      <c r="O157" s="47"/>
    </row>
    <row r="158">
      <c r="H158" s="47"/>
      <c r="I158" s="47"/>
      <c r="J158" s="47"/>
      <c r="K158" s="47"/>
      <c r="L158" s="47"/>
      <c r="M158" s="47"/>
      <c r="N158" s="47"/>
      <c r="O158" s="47"/>
    </row>
    <row r="159">
      <c r="H159" s="47"/>
      <c r="I159" s="47"/>
      <c r="J159" s="47"/>
      <c r="K159" s="47"/>
      <c r="L159" s="47"/>
      <c r="M159" s="47"/>
      <c r="N159" s="47"/>
      <c r="O159" s="47"/>
    </row>
    <row r="160">
      <c r="H160" s="47"/>
      <c r="I160" s="47"/>
      <c r="J160" s="47"/>
      <c r="K160" s="47"/>
      <c r="L160" s="47"/>
      <c r="M160" s="47"/>
      <c r="N160" s="47"/>
      <c r="O160" s="47"/>
    </row>
    <row r="161">
      <c r="H161" s="47"/>
      <c r="I161" s="47"/>
      <c r="J161" s="47"/>
      <c r="K161" s="47"/>
      <c r="L161" s="47"/>
      <c r="M161" s="47"/>
      <c r="N161" s="47"/>
      <c r="O161" s="47"/>
    </row>
    <row r="162">
      <c r="H162" s="47"/>
      <c r="I162" s="47"/>
      <c r="J162" s="47"/>
      <c r="K162" s="47"/>
      <c r="L162" s="47"/>
      <c r="M162" s="47"/>
      <c r="N162" s="47"/>
      <c r="O162" s="47"/>
    </row>
    <row r="163">
      <c r="H163" s="47"/>
      <c r="I163" s="47"/>
      <c r="J163" s="47"/>
      <c r="K163" s="47"/>
      <c r="L163" s="47"/>
      <c r="M163" s="47"/>
      <c r="N163" s="47"/>
      <c r="O163" s="47"/>
    </row>
    <row r="164">
      <c r="H164" s="47"/>
      <c r="I164" s="47"/>
      <c r="J164" s="47"/>
      <c r="K164" s="47"/>
      <c r="L164" s="47"/>
      <c r="M164" s="47"/>
      <c r="N164" s="47"/>
      <c r="O164" s="47"/>
    </row>
    <row r="165">
      <c r="H165" s="47"/>
      <c r="I165" s="47"/>
      <c r="J165" s="47"/>
      <c r="K165" s="47"/>
      <c r="L165" s="47"/>
      <c r="M165" s="47"/>
      <c r="N165" s="47"/>
      <c r="O165" s="47"/>
    </row>
    <row r="166">
      <c r="H166" s="47"/>
      <c r="I166" s="47"/>
      <c r="J166" s="47"/>
      <c r="K166" s="47"/>
      <c r="L166" s="47"/>
      <c r="M166" s="47"/>
      <c r="N166" s="47"/>
      <c r="O166" s="47"/>
    </row>
    <row r="167">
      <c r="H167" s="47"/>
      <c r="I167" s="47"/>
      <c r="J167" s="47"/>
      <c r="K167" s="47"/>
      <c r="L167" s="47"/>
      <c r="M167" s="47"/>
      <c r="N167" s="47"/>
      <c r="O167" s="47"/>
    </row>
    <row r="168">
      <c r="H168" s="47"/>
      <c r="I168" s="47"/>
      <c r="J168" s="47"/>
      <c r="K168" s="47"/>
      <c r="L168" s="47"/>
      <c r="M168" s="47"/>
      <c r="N168" s="47"/>
      <c r="O168" s="47"/>
    </row>
    <row r="169">
      <c r="H169" s="47"/>
      <c r="I169" s="47"/>
      <c r="J169" s="47"/>
      <c r="K169" s="47"/>
      <c r="L169" s="47"/>
      <c r="M169" s="47"/>
      <c r="N169" s="47"/>
      <c r="O169" s="47"/>
    </row>
    <row r="170">
      <c r="H170" s="47"/>
      <c r="I170" s="47"/>
      <c r="J170" s="47"/>
      <c r="K170" s="47"/>
      <c r="L170" s="47"/>
      <c r="M170" s="47"/>
      <c r="N170" s="47"/>
      <c r="O170" s="47"/>
    </row>
    <row r="171">
      <c r="H171" s="47"/>
      <c r="I171" s="47"/>
      <c r="J171" s="47"/>
      <c r="K171" s="47"/>
      <c r="L171" s="47"/>
      <c r="M171" s="47"/>
      <c r="N171" s="47"/>
      <c r="O171" s="47"/>
    </row>
    <row r="172">
      <c r="H172" s="47"/>
      <c r="I172" s="47"/>
      <c r="J172" s="47"/>
      <c r="K172" s="47"/>
      <c r="L172" s="47"/>
      <c r="M172" s="47"/>
      <c r="N172" s="47"/>
      <c r="O172" s="47"/>
    </row>
    <row r="173">
      <c r="H173" s="47"/>
      <c r="I173" s="47"/>
      <c r="J173" s="47"/>
      <c r="K173" s="47"/>
      <c r="L173" s="47"/>
      <c r="M173" s="47"/>
      <c r="N173" s="47"/>
      <c r="O173" s="47"/>
    </row>
    <row r="174">
      <c r="H174" s="47"/>
      <c r="I174" s="47"/>
      <c r="J174" s="47"/>
      <c r="K174" s="47"/>
      <c r="L174" s="47"/>
      <c r="M174" s="47"/>
      <c r="N174" s="47"/>
      <c r="O174" s="47"/>
    </row>
    <row r="175">
      <c r="H175" s="47"/>
      <c r="I175" s="47"/>
      <c r="J175" s="47"/>
      <c r="K175" s="47"/>
      <c r="L175" s="47"/>
      <c r="M175" s="47"/>
      <c r="N175" s="47"/>
      <c r="O175" s="47"/>
    </row>
    <row r="176">
      <c r="H176" s="47"/>
      <c r="I176" s="47"/>
      <c r="J176" s="47"/>
      <c r="K176" s="47"/>
      <c r="L176" s="47"/>
      <c r="M176" s="47"/>
      <c r="N176" s="47"/>
      <c r="O176" s="47"/>
    </row>
    <row r="177">
      <c r="H177" s="47"/>
      <c r="I177" s="47"/>
      <c r="J177" s="47"/>
      <c r="K177" s="47"/>
      <c r="L177" s="47"/>
      <c r="M177" s="47"/>
      <c r="N177" s="47"/>
      <c r="O177" s="47"/>
    </row>
    <row r="178">
      <c r="H178" s="47"/>
      <c r="I178" s="47"/>
      <c r="J178" s="47"/>
      <c r="K178" s="47"/>
      <c r="L178" s="47"/>
      <c r="M178" s="47"/>
      <c r="N178" s="47"/>
      <c r="O178" s="47"/>
    </row>
    <row r="179">
      <c r="H179" s="47"/>
      <c r="I179" s="47"/>
      <c r="J179" s="47"/>
      <c r="K179" s="47"/>
      <c r="L179" s="47"/>
      <c r="M179" s="47"/>
      <c r="N179" s="47"/>
      <c r="O179" s="47"/>
    </row>
    <row r="180">
      <c r="H180" s="47"/>
      <c r="I180" s="47"/>
      <c r="J180" s="47"/>
      <c r="K180" s="47"/>
      <c r="L180" s="47"/>
      <c r="M180" s="47"/>
      <c r="N180" s="47"/>
      <c r="O180" s="47"/>
    </row>
    <row r="181">
      <c r="H181" s="47"/>
      <c r="I181" s="47"/>
      <c r="J181" s="47"/>
      <c r="K181" s="47"/>
      <c r="L181" s="47"/>
      <c r="M181" s="47"/>
      <c r="N181" s="47"/>
      <c r="O181" s="47"/>
    </row>
    <row r="182">
      <c r="H182" s="47"/>
      <c r="I182" s="47"/>
      <c r="J182" s="47"/>
      <c r="K182" s="47"/>
      <c r="L182" s="47"/>
      <c r="M182" s="47"/>
      <c r="N182" s="47"/>
      <c r="O182" s="47"/>
    </row>
    <row r="183">
      <c r="H183" s="47"/>
      <c r="I183" s="47"/>
      <c r="J183" s="47"/>
      <c r="K183" s="47"/>
      <c r="L183" s="47"/>
      <c r="M183" s="47"/>
      <c r="N183" s="47"/>
      <c r="O183" s="47"/>
    </row>
    <row r="184">
      <c r="H184" s="47"/>
      <c r="I184" s="47"/>
      <c r="J184" s="47"/>
      <c r="K184" s="47"/>
      <c r="L184" s="47"/>
      <c r="M184" s="47"/>
      <c r="N184" s="47"/>
      <c r="O184" s="47"/>
    </row>
    <row r="185">
      <c r="H185" s="47"/>
      <c r="I185" s="47"/>
      <c r="J185" s="47"/>
      <c r="K185" s="47"/>
      <c r="L185" s="47"/>
      <c r="M185" s="47"/>
      <c r="N185" s="47"/>
      <c r="O185" s="47"/>
    </row>
    <row r="186">
      <c r="H186" s="47"/>
      <c r="I186" s="47"/>
      <c r="J186" s="47"/>
      <c r="K186" s="47"/>
      <c r="L186" s="47"/>
      <c r="M186" s="47"/>
      <c r="N186" s="47"/>
      <c r="O186" s="47"/>
    </row>
    <row r="187">
      <c r="H187" s="47"/>
      <c r="I187" s="47"/>
      <c r="J187" s="47"/>
      <c r="K187" s="47"/>
      <c r="L187" s="47"/>
      <c r="M187" s="47"/>
      <c r="N187" s="47"/>
      <c r="O187" s="47"/>
    </row>
    <row r="188">
      <c r="H188" s="47"/>
      <c r="I188" s="47"/>
      <c r="J188" s="47"/>
      <c r="K188" s="47"/>
      <c r="L188" s="47"/>
      <c r="M188" s="47"/>
      <c r="N188" s="47"/>
      <c r="O188" s="47"/>
    </row>
    <row r="189">
      <c r="H189" s="47"/>
      <c r="I189" s="47"/>
      <c r="J189" s="47"/>
      <c r="K189" s="47"/>
      <c r="L189" s="47"/>
      <c r="M189" s="47"/>
      <c r="N189" s="47"/>
      <c r="O189" s="47"/>
    </row>
    <row r="190">
      <c r="H190" s="47"/>
      <c r="I190" s="47"/>
      <c r="J190" s="47"/>
      <c r="K190" s="47"/>
      <c r="L190" s="47"/>
      <c r="M190" s="47"/>
      <c r="N190" s="47"/>
      <c r="O190" s="47"/>
    </row>
    <row r="191">
      <c r="H191" s="47"/>
      <c r="I191" s="47"/>
      <c r="J191" s="47"/>
      <c r="K191" s="47"/>
      <c r="L191" s="47"/>
      <c r="M191" s="47"/>
      <c r="N191" s="47"/>
      <c r="O191" s="47"/>
    </row>
    <row r="192">
      <c r="H192" s="47"/>
      <c r="I192" s="47"/>
      <c r="J192" s="47"/>
      <c r="K192" s="47"/>
      <c r="L192" s="47"/>
      <c r="M192" s="47"/>
      <c r="N192" s="47"/>
      <c r="O192" s="47"/>
    </row>
    <row r="193">
      <c r="H193" s="47"/>
      <c r="I193" s="47"/>
      <c r="J193" s="47"/>
      <c r="K193" s="47"/>
      <c r="L193" s="47"/>
      <c r="M193" s="47"/>
      <c r="N193" s="47"/>
      <c r="O193" s="47"/>
    </row>
    <row r="194">
      <c r="H194" s="47"/>
      <c r="I194" s="47"/>
      <c r="J194" s="47"/>
      <c r="K194" s="47"/>
      <c r="L194" s="47"/>
      <c r="M194" s="47"/>
      <c r="N194" s="47"/>
      <c r="O194" s="47"/>
    </row>
    <row r="195">
      <c r="H195" s="47"/>
      <c r="I195" s="47"/>
      <c r="J195" s="47"/>
      <c r="K195" s="47"/>
      <c r="L195" s="47"/>
      <c r="M195" s="47"/>
      <c r="N195" s="47"/>
      <c r="O195" s="47"/>
    </row>
    <row r="196">
      <c r="H196" s="47"/>
      <c r="I196" s="47"/>
      <c r="J196" s="47"/>
      <c r="K196" s="47"/>
      <c r="L196" s="47"/>
      <c r="M196" s="47"/>
      <c r="N196" s="47"/>
      <c r="O196" s="47"/>
    </row>
    <row r="197">
      <c r="H197" s="47"/>
      <c r="I197" s="47"/>
      <c r="J197" s="47"/>
      <c r="K197" s="47"/>
      <c r="L197" s="47"/>
      <c r="M197" s="47"/>
      <c r="N197" s="47"/>
      <c r="O197" s="47"/>
    </row>
    <row r="198">
      <c r="H198" s="47"/>
      <c r="I198" s="47"/>
      <c r="J198" s="47"/>
      <c r="K198" s="47"/>
      <c r="L198" s="47"/>
      <c r="M198" s="47"/>
      <c r="N198" s="47"/>
      <c r="O198" s="47"/>
    </row>
    <row r="199">
      <c r="H199" s="47"/>
      <c r="I199" s="47"/>
      <c r="J199" s="47"/>
      <c r="K199" s="47"/>
      <c r="L199" s="47"/>
      <c r="M199" s="47"/>
      <c r="N199" s="47"/>
      <c r="O199" s="47"/>
    </row>
    <row r="200">
      <c r="H200" s="47"/>
      <c r="I200" s="47"/>
      <c r="J200" s="47"/>
      <c r="K200" s="47"/>
      <c r="L200" s="47"/>
      <c r="M200" s="47"/>
      <c r="N200" s="47"/>
      <c r="O200" s="47"/>
    </row>
    <row r="201">
      <c r="H201" s="47"/>
      <c r="I201" s="47"/>
      <c r="J201" s="47"/>
      <c r="K201" s="47"/>
      <c r="L201" s="47"/>
      <c r="M201" s="47"/>
      <c r="N201" s="47"/>
      <c r="O201" s="47"/>
    </row>
    <row r="202">
      <c r="H202" s="47"/>
      <c r="I202" s="47"/>
      <c r="J202" s="47"/>
      <c r="K202" s="47"/>
      <c r="L202" s="47"/>
      <c r="M202" s="47"/>
      <c r="N202" s="47"/>
      <c r="O202" s="47"/>
    </row>
    <row r="203">
      <c r="H203" s="47"/>
      <c r="I203" s="47"/>
      <c r="J203" s="47"/>
      <c r="K203" s="47"/>
      <c r="L203" s="47"/>
      <c r="M203" s="47"/>
      <c r="N203" s="47"/>
      <c r="O203" s="47"/>
    </row>
    <row r="204">
      <c r="H204" s="47"/>
      <c r="I204" s="47"/>
      <c r="J204" s="47"/>
      <c r="K204" s="47"/>
      <c r="L204" s="47"/>
      <c r="M204" s="47"/>
      <c r="N204" s="47"/>
      <c r="O204" s="47"/>
    </row>
    <row r="205">
      <c r="H205" s="47"/>
      <c r="I205" s="47"/>
      <c r="J205" s="47"/>
      <c r="K205" s="47"/>
      <c r="L205" s="47"/>
      <c r="M205" s="47"/>
      <c r="N205" s="47"/>
      <c r="O205" s="47"/>
    </row>
    <row r="206">
      <c r="H206" s="47"/>
      <c r="I206" s="47"/>
      <c r="J206" s="47"/>
      <c r="K206" s="47"/>
      <c r="L206" s="47"/>
      <c r="M206" s="47"/>
      <c r="N206" s="47"/>
      <c r="O206" s="47"/>
    </row>
    <row r="207">
      <c r="H207" s="47"/>
      <c r="I207" s="47"/>
      <c r="J207" s="47"/>
      <c r="K207" s="47"/>
      <c r="L207" s="47"/>
      <c r="M207" s="47"/>
      <c r="N207" s="47"/>
      <c r="O207" s="47"/>
    </row>
    <row r="208">
      <c r="H208" s="47"/>
      <c r="I208" s="47"/>
      <c r="J208" s="47"/>
      <c r="K208" s="47"/>
      <c r="L208" s="47"/>
      <c r="M208" s="47"/>
      <c r="N208" s="47"/>
      <c r="O208" s="47"/>
    </row>
    <row r="209">
      <c r="H209" s="47"/>
      <c r="I209" s="47"/>
      <c r="J209" s="47"/>
      <c r="K209" s="47"/>
      <c r="L209" s="47"/>
      <c r="M209" s="47"/>
      <c r="N209" s="47"/>
      <c r="O209" s="47"/>
    </row>
    <row r="210">
      <c r="H210" s="47"/>
      <c r="I210" s="47"/>
      <c r="J210" s="47"/>
      <c r="K210" s="47"/>
      <c r="L210" s="47"/>
      <c r="M210" s="47"/>
      <c r="N210" s="47"/>
      <c r="O210" s="47"/>
    </row>
    <row r="211">
      <c r="H211" s="47"/>
      <c r="I211" s="47"/>
      <c r="J211" s="47"/>
      <c r="K211" s="47"/>
      <c r="L211" s="47"/>
      <c r="M211" s="47"/>
      <c r="N211" s="47"/>
      <c r="O211" s="47"/>
    </row>
    <row r="212">
      <c r="H212" s="47"/>
      <c r="I212" s="47"/>
      <c r="J212" s="47"/>
      <c r="K212" s="47"/>
      <c r="L212" s="47"/>
      <c r="M212" s="47"/>
      <c r="N212" s="47"/>
      <c r="O212" s="47"/>
    </row>
    <row r="213">
      <c r="H213" s="47"/>
      <c r="I213" s="47"/>
      <c r="J213" s="47"/>
      <c r="K213" s="47"/>
      <c r="L213" s="47"/>
      <c r="M213" s="47"/>
      <c r="N213" s="47"/>
      <c r="O213" s="47"/>
    </row>
    <row r="214">
      <c r="H214" s="47"/>
      <c r="I214" s="47"/>
      <c r="J214" s="47"/>
      <c r="K214" s="47"/>
      <c r="L214" s="47"/>
      <c r="M214" s="47"/>
      <c r="N214" s="47"/>
      <c r="O214" s="47"/>
    </row>
    <row r="215">
      <c r="H215" s="47"/>
      <c r="I215" s="47"/>
      <c r="J215" s="47"/>
      <c r="K215" s="47"/>
      <c r="L215" s="47"/>
      <c r="M215" s="47"/>
      <c r="N215" s="47"/>
      <c r="O215" s="47"/>
    </row>
    <row r="216">
      <c r="H216" s="47"/>
      <c r="I216" s="47"/>
      <c r="J216" s="47"/>
      <c r="K216" s="47"/>
      <c r="L216" s="47"/>
      <c r="M216" s="47"/>
      <c r="N216" s="47"/>
      <c r="O216" s="47"/>
    </row>
    <row r="217">
      <c r="H217" s="47"/>
      <c r="I217" s="47"/>
      <c r="J217" s="47"/>
      <c r="K217" s="47"/>
      <c r="L217" s="47"/>
      <c r="M217" s="47"/>
      <c r="N217" s="47"/>
      <c r="O217" s="47"/>
    </row>
    <row r="218">
      <c r="H218" s="47"/>
      <c r="I218" s="47"/>
      <c r="J218" s="47"/>
      <c r="K218" s="47"/>
      <c r="L218" s="47"/>
      <c r="M218" s="47"/>
      <c r="N218" s="47"/>
      <c r="O218" s="47"/>
    </row>
    <row r="219">
      <c r="H219" s="47"/>
      <c r="I219" s="47"/>
      <c r="J219" s="47"/>
      <c r="K219" s="47"/>
      <c r="L219" s="47"/>
      <c r="M219" s="47"/>
      <c r="N219" s="47"/>
      <c r="O219" s="47"/>
    </row>
    <row r="220">
      <c r="H220" s="47"/>
      <c r="I220" s="47"/>
      <c r="J220" s="47"/>
      <c r="K220" s="47"/>
      <c r="L220" s="47"/>
      <c r="M220" s="47"/>
      <c r="N220" s="47"/>
      <c r="O220" s="47"/>
    </row>
    <row r="221">
      <c r="H221" s="47"/>
      <c r="I221" s="47"/>
      <c r="J221" s="47"/>
      <c r="K221" s="47"/>
      <c r="L221" s="47"/>
      <c r="M221" s="47"/>
      <c r="N221" s="47"/>
      <c r="O221" s="47"/>
    </row>
    <row r="222">
      <c r="H222" s="47"/>
      <c r="I222" s="47"/>
      <c r="J222" s="47"/>
      <c r="K222" s="47"/>
      <c r="L222" s="47"/>
      <c r="M222" s="47"/>
      <c r="N222" s="47"/>
      <c r="O222" s="47"/>
    </row>
    <row r="223">
      <c r="H223" s="47"/>
      <c r="I223" s="47"/>
      <c r="J223" s="47"/>
      <c r="K223" s="47"/>
      <c r="L223" s="47"/>
      <c r="M223" s="47"/>
      <c r="N223" s="47"/>
      <c r="O223" s="47"/>
    </row>
    <row r="224">
      <c r="H224" s="47"/>
      <c r="I224" s="47"/>
      <c r="J224" s="47"/>
      <c r="K224" s="47"/>
      <c r="L224" s="47"/>
      <c r="M224" s="47"/>
      <c r="N224" s="47"/>
      <c r="O224" s="47"/>
    </row>
    <row r="225">
      <c r="H225" s="47"/>
      <c r="I225" s="47"/>
      <c r="J225" s="47"/>
      <c r="K225" s="47"/>
      <c r="L225" s="47"/>
      <c r="M225" s="47"/>
      <c r="N225" s="47"/>
      <c r="O225" s="47"/>
    </row>
    <row r="226">
      <c r="H226" s="47"/>
      <c r="I226" s="47"/>
      <c r="J226" s="47"/>
      <c r="K226" s="47"/>
      <c r="L226" s="47"/>
      <c r="M226" s="47"/>
      <c r="N226" s="47"/>
      <c r="O226" s="47"/>
    </row>
    <row r="227">
      <c r="H227" s="47"/>
      <c r="I227" s="47"/>
      <c r="J227" s="47"/>
      <c r="K227" s="47"/>
      <c r="L227" s="47"/>
      <c r="M227" s="47"/>
      <c r="N227" s="47"/>
      <c r="O227" s="47"/>
    </row>
    <row r="228">
      <c r="H228" s="47"/>
      <c r="I228" s="47"/>
      <c r="J228" s="47"/>
      <c r="K228" s="47"/>
      <c r="L228" s="47"/>
      <c r="M228" s="47"/>
      <c r="N228" s="47"/>
      <c r="O228" s="47"/>
    </row>
    <row r="229">
      <c r="H229" s="47"/>
      <c r="I229" s="47"/>
      <c r="J229" s="47"/>
      <c r="K229" s="47"/>
      <c r="L229" s="47"/>
      <c r="M229" s="47"/>
      <c r="N229" s="47"/>
      <c r="O229" s="47"/>
    </row>
    <row r="230">
      <c r="H230" s="47"/>
      <c r="I230" s="47"/>
      <c r="J230" s="47"/>
      <c r="K230" s="47"/>
      <c r="L230" s="47"/>
      <c r="M230" s="47"/>
      <c r="N230" s="47"/>
      <c r="O230" s="47"/>
    </row>
    <row r="231">
      <c r="H231" s="47"/>
      <c r="I231" s="47"/>
      <c r="J231" s="47"/>
      <c r="K231" s="47"/>
      <c r="L231" s="47"/>
      <c r="M231" s="47"/>
      <c r="N231" s="47"/>
      <c r="O231" s="47"/>
    </row>
    <row r="232">
      <c r="H232" s="47"/>
      <c r="I232" s="47"/>
      <c r="J232" s="47"/>
      <c r="K232" s="47"/>
      <c r="L232" s="47"/>
      <c r="M232" s="47"/>
      <c r="N232" s="47"/>
      <c r="O232" s="47"/>
    </row>
    <row r="233">
      <c r="H233" s="47"/>
      <c r="I233" s="47"/>
      <c r="J233" s="47"/>
      <c r="K233" s="47"/>
      <c r="L233" s="47"/>
      <c r="M233" s="47"/>
      <c r="N233" s="47"/>
      <c r="O233" s="47"/>
    </row>
    <row r="234">
      <c r="H234" s="47"/>
      <c r="I234" s="47"/>
      <c r="J234" s="47"/>
      <c r="K234" s="47"/>
      <c r="L234" s="47"/>
      <c r="M234" s="47"/>
      <c r="N234" s="47"/>
      <c r="O234" s="47"/>
    </row>
    <row r="235">
      <c r="H235" s="47"/>
      <c r="I235" s="47"/>
      <c r="J235" s="47"/>
      <c r="K235" s="47"/>
      <c r="L235" s="47"/>
      <c r="M235" s="47"/>
      <c r="N235" s="47"/>
      <c r="O235" s="47"/>
    </row>
    <row r="236">
      <c r="H236" s="47"/>
      <c r="I236" s="47"/>
      <c r="J236" s="47"/>
      <c r="K236" s="47"/>
      <c r="L236" s="47"/>
      <c r="M236" s="47"/>
      <c r="N236" s="47"/>
      <c r="O236" s="47"/>
    </row>
    <row r="237">
      <c r="H237" s="47"/>
      <c r="I237" s="47"/>
      <c r="J237" s="47"/>
      <c r="K237" s="47"/>
      <c r="L237" s="47"/>
      <c r="M237" s="47"/>
      <c r="N237" s="47"/>
      <c r="O237" s="47"/>
    </row>
    <row r="238">
      <c r="H238" s="47"/>
      <c r="I238" s="47"/>
      <c r="J238" s="47"/>
      <c r="K238" s="47"/>
      <c r="L238" s="47"/>
      <c r="M238" s="47"/>
      <c r="N238" s="47"/>
      <c r="O238" s="47"/>
    </row>
    <row r="239">
      <c r="H239" s="47"/>
      <c r="I239" s="47"/>
      <c r="J239" s="47"/>
      <c r="K239" s="47"/>
      <c r="L239" s="47"/>
      <c r="M239" s="47"/>
      <c r="N239" s="47"/>
      <c r="O239" s="47"/>
    </row>
    <row r="240">
      <c r="H240" s="47"/>
      <c r="I240" s="47"/>
      <c r="J240" s="47"/>
      <c r="K240" s="47"/>
      <c r="L240" s="47"/>
      <c r="M240" s="47"/>
      <c r="N240" s="47"/>
      <c r="O240" s="47"/>
    </row>
    <row r="241">
      <c r="H241" s="47"/>
      <c r="I241" s="47"/>
      <c r="J241" s="47"/>
      <c r="K241" s="47"/>
      <c r="L241" s="47"/>
      <c r="M241" s="47"/>
      <c r="N241" s="47"/>
      <c r="O241" s="47"/>
    </row>
    <row r="242">
      <c r="H242" s="47"/>
      <c r="I242" s="47"/>
      <c r="J242" s="47"/>
      <c r="K242" s="47"/>
      <c r="L242" s="47"/>
      <c r="M242" s="47"/>
      <c r="N242" s="47"/>
      <c r="O242" s="47"/>
    </row>
    <row r="243">
      <c r="H243" s="47"/>
      <c r="I243" s="47"/>
      <c r="J243" s="47"/>
      <c r="K243" s="47"/>
      <c r="L243" s="47"/>
      <c r="M243" s="47"/>
      <c r="N243" s="47"/>
      <c r="O243" s="47"/>
    </row>
    <row r="244">
      <c r="H244" s="47"/>
      <c r="I244" s="47"/>
      <c r="J244" s="47"/>
      <c r="K244" s="47"/>
      <c r="L244" s="47"/>
      <c r="M244" s="47"/>
      <c r="N244" s="47"/>
      <c r="O244" s="47"/>
    </row>
    <row r="245">
      <c r="H245" s="47"/>
      <c r="I245" s="47"/>
      <c r="J245" s="47"/>
      <c r="K245" s="47"/>
      <c r="L245" s="47"/>
      <c r="M245" s="47"/>
      <c r="N245" s="47"/>
      <c r="O245" s="47"/>
    </row>
    <row r="246">
      <c r="H246" s="47"/>
      <c r="I246" s="47"/>
      <c r="J246" s="47"/>
      <c r="K246" s="47"/>
      <c r="L246" s="47"/>
      <c r="M246" s="47"/>
      <c r="N246" s="47"/>
      <c r="O246" s="47"/>
    </row>
    <row r="247">
      <c r="H247" s="47"/>
      <c r="I247" s="47"/>
      <c r="J247" s="47"/>
      <c r="K247" s="47"/>
      <c r="L247" s="47"/>
      <c r="M247" s="47"/>
      <c r="N247" s="47"/>
      <c r="O247" s="47"/>
    </row>
    <row r="248">
      <c r="H248" s="47"/>
      <c r="I248" s="47"/>
      <c r="J248" s="47"/>
      <c r="K248" s="47"/>
      <c r="L248" s="47"/>
      <c r="M248" s="47"/>
      <c r="N248" s="47"/>
      <c r="O248" s="47"/>
    </row>
    <row r="249">
      <c r="H249" s="47"/>
      <c r="I249" s="47"/>
      <c r="J249" s="47"/>
      <c r="K249" s="47"/>
      <c r="L249" s="47"/>
      <c r="M249" s="47"/>
      <c r="N249" s="47"/>
      <c r="O249" s="47"/>
    </row>
    <row r="250">
      <c r="H250" s="47"/>
      <c r="I250" s="47"/>
      <c r="J250" s="47"/>
      <c r="K250" s="47"/>
      <c r="L250" s="47"/>
      <c r="M250" s="47"/>
      <c r="N250" s="47"/>
      <c r="O250" s="47"/>
    </row>
    <row r="251">
      <c r="H251" s="47"/>
      <c r="I251" s="47"/>
      <c r="J251" s="47"/>
      <c r="K251" s="47"/>
      <c r="L251" s="47"/>
      <c r="M251" s="47"/>
      <c r="N251" s="47"/>
      <c r="O251" s="47"/>
    </row>
    <row r="252">
      <c r="H252" s="47"/>
      <c r="I252" s="47"/>
      <c r="J252" s="47"/>
      <c r="K252" s="47"/>
      <c r="L252" s="47"/>
      <c r="M252" s="47"/>
      <c r="N252" s="47"/>
      <c r="O252" s="47"/>
    </row>
    <row r="253">
      <c r="H253" s="47"/>
      <c r="I253" s="47"/>
      <c r="J253" s="47"/>
      <c r="K253" s="47"/>
      <c r="L253" s="47"/>
      <c r="M253" s="47"/>
      <c r="N253" s="47"/>
      <c r="O253" s="47"/>
    </row>
    <row r="254">
      <c r="H254" s="47"/>
      <c r="I254" s="47"/>
      <c r="J254" s="47"/>
      <c r="K254" s="47"/>
      <c r="L254" s="47"/>
      <c r="M254" s="47"/>
      <c r="N254" s="47"/>
      <c r="O254" s="47"/>
    </row>
    <row r="255">
      <c r="H255" s="47"/>
      <c r="I255" s="47"/>
      <c r="J255" s="47"/>
      <c r="K255" s="47"/>
      <c r="L255" s="47"/>
      <c r="M255" s="47"/>
      <c r="N255" s="47"/>
      <c r="O255" s="47"/>
    </row>
    <row r="256">
      <c r="H256" s="47"/>
      <c r="I256" s="47"/>
      <c r="J256" s="47"/>
      <c r="K256" s="47"/>
      <c r="L256" s="47"/>
      <c r="M256" s="47"/>
      <c r="N256" s="47"/>
      <c r="O256" s="47"/>
    </row>
    <row r="257">
      <c r="H257" s="47"/>
      <c r="I257" s="47"/>
      <c r="J257" s="47"/>
      <c r="K257" s="47"/>
      <c r="L257" s="47"/>
      <c r="M257" s="47"/>
      <c r="N257" s="47"/>
      <c r="O257" s="47"/>
    </row>
    <row r="258">
      <c r="H258" s="47"/>
      <c r="I258" s="47"/>
      <c r="J258" s="47"/>
      <c r="K258" s="47"/>
      <c r="L258" s="47"/>
      <c r="M258" s="47"/>
      <c r="N258" s="47"/>
      <c r="O258" s="47"/>
    </row>
    <row r="259">
      <c r="H259" s="47"/>
      <c r="I259" s="47"/>
      <c r="J259" s="47"/>
      <c r="K259" s="47"/>
      <c r="L259" s="47"/>
      <c r="M259" s="47"/>
      <c r="N259" s="47"/>
      <c r="O259" s="47"/>
    </row>
    <row r="260">
      <c r="H260" s="47"/>
      <c r="I260" s="47"/>
      <c r="J260" s="47"/>
      <c r="K260" s="47"/>
      <c r="L260" s="47"/>
      <c r="M260" s="47"/>
      <c r="N260" s="47"/>
      <c r="O260" s="47"/>
    </row>
    <row r="261">
      <c r="H261" s="47"/>
      <c r="I261" s="47"/>
      <c r="J261" s="47"/>
      <c r="K261" s="47"/>
      <c r="L261" s="47"/>
      <c r="M261" s="47"/>
      <c r="N261" s="47"/>
      <c r="O261" s="47"/>
    </row>
    <row r="262">
      <c r="H262" s="47"/>
      <c r="I262" s="47"/>
      <c r="J262" s="47"/>
      <c r="K262" s="47"/>
      <c r="L262" s="47"/>
      <c r="M262" s="47"/>
      <c r="N262" s="47"/>
      <c r="O262" s="47"/>
    </row>
    <row r="263">
      <c r="H263" s="47"/>
      <c r="I263" s="47"/>
      <c r="J263" s="47"/>
      <c r="K263" s="47"/>
      <c r="L263" s="47"/>
      <c r="M263" s="47"/>
      <c r="N263" s="47"/>
      <c r="O263" s="47"/>
    </row>
    <row r="264">
      <c r="H264" s="47"/>
      <c r="I264" s="47"/>
      <c r="J264" s="47"/>
      <c r="K264" s="47"/>
      <c r="L264" s="47"/>
      <c r="M264" s="47"/>
      <c r="N264" s="47"/>
      <c r="O264" s="47"/>
    </row>
    <row r="265">
      <c r="H265" s="47"/>
      <c r="I265" s="47"/>
      <c r="J265" s="47"/>
      <c r="K265" s="47"/>
      <c r="L265" s="47"/>
      <c r="M265" s="47"/>
      <c r="N265" s="47"/>
      <c r="O265" s="47"/>
    </row>
    <row r="266">
      <c r="H266" s="47"/>
      <c r="I266" s="47"/>
      <c r="J266" s="47"/>
      <c r="K266" s="47"/>
      <c r="L266" s="47"/>
      <c r="M266" s="47"/>
      <c r="N266" s="47"/>
      <c r="O266" s="47"/>
    </row>
    <row r="267">
      <c r="H267" s="47"/>
      <c r="I267" s="47"/>
      <c r="J267" s="47"/>
      <c r="K267" s="47"/>
      <c r="L267" s="47"/>
      <c r="M267" s="47"/>
      <c r="N267" s="47"/>
      <c r="O267" s="47"/>
    </row>
    <row r="268">
      <c r="H268" s="47"/>
      <c r="I268" s="47"/>
      <c r="J268" s="47"/>
      <c r="K268" s="47"/>
      <c r="L268" s="47"/>
      <c r="M268" s="47"/>
      <c r="N268" s="47"/>
      <c r="O268" s="47"/>
    </row>
    <row r="269">
      <c r="H269" s="47"/>
      <c r="I269" s="47"/>
      <c r="J269" s="47"/>
      <c r="K269" s="47"/>
      <c r="L269" s="47"/>
      <c r="M269" s="47"/>
      <c r="N269" s="47"/>
      <c r="O269" s="47"/>
    </row>
    <row r="270">
      <c r="H270" s="47"/>
      <c r="I270" s="47"/>
      <c r="J270" s="47"/>
      <c r="K270" s="47"/>
      <c r="L270" s="47"/>
      <c r="M270" s="47"/>
      <c r="N270" s="47"/>
      <c r="O270" s="47"/>
    </row>
    <row r="271">
      <c r="H271" s="47"/>
      <c r="I271" s="47"/>
      <c r="J271" s="47"/>
      <c r="K271" s="47"/>
      <c r="L271" s="47"/>
      <c r="M271" s="47"/>
      <c r="N271" s="47"/>
      <c r="O271" s="47"/>
    </row>
    <row r="272">
      <c r="H272" s="47"/>
      <c r="I272" s="47"/>
      <c r="J272" s="47"/>
      <c r="K272" s="47"/>
      <c r="L272" s="47"/>
      <c r="M272" s="47"/>
      <c r="N272" s="47"/>
      <c r="O272" s="47"/>
    </row>
    <row r="273">
      <c r="H273" s="47"/>
      <c r="I273" s="47"/>
      <c r="J273" s="47"/>
      <c r="K273" s="47"/>
      <c r="L273" s="47"/>
      <c r="M273" s="47"/>
      <c r="N273" s="47"/>
      <c r="O273" s="47"/>
    </row>
    <row r="274">
      <c r="H274" s="47"/>
      <c r="I274" s="47"/>
      <c r="J274" s="47"/>
      <c r="K274" s="47"/>
      <c r="L274" s="47"/>
      <c r="M274" s="47"/>
      <c r="N274" s="47"/>
      <c r="O274" s="47"/>
    </row>
    <row r="275">
      <c r="H275" s="47"/>
      <c r="I275" s="47"/>
      <c r="J275" s="47"/>
      <c r="K275" s="47"/>
      <c r="L275" s="47"/>
      <c r="M275" s="47"/>
      <c r="N275" s="47"/>
      <c r="O275" s="47"/>
    </row>
    <row r="276">
      <c r="H276" s="47"/>
      <c r="I276" s="47"/>
      <c r="J276" s="47"/>
      <c r="K276" s="47"/>
      <c r="L276" s="47"/>
      <c r="M276" s="47"/>
      <c r="N276" s="47"/>
      <c r="O276" s="47"/>
    </row>
    <row r="277">
      <c r="H277" s="47"/>
      <c r="I277" s="47"/>
      <c r="J277" s="47"/>
      <c r="K277" s="47"/>
      <c r="L277" s="47"/>
      <c r="M277" s="47"/>
      <c r="N277" s="47"/>
      <c r="O277" s="47"/>
    </row>
    <row r="278">
      <c r="H278" s="47"/>
      <c r="I278" s="47"/>
      <c r="J278" s="47"/>
      <c r="K278" s="47"/>
      <c r="L278" s="47"/>
      <c r="M278" s="47"/>
      <c r="N278" s="47"/>
      <c r="O278" s="47"/>
    </row>
    <row r="279">
      <c r="H279" s="47"/>
      <c r="I279" s="47"/>
      <c r="J279" s="47"/>
      <c r="K279" s="47"/>
      <c r="L279" s="47"/>
      <c r="M279" s="47"/>
      <c r="N279" s="47"/>
      <c r="O279" s="47"/>
    </row>
    <row r="280">
      <c r="H280" s="47"/>
      <c r="I280" s="47"/>
      <c r="J280" s="47"/>
      <c r="K280" s="47"/>
      <c r="L280" s="47"/>
      <c r="M280" s="47"/>
      <c r="N280" s="47"/>
      <c r="O280" s="47"/>
    </row>
    <row r="281">
      <c r="H281" s="47"/>
      <c r="I281" s="47"/>
      <c r="J281" s="47"/>
      <c r="K281" s="47"/>
      <c r="L281" s="47"/>
      <c r="M281" s="47"/>
      <c r="N281" s="47"/>
      <c r="O281" s="47"/>
    </row>
    <row r="282">
      <c r="H282" s="47"/>
      <c r="I282" s="47"/>
      <c r="J282" s="47"/>
      <c r="K282" s="47"/>
      <c r="L282" s="47"/>
      <c r="M282" s="47"/>
      <c r="N282" s="47"/>
      <c r="O282" s="47"/>
    </row>
    <row r="283">
      <c r="H283" s="47"/>
      <c r="I283" s="47"/>
      <c r="J283" s="47"/>
      <c r="K283" s="47"/>
      <c r="L283" s="47"/>
      <c r="M283" s="47"/>
      <c r="N283" s="47"/>
      <c r="O283" s="47"/>
    </row>
    <row r="284">
      <c r="H284" s="47"/>
      <c r="I284" s="47"/>
      <c r="J284" s="47"/>
      <c r="K284" s="47"/>
      <c r="L284" s="47"/>
      <c r="M284" s="47"/>
      <c r="N284" s="47"/>
      <c r="O284" s="47"/>
    </row>
    <row r="285">
      <c r="H285" s="47"/>
      <c r="I285" s="47"/>
      <c r="J285" s="47"/>
      <c r="K285" s="47"/>
      <c r="L285" s="47"/>
      <c r="M285" s="47"/>
      <c r="N285" s="47"/>
      <c r="O285" s="47"/>
    </row>
    <row r="286">
      <c r="H286" s="47"/>
      <c r="I286" s="47"/>
      <c r="J286" s="47"/>
      <c r="K286" s="47"/>
      <c r="L286" s="47"/>
      <c r="M286" s="47"/>
      <c r="N286" s="47"/>
      <c r="O286" s="47"/>
    </row>
    <row r="287">
      <c r="H287" s="47"/>
      <c r="I287" s="47"/>
      <c r="J287" s="47"/>
      <c r="K287" s="47"/>
      <c r="L287" s="47"/>
      <c r="M287" s="47"/>
      <c r="N287" s="47"/>
      <c r="O287" s="47"/>
    </row>
    <row r="288">
      <c r="H288" s="47"/>
      <c r="I288" s="47"/>
      <c r="J288" s="47"/>
      <c r="K288" s="47"/>
      <c r="L288" s="47"/>
      <c r="M288" s="47"/>
      <c r="N288" s="47"/>
      <c r="O288" s="47"/>
    </row>
    <row r="289">
      <c r="H289" s="47"/>
      <c r="I289" s="47"/>
      <c r="J289" s="47"/>
      <c r="K289" s="47"/>
      <c r="L289" s="47"/>
      <c r="M289" s="47"/>
      <c r="N289" s="47"/>
      <c r="O289" s="47"/>
    </row>
    <row r="290">
      <c r="H290" s="47"/>
      <c r="I290" s="47"/>
      <c r="J290" s="47"/>
      <c r="K290" s="47"/>
      <c r="L290" s="47"/>
      <c r="M290" s="47"/>
      <c r="N290" s="47"/>
      <c r="O290" s="47"/>
    </row>
    <row r="291">
      <c r="H291" s="47"/>
      <c r="I291" s="47"/>
      <c r="J291" s="47"/>
      <c r="K291" s="47"/>
      <c r="L291" s="47"/>
      <c r="M291" s="47"/>
      <c r="N291" s="47"/>
      <c r="O291" s="47"/>
    </row>
    <row r="292">
      <c r="H292" s="47"/>
      <c r="I292" s="47"/>
      <c r="J292" s="47"/>
      <c r="K292" s="47"/>
      <c r="L292" s="47"/>
      <c r="M292" s="47"/>
      <c r="N292" s="47"/>
      <c r="O292" s="47"/>
    </row>
    <row r="293">
      <c r="H293" s="47"/>
      <c r="I293" s="47"/>
      <c r="J293" s="47"/>
      <c r="K293" s="47"/>
      <c r="L293" s="47"/>
      <c r="M293" s="47"/>
      <c r="N293" s="47"/>
      <c r="O293" s="47"/>
    </row>
    <row r="294">
      <c r="H294" s="47"/>
      <c r="I294" s="47"/>
      <c r="J294" s="47"/>
      <c r="K294" s="47"/>
      <c r="L294" s="47"/>
      <c r="M294" s="47"/>
      <c r="N294" s="47"/>
      <c r="O294" s="47"/>
    </row>
    <row r="295">
      <c r="H295" s="47"/>
      <c r="I295" s="47"/>
      <c r="J295" s="47"/>
      <c r="K295" s="47"/>
      <c r="L295" s="47"/>
      <c r="M295" s="47"/>
      <c r="N295" s="47"/>
      <c r="O295" s="47"/>
    </row>
    <row r="296">
      <c r="H296" s="47"/>
      <c r="I296" s="47"/>
      <c r="J296" s="47"/>
      <c r="K296" s="47"/>
      <c r="L296" s="47"/>
      <c r="M296" s="47"/>
      <c r="N296" s="47"/>
      <c r="O296" s="47"/>
    </row>
    <row r="297">
      <c r="H297" s="47"/>
      <c r="I297" s="47"/>
      <c r="J297" s="47"/>
      <c r="K297" s="47"/>
      <c r="L297" s="47"/>
      <c r="M297" s="47"/>
      <c r="N297" s="47"/>
      <c r="O297" s="47"/>
    </row>
    <row r="298">
      <c r="H298" s="47"/>
      <c r="I298" s="47"/>
      <c r="J298" s="47"/>
      <c r="K298" s="47"/>
      <c r="L298" s="47"/>
      <c r="M298" s="47"/>
      <c r="N298" s="47"/>
      <c r="O298" s="47"/>
    </row>
    <row r="299">
      <c r="H299" s="47"/>
      <c r="I299" s="47"/>
      <c r="J299" s="47"/>
      <c r="K299" s="47"/>
      <c r="L299" s="47"/>
      <c r="M299" s="47"/>
      <c r="N299" s="47"/>
      <c r="O299" s="47"/>
    </row>
    <row r="300">
      <c r="H300" s="47"/>
      <c r="I300" s="47"/>
      <c r="J300" s="47"/>
      <c r="K300" s="47"/>
      <c r="L300" s="47"/>
      <c r="M300" s="47"/>
      <c r="N300" s="47"/>
      <c r="O300" s="47"/>
    </row>
    <row r="301">
      <c r="H301" s="47"/>
      <c r="I301" s="47"/>
      <c r="J301" s="47"/>
      <c r="K301" s="47"/>
      <c r="L301" s="47"/>
      <c r="M301" s="47"/>
      <c r="N301" s="47"/>
      <c r="O301" s="47"/>
    </row>
    <row r="302">
      <c r="H302" s="47"/>
      <c r="I302" s="47"/>
      <c r="J302" s="47"/>
      <c r="K302" s="47"/>
      <c r="L302" s="47"/>
      <c r="M302" s="47"/>
      <c r="N302" s="47"/>
      <c r="O302" s="47"/>
    </row>
    <row r="303">
      <c r="H303" s="47"/>
      <c r="I303" s="47"/>
      <c r="J303" s="47"/>
      <c r="K303" s="47"/>
      <c r="L303" s="47"/>
      <c r="M303" s="47"/>
      <c r="N303" s="47"/>
      <c r="O303" s="47"/>
    </row>
    <row r="304">
      <c r="H304" s="47"/>
      <c r="I304" s="47"/>
      <c r="J304" s="47"/>
      <c r="K304" s="47"/>
      <c r="L304" s="47"/>
      <c r="M304" s="47"/>
      <c r="N304" s="47"/>
      <c r="O304" s="47"/>
    </row>
    <row r="305">
      <c r="H305" s="47"/>
      <c r="I305" s="47"/>
      <c r="J305" s="47"/>
      <c r="K305" s="47"/>
      <c r="L305" s="47"/>
      <c r="M305" s="47"/>
      <c r="N305" s="47"/>
      <c r="O305" s="47"/>
    </row>
    <row r="306">
      <c r="H306" s="47"/>
      <c r="I306" s="47"/>
      <c r="J306" s="47"/>
      <c r="K306" s="47"/>
      <c r="L306" s="47"/>
      <c r="M306" s="47"/>
      <c r="N306" s="47"/>
      <c r="O306" s="47"/>
    </row>
    <row r="307">
      <c r="H307" s="47"/>
      <c r="I307" s="47"/>
      <c r="J307" s="47"/>
      <c r="K307" s="47"/>
      <c r="L307" s="47"/>
      <c r="M307" s="47"/>
      <c r="N307" s="47"/>
      <c r="O307" s="47"/>
    </row>
    <row r="308">
      <c r="H308" s="47"/>
      <c r="I308" s="47"/>
      <c r="J308" s="47"/>
      <c r="K308" s="47"/>
      <c r="L308" s="47"/>
      <c r="M308" s="47"/>
      <c r="N308" s="47"/>
      <c r="O308" s="47"/>
    </row>
    <row r="309">
      <c r="H309" s="47"/>
      <c r="I309" s="47"/>
      <c r="J309" s="47"/>
      <c r="K309" s="47"/>
      <c r="L309" s="47"/>
      <c r="M309" s="47"/>
      <c r="N309" s="47"/>
      <c r="O309" s="47"/>
    </row>
    <row r="310">
      <c r="H310" s="47"/>
      <c r="I310" s="47"/>
      <c r="J310" s="47"/>
      <c r="K310" s="47"/>
      <c r="L310" s="47"/>
      <c r="M310" s="47"/>
      <c r="N310" s="47"/>
      <c r="O310" s="47"/>
    </row>
    <row r="311">
      <c r="H311" s="47"/>
      <c r="I311" s="47"/>
      <c r="J311" s="47"/>
      <c r="K311" s="47"/>
      <c r="L311" s="47"/>
      <c r="M311" s="47"/>
      <c r="N311" s="47"/>
      <c r="O311" s="47"/>
    </row>
    <row r="312">
      <c r="H312" s="47"/>
      <c r="I312" s="47"/>
      <c r="J312" s="47"/>
      <c r="K312" s="47"/>
      <c r="L312" s="47"/>
      <c r="M312" s="47"/>
      <c r="N312" s="47"/>
      <c r="O312" s="47"/>
    </row>
    <row r="313">
      <c r="H313" s="47"/>
      <c r="I313" s="47"/>
      <c r="J313" s="47"/>
      <c r="K313" s="47"/>
      <c r="L313" s="47"/>
      <c r="M313" s="47"/>
      <c r="N313" s="47"/>
      <c r="O313" s="47"/>
    </row>
    <row r="314">
      <c r="H314" s="47"/>
      <c r="I314" s="47"/>
      <c r="J314" s="47"/>
      <c r="K314" s="47"/>
      <c r="L314" s="47"/>
      <c r="M314" s="47"/>
      <c r="N314" s="47"/>
      <c r="O314" s="47"/>
    </row>
    <row r="315">
      <c r="H315" s="47"/>
      <c r="I315" s="47"/>
      <c r="J315" s="47"/>
      <c r="K315" s="47"/>
      <c r="L315" s="47"/>
      <c r="M315" s="47"/>
      <c r="N315" s="47"/>
      <c r="O315" s="47"/>
    </row>
    <row r="316">
      <c r="H316" s="47"/>
      <c r="I316" s="47"/>
      <c r="J316" s="47"/>
      <c r="K316" s="47"/>
      <c r="L316" s="47"/>
      <c r="M316" s="47"/>
      <c r="N316" s="47"/>
      <c r="O316" s="47"/>
    </row>
    <row r="317">
      <c r="H317" s="47"/>
      <c r="I317" s="47"/>
      <c r="J317" s="47"/>
      <c r="K317" s="47"/>
      <c r="L317" s="47"/>
      <c r="M317" s="47"/>
      <c r="N317" s="47"/>
      <c r="O317" s="47"/>
    </row>
    <row r="318">
      <c r="H318" s="47"/>
      <c r="I318" s="47"/>
      <c r="J318" s="47"/>
      <c r="K318" s="47"/>
      <c r="L318" s="47"/>
      <c r="M318" s="47"/>
      <c r="N318" s="47"/>
      <c r="O318" s="47"/>
    </row>
    <row r="319">
      <c r="H319" s="47"/>
      <c r="I319" s="47"/>
      <c r="J319" s="47"/>
      <c r="K319" s="47"/>
      <c r="L319" s="47"/>
      <c r="M319" s="47"/>
      <c r="N319" s="47"/>
      <c r="O319" s="47"/>
    </row>
    <row r="320">
      <c r="H320" s="47"/>
      <c r="I320" s="47"/>
      <c r="J320" s="47"/>
      <c r="K320" s="47"/>
      <c r="L320" s="47"/>
      <c r="M320" s="47"/>
      <c r="N320" s="47"/>
      <c r="O320" s="47"/>
    </row>
    <row r="321">
      <c r="H321" s="47"/>
      <c r="I321" s="47"/>
      <c r="J321" s="47"/>
      <c r="K321" s="47"/>
      <c r="L321" s="47"/>
      <c r="M321" s="47"/>
      <c r="N321" s="47"/>
      <c r="O321" s="47"/>
    </row>
    <row r="322">
      <c r="H322" s="47"/>
      <c r="I322" s="47"/>
      <c r="J322" s="47"/>
      <c r="K322" s="47"/>
      <c r="L322" s="47"/>
      <c r="M322" s="47"/>
      <c r="N322" s="47"/>
      <c r="O322" s="47"/>
    </row>
    <row r="323">
      <c r="H323" s="47"/>
      <c r="I323" s="47"/>
      <c r="J323" s="47"/>
      <c r="K323" s="47"/>
      <c r="L323" s="47"/>
      <c r="M323" s="47"/>
      <c r="N323" s="47"/>
      <c r="O323" s="47"/>
    </row>
    <row r="324">
      <c r="H324" s="47"/>
      <c r="I324" s="47"/>
      <c r="J324" s="47"/>
      <c r="K324" s="47"/>
      <c r="L324" s="47"/>
      <c r="M324" s="47"/>
      <c r="N324" s="47"/>
      <c r="O324" s="47"/>
    </row>
    <row r="325">
      <c r="H325" s="47"/>
      <c r="I325" s="47"/>
      <c r="J325" s="47"/>
      <c r="K325" s="47"/>
      <c r="L325" s="47"/>
      <c r="M325" s="47"/>
      <c r="N325" s="47"/>
      <c r="O325" s="47"/>
    </row>
    <row r="326">
      <c r="H326" s="47"/>
      <c r="I326" s="47"/>
      <c r="J326" s="47"/>
      <c r="K326" s="47"/>
      <c r="L326" s="47"/>
      <c r="M326" s="47"/>
      <c r="N326" s="47"/>
      <c r="O326" s="47"/>
    </row>
    <row r="327">
      <c r="H327" s="47"/>
      <c r="I327" s="47"/>
      <c r="J327" s="47"/>
      <c r="K327" s="47"/>
      <c r="L327" s="47"/>
      <c r="M327" s="47"/>
      <c r="N327" s="47"/>
      <c r="O327" s="47"/>
    </row>
    <row r="328">
      <c r="H328" s="47"/>
      <c r="I328" s="47"/>
      <c r="J328" s="47"/>
      <c r="K328" s="47"/>
      <c r="L328" s="47"/>
      <c r="M328" s="47"/>
      <c r="N328" s="47"/>
      <c r="O328" s="47"/>
    </row>
    <row r="329">
      <c r="H329" s="47"/>
      <c r="I329" s="47"/>
      <c r="J329" s="47"/>
      <c r="K329" s="47"/>
      <c r="L329" s="47"/>
      <c r="M329" s="47"/>
      <c r="N329" s="47"/>
      <c r="O329" s="47"/>
    </row>
    <row r="330">
      <c r="H330" s="47"/>
      <c r="I330" s="47"/>
      <c r="J330" s="47"/>
      <c r="K330" s="47"/>
      <c r="L330" s="47"/>
      <c r="M330" s="47"/>
      <c r="N330" s="47"/>
      <c r="O330" s="47"/>
    </row>
    <row r="331">
      <c r="H331" s="47"/>
      <c r="I331" s="47"/>
      <c r="J331" s="47"/>
      <c r="K331" s="47"/>
      <c r="L331" s="47"/>
      <c r="M331" s="47"/>
      <c r="N331" s="47"/>
      <c r="O331" s="47"/>
    </row>
    <row r="332">
      <c r="H332" s="47"/>
      <c r="I332" s="47"/>
      <c r="J332" s="47"/>
      <c r="K332" s="47"/>
      <c r="L332" s="47"/>
      <c r="M332" s="47"/>
      <c r="N332" s="47"/>
      <c r="O332" s="47"/>
    </row>
    <row r="333">
      <c r="H333" s="47"/>
      <c r="I333" s="47"/>
      <c r="J333" s="47"/>
      <c r="K333" s="47"/>
      <c r="L333" s="47"/>
      <c r="M333" s="47"/>
      <c r="N333" s="47"/>
      <c r="O333" s="47"/>
    </row>
    <row r="334">
      <c r="H334" s="47"/>
      <c r="I334" s="47"/>
      <c r="J334" s="47"/>
      <c r="K334" s="47"/>
      <c r="L334" s="47"/>
      <c r="M334" s="47"/>
      <c r="N334" s="47"/>
      <c r="O334" s="47"/>
    </row>
    <row r="335">
      <c r="H335" s="47"/>
      <c r="I335" s="47"/>
      <c r="J335" s="47"/>
      <c r="K335" s="47"/>
      <c r="L335" s="47"/>
      <c r="M335" s="47"/>
      <c r="N335" s="47"/>
      <c r="O335" s="47"/>
    </row>
    <row r="336">
      <c r="H336" s="47"/>
      <c r="I336" s="47"/>
      <c r="J336" s="47"/>
      <c r="K336" s="47"/>
      <c r="L336" s="47"/>
      <c r="M336" s="47"/>
      <c r="N336" s="47"/>
      <c r="O336" s="47"/>
    </row>
    <row r="337">
      <c r="H337" s="47"/>
      <c r="I337" s="47"/>
      <c r="J337" s="47"/>
      <c r="K337" s="47"/>
      <c r="L337" s="47"/>
      <c r="M337" s="47"/>
      <c r="N337" s="47"/>
      <c r="O337" s="47"/>
    </row>
    <row r="338">
      <c r="H338" s="47"/>
      <c r="I338" s="47"/>
      <c r="J338" s="47"/>
      <c r="K338" s="47"/>
      <c r="L338" s="47"/>
      <c r="M338" s="47"/>
      <c r="N338" s="47"/>
      <c r="O338" s="47"/>
    </row>
    <row r="339">
      <c r="H339" s="47"/>
      <c r="I339" s="47"/>
      <c r="J339" s="47"/>
      <c r="K339" s="47"/>
      <c r="L339" s="47"/>
      <c r="M339" s="47"/>
      <c r="N339" s="47"/>
      <c r="O339" s="47"/>
    </row>
    <row r="340">
      <c r="H340" s="47"/>
      <c r="I340" s="47"/>
      <c r="J340" s="47"/>
      <c r="K340" s="47"/>
      <c r="L340" s="47"/>
      <c r="M340" s="47"/>
      <c r="N340" s="47"/>
      <c r="O340" s="47"/>
    </row>
    <row r="341">
      <c r="H341" s="47"/>
      <c r="I341" s="47"/>
      <c r="J341" s="47"/>
      <c r="K341" s="47"/>
      <c r="L341" s="47"/>
      <c r="M341" s="47"/>
      <c r="N341" s="47"/>
      <c r="O341" s="47"/>
    </row>
    <row r="342">
      <c r="H342" s="47"/>
      <c r="I342" s="47"/>
      <c r="J342" s="47"/>
      <c r="K342" s="47"/>
      <c r="L342" s="47"/>
      <c r="M342" s="47"/>
      <c r="N342" s="47"/>
      <c r="O342" s="47"/>
    </row>
    <row r="343">
      <c r="H343" s="47"/>
      <c r="I343" s="47"/>
      <c r="J343" s="47"/>
      <c r="K343" s="47"/>
      <c r="L343" s="47"/>
      <c r="M343" s="47"/>
      <c r="N343" s="47"/>
      <c r="O343" s="47"/>
    </row>
    <row r="344">
      <c r="H344" s="47"/>
      <c r="I344" s="47"/>
      <c r="J344" s="47"/>
      <c r="K344" s="47"/>
      <c r="L344" s="47"/>
      <c r="M344" s="47"/>
      <c r="N344" s="47"/>
      <c r="O344" s="47"/>
    </row>
    <row r="345">
      <c r="H345" s="47"/>
      <c r="I345" s="47"/>
      <c r="J345" s="47"/>
      <c r="K345" s="47"/>
      <c r="L345" s="47"/>
      <c r="M345" s="47"/>
      <c r="N345" s="47"/>
      <c r="O345" s="47"/>
    </row>
    <row r="346">
      <c r="H346" s="47"/>
      <c r="I346" s="47"/>
      <c r="J346" s="47"/>
      <c r="K346" s="47"/>
      <c r="L346" s="47"/>
      <c r="M346" s="47"/>
      <c r="N346" s="47"/>
      <c r="O346" s="47"/>
    </row>
    <row r="347">
      <c r="H347" s="47"/>
      <c r="I347" s="47"/>
      <c r="J347" s="47"/>
      <c r="K347" s="47"/>
      <c r="L347" s="47"/>
      <c r="M347" s="47"/>
      <c r="N347" s="47"/>
      <c r="O347" s="47"/>
    </row>
    <row r="348">
      <c r="H348" s="47"/>
      <c r="I348" s="47"/>
      <c r="J348" s="47"/>
      <c r="K348" s="47"/>
      <c r="L348" s="47"/>
      <c r="M348" s="47"/>
      <c r="N348" s="47"/>
      <c r="O348" s="47"/>
    </row>
    <row r="349">
      <c r="H349" s="47"/>
      <c r="I349" s="47"/>
      <c r="J349" s="47"/>
      <c r="K349" s="47"/>
      <c r="L349" s="47"/>
      <c r="M349" s="47"/>
      <c r="N349" s="47"/>
      <c r="O349" s="47"/>
    </row>
    <row r="350">
      <c r="H350" s="47"/>
      <c r="I350" s="47"/>
      <c r="J350" s="47"/>
      <c r="K350" s="47"/>
      <c r="L350" s="47"/>
      <c r="M350" s="47"/>
      <c r="N350" s="47"/>
      <c r="O350" s="47"/>
    </row>
    <row r="351">
      <c r="H351" s="47"/>
      <c r="I351" s="47"/>
      <c r="J351" s="47"/>
      <c r="K351" s="47"/>
      <c r="L351" s="47"/>
      <c r="M351" s="47"/>
      <c r="N351" s="47"/>
      <c r="O351" s="47"/>
    </row>
    <row r="352">
      <c r="H352" s="47"/>
      <c r="I352" s="47"/>
      <c r="J352" s="47"/>
      <c r="K352" s="47"/>
      <c r="L352" s="47"/>
      <c r="M352" s="47"/>
      <c r="N352" s="47"/>
      <c r="O352" s="47"/>
    </row>
    <row r="353">
      <c r="H353" s="47"/>
      <c r="I353" s="47"/>
      <c r="J353" s="47"/>
      <c r="K353" s="47"/>
      <c r="L353" s="47"/>
      <c r="M353" s="47"/>
      <c r="N353" s="47"/>
      <c r="O353" s="47"/>
    </row>
    <row r="354">
      <c r="H354" s="47"/>
      <c r="I354" s="47"/>
      <c r="J354" s="47"/>
      <c r="K354" s="47"/>
      <c r="L354" s="47"/>
      <c r="M354" s="47"/>
      <c r="N354" s="47"/>
      <c r="O354" s="47"/>
    </row>
    <row r="355">
      <c r="H355" s="47"/>
      <c r="I355" s="47"/>
      <c r="J355" s="47"/>
      <c r="K355" s="47"/>
      <c r="L355" s="47"/>
      <c r="M355" s="47"/>
      <c r="N355" s="47"/>
      <c r="O355" s="47"/>
    </row>
    <row r="356">
      <c r="H356" s="47"/>
      <c r="I356" s="47"/>
      <c r="J356" s="47"/>
      <c r="K356" s="47"/>
      <c r="L356" s="47"/>
      <c r="M356" s="47"/>
      <c r="N356" s="47"/>
      <c r="O356" s="47"/>
    </row>
    <row r="357">
      <c r="H357" s="47"/>
      <c r="I357" s="47"/>
      <c r="J357" s="47"/>
      <c r="K357" s="47"/>
      <c r="L357" s="47"/>
      <c r="M357" s="47"/>
      <c r="N357" s="47"/>
      <c r="O357" s="47"/>
    </row>
    <row r="358">
      <c r="H358" s="47"/>
      <c r="I358" s="47"/>
      <c r="J358" s="47"/>
      <c r="K358" s="47"/>
      <c r="L358" s="47"/>
      <c r="M358" s="47"/>
      <c r="N358" s="47"/>
      <c r="O358" s="47"/>
    </row>
    <row r="359">
      <c r="H359" s="47"/>
      <c r="I359" s="47"/>
      <c r="J359" s="47"/>
      <c r="K359" s="47"/>
      <c r="L359" s="47"/>
      <c r="M359" s="47"/>
      <c r="N359" s="47"/>
      <c r="O359" s="47"/>
    </row>
    <row r="360">
      <c r="H360" s="47"/>
      <c r="I360" s="47"/>
      <c r="J360" s="47"/>
      <c r="K360" s="47"/>
      <c r="L360" s="47"/>
      <c r="M360" s="47"/>
      <c r="N360" s="47"/>
      <c r="O360" s="47"/>
    </row>
    <row r="361">
      <c r="H361" s="47"/>
      <c r="I361" s="47"/>
      <c r="J361" s="47"/>
      <c r="K361" s="47"/>
      <c r="L361" s="47"/>
      <c r="M361" s="47"/>
      <c r="N361" s="47"/>
      <c r="O361" s="47"/>
    </row>
    <row r="362">
      <c r="H362" s="47"/>
      <c r="I362" s="47"/>
      <c r="J362" s="47"/>
      <c r="K362" s="47"/>
      <c r="L362" s="47"/>
      <c r="M362" s="47"/>
      <c r="N362" s="47"/>
      <c r="O362" s="47"/>
    </row>
    <row r="363">
      <c r="H363" s="47"/>
      <c r="I363" s="47"/>
      <c r="J363" s="47"/>
      <c r="K363" s="47"/>
      <c r="L363" s="47"/>
      <c r="M363" s="47"/>
      <c r="N363" s="47"/>
      <c r="O363" s="47"/>
    </row>
    <row r="364">
      <c r="H364" s="47"/>
      <c r="I364" s="47"/>
      <c r="J364" s="47"/>
      <c r="K364" s="47"/>
      <c r="L364" s="47"/>
      <c r="M364" s="47"/>
      <c r="N364" s="47"/>
      <c r="O364" s="47"/>
    </row>
    <row r="365">
      <c r="H365" s="47"/>
      <c r="I365" s="47"/>
      <c r="J365" s="47"/>
      <c r="K365" s="47"/>
      <c r="L365" s="47"/>
      <c r="M365" s="47"/>
      <c r="N365" s="47"/>
      <c r="O365" s="47"/>
    </row>
    <row r="366">
      <c r="H366" s="47"/>
      <c r="I366" s="47"/>
      <c r="J366" s="47"/>
      <c r="K366" s="47"/>
      <c r="L366" s="47"/>
      <c r="M366" s="47"/>
      <c r="N366" s="47"/>
      <c r="O366" s="47"/>
    </row>
    <row r="367">
      <c r="H367" s="47"/>
      <c r="I367" s="47"/>
      <c r="J367" s="47"/>
      <c r="K367" s="47"/>
      <c r="L367" s="47"/>
      <c r="M367" s="47"/>
      <c r="N367" s="47"/>
      <c r="O367" s="47"/>
    </row>
    <row r="368">
      <c r="H368" s="47"/>
      <c r="I368" s="47"/>
      <c r="J368" s="47"/>
      <c r="K368" s="47"/>
      <c r="L368" s="47"/>
      <c r="M368" s="47"/>
      <c r="N368" s="47"/>
      <c r="O368" s="47"/>
    </row>
    <row r="369">
      <c r="H369" s="47"/>
      <c r="I369" s="47"/>
      <c r="J369" s="47"/>
      <c r="K369" s="47"/>
      <c r="L369" s="47"/>
      <c r="M369" s="47"/>
      <c r="N369" s="47"/>
      <c r="O369" s="47"/>
    </row>
    <row r="370">
      <c r="H370" s="47"/>
      <c r="I370" s="47"/>
      <c r="J370" s="47"/>
      <c r="K370" s="47"/>
      <c r="L370" s="47"/>
      <c r="M370" s="47"/>
      <c r="N370" s="47"/>
      <c r="O370" s="47"/>
    </row>
    <row r="371">
      <c r="H371" s="47"/>
      <c r="I371" s="47"/>
      <c r="J371" s="47"/>
      <c r="K371" s="47"/>
      <c r="L371" s="47"/>
      <c r="M371" s="47"/>
      <c r="N371" s="47"/>
      <c r="O371" s="47"/>
    </row>
    <row r="372">
      <c r="H372" s="47"/>
      <c r="I372" s="47"/>
      <c r="J372" s="47"/>
      <c r="K372" s="47"/>
      <c r="L372" s="47"/>
      <c r="M372" s="47"/>
      <c r="N372" s="47"/>
      <c r="O372" s="47"/>
    </row>
    <row r="373">
      <c r="H373" s="47"/>
      <c r="I373" s="47"/>
      <c r="J373" s="47"/>
      <c r="K373" s="47"/>
      <c r="L373" s="47"/>
      <c r="M373" s="47"/>
      <c r="N373" s="47"/>
      <c r="O373" s="47"/>
    </row>
    <row r="374">
      <c r="H374" s="47"/>
      <c r="I374" s="47"/>
      <c r="J374" s="47"/>
      <c r="K374" s="47"/>
      <c r="L374" s="47"/>
      <c r="M374" s="47"/>
      <c r="N374" s="47"/>
      <c r="O374" s="47"/>
    </row>
    <row r="375">
      <c r="H375" s="47"/>
      <c r="I375" s="47"/>
      <c r="J375" s="47"/>
      <c r="K375" s="47"/>
      <c r="L375" s="47"/>
      <c r="M375" s="47"/>
      <c r="N375" s="47"/>
      <c r="O375" s="47"/>
    </row>
    <row r="376">
      <c r="H376" s="47"/>
      <c r="I376" s="47"/>
      <c r="J376" s="47"/>
      <c r="K376" s="47"/>
      <c r="L376" s="47"/>
      <c r="M376" s="47"/>
      <c r="N376" s="47"/>
      <c r="O376" s="47"/>
    </row>
    <row r="377">
      <c r="H377" s="47"/>
      <c r="I377" s="47"/>
      <c r="J377" s="47"/>
      <c r="K377" s="47"/>
      <c r="L377" s="47"/>
      <c r="M377" s="47"/>
      <c r="N377" s="47"/>
      <c r="O377" s="47"/>
    </row>
    <row r="378">
      <c r="H378" s="47"/>
      <c r="I378" s="47"/>
      <c r="J378" s="47"/>
      <c r="K378" s="47"/>
      <c r="L378" s="47"/>
      <c r="M378" s="47"/>
      <c r="N378" s="47"/>
      <c r="O378" s="47"/>
    </row>
    <row r="379">
      <c r="H379" s="47"/>
      <c r="I379" s="47"/>
      <c r="J379" s="47"/>
      <c r="K379" s="47"/>
      <c r="L379" s="47"/>
      <c r="M379" s="47"/>
      <c r="N379" s="47"/>
      <c r="O379" s="47"/>
    </row>
    <row r="380">
      <c r="H380" s="47"/>
      <c r="I380" s="47"/>
      <c r="J380" s="47"/>
      <c r="K380" s="47"/>
      <c r="L380" s="47"/>
      <c r="M380" s="47"/>
      <c r="N380" s="47"/>
      <c r="O380" s="47"/>
    </row>
    <row r="381">
      <c r="H381" s="47"/>
      <c r="I381" s="47"/>
      <c r="J381" s="47"/>
      <c r="K381" s="47"/>
      <c r="L381" s="47"/>
      <c r="M381" s="47"/>
      <c r="N381" s="47"/>
      <c r="O381" s="47"/>
    </row>
    <row r="382">
      <c r="H382" s="47"/>
      <c r="I382" s="47"/>
      <c r="J382" s="47"/>
      <c r="K382" s="47"/>
      <c r="L382" s="47"/>
      <c r="M382" s="47"/>
      <c r="N382" s="47"/>
      <c r="O382" s="47"/>
    </row>
    <row r="383">
      <c r="H383" s="47"/>
      <c r="I383" s="47"/>
      <c r="J383" s="47"/>
      <c r="K383" s="47"/>
      <c r="L383" s="47"/>
      <c r="M383" s="47"/>
      <c r="N383" s="47"/>
      <c r="O383" s="47"/>
    </row>
    <row r="384">
      <c r="H384" s="47"/>
      <c r="I384" s="47"/>
      <c r="J384" s="47"/>
      <c r="K384" s="47"/>
      <c r="L384" s="47"/>
      <c r="M384" s="47"/>
      <c r="N384" s="47"/>
      <c r="O384" s="47"/>
    </row>
    <row r="385">
      <c r="H385" s="47"/>
      <c r="I385" s="47"/>
      <c r="J385" s="47"/>
      <c r="K385" s="47"/>
      <c r="L385" s="47"/>
      <c r="M385" s="47"/>
      <c r="N385" s="47"/>
      <c r="O385" s="47"/>
    </row>
    <row r="386">
      <c r="H386" s="47"/>
      <c r="I386" s="47"/>
      <c r="J386" s="47"/>
      <c r="K386" s="47"/>
      <c r="L386" s="47"/>
      <c r="M386" s="47"/>
      <c r="N386" s="47"/>
      <c r="O386" s="47"/>
    </row>
    <row r="387">
      <c r="H387" s="47"/>
      <c r="I387" s="47"/>
      <c r="J387" s="47"/>
      <c r="K387" s="47"/>
      <c r="L387" s="47"/>
      <c r="M387" s="47"/>
      <c r="N387" s="47"/>
      <c r="O387" s="47"/>
    </row>
    <row r="388">
      <c r="H388" s="47"/>
      <c r="I388" s="47"/>
      <c r="J388" s="47"/>
      <c r="K388" s="47"/>
      <c r="L388" s="47"/>
      <c r="M388" s="47"/>
      <c r="N388" s="47"/>
      <c r="O388" s="47"/>
    </row>
    <row r="389">
      <c r="H389" s="47"/>
      <c r="I389" s="47"/>
      <c r="J389" s="47"/>
      <c r="K389" s="47"/>
      <c r="L389" s="47"/>
      <c r="M389" s="47"/>
      <c r="N389" s="47"/>
      <c r="O389" s="47"/>
    </row>
    <row r="390">
      <c r="H390" s="47"/>
      <c r="I390" s="47"/>
      <c r="J390" s="47"/>
      <c r="K390" s="47"/>
      <c r="L390" s="47"/>
      <c r="M390" s="47"/>
      <c r="N390" s="47"/>
      <c r="O390" s="47"/>
    </row>
    <row r="391">
      <c r="H391" s="47"/>
      <c r="I391" s="47"/>
      <c r="J391" s="47"/>
      <c r="K391" s="47"/>
      <c r="L391" s="47"/>
      <c r="M391" s="47"/>
      <c r="N391" s="47"/>
      <c r="O391" s="47"/>
    </row>
    <row r="392">
      <c r="H392" s="47"/>
      <c r="I392" s="47"/>
      <c r="J392" s="47"/>
      <c r="K392" s="47"/>
      <c r="L392" s="47"/>
      <c r="M392" s="47"/>
      <c r="N392" s="47"/>
      <c r="O392" s="47"/>
    </row>
    <row r="393">
      <c r="H393" s="47"/>
      <c r="I393" s="47"/>
      <c r="J393" s="47"/>
      <c r="K393" s="47"/>
      <c r="L393" s="47"/>
      <c r="M393" s="47"/>
      <c r="N393" s="47"/>
      <c r="O393" s="47"/>
    </row>
    <row r="394">
      <c r="H394" s="47"/>
      <c r="I394" s="47"/>
      <c r="J394" s="47"/>
      <c r="K394" s="47"/>
      <c r="L394" s="47"/>
      <c r="M394" s="47"/>
      <c r="N394" s="47"/>
      <c r="O394" s="47"/>
    </row>
    <row r="395">
      <c r="H395" s="47"/>
      <c r="I395" s="47"/>
      <c r="J395" s="47"/>
      <c r="K395" s="47"/>
      <c r="L395" s="47"/>
      <c r="M395" s="47"/>
      <c r="N395" s="47"/>
      <c r="O395" s="47"/>
    </row>
    <row r="396">
      <c r="H396" s="47"/>
      <c r="I396" s="47"/>
      <c r="J396" s="47"/>
      <c r="K396" s="47"/>
      <c r="L396" s="47"/>
      <c r="M396" s="47"/>
      <c r="N396" s="47"/>
      <c r="O396" s="47"/>
    </row>
    <row r="397">
      <c r="H397" s="47"/>
      <c r="I397" s="47"/>
      <c r="J397" s="47"/>
      <c r="K397" s="47"/>
      <c r="L397" s="47"/>
      <c r="M397" s="47"/>
      <c r="N397" s="47"/>
      <c r="O397" s="47"/>
    </row>
    <row r="398">
      <c r="H398" s="47"/>
      <c r="I398" s="47"/>
      <c r="J398" s="47"/>
      <c r="K398" s="47"/>
      <c r="L398" s="47"/>
      <c r="M398" s="47"/>
      <c r="N398" s="47"/>
      <c r="O398" s="47"/>
    </row>
    <row r="399">
      <c r="H399" s="47"/>
      <c r="I399" s="47"/>
      <c r="J399" s="47"/>
      <c r="K399" s="47"/>
      <c r="L399" s="47"/>
      <c r="M399" s="47"/>
      <c r="N399" s="47"/>
      <c r="O399" s="47"/>
    </row>
    <row r="400">
      <c r="H400" s="47"/>
      <c r="I400" s="47"/>
      <c r="J400" s="47"/>
      <c r="K400" s="47"/>
      <c r="L400" s="47"/>
      <c r="M400" s="47"/>
      <c r="N400" s="47"/>
      <c r="O400" s="47"/>
    </row>
    <row r="401">
      <c r="H401" s="47"/>
      <c r="I401" s="47"/>
      <c r="J401" s="47"/>
      <c r="K401" s="47"/>
      <c r="L401" s="47"/>
      <c r="M401" s="47"/>
      <c r="N401" s="47"/>
      <c r="O401" s="47"/>
    </row>
    <row r="402">
      <c r="H402" s="47"/>
      <c r="I402" s="47"/>
      <c r="J402" s="47"/>
      <c r="K402" s="47"/>
      <c r="L402" s="47"/>
      <c r="M402" s="47"/>
      <c r="N402" s="47"/>
      <c r="O402" s="47"/>
    </row>
    <row r="403">
      <c r="H403" s="47"/>
      <c r="I403" s="47"/>
      <c r="J403" s="47"/>
      <c r="K403" s="47"/>
      <c r="L403" s="47"/>
      <c r="M403" s="47"/>
      <c r="N403" s="47"/>
      <c r="O403" s="47"/>
    </row>
    <row r="404">
      <c r="H404" s="47"/>
      <c r="I404" s="47"/>
      <c r="J404" s="47"/>
      <c r="K404" s="47"/>
      <c r="L404" s="47"/>
      <c r="M404" s="47"/>
      <c r="N404" s="47"/>
      <c r="O404" s="47"/>
    </row>
    <row r="405">
      <c r="H405" s="47"/>
      <c r="I405" s="47"/>
      <c r="J405" s="47"/>
      <c r="K405" s="47"/>
      <c r="L405" s="47"/>
      <c r="M405" s="47"/>
      <c r="N405" s="47"/>
      <c r="O405" s="47"/>
    </row>
    <row r="406">
      <c r="H406" s="47"/>
      <c r="I406" s="47"/>
      <c r="J406" s="47"/>
      <c r="K406" s="47"/>
      <c r="L406" s="47"/>
      <c r="M406" s="47"/>
      <c r="N406" s="47"/>
      <c r="O406" s="47"/>
    </row>
    <row r="407">
      <c r="H407" s="47"/>
      <c r="I407" s="47"/>
      <c r="J407" s="47"/>
      <c r="K407" s="47"/>
      <c r="L407" s="47"/>
      <c r="M407" s="47"/>
      <c r="N407" s="47"/>
      <c r="O407" s="47"/>
    </row>
    <row r="408">
      <c r="H408" s="47"/>
      <c r="I408" s="47"/>
      <c r="J408" s="47"/>
      <c r="K408" s="47"/>
      <c r="L408" s="47"/>
      <c r="M408" s="47"/>
      <c r="N408" s="47"/>
      <c r="O408" s="47"/>
    </row>
    <row r="409">
      <c r="H409" s="47"/>
      <c r="I409" s="47"/>
      <c r="J409" s="47"/>
      <c r="K409" s="47"/>
      <c r="L409" s="47"/>
      <c r="M409" s="47"/>
      <c r="N409" s="47"/>
      <c r="O409" s="47"/>
    </row>
    <row r="410">
      <c r="H410" s="47"/>
      <c r="I410" s="47"/>
      <c r="J410" s="47"/>
      <c r="K410" s="47"/>
      <c r="L410" s="47"/>
      <c r="M410" s="47"/>
      <c r="N410" s="47"/>
      <c r="O410" s="47"/>
    </row>
    <row r="411">
      <c r="H411" s="47"/>
      <c r="I411" s="47"/>
      <c r="J411" s="47"/>
      <c r="K411" s="47"/>
      <c r="L411" s="47"/>
      <c r="M411" s="47"/>
      <c r="N411" s="47"/>
      <c r="O411" s="47"/>
    </row>
    <row r="412">
      <c r="H412" s="47"/>
      <c r="I412" s="47"/>
      <c r="J412" s="47"/>
      <c r="K412" s="47"/>
      <c r="L412" s="47"/>
      <c r="M412" s="47"/>
      <c r="N412" s="47"/>
      <c r="O412" s="47"/>
    </row>
    <row r="413">
      <c r="H413" s="47"/>
      <c r="I413" s="47"/>
      <c r="J413" s="47"/>
      <c r="K413" s="47"/>
      <c r="L413" s="47"/>
      <c r="M413" s="47"/>
      <c r="N413" s="47"/>
      <c r="O413" s="47"/>
    </row>
    <row r="414">
      <c r="H414" s="47"/>
      <c r="I414" s="47"/>
      <c r="J414" s="47"/>
      <c r="K414" s="47"/>
      <c r="L414" s="47"/>
      <c r="M414" s="47"/>
      <c r="N414" s="47"/>
      <c r="O414" s="47"/>
    </row>
    <row r="415">
      <c r="H415" s="47"/>
      <c r="I415" s="47"/>
      <c r="J415" s="47"/>
      <c r="K415" s="47"/>
      <c r="L415" s="47"/>
      <c r="M415" s="47"/>
      <c r="N415" s="47"/>
      <c r="O415" s="47"/>
    </row>
    <row r="416">
      <c r="H416" s="47"/>
      <c r="I416" s="47"/>
      <c r="J416" s="47"/>
      <c r="K416" s="47"/>
      <c r="L416" s="47"/>
      <c r="M416" s="47"/>
      <c r="N416" s="47"/>
      <c r="O416" s="47"/>
    </row>
    <row r="417">
      <c r="H417" s="47"/>
      <c r="I417" s="47"/>
      <c r="J417" s="47"/>
      <c r="K417" s="47"/>
      <c r="L417" s="47"/>
      <c r="M417" s="47"/>
      <c r="N417" s="47"/>
      <c r="O417" s="47"/>
    </row>
    <row r="418">
      <c r="H418" s="47"/>
      <c r="I418" s="47"/>
      <c r="J418" s="47"/>
      <c r="K418" s="47"/>
      <c r="L418" s="47"/>
      <c r="M418" s="47"/>
      <c r="N418" s="47"/>
      <c r="O418" s="47"/>
    </row>
    <row r="419">
      <c r="H419" s="47"/>
      <c r="I419" s="47"/>
      <c r="J419" s="47"/>
      <c r="K419" s="47"/>
      <c r="L419" s="47"/>
      <c r="M419" s="47"/>
      <c r="N419" s="47"/>
      <c r="O419" s="47"/>
    </row>
    <row r="420">
      <c r="H420" s="47"/>
      <c r="I420" s="47"/>
      <c r="J420" s="47"/>
      <c r="K420" s="47"/>
      <c r="L420" s="47"/>
      <c r="M420" s="47"/>
      <c r="N420" s="47"/>
      <c r="O420" s="47"/>
    </row>
    <row r="421">
      <c r="H421" s="47"/>
      <c r="I421" s="47"/>
      <c r="J421" s="47"/>
      <c r="K421" s="47"/>
      <c r="L421" s="47"/>
      <c r="M421" s="47"/>
      <c r="N421" s="47"/>
      <c r="O421" s="47"/>
    </row>
    <row r="422">
      <c r="H422" s="47"/>
      <c r="I422" s="47"/>
      <c r="J422" s="47"/>
      <c r="K422" s="47"/>
      <c r="L422" s="47"/>
      <c r="M422" s="47"/>
      <c r="N422" s="47"/>
      <c r="O422" s="47"/>
    </row>
    <row r="423">
      <c r="H423" s="47"/>
      <c r="I423" s="47"/>
      <c r="J423" s="47"/>
      <c r="K423" s="47"/>
      <c r="L423" s="47"/>
      <c r="M423" s="47"/>
      <c r="N423" s="47"/>
      <c r="O423" s="47"/>
    </row>
    <row r="424">
      <c r="H424" s="47"/>
      <c r="I424" s="47"/>
      <c r="J424" s="47"/>
      <c r="K424" s="47"/>
      <c r="L424" s="47"/>
      <c r="M424" s="47"/>
      <c r="N424" s="47"/>
      <c r="O424" s="47"/>
    </row>
    <row r="425">
      <c r="H425" s="47"/>
      <c r="I425" s="47"/>
      <c r="J425" s="47"/>
      <c r="K425" s="47"/>
      <c r="L425" s="47"/>
      <c r="M425" s="47"/>
      <c r="N425" s="47"/>
      <c r="O425" s="47"/>
    </row>
    <row r="426">
      <c r="H426" s="47"/>
      <c r="I426" s="47"/>
      <c r="J426" s="47"/>
      <c r="K426" s="47"/>
      <c r="L426" s="47"/>
      <c r="M426" s="47"/>
      <c r="N426" s="47"/>
      <c r="O426" s="47"/>
    </row>
    <row r="427">
      <c r="H427" s="47"/>
      <c r="I427" s="47"/>
      <c r="J427" s="47"/>
      <c r="K427" s="47"/>
      <c r="L427" s="47"/>
      <c r="M427" s="47"/>
      <c r="N427" s="47"/>
      <c r="O427" s="47"/>
    </row>
    <row r="428">
      <c r="H428" s="47"/>
      <c r="I428" s="47"/>
      <c r="J428" s="47"/>
      <c r="K428" s="47"/>
      <c r="L428" s="47"/>
      <c r="M428" s="47"/>
      <c r="N428" s="47"/>
      <c r="O428" s="47"/>
    </row>
    <row r="429">
      <c r="H429" s="47"/>
      <c r="I429" s="47"/>
      <c r="J429" s="47"/>
      <c r="K429" s="47"/>
      <c r="L429" s="47"/>
      <c r="M429" s="47"/>
      <c r="N429" s="47"/>
      <c r="O429" s="47"/>
    </row>
    <row r="430">
      <c r="H430" s="47"/>
      <c r="I430" s="47"/>
      <c r="J430" s="47"/>
      <c r="K430" s="47"/>
      <c r="L430" s="47"/>
      <c r="M430" s="47"/>
      <c r="N430" s="47"/>
      <c r="O430" s="47"/>
    </row>
    <row r="431">
      <c r="H431" s="47"/>
      <c r="I431" s="47"/>
      <c r="J431" s="47"/>
      <c r="K431" s="47"/>
      <c r="L431" s="47"/>
      <c r="M431" s="47"/>
      <c r="N431" s="47"/>
      <c r="O431" s="47"/>
    </row>
    <row r="432">
      <c r="H432" s="47"/>
      <c r="I432" s="47"/>
      <c r="J432" s="47"/>
      <c r="K432" s="47"/>
      <c r="L432" s="47"/>
      <c r="M432" s="47"/>
      <c r="N432" s="47"/>
      <c r="O432" s="47"/>
    </row>
    <row r="433">
      <c r="H433" s="47"/>
      <c r="I433" s="47"/>
      <c r="J433" s="47"/>
      <c r="K433" s="47"/>
      <c r="L433" s="47"/>
      <c r="M433" s="47"/>
      <c r="N433" s="47"/>
      <c r="O433" s="47"/>
    </row>
    <row r="434">
      <c r="H434" s="47"/>
      <c r="I434" s="47"/>
      <c r="J434" s="47"/>
      <c r="K434" s="47"/>
      <c r="L434" s="47"/>
      <c r="M434" s="47"/>
      <c r="N434" s="47"/>
      <c r="O434" s="47"/>
    </row>
    <row r="435">
      <c r="H435" s="47"/>
      <c r="I435" s="47"/>
      <c r="J435" s="47"/>
      <c r="K435" s="47"/>
      <c r="L435" s="47"/>
      <c r="M435" s="47"/>
      <c r="N435" s="47"/>
      <c r="O435" s="47"/>
    </row>
    <row r="436">
      <c r="H436" s="47"/>
      <c r="I436" s="47"/>
      <c r="J436" s="47"/>
      <c r="K436" s="47"/>
      <c r="L436" s="47"/>
      <c r="M436" s="47"/>
      <c r="N436" s="47"/>
      <c r="O436" s="47"/>
    </row>
    <row r="437">
      <c r="H437" s="47"/>
      <c r="I437" s="47"/>
      <c r="J437" s="47"/>
      <c r="K437" s="47"/>
      <c r="L437" s="47"/>
      <c r="M437" s="47"/>
      <c r="N437" s="47"/>
      <c r="O437" s="47"/>
    </row>
    <row r="438">
      <c r="H438" s="47"/>
      <c r="I438" s="47"/>
      <c r="J438" s="47"/>
      <c r="K438" s="47"/>
      <c r="L438" s="47"/>
      <c r="M438" s="47"/>
      <c r="N438" s="47"/>
      <c r="O438" s="47"/>
    </row>
    <row r="439">
      <c r="H439" s="47"/>
      <c r="I439" s="47"/>
      <c r="J439" s="47"/>
      <c r="K439" s="47"/>
      <c r="L439" s="47"/>
      <c r="M439" s="47"/>
      <c r="N439" s="47"/>
      <c r="O439" s="47"/>
    </row>
    <row r="440">
      <c r="H440" s="47"/>
      <c r="I440" s="47"/>
      <c r="J440" s="47"/>
      <c r="K440" s="47"/>
      <c r="L440" s="47"/>
      <c r="M440" s="47"/>
      <c r="N440" s="47"/>
      <c r="O440" s="47"/>
    </row>
    <row r="441">
      <c r="H441" s="47"/>
      <c r="I441" s="47"/>
      <c r="J441" s="47"/>
      <c r="K441" s="47"/>
      <c r="L441" s="47"/>
      <c r="M441" s="47"/>
      <c r="N441" s="47"/>
      <c r="O441" s="47"/>
    </row>
    <row r="442">
      <c r="H442" s="47"/>
      <c r="I442" s="47"/>
      <c r="J442" s="47"/>
      <c r="K442" s="47"/>
      <c r="L442" s="47"/>
      <c r="M442" s="47"/>
      <c r="N442" s="47"/>
      <c r="O442" s="47"/>
    </row>
    <row r="443">
      <c r="H443" s="47"/>
      <c r="I443" s="47"/>
      <c r="J443" s="47"/>
      <c r="K443" s="47"/>
      <c r="L443" s="47"/>
      <c r="M443" s="47"/>
      <c r="N443" s="47"/>
      <c r="O443" s="47"/>
    </row>
    <row r="444">
      <c r="H444" s="47"/>
      <c r="I444" s="47"/>
      <c r="J444" s="47"/>
      <c r="K444" s="47"/>
      <c r="L444" s="47"/>
      <c r="M444" s="47"/>
      <c r="N444" s="47"/>
      <c r="O444" s="47"/>
    </row>
    <row r="445">
      <c r="H445" s="47"/>
      <c r="I445" s="47"/>
      <c r="J445" s="47"/>
      <c r="K445" s="47"/>
      <c r="L445" s="47"/>
      <c r="M445" s="47"/>
      <c r="N445" s="47"/>
      <c r="O445" s="47"/>
    </row>
    <row r="446">
      <c r="H446" s="47"/>
      <c r="I446" s="47"/>
      <c r="J446" s="47"/>
      <c r="K446" s="47"/>
      <c r="L446" s="47"/>
      <c r="M446" s="47"/>
      <c r="N446" s="47"/>
      <c r="O446" s="47"/>
    </row>
    <row r="447">
      <c r="H447" s="47"/>
      <c r="I447" s="47"/>
      <c r="J447" s="47"/>
      <c r="K447" s="47"/>
      <c r="L447" s="47"/>
      <c r="M447" s="47"/>
      <c r="N447" s="47"/>
      <c r="O447" s="47"/>
    </row>
    <row r="448">
      <c r="H448" s="47"/>
      <c r="I448" s="47"/>
      <c r="J448" s="47"/>
      <c r="K448" s="47"/>
      <c r="L448" s="47"/>
      <c r="M448" s="47"/>
      <c r="N448" s="47"/>
      <c r="O448" s="47"/>
    </row>
    <row r="449">
      <c r="H449" s="47"/>
      <c r="I449" s="47"/>
      <c r="J449" s="47"/>
      <c r="K449" s="47"/>
      <c r="L449" s="47"/>
      <c r="M449" s="47"/>
      <c r="N449" s="47"/>
      <c r="O449" s="47"/>
    </row>
    <row r="450">
      <c r="H450" s="47"/>
      <c r="I450" s="47"/>
      <c r="J450" s="47"/>
      <c r="K450" s="47"/>
      <c r="L450" s="47"/>
      <c r="M450" s="47"/>
      <c r="N450" s="47"/>
      <c r="O450" s="47"/>
    </row>
    <row r="451">
      <c r="H451" s="47"/>
      <c r="I451" s="47"/>
      <c r="J451" s="47"/>
      <c r="K451" s="47"/>
      <c r="L451" s="47"/>
      <c r="M451" s="47"/>
      <c r="N451" s="47"/>
      <c r="O451" s="47"/>
    </row>
    <row r="452">
      <c r="H452" s="47"/>
      <c r="I452" s="47"/>
      <c r="J452" s="47"/>
      <c r="K452" s="47"/>
      <c r="L452" s="47"/>
      <c r="M452" s="47"/>
      <c r="N452" s="47"/>
      <c r="O452" s="47"/>
    </row>
    <row r="453">
      <c r="H453" s="47"/>
      <c r="I453" s="47"/>
      <c r="J453" s="47"/>
      <c r="K453" s="47"/>
      <c r="L453" s="47"/>
      <c r="M453" s="47"/>
      <c r="N453" s="47"/>
      <c r="O453" s="47"/>
    </row>
    <row r="454">
      <c r="H454" s="47"/>
      <c r="I454" s="47"/>
      <c r="J454" s="47"/>
      <c r="K454" s="47"/>
      <c r="L454" s="47"/>
      <c r="M454" s="47"/>
      <c r="N454" s="47"/>
      <c r="O454" s="47"/>
    </row>
    <row r="455">
      <c r="H455" s="47"/>
      <c r="I455" s="47"/>
      <c r="J455" s="47"/>
      <c r="K455" s="47"/>
      <c r="L455" s="47"/>
      <c r="M455" s="47"/>
      <c r="N455" s="47"/>
      <c r="O455" s="47"/>
    </row>
    <row r="456">
      <c r="H456" s="47"/>
      <c r="I456" s="47"/>
      <c r="J456" s="47"/>
      <c r="K456" s="47"/>
      <c r="L456" s="47"/>
      <c r="M456" s="47"/>
      <c r="N456" s="47"/>
      <c r="O456" s="47"/>
    </row>
    <row r="457">
      <c r="H457" s="47"/>
      <c r="I457" s="47"/>
      <c r="J457" s="47"/>
      <c r="K457" s="47"/>
      <c r="L457" s="47"/>
      <c r="M457" s="47"/>
      <c r="N457" s="47"/>
      <c r="O457" s="47"/>
    </row>
    <row r="458">
      <c r="H458" s="47"/>
      <c r="I458" s="47"/>
      <c r="J458" s="47"/>
      <c r="K458" s="47"/>
      <c r="L458" s="47"/>
      <c r="M458" s="47"/>
      <c r="N458" s="47"/>
      <c r="O458" s="47"/>
    </row>
    <row r="459">
      <c r="H459" s="47"/>
      <c r="I459" s="47"/>
      <c r="J459" s="47"/>
      <c r="K459" s="47"/>
      <c r="L459" s="47"/>
      <c r="M459" s="47"/>
      <c r="N459" s="47"/>
      <c r="O459" s="47"/>
    </row>
    <row r="460">
      <c r="H460" s="47"/>
      <c r="I460" s="47"/>
      <c r="J460" s="47"/>
      <c r="K460" s="47"/>
      <c r="L460" s="47"/>
      <c r="M460" s="47"/>
      <c r="N460" s="47"/>
      <c r="O460" s="47"/>
    </row>
    <row r="461">
      <c r="H461" s="47"/>
      <c r="I461" s="47"/>
      <c r="J461" s="47"/>
      <c r="K461" s="47"/>
      <c r="L461" s="47"/>
      <c r="M461" s="47"/>
      <c r="N461" s="47"/>
      <c r="O461" s="47"/>
    </row>
    <row r="462">
      <c r="H462" s="47"/>
      <c r="I462" s="47"/>
      <c r="J462" s="47"/>
      <c r="K462" s="47"/>
      <c r="L462" s="47"/>
      <c r="M462" s="47"/>
      <c r="N462" s="47"/>
      <c r="O462" s="47"/>
    </row>
    <row r="463">
      <c r="H463" s="47"/>
      <c r="I463" s="47"/>
      <c r="J463" s="47"/>
      <c r="K463" s="47"/>
      <c r="L463" s="47"/>
      <c r="M463" s="47"/>
      <c r="N463" s="47"/>
      <c r="O463" s="47"/>
    </row>
    <row r="464">
      <c r="H464" s="47"/>
      <c r="I464" s="47"/>
      <c r="J464" s="47"/>
      <c r="K464" s="47"/>
      <c r="L464" s="47"/>
      <c r="M464" s="47"/>
      <c r="N464" s="47"/>
      <c r="O464" s="47"/>
    </row>
    <row r="465">
      <c r="H465" s="47"/>
      <c r="I465" s="47"/>
      <c r="J465" s="47"/>
      <c r="K465" s="47"/>
      <c r="L465" s="47"/>
      <c r="M465" s="47"/>
      <c r="N465" s="47"/>
      <c r="O465" s="47"/>
    </row>
    <row r="466">
      <c r="H466" s="47"/>
      <c r="I466" s="47"/>
      <c r="J466" s="47"/>
      <c r="K466" s="47"/>
      <c r="L466" s="47"/>
      <c r="M466" s="47"/>
      <c r="N466" s="47"/>
      <c r="O466" s="47"/>
    </row>
    <row r="467">
      <c r="H467" s="47"/>
      <c r="I467" s="47"/>
      <c r="J467" s="47"/>
      <c r="K467" s="47"/>
      <c r="L467" s="47"/>
      <c r="M467" s="47"/>
      <c r="N467" s="47"/>
      <c r="O467" s="47"/>
    </row>
    <row r="468">
      <c r="H468" s="47"/>
      <c r="I468" s="47"/>
      <c r="J468" s="47"/>
      <c r="K468" s="47"/>
      <c r="L468" s="47"/>
      <c r="M468" s="47"/>
      <c r="N468" s="47"/>
      <c r="O468" s="47"/>
    </row>
    <row r="469">
      <c r="H469" s="47"/>
      <c r="I469" s="47"/>
      <c r="J469" s="47"/>
      <c r="K469" s="47"/>
      <c r="L469" s="47"/>
      <c r="M469" s="47"/>
      <c r="N469" s="47"/>
      <c r="O469" s="47"/>
    </row>
    <row r="470">
      <c r="H470" s="47"/>
      <c r="I470" s="47"/>
      <c r="J470" s="47"/>
      <c r="K470" s="47"/>
      <c r="L470" s="47"/>
      <c r="M470" s="47"/>
      <c r="N470" s="47"/>
      <c r="O470" s="47"/>
    </row>
    <row r="471">
      <c r="H471" s="47"/>
      <c r="I471" s="47"/>
      <c r="J471" s="47"/>
      <c r="K471" s="47"/>
      <c r="L471" s="47"/>
      <c r="M471" s="47"/>
      <c r="N471" s="47"/>
      <c r="O471" s="47"/>
    </row>
    <row r="472">
      <c r="H472" s="47"/>
      <c r="I472" s="47"/>
      <c r="J472" s="47"/>
      <c r="K472" s="47"/>
      <c r="L472" s="47"/>
      <c r="M472" s="47"/>
      <c r="N472" s="47"/>
      <c r="O472" s="47"/>
    </row>
    <row r="473">
      <c r="H473" s="47"/>
      <c r="I473" s="47"/>
      <c r="J473" s="47"/>
      <c r="K473" s="47"/>
      <c r="L473" s="47"/>
      <c r="M473" s="47"/>
      <c r="N473" s="47"/>
      <c r="O473" s="47"/>
    </row>
    <row r="474">
      <c r="H474" s="47"/>
      <c r="I474" s="47"/>
      <c r="J474" s="47"/>
      <c r="K474" s="47"/>
      <c r="L474" s="47"/>
      <c r="M474" s="47"/>
      <c r="N474" s="47"/>
      <c r="O474" s="47"/>
    </row>
    <row r="475">
      <c r="H475" s="47"/>
      <c r="I475" s="47"/>
      <c r="J475" s="47"/>
      <c r="K475" s="47"/>
      <c r="L475" s="47"/>
      <c r="M475" s="47"/>
      <c r="N475" s="47"/>
      <c r="O475" s="47"/>
    </row>
    <row r="476">
      <c r="H476" s="47"/>
      <c r="I476" s="47"/>
      <c r="J476" s="47"/>
      <c r="K476" s="47"/>
      <c r="L476" s="47"/>
      <c r="M476" s="47"/>
      <c r="N476" s="47"/>
      <c r="O476" s="47"/>
    </row>
    <row r="477">
      <c r="H477" s="47"/>
      <c r="I477" s="47"/>
      <c r="J477" s="47"/>
      <c r="K477" s="47"/>
      <c r="L477" s="47"/>
      <c r="M477" s="47"/>
      <c r="N477" s="47"/>
      <c r="O477" s="47"/>
    </row>
    <row r="478">
      <c r="H478" s="47"/>
      <c r="I478" s="47"/>
      <c r="J478" s="47"/>
      <c r="K478" s="47"/>
      <c r="L478" s="47"/>
      <c r="M478" s="47"/>
      <c r="N478" s="47"/>
      <c r="O478" s="47"/>
    </row>
    <row r="479">
      <c r="H479" s="47"/>
      <c r="I479" s="47"/>
      <c r="J479" s="47"/>
      <c r="K479" s="47"/>
      <c r="L479" s="47"/>
      <c r="M479" s="47"/>
      <c r="N479" s="47"/>
      <c r="O479" s="47"/>
    </row>
    <row r="480">
      <c r="H480" s="47"/>
      <c r="I480" s="47"/>
      <c r="J480" s="47"/>
      <c r="K480" s="47"/>
      <c r="L480" s="47"/>
      <c r="M480" s="47"/>
      <c r="N480" s="47"/>
      <c r="O480" s="47"/>
    </row>
    <row r="481">
      <c r="H481" s="47"/>
      <c r="I481" s="47"/>
      <c r="J481" s="47"/>
      <c r="K481" s="47"/>
      <c r="L481" s="47"/>
      <c r="M481" s="47"/>
      <c r="N481" s="47"/>
      <c r="O481" s="47"/>
    </row>
    <row r="482">
      <c r="H482" s="47"/>
      <c r="I482" s="47"/>
      <c r="J482" s="47"/>
      <c r="K482" s="47"/>
      <c r="L482" s="47"/>
      <c r="M482" s="47"/>
      <c r="N482" s="47"/>
      <c r="O482" s="47"/>
    </row>
    <row r="483">
      <c r="H483" s="47"/>
      <c r="I483" s="47"/>
      <c r="J483" s="47"/>
      <c r="K483" s="47"/>
      <c r="L483" s="47"/>
      <c r="M483" s="47"/>
      <c r="N483" s="47"/>
      <c r="O483" s="47"/>
    </row>
    <row r="484">
      <c r="H484" s="47"/>
      <c r="I484" s="47"/>
      <c r="J484" s="47"/>
      <c r="K484" s="47"/>
      <c r="L484" s="47"/>
      <c r="M484" s="47"/>
      <c r="N484" s="47"/>
      <c r="O484" s="47"/>
    </row>
    <row r="485">
      <c r="H485" s="47"/>
      <c r="I485" s="47"/>
      <c r="J485" s="47"/>
      <c r="K485" s="47"/>
      <c r="L485" s="47"/>
      <c r="M485" s="47"/>
      <c r="N485" s="47"/>
      <c r="O485" s="47"/>
    </row>
    <row r="486">
      <c r="H486" s="47"/>
      <c r="I486" s="47"/>
      <c r="J486" s="47"/>
      <c r="K486" s="47"/>
      <c r="L486" s="47"/>
      <c r="M486" s="47"/>
      <c r="N486" s="47"/>
      <c r="O486" s="47"/>
    </row>
    <row r="487">
      <c r="H487" s="47"/>
      <c r="I487" s="47"/>
      <c r="J487" s="47"/>
      <c r="K487" s="47"/>
      <c r="L487" s="47"/>
      <c r="M487" s="47"/>
      <c r="N487" s="47"/>
      <c r="O487" s="47"/>
    </row>
    <row r="488">
      <c r="H488" s="47"/>
      <c r="I488" s="47"/>
      <c r="J488" s="47"/>
      <c r="K488" s="47"/>
      <c r="L488" s="47"/>
      <c r="M488" s="47"/>
      <c r="N488" s="47"/>
      <c r="O488" s="47"/>
    </row>
    <row r="489">
      <c r="H489" s="47"/>
      <c r="I489" s="47"/>
      <c r="J489" s="47"/>
      <c r="K489" s="47"/>
      <c r="L489" s="47"/>
      <c r="M489" s="47"/>
      <c r="N489" s="47"/>
      <c r="O489" s="47"/>
    </row>
    <row r="490">
      <c r="H490" s="47"/>
      <c r="I490" s="47"/>
      <c r="J490" s="47"/>
      <c r="K490" s="47"/>
      <c r="L490" s="47"/>
      <c r="M490" s="47"/>
      <c r="N490" s="47"/>
      <c r="O490" s="47"/>
    </row>
    <row r="491">
      <c r="H491" s="47"/>
      <c r="I491" s="47"/>
      <c r="J491" s="47"/>
      <c r="K491" s="47"/>
      <c r="L491" s="47"/>
      <c r="M491" s="47"/>
      <c r="N491" s="47"/>
      <c r="O491" s="47"/>
    </row>
    <row r="492">
      <c r="H492" s="47"/>
      <c r="I492" s="47"/>
      <c r="J492" s="47"/>
      <c r="K492" s="47"/>
      <c r="L492" s="47"/>
      <c r="M492" s="47"/>
      <c r="N492" s="47"/>
      <c r="O492" s="47"/>
    </row>
    <row r="493">
      <c r="H493" s="47"/>
      <c r="I493" s="47"/>
      <c r="J493" s="47"/>
      <c r="K493" s="47"/>
      <c r="L493" s="47"/>
      <c r="M493" s="47"/>
      <c r="N493" s="47"/>
      <c r="O493" s="47"/>
    </row>
    <row r="494">
      <c r="H494" s="47"/>
      <c r="I494" s="47"/>
      <c r="J494" s="47"/>
      <c r="K494" s="47"/>
      <c r="L494" s="47"/>
      <c r="M494" s="47"/>
      <c r="N494" s="47"/>
      <c r="O494" s="47"/>
    </row>
    <row r="495">
      <c r="H495" s="47"/>
      <c r="I495" s="47"/>
      <c r="J495" s="47"/>
      <c r="K495" s="47"/>
      <c r="L495" s="47"/>
      <c r="M495" s="47"/>
      <c r="N495" s="47"/>
      <c r="O495" s="47"/>
    </row>
    <row r="496">
      <c r="H496" s="47"/>
      <c r="I496" s="47"/>
      <c r="J496" s="47"/>
      <c r="K496" s="47"/>
      <c r="L496" s="47"/>
      <c r="M496" s="47"/>
      <c r="N496" s="47"/>
      <c r="O496" s="47"/>
    </row>
    <row r="497">
      <c r="H497" s="47"/>
      <c r="I497" s="47"/>
      <c r="J497" s="47"/>
      <c r="K497" s="47"/>
      <c r="L497" s="47"/>
      <c r="M497" s="47"/>
      <c r="N497" s="47"/>
      <c r="O497" s="47"/>
    </row>
    <row r="498">
      <c r="H498" s="47"/>
      <c r="I498" s="47"/>
      <c r="J498" s="47"/>
      <c r="K498" s="47"/>
      <c r="L498" s="47"/>
      <c r="M498" s="47"/>
      <c r="N498" s="47"/>
      <c r="O498" s="47"/>
    </row>
    <row r="499">
      <c r="H499" s="47"/>
      <c r="I499" s="47"/>
      <c r="J499" s="47"/>
      <c r="K499" s="47"/>
      <c r="L499" s="47"/>
      <c r="M499" s="47"/>
      <c r="N499" s="47"/>
      <c r="O499" s="47"/>
    </row>
    <row r="500">
      <c r="H500" s="47"/>
      <c r="I500" s="47"/>
      <c r="J500" s="47"/>
      <c r="K500" s="47"/>
      <c r="L500" s="47"/>
      <c r="M500" s="47"/>
      <c r="N500" s="47"/>
      <c r="O500" s="47"/>
    </row>
    <row r="501">
      <c r="H501" s="47"/>
      <c r="I501" s="47"/>
      <c r="J501" s="47"/>
      <c r="K501" s="47"/>
      <c r="L501" s="47"/>
      <c r="M501" s="47"/>
      <c r="N501" s="47"/>
      <c r="O501" s="47"/>
    </row>
    <row r="502">
      <c r="H502" s="47"/>
      <c r="I502" s="47"/>
      <c r="J502" s="47"/>
      <c r="K502" s="47"/>
      <c r="L502" s="47"/>
      <c r="M502" s="47"/>
      <c r="N502" s="47"/>
      <c r="O502" s="47"/>
    </row>
    <row r="503">
      <c r="H503" s="47"/>
      <c r="I503" s="47"/>
      <c r="J503" s="47"/>
      <c r="K503" s="47"/>
      <c r="L503" s="47"/>
      <c r="M503" s="47"/>
      <c r="N503" s="47"/>
      <c r="O503" s="47"/>
    </row>
    <row r="504">
      <c r="H504" s="47"/>
      <c r="I504" s="47"/>
      <c r="J504" s="47"/>
      <c r="K504" s="47"/>
      <c r="L504" s="47"/>
      <c r="M504" s="47"/>
      <c r="N504" s="47"/>
      <c r="O504" s="47"/>
    </row>
    <row r="505">
      <c r="H505" s="47"/>
      <c r="I505" s="47"/>
      <c r="J505" s="47"/>
      <c r="K505" s="47"/>
      <c r="L505" s="47"/>
      <c r="M505" s="47"/>
      <c r="N505" s="47"/>
      <c r="O505" s="47"/>
    </row>
    <row r="506">
      <c r="H506" s="47"/>
      <c r="I506" s="47"/>
      <c r="J506" s="47"/>
      <c r="K506" s="47"/>
      <c r="L506" s="47"/>
      <c r="M506" s="47"/>
      <c r="N506" s="47"/>
      <c r="O506" s="47"/>
    </row>
    <row r="507">
      <c r="H507" s="47"/>
      <c r="I507" s="47"/>
      <c r="J507" s="47"/>
      <c r="K507" s="47"/>
      <c r="L507" s="47"/>
      <c r="M507" s="47"/>
      <c r="N507" s="47"/>
      <c r="O507" s="47"/>
    </row>
    <row r="508">
      <c r="H508" s="47"/>
      <c r="I508" s="47"/>
      <c r="J508" s="47"/>
      <c r="K508" s="47"/>
      <c r="L508" s="47"/>
      <c r="M508" s="47"/>
      <c r="N508" s="47"/>
      <c r="O508" s="47"/>
    </row>
    <row r="509">
      <c r="H509" s="47"/>
      <c r="I509" s="47"/>
      <c r="J509" s="47"/>
      <c r="K509" s="47"/>
      <c r="L509" s="47"/>
      <c r="M509" s="47"/>
      <c r="N509" s="47"/>
      <c r="O509" s="47"/>
    </row>
    <row r="510">
      <c r="H510" s="47"/>
      <c r="I510" s="47"/>
      <c r="J510" s="47"/>
      <c r="K510" s="47"/>
      <c r="L510" s="47"/>
      <c r="M510" s="47"/>
      <c r="N510" s="47"/>
      <c r="O510" s="47"/>
    </row>
    <row r="511">
      <c r="H511" s="47"/>
      <c r="I511" s="47"/>
      <c r="J511" s="47"/>
      <c r="K511" s="47"/>
      <c r="L511" s="47"/>
      <c r="M511" s="47"/>
      <c r="N511" s="47"/>
      <c r="O511" s="47"/>
    </row>
    <row r="512">
      <c r="H512" s="47"/>
      <c r="I512" s="47"/>
      <c r="J512" s="47"/>
      <c r="K512" s="47"/>
      <c r="L512" s="47"/>
      <c r="M512" s="47"/>
      <c r="N512" s="47"/>
      <c r="O512" s="47"/>
    </row>
    <row r="513">
      <c r="H513" s="47"/>
      <c r="I513" s="47"/>
      <c r="J513" s="47"/>
      <c r="K513" s="47"/>
      <c r="L513" s="47"/>
      <c r="M513" s="47"/>
      <c r="N513" s="47"/>
      <c r="O513" s="47"/>
    </row>
    <row r="514">
      <c r="H514" s="47"/>
      <c r="I514" s="47"/>
      <c r="J514" s="47"/>
      <c r="K514" s="47"/>
      <c r="L514" s="47"/>
      <c r="M514" s="47"/>
      <c r="N514" s="47"/>
      <c r="O514" s="47"/>
    </row>
    <row r="515">
      <c r="H515" s="47"/>
      <c r="I515" s="47"/>
      <c r="J515" s="47"/>
      <c r="K515" s="47"/>
      <c r="L515" s="47"/>
      <c r="M515" s="47"/>
      <c r="N515" s="47"/>
      <c r="O515" s="47"/>
    </row>
    <row r="516">
      <c r="H516" s="47"/>
      <c r="I516" s="47"/>
      <c r="J516" s="47"/>
      <c r="K516" s="47"/>
      <c r="L516" s="47"/>
      <c r="M516" s="47"/>
      <c r="N516" s="47"/>
      <c r="O516" s="47"/>
    </row>
    <row r="517">
      <c r="H517" s="47"/>
      <c r="I517" s="47"/>
      <c r="J517" s="47"/>
      <c r="K517" s="47"/>
      <c r="L517" s="47"/>
      <c r="M517" s="47"/>
      <c r="N517" s="47"/>
      <c r="O517" s="47"/>
    </row>
    <row r="518">
      <c r="H518" s="47"/>
      <c r="I518" s="47"/>
      <c r="J518" s="47"/>
      <c r="K518" s="47"/>
      <c r="L518" s="47"/>
      <c r="M518" s="47"/>
      <c r="N518" s="47"/>
      <c r="O518" s="47"/>
    </row>
    <row r="519">
      <c r="H519" s="47"/>
      <c r="I519" s="47"/>
      <c r="J519" s="47"/>
      <c r="K519" s="47"/>
      <c r="L519" s="47"/>
      <c r="M519" s="47"/>
      <c r="N519" s="47"/>
      <c r="O519" s="47"/>
    </row>
    <row r="520">
      <c r="H520" s="47"/>
      <c r="I520" s="47"/>
      <c r="J520" s="47"/>
      <c r="K520" s="47"/>
      <c r="L520" s="47"/>
      <c r="M520" s="47"/>
      <c r="N520" s="47"/>
      <c r="O520" s="47"/>
    </row>
    <row r="521">
      <c r="H521" s="47"/>
      <c r="I521" s="47"/>
      <c r="J521" s="47"/>
      <c r="K521" s="47"/>
      <c r="L521" s="47"/>
      <c r="M521" s="47"/>
      <c r="N521" s="47"/>
      <c r="O521" s="47"/>
    </row>
    <row r="522">
      <c r="H522" s="47"/>
      <c r="I522" s="47"/>
      <c r="J522" s="47"/>
      <c r="K522" s="47"/>
      <c r="L522" s="47"/>
      <c r="M522" s="47"/>
      <c r="N522" s="47"/>
      <c r="O522" s="47"/>
    </row>
    <row r="523">
      <c r="H523" s="47"/>
      <c r="I523" s="47"/>
      <c r="J523" s="47"/>
      <c r="K523" s="47"/>
      <c r="L523" s="47"/>
      <c r="M523" s="47"/>
      <c r="N523" s="47"/>
      <c r="O523" s="47"/>
    </row>
    <row r="524">
      <c r="H524" s="47"/>
      <c r="I524" s="47"/>
      <c r="J524" s="47"/>
      <c r="K524" s="47"/>
      <c r="L524" s="47"/>
      <c r="M524" s="47"/>
      <c r="N524" s="47"/>
      <c r="O524" s="47"/>
    </row>
    <row r="525">
      <c r="H525" s="47"/>
      <c r="I525" s="47"/>
      <c r="J525" s="47"/>
      <c r="K525" s="47"/>
      <c r="L525" s="47"/>
      <c r="M525" s="47"/>
      <c r="N525" s="47"/>
      <c r="O525" s="47"/>
    </row>
    <row r="526">
      <c r="H526" s="47"/>
      <c r="I526" s="47"/>
      <c r="J526" s="47"/>
      <c r="K526" s="47"/>
      <c r="L526" s="47"/>
      <c r="M526" s="47"/>
      <c r="N526" s="47"/>
      <c r="O526" s="47"/>
    </row>
    <row r="527">
      <c r="H527" s="47"/>
      <c r="I527" s="47"/>
      <c r="J527" s="47"/>
      <c r="K527" s="47"/>
      <c r="L527" s="47"/>
      <c r="M527" s="47"/>
      <c r="N527" s="47"/>
      <c r="O527" s="47"/>
    </row>
    <row r="528">
      <c r="H528" s="47"/>
      <c r="I528" s="47"/>
      <c r="J528" s="47"/>
      <c r="K528" s="47"/>
      <c r="L528" s="47"/>
      <c r="M528" s="47"/>
      <c r="N528" s="47"/>
      <c r="O528" s="47"/>
    </row>
    <row r="529">
      <c r="H529" s="47"/>
      <c r="I529" s="47"/>
      <c r="J529" s="47"/>
      <c r="K529" s="47"/>
      <c r="L529" s="47"/>
      <c r="M529" s="47"/>
      <c r="N529" s="47"/>
      <c r="O529" s="47"/>
    </row>
    <row r="530">
      <c r="H530" s="47"/>
      <c r="I530" s="47"/>
      <c r="J530" s="47"/>
      <c r="K530" s="47"/>
      <c r="L530" s="47"/>
      <c r="M530" s="47"/>
      <c r="N530" s="47"/>
      <c r="O530" s="47"/>
    </row>
    <row r="531">
      <c r="H531" s="47"/>
      <c r="I531" s="47"/>
      <c r="J531" s="47"/>
      <c r="K531" s="47"/>
      <c r="L531" s="47"/>
      <c r="M531" s="47"/>
      <c r="N531" s="47"/>
      <c r="O531" s="47"/>
    </row>
    <row r="532">
      <c r="H532" s="47"/>
      <c r="I532" s="47"/>
      <c r="J532" s="47"/>
      <c r="K532" s="47"/>
      <c r="L532" s="47"/>
      <c r="M532" s="47"/>
      <c r="N532" s="47"/>
      <c r="O532" s="47"/>
    </row>
    <row r="533">
      <c r="H533" s="47"/>
      <c r="I533" s="47"/>
      <c r="J533" s="47"/>
      <c r="K533" s="47"/>
      <c r="L533" s="47"/>
      <c r="M533" s="47"/>
      <c r="N533" s="47"/>
      <c r="O533" s="47"/>
    </row>
    <row r="534">
      <c r="H534" s="47"/>
      <c r="I534" s="47"/>
      <c r="J534" s="47"/>
      <c r="K534" s="47"/>
      <c r="L534" s="47"/>
      <c r="M534" s="47"/>
      <c r="N534" s="47"/>
      <c r="O534" s="47"/>
    </row>
    <row r="535">
      <c r="H535" s="47"/>
      <c r="I535" s="47"/>
      <c r="J535" s="47"/>
      <c r="K535" s="47"/>
      <c r="L535" s="47"/>
      <c r="M535" s="47"/>
      <c r="N535" s="47"/>
      <c r="O535" s="47"/>
    </row>
    <row r="536">
      <c r="H536" s="47"/>
      <c r="I536" s="47"/>
      <c r="J536" s="47"/>
      <c r="K536" s="47"/>
      <c r="L536" s="47"/>
      <c r="M536" s="47"/>
      <c r="N536" s="47"/>
      <c r="O536" s="47"/>
    </row>
    <row r="537">
      <c r="H537" s="47"/>
      <c r="I537" s="47"/>
      <c r="J537" s="47"/>
      <c r="K537" s="47"/>
      <c r="L537" s="47"/>
      <c r="M537" s="47"/>
      <c r="N537" s="47"/>
      <c r="O537" s="47"/>
    </row>
    <row r="538">
      <c r="H538" s="47"/>
      <c r="I538" s="47"/>
      <c r="J538" s="47"/>
      <c r="K538" s="47"/>
      <c r="L538" s="47"/>
      <c r="M538" s="47"/>
      <c r="N538" s="47"/>
      <c r="O538" s="47"/>
    </row>
    <row r="539">
      <c r="H539" s="47"/>
      <c r="I539" s="47"/>
      <c r="J539" s="47"/>
      <c r="K539" s="47"/>
      <c r="L539" s="47"/>
      <c r="M539" s="47"/>
      <c r="N539" s="47"/>
      <c r="O539" s="47"/>
    </row>
    <row r="540">
      <c r="H540" s="47"/>
      <c r="I540" s="47"/>
      <c r="J540" s="47"/>
      <c r="K540" s="47"/>
      <c r="L540" s="47"/>
      <c r="M540" s="47"/>
      <c r="N540" s="47"/>
      <c r="O540" s="47"/>
    </row>
    <row r="541">
      <c r="H541" s="47"/>
      <c r="I541" s="47"/>
      <c r="J541" s="47"/>
      <c r="K541" s="47"/>
      <c r="L541" s="47"/>
      <c r="M541" s="47"/>
      <c r="N541" s="47"/>
      <c r="O541" s="47"/>
    </row>
    <row r="542">
      <c r="H542" s="47"/>
      <c r="I542" s="47"/>
      <c r="J542" s="47"/>
      <c r="K542" s="47"/>
      <c r="L542" s="47"/>
      <c r="M542" s="47"/>
      <c r="N542" s="47"/>
      <c r="O542" s="47"/>
    </row>
    <row r="543">
      <c r="H543" s="47"/>
      <c r="I543" s="47"/>
      <c r="J543" s="47"/>
      <c r="K543" s="47"/>
      <c r="L543" s="47"/>
      <c r="M543" s="47"/>
      <c r="N543" s="47"/>
      <c r="O543" s="47"/>
    </row>
    <row r="544">
      <c r="H544" s="47"/>
      <c r="I544" s="47"/>
      <c r="J544" s="47"/>
      <c r="K544" s="47"/>
      <c r="L544" s="47"/>
      <c r="M544" s="47"/>
      <c r="N544" s="47"/>
      <c r="O544" s="47"/>
    </row>
    <row r="545">
      <c r="H545" s="47"/>
      <c r="I545" s="47"/>
      <c r="J545" s="47"/>
      <c r="K545" s="47"/>
      <c r="L545" s="47"/>
      <c r="M545" s="47"/>
      <c r="N545" s="47"/>
      <c r="O545" s="47"/>
    </row>
    <row r="546">
      <c r="H546" s="47"/>
      <c r="I546" s="47"/>
      <c r="J546" s="47"/>
      <c r="K546" s="47"/>
      <c r="L546" s="47"/>
      <c r="M546" s="47"/>
      <c r="N546" s="47"/>
      <c r="O546" s="47"/>
    </row>
    <row r="547">
      <c r="H547" s="47"/>
      <c r="I547" s="47"/>
      <c r="J547" s="47"/>
      <c r="K547" s="47"/>
      <c r="L547" s="47"/>
      <c r="M547" s="47"/>
      <c r="N547" s="47"/>
      <c r="O547" s="47"/>
    </row>
    <row r="548">
      <c r="H548" s="47"/>
      <c r="I548" s="47"/>
      <c r="J548" s="47"/>
      <c r="K548" s="47"/>
      <c r="L548" s="47"/>
      <c r="M548" s="47"/>
      <c r="N548" s="47"/>
      <c r="O548" s="47"/>
    </row>
    <row r="549">
      <c r="H549" s="47"/>
      <c r="I549" s="47"/>
      <c r="J549" s="47"/>
      <c r="K549" s="47"/>
      <c r="L549" s="47"/>
      <c r="M549" s="47"/>
      <c r="N549" s="47"/>
      <c r="O549" s="47"/>
    </row>
    <row r="550">
      <c r="H550" s="47"/>
      <c r="I550" s="47"/>
      <c r="J550" s="47"/>
      <c r="K550" s="47"/>
      <c r="L550" s="47"/>
      <c r="M550" s="47"/>
      <c r="N550" s="47"/>
      <c r="O550" s="47"/>
    </row>
    <row r="551">
      <c r="H551" s="47"/>
      <c r="I551" s="47"/>
      <c r="J551" s="47"/>
      <c r="K551" s="47"/>
      <c r="L551" s="47"/>
      <c r="M551" s="47"/>
      <c r="N551" s="47"/>
      <c r="O551" s="47"/>
    </row>
    <row r="552">
      <c r="H552" s="47"/>
      <c r="I552" s="47"/>
      <c r="J552" s="47"/>
      <c r="K552" s="47"/>
      <c r="L552" s="47"/>
      <c r="M552" s="47"/>
      <c r="N552" s="47"/>
      <c r="O552" s="47"/>
    </row>
    <row r="553">
      <c r="H553" s="47"/>
      <c r="I553" s="47"/>
      <c r="J553" s="47"/>
      <c r="K553" s="47"/>
      <c r="L553" s="47"/>
      <c r="M553" s="47"/>
      <c r="N553" s="47"/>
      <c r="O553" s="47"/>
    </row>
    <row r="554">
      <c r="H554" s="47"/>
      <c r="I554" s="47"/>
      <c r="J554" s="47"/>
      <c r="K554" s="47"/>
      <c r="L554" s="47"/>
      <c r="M554" s="47"/>
      <c r="N554" s="47"/>
      <c r="O554" s="47"/>
    </row>
    <row r="555">
      <c r="H555" s="47"/>
      <c r="I555" s="47"/>
      <c r="J555" s="47"/>
      <c r="K555" s="47"/>
      <c r="L555" s="47"/>
      <c r="M555" s="47"/>
      <c r="N555" s="47"/>
      <c r="O555" s="47"/>
    </row>
    <row r="556">
      <c r="H556" s="47"/>
      <c r="I556" s="47"/>
      <c r="J556" s="47"/>
      <c r="K556" s="47"/>
      <c r="L556" s="47"/>
      <c r="M556" s="47"/>
      <c r="N556" s="47"/>
      <c r="O556" s="47"/>
    </row>
    <row r="557">
      <c r="H557" s="47"/>
      <c r="I557" s="47"/>
      <c r="J557" s="47"/>
      <c r="K557" s="47"/>
      <c r="L557" s="47"/>
      <c r="M557" s="47"/>
      <c r="N557" s="47"/>
      <c r="O557" s="47"/>
    </row>
    <row r="558">
      <c r="H558" s="47"/>
      <c r="I558" s="47"/>
      <c r="J558" s="47"/>
      <c r="K558" s="47"/>
      <c r="L558" s="47"/>
      <c r="M558" s="47"/>
      <c r="N558" s="47"/>
      <c r="O558" s="47"/>
    </row>
    <row r="559">
      <c r="H559" s="47"/>
      <c r="I559" s="47"/>
      <c r="J559" s="47"/>
      <c r="K559" s="47"/>
      <c r="L559" s="47"/>
      <c r="M559" s="47"/>
      <c r="N559" s="47"/>
      <c r="O559" s="47"/>
    </row>
    <row r="560">
      <c r="H560" s="47"/>
      <c r="I560" s="47"/>
      <c r="J560" s="47"/>
      <c r="K560" s="47"/>
      <c r="L560" s="47"/>
      <c r="M560" s="47"/>
      <c r="N560" s="47"/>
      <c r="O560" s="47"/>
    </row>
    <row r="561">
      <c r="H561" s="47"/>
      <c r="I561" s="47"/>
      <c r="J561" s="47"/>
      <c r="K561" s="47"/>
      <c r="L561" s="47"/>
      <c r="M561" s="47"/>
      <c r="N561" s="47"/>
      <c r="O561" s="47"/>
    </row>
    <row r="562">
      <c r="H562" s="47"/>
      <c r="I562" s="47"/>
      <c r="J562" s="47"/>
      <c r="K562" s="47"/>
      <c r="L562" s="47"/>
      <c r="M562" s="47"/>
      <c r="N562" s="47"/>
      <c r="O562" s="47"/>
    </row>
    <row r="563">
      <c r="H563" s="47"/>
      <c r="I563" s="47"/>
      <c r="J563" s="47"/>
      <c r="K563" s="47"/>
      <c r="L563" s="47"/>
      <c r="M563" s="47"/>
      <c r="N563" s="47"/>
      <c r="O563" s="47"/>
    </row>
    <row r="564">
      <c r="H564" s="47"/>
      <c r="I564" s="47"/>
      <c r="J564" s="47"/>
      <c r="K564" s="47"/>
      <c r="L564" s="47"/>
      <c r="M564" s="47"/>
      <c r="N564" s="47"/>
      <c r="O564" s="47"/>
    </row>
    <row r="565">
      <c r="H565" s="47"/>
      <c r="I565" s="47"/>
      <c r="J565" s="47"/>
      <c r="K565" s="47"/>
      <c r="L565" s="47"/>
      <c r="M565" s="47"/>
      <c r="N565" s="47"/>
      <c r="O565" s="47"/>
    </row>
    <row r="566">
      <c r="H566" s="47"/>
      <c r="I566" s="47"/>
      <c r="J566" s="47"/>
      <c r="K566" s="47"/>
      <c r="L566" s="47"/>
      <c r="M566" s="47"/>
      <c r="N566" s="47"/>
      <c r="O566" s="47"/>
    </row>
    <row r="567">
      <c r="H567" s="47"/>
      <c r="I567" s="47"/>
      <c r="J567" s="47"/>
      <c r="K567" s="47"/>
      <c r="L567" s="47"/>
      <c r="M567" s="47"/>
      <c r="N567" s="47"/>
      <c r="O567" s="47"/>
    </row>
    <row r="568">
      <c r="H568" s="47"/>
      <c r="I568" s="47"/>
      <c r="J568" s="47"/>
      <c r="K568" s="47"/>
      <c r="L568" s="47"/>
      <c r="M568" s="47"/>
      <c r="N568" s="47"/>
      <c r="O568" s="47"/>
    </row>
    <row r="569">
      <c r="H569" s="47"/>
      <c r="I569" s="47"/>
      <c r="J569" s="47"/>
      <c r="K569" s="47"/>
      <c r="L569" s="47"/>
      <c r="M569" s="47"/>
      <c r="N569" s="47"/>
      <c r="O569" s="47"/>
    </row>
    <row r="570">
      <c r="H570" s="47"/>
      <c r="I570" s="47"/>
      <c r="J570" s="47"/>
      <c r="K570" s="47"/>
      <c r="L570" s="47"/>
      <c r="M570" s="47"/>
      <c r="N570" s="47"/>
      <c r="O570" s="47"/>
    </row>
    <row r="571">
      <c r="H571" s="47"/>
      <c r="I571" s="47"/>
      <c r="J571" s="47"/>
      <c r="K571" s="47"/>
      <c r="L571" s="47"/>
      <c r="M571" s="47"/>
      <c r="N571" s="47"/>
      <c r="O571" s="47"/>
    </row>
    <row r="572">
      <c r="H572" s="47"/>
      <c r="I572" s="47"/>
      <c r="J572" s="47"/>
      <c r="K572" s="47"/>
      <c r="L572" s="47"/>
      <c r="M572" s="47"/>
      <c r="N572" s="47"/>
      <c r="O572" s="47"/>
    </row>
    <row r="573">
      <c r="H573" s="47"/>
      <c r="I573" s="47"/>
      <c r="J573" s="47"/>
      <c r="K573" s="47"/>
      <c r="L573" s="47"/>
      <c r="M573" s="47"/>
      <c r="N573" s="47"/>
      <c r="O573" s="47"/>
    </row>
    <row r="574">
      <c r="H574" s="47"/>
      <c r="I574" s="47"/>
      <c r="J574" s="47"/>
      <c r="K574" s="47"/>
      <c r="L574" s="47"/>
      <c r="M574" s="47"/>
      <c r="N574" s="47"/>
      <c r="O574" s="47"/>
    </row>
    <row r="575">
      <c r="H575" s="47"/>
      <c r="I575" s="47"/>
      <c r="J575" s="47"/>
      <c r="K575" s="47"/>
      <c r="L575" s="47"/>
      <c r="M575" s="47"/>
      <c r="N575" s="47"/>
      <c r="O575" s="47"/>
    </row>
    <row r="576">
      <c r="H576" s="47"/>
      <c r="I576" s="47"/>
      <c r="J576" s="47"/>
      <c r="K576" s="47"/>
      <c r="L576" s="47"/>
      <c r="M576" s="47"/>
      <c r="N576" s="47"/>
      <c r="O576" s="47"/>
    </row>
    <row r="577">
      <c r="H577" s="47"/>
      <c r="I577" s="47"/>
      <c r="J577" s="47"/>
      <c r="K577" s="47"/>
      <c r="L577" s="47"/>
      <c r="M577" s="47"/>
      <c r="N577" s="47"/>
      <c r="O577" s="47"/>
    </row>
    <row r="578">
      <c r="H578" s="47"/>
      <c r="I578" s="47"/>
      <c r="J578" s="47"/>
      <c r="K578" s="47"/>
      <c r="L578" s="47"/>
      <c r="M578" s="47"/>
      <c r="N578" s="47"/>
      <c r="O578" s="47"/>
    </row>
    <row r="579">
      <c r="H579" s="47"/>
      <c r="I579" s="47"/>
      <c r="J579" s="47"/>
      <c r="K579" s="47"/>
      <c r="L579" s="47"/>
      <c r="M579" s="47"/>
      <c r="N579" s="47"/>
      <c r="O579" s="47"/>
    </row>
    <row r="580">
      <c r="H580" s="47"/>
      <c r="I580" s="47"/>
      <c r="J580" s="47"/>
      <c r="K580" s="47"/>
      <c r="L580" s="47"/>
      <c r="M580" s="47"/>
      <c r="N580" s="47"/>
      <c r="O580" s="47"/>
    </row>
    <row r="581">
      <c r="H581" s="47"/>
      <c r="I581" s="47"/>
      <c r="J581" s="47"/>
      <c r="K581" s="47"/>
      <c r="L581" s="47"/>
      <c r="M581" s="47"/>
      <c r="N581" s="47"/>
      <c r="O581" s="47"/>
    </row>
    <row r="582">
      <c r="H582" s="47"/>
      <c r="I582" s="47"/>
      <c r="J582" s="47"/>
      <c r="K582" s="47"/>
      <c r="L582" s="47"/>
      <c r="M582" s="47"/>
      <c r="N582" s="47"/>
      <c r="O582" s="47"/>
    </row>
    <row r="583">
      <c r="H583" s="47"/>
      <c r="I583" s="47"/>
      <c r="J583" s="47"/>
      <c r="K583" s="47"/>
      <c r="L583" s="47"/>
      <c r="M583" s="47"/>
      <c r="N583" s="47"/>
      <c r="O583" s="47"/>
    </row>
    <row r="584">
      <c r="H584" s="47"/>
      <c r="I584" s="47"/>
      <c r="J584" s="47"/>
      <c r="K584" s="47"/>
      <c r="L584" s="47"/>
      <c r="M584" s="47"/>
      <c r="N584" s="47"/>
      <c r="O584" s="47"/>
    </row>
    <row r="585">
      <c r="H585" s="47"/>
      <c r="I585" s="47"/>
      <c r="J585" s="47"/>
      <c r="K585" s="47"/>
      <c r="L585" s="47"/>
      <c r="M585" s="47"/>
      <c r="N585" s="47"/>
      <c r="O585" s="47"/>
    </row>
    <row r="586">
      <c r="H586" s="47"/>
      <c r="I586" s="47"/>
      <c r="J586" s="47"/>
      <c r="K586" s="47"/>
      <c r="L586" s="47"/>
      <c r="M586" s="47"/>
      <c r="N586" s="47"/>
      <c r="O586" s="47"/>
    </row>
    <row r="587">
      <c r="H587" s="47"/>
      <c r="I587" s="47"/>
      <c r="J587" s="47"/>
      <c r="K587" s="47"/>
      <c r="L587" s="47"/>
      <c r="M587" s="47"/>
      <c r="N587" s="47"/>
      <c r="O587" s="47"/>
    </row>
    <row r="588">
      <c r="H588" s="47"/>
      <c r="I588" s="47"/>
      <c r="J588" s="47"/>
      <c r="K588" s="47"/>
      <c r="L588" s="47"/>
      <c r="M588" s="47"/>
      <c r="N588" s="47"/>
      <c r="O588" s="47"/>
    </row>
    <row r="589">
      <c r="H589" s="47"/>
      <c r="I589" s="47"/>
      <c r="J589" s="47"/>
      <c r="K589" s="47"/>
      <c r="L589" s="47"/>
      <c r="M589" s="47"/>
      <c r="N589" s="47"/>
      <c r="O589" s="47"/>
    </row>
    <row r="590">
      <c r="H590" s="47"/>
      <c r="I590" s="47"/>
      <c r="J590" s="47"/>
      <c r="K590" s="47"/>
      <c r="L590" s="47"/>
      <c r="M590" s="47"/>
      <c r="N590" s="47"/>
      <c r="O590" s="47"/>
    </row>
    <row r="591">
      <c r="H591" s="47"/>
      <c r="I591" s="47"/>
      <c r="J591" s="47"/>
      <c r="K591" s="47"/>
      <c r="L591" s="47"/>
      <c r="M591" s="47"/>
      <c r="N591" s="47"/>
      <c r="O591" s="47"/>
    </row>
    <row r="592">
      <c r="H592" s="47"/>
      <c r="I592" s="47"/>
      <c r="J592" s="47"/>
      <c r="K592" s="47"/>
      <c r="L592" s="47"/>
      <c r="M592" s="47"/>
      <c r="N592" s="47"/>
      <c r="O592" s="47"/>
    </row>
    <row r="593">
      <c r="H593" s="47"/>
      <c r="I593" s="47"/>
      <c r="J593" s="47"/>
      <c r="K593" s="47"/>
      <c r="L593" s="47"/>
      <c r="M593" s="47"/>
      <c r="N593" s="47"/>
      <c r="O593" s="47"/>
    </row>
    <row r="594">
      <c r="H594" s="47"/>
      <c r="I594" s="47"/>
      <c r="J594" s="47"/>
      <c r="K594" s="47"/>
      <c r="L594" s="47"/>
      <c r="M594" s="47"/>
      <c r="N594" s="47"/>
      <c r="O594" s="47"/>
    </row>
    <row r="595">
      <c r="H595" s="47"/>
      <c r="I595" s="47"/>
      <c r="J595" s="47"/>
      <c r="K595" s="47"/>
      <c r="L595" s="47"/>
      <c r="M595" s="47"/>
      <c r="N595" s="47"/>
      <c r="O595" s="47"/>
    </row>
    <row r="596">
      <c r="H596" s="47"/>
      <c r="I596" s="47"/>
      <c r="J596" s="47"/>
      <c r="K596" s="47"/>
      <c r="L596" s="47"/>
      <c r="M596" s="47"/>
      <c r="N596" s="47"/>
      <c r="O596" s="47"/>
    </row>
    <row r="597">
      <c r="H597" s="47"/>
      <c r="I597" s="47"/>
      <c r="J597" s="47"/>
      <c r="K597" s="47"/>
      <c r="L597" s="47"/>
      <c r="M597" s="47"/>
      <c r="N597" s="47"/>
      <c r="O597" s="47"/>
    </row>
    <row r="598">
      <c r="H598" s="47"/>
      <c r="I598" s="47"/>
      <c r="J598" s="47"/>
      <c r="K598" s="47"/>
      <c r="L598" s="47"/>
      <c r="M598" s="47"/>
      <c r="N598" s="47"/>
      <c r="O598" s="47"/>
    </row>
    <row r="599">
      <c r="H599" s="47"/>
      <c r="I599" s="47"/>
      <c r="J599" s="47"/>
      <c r="K599" s="47"/>
      <c r="L599" s="47"/>
      <c r="M599" s="47"/>
      <c r="N599" s="47"/>
      <c r="O599" s="47"/>
    </row>
    <row r="600">
      <c r="H600" s="47"/>
      <c r="I600" s="47"/>
      <c r="J600" s="47"/>
      <c r="K600" s="47"/>
      <c r="L600" s="47"/>
      <c r="M600" s="47"/>
      <c r="N600" s="47"/>
      <c r="O600" s="47"/>
    </row>
    <row r="601">
      <c r="H601" s="47"/>
      <c r="I601" s="47"/>
      <c r="J601" s="47"/>
      <c r="K601" s="47"/>
      <c r="L601" s="47"/>
      <c r="M601" s="47"/>
      <c r="N601" s="47"/>
      <c r="O601" s="47"/>
    </row>
    <row r="602">
      <c r="H602" s="47"/>
      <c r="I602" s="47"/>
      <c r="J602" s="47"/>
      <c r="K602" s="47"/>
      <c r="L602" s="47"/>
      <c r="M602" s="47"/>
      <c r="N602" s="47"/>
      <c r="O602" s="47"/>
    </row>
    <row r="603">
      <c r="H603" s="47"/>
      <c r="I603" s="47"/>
      <c r="J603" s="47"/>
      <c r="K603" s="47"/>
      <c r="L603" s="47"/>
      <c r="M603" s="47"/>
      <c r="N603" s="47"/>
      <c r="O603" s="47"/>
    </row>
    <row r="604">
      <c r="H604" s="47"/>
      <c r="I604" s="47"/>
      <c r="J604" s="47"/>
      <c r="K604" s="47"/>
      <c r="L604" s="47"/>
      <c r="M604" s="47"/>
      <c r="N604" s="47"/>
      <c r="O604" s="47"/>
    </row>
    <row r="605">
      <c r="H605" s="47"/>
      <c r="I605" s="47"/>
      <c r="J605" s="47"/>
      <c r="K605" s="47"/>
      <c r="L605" s="47"/>
      <c r="M605" s="47"/>
      <c r="N605" s="47"/>
      <c r="O605" s="47"/>
    </row>
    <row r="606">
      <c r="H606" s="47"/>
      <c r="I606" s="47"/>
      <c r="J606" s="47"/>
      <c r="K606" s="47"/>
      <c r="L606" s="47"/>
      <c r="M606" s="47"/>
      <c r="N606" s="47"/>
      <c r="O606" s="47"/>
    </row>
    <row r="607">
      <c r="H607" s="47"/>
      <c r="I607" s="47"/>
      <c r="J607" s="47"/>
      <c r="K607" s="47"/>
      <c r="L607" s="47"/>
      <c r="M607" s="47"/>
      <c r="N607" s="47"/>
      <c r="O607" s="47"/>
    </row>
    <row r="608">
      <c r="H608" s="47"/>
      <c r="I608" s="47"/>
      <c r="J608" s="47"/>
      <c r="K608" s="47"/>
      <c r="L608" s="47"/>
      <c r="M608" s="47"/>
      <c r="N608" s="47"/>
      <c r="O608" s="47"/>
    </row>
    <row r="609">
      <c r="H609" s="47"/>
      <c r="I609" s="47"/>
      <c r="J609" s="47"/>
      <c r="K609" s="47"/>
      <c r="L609" s="47"/>
      <c r="M609" s="47"/>
      <c r="N609" s="47"/>
      <c r="O609" s="47"/>
    </row>
    <row r="610">
      <c r="H610" s="47"/>
      <c r="I610" s="47"/>
      <c r="J610" s="47"/>
      <c r="K610" s="47"/>
      <c r="L610" s="47"/>
      <c r="M610" s="47"/>
      <c r="N610" s="47"/>
      <c r="O610" s="47"/>
    </row>
    <row r="611">
      <c r="H611" s="47"/>
      <c r="I611" s="47"/>
      <c r="J611" s="47"/>
      <c r="K611" s="47"/>
      <c r="L611" s="47"/>
      <c r="M611" s="47"/>
      <c r="N611" s="47"/>
      <c r="O611" s="47"/>
    </row>
    <row r="612">
      <c r="H612" s="47"/>
      <c r="I612" s="47"/>
      <c r="J612" s="47"/>
      <c r="K612" s="47"/>
      <c r="L612" s="47"/>
      <c r="M612" s="47"/>
      <c r="N612" s="47"/>
      <c r="O612" s="47"/>
    </row>
    <row r="613">
      <c r="H613" s="47"/>
      <c r="I613" s="47"/>
      <c r="J613" s="47"/>
      <c r="K613" s="47"/>
      <c r="L613" s="47"/>
      <c r="M613" s="47"/>
      <c r="N613" s="47"/>
      <c r="O613" s="47"/>
    </row>
    <row r="614">
      <c r="H614" s="47"/>
      <c r="I614" s="47"/>
      <c r="J614" s="47"/>
      <c r="K614" s="47"/>
      <c r="L614" s="47"/>
      <c r="M614" s="47"/>
      <c r="N614" s="47"/>
      <c r="O614" s="47"/>
    </row>
    <row r="615">
      <c r="H615" s="47"/>
      <c r="I615" s="47"/>
      <c r="J615" s="47"/>
      <c r="K615" s="47"/>
      <c r="L615" s="47"/>
      <c r="M615" s="47"/>
      <c r="N615" s="47"/>
      <c r="O615" s="47"/>
    </row>
    <row r="616">
      <c r="H616" s="47"/>
      <c r="I616" s="47"/>
      <c r="J616" s="47"/>
      <c r="K616" s="47"/>
      <c r="L616" s="47"/>
      <c r="M616" s="47"/>
      <c r="N616" s="47"/>
      <c r="O616" s="47"/>
    </row>
    <row r="617">
      <c r="H617" s="47"/>
      <c r="I617" s="47"/>
      <c r="J617" s="47"/>
      <c r="K617" s="47"/>
      <c r="L617" s="47"/>
      <c r="M617" s="47"/>
      <c r="N617" s="47"/>
      <c r="O617" s="47"/>
    </row>
    <row r="618">
      <c r="H618" s="47"/>
      <c r="I618" s="47"/>
      <c r="J618" s="47"/>
      <c r="K618" s="47"/>
      <c r="L618" s="47"/>
      <c r="M618" s="47"/>
      <c r="N618" s="47"/>
      <c r="O618" s="47"/>
    </row>
    <row r="619">
      <c r="H619" s="47"/>
      <c r="I619" s="47"/>
      <c r="J619" s="47"/>
      <c r="K619" s="47"/>
      <c r="L619" s="47"/>
      <c r="M619" s="47"/>
      <c r="N619" s="47"/>
      <c r="O619" s="47"/>
    </row>
    <row r="620">
      <c r="H620" s="47"/>
      <c r="I620" s="47"/>
      <c r="J620" s="47"/>
      <c r="K620" s="47"/>
      <c r="L620" s="47"/>
      <c r="M620" s="47"/>
      <c r="N620" s="47"/>
      <c r="O620" s="47"/>
    </row>
    <row r="621">
      <c r="H621" s="47"/>
      <c r="I621" s="47"/>
      <c r="J621" s="47"/>
      <c r="K621" s="47"/>
      <c r="L621" s="47"/>
      <c r="M621" s="47"/>
      <c r="N621" s="47"/>
      <c r="O621" s="47"/>
    </row>
    <row r="622">
      <c r="H622" s="47"/>
      <c r="I622" s="47"/>
      <c r="J622" s="47"/>
      <c r="K622" s="47"/>
      <c r="L622" s="47"/>
      <c r="M622" s="47"/>
      <c r="N622" s="47"/>
      <c r="O622" s="47"/>
    </row>
    <row r="623">
      <c r="H623" s="47"/>
      <c r="I623" s="47"/>
      <c r="J623" s="47"/>
      <c r="K623" s="47"/>
      <c r="L623" s="47"/>
      <c r="M623" s="47"/>
      <c r="N623" s="47"/>
      <c r="O623" s="47"/>
    </row>
    <row r="624">
      <c r="H624" s="47"/>
      <c r="I624" s="47"/>
      <c r="J624" s="47"/>
      <c r="K624" s="47"/>
      <c r="L624" s="47"/>
      <c r="M624" s="47"/>
      <c r="N624" s="47"/>
      <c r="O624" s="47"/>
    </row>
    <row r="625">
      <c r="H625" s="47"/>
      <c r="I625" s="47"/>
      <c r="J625" s="47"/>
      <c r="K625" s="47"/>
      <c r="L625" s="47"/>
      <c r="M625" s="47"/>
      <c r="N625" s="47"/>
      <c r="O625" s="47"/>
    </row>
    <row r="626">
      <c r="H626" s="47"/>
      <c r="I626" s="47"/>
      <c r="J626" s="47"/>
      <c r="K626" s="47"/>
      <c r="L626" s="47"/>
      <c r="M626" s="47"/>
      <c r="N626" s="47"/>
      <c r="O626" s="47"/>
    </row>
    <row r="627">
      <c r="H627" s="47"/>
      <c r="I627" s="47"/>
      <c r="J627" s="47"/>
      <c r="K627" s="47"/>
      <c r="L627" s="47"/>
      <c r="M627" s="47"/>
      <c r="N627" s="47"/>
      <c r="O627" s="47"/>
    </row>
    <row r="628">
      <c r="H628" s="47"/>
      <c r="I628" s="47"/>
      <c r="J628" s="47"/>
      <c r="K628" s="47"/>
      <c r="L628" s="47"/>
      <c r="M628" s="47"/>
      <c r="N628" s="47"/>
      <c r="O628" s="47"/>
    </row>
    <row r="629">
      <c r="H629" s="47"/>
      <c r="I629" s="47"/>
      <c r="J629" s="47"/>
      <c r="K629" s="47"/>
      <c r="L629" s="47"/>
      <c r="M629" s="47"/>
      <c r="N629" s="47"/>
      <c r="O629" s="47"/>
    </row>
    <row r="630">
      <c r="H630" s="47"/>
      <c r="I630" s="47"/>
      <c r="J630" s="47"/>
      <c r="K630" s="47"/>
      <c r="L630" s="47"/>
      <c r="M630" s="47"/>
      <c r="N630" s="47"/>
      <c r="O630" s="47"/>
    </row>
    <row r="631">
      <c r="H631" s="47"/>
      <c r="I631" s="47"/>
      <c r="J631" s="47"/>
      <c r="K631" s="47"/>
      <c r="L631" s="47"/>
      <c r="M631" s="47"/>
      <c r="N631" s="47"/>
      <c r="O631" s="47"/>
    </row>
    <row r="632">
      <c r="H632" s="47"/>
      <c r="I632" s="47"/>
      <c r="J632" s="47"/>
      <c r="K632" s="47"/>
      <c r="L632" s="47"/>
      <c r="M632" s="47"/>
      <c r="N632" s="47"/>
      <c r="O632" s="47"/>
    </row>
    <row r="633">
      <c r="H633" s="47"/>
      <c r="I633" s="47"/>
      <c r="J633" s="47"/>
      <c r="K633" s="47"/>
      <c r="L633" s="47"/>
      <c r="M633" s="47"/>
      <c r="N633" s="47"/>
      <c r="O633" s="47"/>
    </row>
    <row r="634">
      <c r="H634" s="47"/>
      <c r="I634" s="47"/>
      <c r="J634" s="47"/>
      <c r="K634" s="47"/>
      <c r="L634" s="47"/>
      <c r="M634" s="47"/>
      <c r="N634" s="47"/>
      <c r="O634" s="47"/>
    </row>
    <row r="635">
      <c r="H635" s="47"/>
      <c r="I635" s="47"/>
      <c r="J635" s="47"/>
      <c r="K635" s="47"/>
      <c r="L635" s="47"/>
      <c r="M635" s="47"/>
      <c r="N635" s="47"/>
      <c r="O635" s="47"/>
    </row>
    <row r="636">
      <c r="H636" s="47"/>
      <c r="I636" s="47"/>
      <c r="J636" s="47"/>
      <c r="K636" s="47"/>
      <c r="L636" s="47"/>
      <c r="M636" s="47"/>
      <c r="N636" s="47"/>
      <c r="O636" s="47"/>
    </row>
    <row r="637">
      <c r="H637" s="47"/>
      <c r="I637" s="47"/>
      <c r="J637" s="47"/>
      <c r="K637" s="47"/>
      <c r="L637" s="47"/>
      <c r="M637" s="47"/>
      <c r="N637" s="47"/>
      <c r="O637" s="47"/>
    </row>
    <row r="638">
      <c r="H638" s="47"/>
      <c r="I638" s="47"/>
      <c r="J638" s="47"/>
      <c r="K638" s="47"/>
      <c r="L638" s="47"/>
      <c r="M638" s="47"/>
      <c r="N638" s="47"/>
      <c r="O638" s="47"/>
    </row>
    <row r="639">
      <c r="H639" s="47"/>
      <c r="I639" s="47"/>
      <c r="J639" s="47"/>
      <c r="K639" s="47"/>
      <c r="L639" s="47"/>
      <c r="M639" s="47"/>
      <c r="N639" s="47"/>
      <c r="O639" s="47"/>
    </row>
    <row r="640">
      <c r="H640" s="47"/>
      <c r="I640" s="47"/>
      <c r="J640" s="47"/>
      <c r="K640" s="47"/>
      <c r="L640" s="47"/>
      <c r="M640" s="47"/>
      <c r="N640" s="47"/>
      <c r="O640" s="47"/>
    </row>
    <row r="641">
      <c r="H641" s="47"/>
      <c r="I641" s="47"/>
      <c r="J641" s="47"/>
      <c r="K641" s="47"/>
      <c r="L641" s="47"/>
      <c r="M641" s="47"/>
      <c r="N641" s="47"/>
      <c r="O641" s="47"/>
    </row>
    <row r="642">
      <c r="H642" s="47"/>
      <c r="I642" s="47"/>
      <c r="J642" s="47"/>
      <c r="K642" s="47"/>
      <c r="L642" s="47"/>
      <c r="M642" s="47"/>
      <c r="N642" s="47"/>
      <c r="O642" s="47"/>
    </row>
    <row r="643">
      <c r="H643" s="47"/>
      <c r="I643" s="47"/>
      <c r="J643" s="47"/>
      <c r="K643" s="47"/>
      <c r="L643" s="47"/>
      <c r="M643" s="47"/>
      <c r="N643" s="47"/>
      <c r="O643" s="47"/>
    </row>
    <row r="644">
      <c r="H644" s="47"/>
      <c r="I644" s="47"/>
      <c r="J644" s="47"/>
      <c r="K644" s="47"/>
      <c r="L644" s="47"/>
      <c r="M644" s="47"/>
      <c r="N644" s="47"/>
      <c r="O644" s="47"/>
    </row>
    <row r="645">
      <c r="H645" s="47"/>
      <c r="I645" s="47"/>
      <c r="J645" s="47"/>
      <c r="K645" s="47"/>
      <c r="L645" s="47"/>
      <c r="M645" s="47"/>
      <c r="N645" s="47"/>
      <c r="O645" s="47"/>
    </row>
    <row r="646">
      <c r="H646" s="47"/>
      <c r="I646" s="47"/>
      <c r="J646" s="47"/>
      <c r="K646" s="47"/>
      <c r="L646" s="47"/>
      <c r="M646" s="47"/>
      <c r="N646" s="47"/>
      <c r="O646" s="47"/>
    </row>
    <row r="647">
      <c r="H647" s="47"/>
      <c r="I647" s="47"/>
      <c r="J647" s="47"/>
      <c r="K647" s="47"/>
      <c r="L647" s="47"/>
      <c r="M647" s="47"/>
      <c r="N647" s="47"/>
      <c r="O647" s="47"/>
    </row>
    <row r="648">
      <c r="H648" s="47"/>
      <c r="I648" s="47"/>
      <c r="J648" s="47"/>
      <c r="K648" s="47"/>
      <c r="L648" s="47"/>
      <c r="M648" s="47"/>
      <c r="N648" s="47"/>
      <c r="O648" s="47"/>
    </row>
    <row r="649">
      <c r="H649" s="47"/>
      <c r="I649" s="47"/>
      <c r="J649" s="47"/>
      <c r="K649" s="47"/>
      <c r="L649" s="47"/>
      <c r="M649" s="47"/>
      <c r="N649" s="47"/>
      <c r="O649" s="47"/>
    </row>
    <row r="650">
      <c r="H650" s="47"/>
      <c r="I650" s="47"/>
      <c r="J650" s="47"/>
      <c r="K650" s="47"/>
      <c r="L650" s="47"/>
      <c r="M650" s="47"/>
      <c r="N650" s="47"/>
      <c r="O650" s="47"/>
    </row>
    <row r="651">
      <c r="H651" s="47"/>
      <c r="I651" s="47"/>
      <c r="J651" s="47"/>
      <c r="K651" s="47"/>
      <c r="L651" s="47"/>
      <c r="M651" s="47"/>
      <c r="N651" s="47"/>
      <c r="O651" s="47"/>
    </row>
    <row r="652">
      <c r="H652" s="47"/>
      <c r="I652" s="47"/>
      <c r="J652" s="47"/>
      <c r="K652" s="47"/>
      <c r="L652" s="47"/>
      <c r="M652" s="47"/>
      <c r="N652" s="47"/>
      <c r="O652" s="47"/>
    </row>
    <row r="653">
      <c r="H653" s="47"/>
      <c r="I653" s="47"/>
      <c r="J653" s="47"/>
      <c r="K653" s="47"/>
      <c r="L653" s="47"/>
      <c r="M653" s="47"/>
      <c r="N653" s="47"/>
      <c r="O653" s="47"/>
    </row>
    <row r="654">
      <c r="H654" s="47"/>
      <c r="I654" s="47"/>
      <c r="J654" s="47"/>
      <c r="K654" s="47"/>
      <c r="L654" s="47"/>
      <c r="M654" s="47"/>
      <c r="N654" s="47"/>
      <c r="O654" s="47"/>
    </row>
    <row r="655">
      <c r="H655" s="47"/>
      <c r="I655" s="47"/>
      <c r="J655" s="47"/>
      <c r="K655" s="47"/>
      <c r="L655" s="47"/>
      <c r="M655" s="47"/>
      <c r="N655" s="47"/>
      <c r="O655" s="47"/>
    </row>
    <row r="656">
      <c r="H656" s="47"/>
      <c r="I656" s="47"/>
      <c r="J656" s="47"/>
      <c r="K656" s="47"/>
      <c r="L656" s="47"/>
      <c r="M656" s="47"/>
      <c r="N656" s="47"/>
      <c r="O656" s="47"/>
    </row>
    <row r="657">
      <c r="H657" s="47"/>
      <c r="I657" s="47"/>
      <c r="J657" s="47"/>
      <c r="K657" s="47"/>
      <c r="L657" s="47"/>
      <c r="M657" s="47"/>
      <c r="N657" s="47"/>
      <c r="O657" s="47"/>
    </row>
    <row r="658">
      <c r="H658" s="47"/>
      <c r="I658" s="47"/>
      <c r="J658" s="47"/>
      <c r="K658" s="47"/>
      <c r="L658" s="47"/>
      <c r="M658" s="47"/>
      <c r="N658" s="47"/>
      <c r="O658" s="47"/>
    </row>
    <row r="659">
      <c r="H659" s="47"/>
      <c r="I659" s="47"/>
      <c r="J659" s="47"/>
      <c r="K659" s="47"/>
      <c r="L659" s="47"/>
      <c r="M659" s="47"/>
      <c r="N659" s="47"/>
      <c r="O659" s="47"/>
    </row>
    <row r="660">
      <c r="H660" s="47"/>
      <c r="I660" s="47"/>
      <c r="J660" s="47"/>
      <c r="K660" s="47"/>
      <c r="L660" s="47"/>
      <c r="M660" s="47"/>
      <c r="N660" s="47"/>
      <c r="O660" s="47"/>
    </row>
    <row r="661">
      <c r="H661" s="47"/>
      <c r="I661" s="47"/>
      <c r="J661" s="47"/>
      <c r="K661" s="47"/>
      <c r="L661" s="47"/>
      <c r="M661" s="47"/>
      <c r="N661" s="47"/>
      <c r="O661" s="47"/>
    </row>
    <row r="662">
      <c r="H662" s="47"/>
      <c r="I662" s="47"/>
      <c r="J662" s="47"/>
      <c r="K662" s="47"/>
      <c r="L662" s="47"/>
      <c r="M662" s="47"/>
      <c r="N662" s="47"/>
      <c r="O662" s="47"/>
    </row>
    <row r="663">
      <c r="H663" s="47"/>
      <c r="I663" s="47"/>
      <c r="J663" s="47"/>
      <c r="K663" s="47"/>
      <c r="L663" s="47"/>
      <c r="M663" s="47"/>
      <c r="N663" s="47"/>
      <c r="O663" s="47"/>
    </row>
    <row r="664">
      <c r="H664" s="47"/>
      <c r="I664" s="47"/>
      <c r="J664" s="47"/>
      <c r="K664" s="47"/>
      <c r="L664" s="47"/>
      <c r="M664" s="47"/>
      <c r="N664" s="47"/>
      <c r="O664" s="47"/>
    </row>
    <row r="665">
      <c r="H665" s="47"/>
      <c r="I665" s="47"/>
      <c r="J665" s="47"/>
      <c r="K665" s="47"/>
      <c r="L665" s="47"/>
      <c r="M665" s="47"/>
      <c r="N665" s="47"/>
      <c r="O665" s="47"/>
    </row>
    <row r="666">
      <c r="H666" s="47"/>
      <c r="I666" s="47"/>
      <c r="J666" s="47"/>
      <c r="K666" s="47"/>
      <c r="L666" s="47"/>
      <c r="M666" s="47"/>
      <c r="N666" s="47"/>
      <c r="O666" s="47"/>
    </row>
    <row r="667">
      <c r="H667" s="47"/>
      <c r="I667" s="47"/>
      <c r="J667" s="47"/>
      <c r="K667" s="47"/>
      <c r="L667" s="47"/>
      <c r="M667" s="47"/>
      <c r="N667" s="47"/>
      <c r="O667" s="47"/>
    </row>
    <row r="668">
      <c r="H668" s="47"/>
      <c r="I668" s="47"/>
      <c r="J668" s="47"/>
      <c r="K668" s="47"/>
      <c r="L668" s="47"/>
      <c r="M668" s="47"/>
      <c r="N668" s="47"/>
      <c r="O668" s="47"/>
    </row>
    <row r="669">
      <c r="H669" s="47"/>
      <c r="I669" s="47"/>
      <c r="J669" s="47"/>
      <c r="K669" s="47"/>
      <c r="L669" s="47"/>
      <c r="M669" s="47"/>
      <c r="N669" s="47"/>
      <c r="O669" s="47"/>
    </row>
    <row r="670">
      <c r="H670" s="47"/>
      <c r="I670" s="47"/>
      <c r="J670" s="47"/>
      <c r="K670" s="47"/>
      <c r="L670" s="47"/>
      <c r="M670" s="47"/>
      <c r="N670" s="47"/>
      <c r="O670" s="47"/>
    </row>
    <row r="671">
      <c r="H671" s="47"/>
      <c r="I671" s="47"/>
      <c r="J671" s="47"/>
      <c r="K671" s="47"/>
      <c r="L671" s="47"/>
      <c r="M671" s="47"/>
      <c r="N671" s="47"/>
      <c r="O671" s="47"/>
    </row>
    <row r="672">
      <c r="H672" s="47"/>
      <c r="I672" s="47"/>
      <c r="J672" s="47"/>
      <c r="K672" s="47"/>
      <c r="L672" s="47"/>
      <c r="M672" s="47"/>
      <c r="N672" s="47"/>
      <c r="O672" s="47"/>
    </row>
    <row r="673">
      <c r="H673" s="47"/>
      <c r="I673" s="47"/>
      <c r="J673" s="47"/>
      <c r="K673" s="47"/>
      <c r="L673" s="47"/>
      <c r="M673" s="47"/>
      <c r="N673" s="47"/>
      <c r="O673" s="47"/>
    </row>
    <row r="674">
      <c r="H674" s="47"/>
      <c r="I674" s="47"/>
      <c r="J674" s="47"/>
      <c r="K674" s="47"/>
      <c r="L674" s="47"/>
      <c r="M674" s="47"/>
      <c r="N674" s="47"/>
      <c r="O674" s="47"/>
    </row>
    <row r="675">
      <c r="H675" s="47"/>
      <c r="I675" s="47"/>
      <c r="J675" s="47"/>
      <c r="K675" s="47"/>
      <c r="L675" s="47"/>
      <c r="M675" s="47"/>
      <c r="N675" s="47"/>
      <c r="O675" s="47"/>
    </row>
    <row r="676">
      <c r="H676" s="47"/>
      <c r="I676" s="47"/>
      <c r="J676" s="47"/>
      <c r="K676" s="47"/>
      <c r="L676" s="47"/>
      <c r="M676" s="47"/>
      <c r="N676" s="47"/>
      <c r="O676" s="47"/>
    </row>
    <row r="677">
      <c r="H677" s="47"/>
      <c r="I677" s="47"/>
      <c r="J677" s="47"/>
      <c r="K677" s="47"/>
      <c r="L677" s="47"/>
      <c r="M677" s="47"/>
      <c r="N677" s="47"/>
      <c r="O677" s="47"/>
    </row>
    <row r="678">
      <c r="H678" s="47"/>
      <c r="I678" s="47"/>
      <c r="J678" s="47"/>
      <c r="K678" s="47"/>
      <c r="L678" s="47"/>
      <c r="M678" s="47"/>
      <c r="N678" s="47"/>
      <c r="O678" s="47"/>
    </row>
    <row r="679">
      <c r="H679" s="47"/>
      <c r="I679" s="47"/>
      <c r="J679" s="47"/>
      <c r="K679" s="47"/>
      <c r="L679" s="47"/>
      <c r="M679" s="47"/>
      <c r="N679" s="47"/>
      <c r="O679" s="47"/>
    </row>
    <row r="680">
      <c r="H680" s="47"/>
      <c r="I680" s="47"/>
      <c r="J680" s="47"/>
      <c r="K680" s="47"/>
      <c r="L680" s="47"/>
      <c r="M680" s="47"/>
      <c r="N680" s="47"/>
      <c r="O680" s="47"/>
    </row>
    <row r="681">
      <c r="H681" s="47"/>
      <c r="I681" s="47"/>
      <c r="J681" s="47"/>
      <c r="K681" s="47"/>
      <c r="L681" s="47"/>
      <c r="M681" s="47"/>
      <c r="N681" s="47"/>
      <c r="O681" s="47"/>
    </row>
    <row r="682">
      <c r="H682" s="47"/>
      <c r="I682" s="47"/>
      <c r="J682" s="47"/>
      <c r="K682" s="47"/>
      <c r="L682" s="47"/>
      <c r="M682" s="47"/>
      <c r="N682" s="47"/>
      <c r="O682" s="47"/>
    </row>
    <row r="683">
      <c r="H683" s="47"/>
      <c r="I683" s="47"/>
      <c r="J683" s="47"/>
      <c r="K683" s="47"/>
      <c r="L683" s="47"/>
      <c r="M683" s="47"/>
      <c r="N683" s="47"/>
      <c r="O683" s="47"/>
    </row>
    <row r="684">
      <c r="H684" s="47"/>
      <c r="I684" s="47"/>
      <c r="J684" s="47"/>
      <c r="K684" s="47"/>
      <c r="L684" s="47"/>
      <c r="M684" s="47"/>
      <c r="N684" s="47"/>
      <c r="O684" s="47"/>
    </row>
    <row r="685">
      <c r="H685" s="47"/>
      <c r="I685" s="47"/>
      <c r="J685" s="47"/>
      <c r="K685" s="47"/>
      <c r="L685" s="47"/>
      <c r="M685" s="47"/>
      <c r="N685" s="47"/>
      <c r="O685" s="47"/>
    </row>
    <row r="686">
      <c r="H686" s="47"/>
      <c r="I686" s="47"/>
      <c r="J686" s="47"/>
      <c r="K686" s="47"/>
      <c r="L686" s="47"/>
      <c r="M686" s="47"/>
      <c r="N686" s="47"/>
      <c r="O686" s="47"/>
    </row>
    <row r="687">
      <c r="H687" s="47"/>
      <c r="I687" s="47"/>
      <c r="J687" s="47"/>
      <c r="K687" s="47"/>
      <c r="L687" s="47"/>
      <c r="M687" s="47"/>
      <c r="N687" s="47"/>
      <c r="O687" s="47"/>
    </row>
    <row r="688">
      <c r="H688" s="47"/>
      <c r="I688" s="47"/>
      <c r="J688" s="47"/>
      <c r="K688" s="47"/>
      <c r="L688" s="47"/>
      <c r="M688" s="47"/>
      <c r="N688" s="47"/>
      <c r="O688" s="47"/>
    </row>
    <row r="689">
      <c r="H689" s="47"/>
      <c r="I689" s="47"/>
      <c r="J689" s="47"/>
      <c r="K689" s="47"/>
      <c r="L689" s="47"/>
      <c r="M689" s="47"/>
      <c r="N689" s="47"/>
      <c r="O689" s="47"/>
    </row>
    <row r="690">
      <c r="H690" s="47"/>
      <c r="I690" s="47"/>
      <c r="J690" s="47"/>
      <c r="K690" s="47"/>
      <c r="L690" s="47"/>
      <c r="M690" s="47"/>
      <c r="N690" s="47"/>
      <c r="O690" s="47"/>
    </row>
    <row r="691">
      <c r="H691" s="47"/>
      <c r="I691" s="47"/>
      <c r="J691" s="47"/>
      <c r="K691" s="47"/>
      <c r="L691" s="47"/>
      <c r="M691" s="47"/>
      <c r="N691" s="47"/>
      <c r="O691" s="47"/>
    </row>
    <row r="692">
      <c r="H692" s="47"/>
      <c r="I692" s="47"/>
      <c r="J692" s="47"/>
      <c r="K692" s="47"/>
      <c r="L692" s="47"/>
      <c r="M692" s="47"/>
      <c r="N692" s="47"/>
      <c r="O692" s="47"/>
    </row>
    <row r="693">
      <c r="H693" s="47"/>
      <c r="I693" s="47"/>
      <c r="J693" s="47"/>
      <c r="K693" s="47"/>
      <c r="L693" s="47"/>
      <c r="M693" s="47"/>
      <c r="N693" s="47"/>
      <c r="O693" s="47"/>
    </row>
    <row r="694">
      <c r="H694" s="47"/>
      <c r="I694" s="47"/>
      <c r="J694" s="47"/>
      <c r="K694" s="47"/>
      <c r="L694" s="47"/>
      <c r="M694" s="47"/>
      <c r="N694" s="47"/>
      <c r="O694" s="47"/>
    </row>
    <row r="695">
      <c r="H695" s="47"/>
      <c r="I695" s="47"/>
      <c r="J695" s="47"/>
      <c r="K695" s="47"/>
      <c r="L695" s="47"/>
      <c r="M695" s="47"/>
      <c r="N695" s="47"/>
      <c r="O695" s="47"/>
    </row>
    <row r="696">
      <c r="H696" s="47"/>
      <c r="I696" s="47"/>
      <c r="J696" s="47"/>
      <c r="K696" s="47"/>
      <c r="L696" s="47"/>
      <c r="M696" s="47"/>
      <c r="N696" s="47"/>
      <c r="O696" s="47"/>
    </row>
    <row r="697">
      <c r="H697" s="47"/>
      <c r="I697" s="47"/>
      <c r="J697" s="47"/>
      <c r="K697" s="47"/>
      <c r="L697" s="47"/>
      <c r="M697" s="47"/>
      <c r="N697" s="47"/>
      <c r="O697" s="47"/>
    </row>
    <row r="698">
      <c r="H698" s="47"/>
      <c r="I698" s="47"/>
      <c r="J698" s="47"/>
      <c r="K698" s="47"/>
      <c r="L698" s="47"/>
      <c r="M698" s="47"/>
      <c r="N698" s="47"/>
      <c r="O698" s="47"/>
    </row>
    <row r="699">
      <c r="H699" s="47"/>
      <c r="I699" s="47"/>
      <c r="J699" s="47"/>
      <c r="K699" s="47"/>
      <c r="L699" s="47"/>
      <c r="M699" s="47"/>
      <c r="N699" s="47"/>
      <c r="O699" s="47"/>
    </row>
    <row r="700">
      <c r="H700" s="47"/>
      <c r="I700" s="47"/>
      <c r="J700" s="47"/>
      <c r="K700" s="47"/>
      <c r="L700" s="47"/>
      <c r="M700" s="47"/>
      <c r="N700" s="47"/>
      <c r="O700" s="47"/>
    </row>
    <row r="701">
      <c r="H701" s="47"/>
      <c r="I701" s="47"/>
      <c r="J701" s="47"/>
      <c r="K701" s="47"/>
      <c r="L701" s="47"/>
      <c r="M701" s="47"/>
      <c r="N701" s="47"/>
      <c r="O701" s="47"/>
    </row>
    <row r="702">
      <c r="H702" s="47"/>
      <c r="I702" s="47"/>
      <c r="J702" s="47"/>
      <c r="K702" s="47"/>
      <c r="L702" s="47"/>
      <c r="M702" s="47"/>
      <c r="N702" s="47"/>
      <c r="O702" s="47"/>
    </row>
    <row r="703">
      <c r="H703" s="47"/>
      <c r="I703" s="47"/>
      <c r="J703" s="47"/>
      <c r="K703" s="47"/>
      <c r="L703" s="47"/>
      <c r="M703" s="47"/>
      <c r="N703" s="47"/>
      <c r="O703" s="47"/>
    </row>
    <row r="704">
      <c r="H704" s="47"/>
      <c r="I704" s="47"/>
      <c r="J704" s="47"/>
      <c r="K704" s="47"/>
      <c r="L704" s="47"/>
      <c r="M704" s="47"/>
      <c r="N704" s="47"/>
      <c r="O704" s="47"/>
    </row>
    <row r="705">
      <c r="H705" s="47"/>
      <c r="I705" s="47"/>
      <c r="J705" s="47"/>
      <c r="K705" s="47"/>
      <c r="L705" s="47"/>
      <c r="M705" s="47"/>
      <c r="N705" s="47"/>
      <c r="O705" s="47"/>
    </row>
    <row r="706">
      <c r="H706" s="47"/>
      <c r="I706" s="47"/>
      <c r="J706" s="47"/>
      <c r="K706" s="47"/>
      <c r="L706" s="47"/>
      <c r="M706" s="47"/>
      <c r="N706" s="47"/>
      <c r="O706" s="47"/>
    </row>
    <row r="707">
      <c r="H707" s="47"/>
      <c r="I707" s="47"/>
      <c r="J707" s="47"/>
      <c r="K707" s="47"/>
      <c r="L707" s="47"/>
      <c r="M707" s="47"/>
      <c r="N707" s="47"/>
      <c r="O707" s="47"/>
    </row>
    <row r="708">
      <c r="H708" s="47"/>
      <c r="I708" s="47"/>
      <c r="J708" s="47"/>
      <c r="K708" s="47"/>
      <c r="L708" s="47"/>
      <c r="M708" s="47"/>
      <c r="N708" s="47"/>
      <c r="O708" s="47"/>
    </row>
    <row r="709">
      <c r="H709" s="47"/>
      <c r="I709" s="47"/>
      <c r="J709" s="47"/>
      <c r="K709" s="47"/>
      <c r="L709" s="47"/>
      <c r="M709" s="47"/>
      <c r="N709" s="47"/>
      <c r="O709" s="47"/>
    </row>
    <row r="710">
      <c r="H710" s="47"/>
      <c r="I710" s="47"/>
      <c r="J710" s="47"/>
      <c r="K710" s="47"/>
      <c r="L710" s="47"/>
      <c r="M710" s="47"/>
      <c r="N710" s="47"/>
      <c r="O710" s="47"/>
    </row>
    <row r="711">
      <c r="H711" s="47"/>
      <c r="I711" s="47"/>
      <c r="J711" s="47"/>
      <c r="K711" s="47"/>
      <c r="L711" s="47"/>
      <c r="M711" s="47"/>
      <c r="N711" s="47"/>
      <c r="O711" s="47"/>
    </row>
    <row r="712">
      <c r="H712" s="47"/>
      <c r="I712" s="47"/>
      <c r="J712" s="47"/>
      <c r="K712" s="47"/>
      <c r="L712" s="47"/>
      <c r="M712" s="47"/>
      <c r="N712" s="47"/>
      <c r="O712" s="47"/>
    </row>
    <row r="713">
      <c r="H713" s="47"/>
      <c r="I713" s="47"/>
      <c r="J713" s="47"/>
      <c r="K713" s="47"/>
      <c r="L713" s="47"/>
      <c r="M713" s="47"/>
      <c r="N713" s="47"/>
      <c r="O713" s="47"/>
    </row>
    <row r="714">
      <c r="H714" s="47"/>
      <c r="I714" s="47"/>
      <c r="J714" s="47"/>
      <c r="K714" s="47"/>
      <c r="L714" s="47"/>
      <c r="M714" s="47"/>
      <c r="N714" s="47"/>
      <c r="O714" s="47"/>
    </row>
    <row r="715">
      <c r="H715" s="47"/>
      <c r="I715" s="47"/>
      <c r="J715" s="47"/>
      <c r="K715" s="47"/>
      <c r="L715" s="47"/>
      <c r="M715" s="47"/>
      <c r="N715" s="47"/>
      <c r="O715" s="47"/>
    </row>
    <row r="716">
      <c r="H716" s="47"/>
      <c r="I716" s="47"/>
      <c r="J716" s="47"/>
      <c r="K716" s="47"/>
      <c r="L716" s="47"/>
      <c r="M716" s="47"/>
      <c r="N716" s="47"/>
      <c r="O716" s="47"/>
    </row>
    <row r="717">
      <c r="H717" s="47"/>
      <c r="I717" s="47"/>
      <c r="J717" s="47"/>
      <c r="K717" s="47"/>
      <c r="L717" s="47"/>
      <c r="M717" s="47"/>
      <c r="N717" s="47"/>
      <c r="O717" s="47"/>
    </row>
    <row r="718">
      <c r="H718" s="47"/>
      <c r="I718" s="47"/>
      <c r="J718" s="47"/>
      <c r="K718" s="47"/>
      <c r="L718" s="47"/>
      <c r="M718" s="47"/>
      <c r="N718" s="47"/>
      <c r="O718" s="47"/>
    </row>
    <row r="719">
      <c r="H719" s="47"/>
      <c r="I719" s="47"/>
      <c r="J719" s="47"/>
      <c r="K719" s="47"/>
      <c r="L719" s="47"/>
      <c r="M719" s="47"/>
      <c r="N719" s="47"/>
      <c r="O719" s="47"/>
    </row>
    <row r="720">
      <c r="H720" s="47"/>
      <c r="I720" s="47"/>
      <c r="J720" s="47"/>
      <c r="K720" s="47"/>
      <c r="L720" s="47"/>
      <c r="M720" s="47"/>
      <c r="N720" s="47"/>
      <c r="O720" s="47"/>
    </row>
    <row r="721">
      <c r="H721" s="47"/>
      <c r="I721" s="47"/>
      <c r="J721" s="47"/>
      <c r="K721" s="47"/>
      <c r="L721" s="47"/>
      <c r="M721" s="47"/>
      <c r="N721" s="47"/>
      <c r="O721" s="47"/>
    </row>
    <row r="722">
      <c r="H722" s="47"/>
      <c r="I722" s="47"/>
      <c r="J722" s="47"/>
      <c r="K722" s="47"/>
      <c r="L722" s="47"/>
      <c r="M722" s="47"/>
      <c r="N722" s="47"/>
      <c r="O722" s="47"/>
    </row>
    <row r="723">
      <c r="H723" s="47"/>
      <c r="I723" s="47"/>
      <c r="J723" s="47"/>
      <c r="K723" s="47"/>
      <c r="L723" s="47"/>
      <c r="M723" s="47"/>
      <c r="N723" s="47"/>
      <c r="O723" s="47"/>
    </row>
    <row r="724">
      <c r="H724" s="47"/>
      <c r="I724" s="47"/>
      <c r="J724" s="47"/>
      <c r="K724" s="47"/>
      <c r="L724" s="47"/>
      <c r="M724" s="47"/>
      <c r="N724" s="47"/>
      <c r="O724" s="47"/>
    </row>
    <row r="725">
      <c r="H725" s="47"/>
      <c r="I725" s="47"/>
      <c r="J725" s="47"/>
      <c r="K725" s="47"/>
      <c r="L725" s="47"/>
      <c r="M725" s="47"/>
      <c r="N725" s="47"/>
      <c r="O725" s="47"/>
    </row>
    <row r="726">
      <c r="H726" s="47"/>
      <c r="I726" s="47"/>
      <c r="J726" s="47"/>
      <c r="K726" s="47"/>
      <c r="L726" s="47"/>
      <c r="M726" s="47"/>
      <c r="N726" s="47"/>
      <c r="O726" s="47"/>
    </row>
    <row r="727">
      <c r="H727" s="47"/>
      <c r="I727" s="47"/>
      <c r="J727" s="47"/>
      <c r="K727" s="47"/>
      <c r="L727" s="47"/>
      <c r="M727" s="47"/>
      <c r="N727" s="47"/>
      <c r="O727" s="47"/>
    </row>
    <row r="728">
      <c r="H728" s="47"/>
      <c r="I728" s="47"/>
      <c r="J728" s="47"/>
      <c r="K728" s="47"/>
      <c r="L728" s="47"/>
      <c r="M728" s="47"/>
      <c r="N728" s="47"/>
      <c r="O728" s="47"/>
    </row>
    <row r="729">
      <c r="H729" s="47"/>
      <c r="I729" s="47"/>
      <c r="J729" s="47"/>
      <c r="K729" s="47"/>
      <c r="L729" s="47"/>
      <c r="M729" s="47"/>
      <c r="N729" s="47"/>
      <c r="O729" s="47"/>
    </row>
    <row r="730">
      <c r="H730" s="47"/>
      <c r="I730" s="47"/>
      <c r="J730" s="47"/>
      <c r="K730" s="47"/>
      <c r="L730" s="47"/>
      <c r="M730" s="47"/>
      <c r="N730" s="47"/>
      <c r="O730" s="47"/>
    </row>
    <row r="731">
      <c r="H731" s="47"/>
      <c r="I731" s="47"/>
      <c r="J731" s="47"/>
      <c r="K731" s="47"/>
      <c r="L731" s="47"/>
      <c r="M731" s="47"/>
      <c r="N731" s="47"/>
      <c r="O731" s="47"/>
    </row>
    <row r="732">
      <c r="H732" s="47"/>
      <c r="I732" s="47"/>
      <c r="J732" s="47"/>
      <c r="K732" s="47"/>
      <c r="L732" s="47"/>
      <c r="M732" s="47"/>
      <c r="N732" s="47"/>
      <c r="O732" s="47"/>
    </row>
    <row r="733">
      <c r="H733" s="47"/>
      <c r="I733" s="47"/>
      <c r="J733" s="47"/>
      <c r="K733" s="47"/>
      <c r="L733" s="47"/>
      <c r="M733" s="47"/>
      <c r="N733" s="47"/>
      <c r="O733" s="47"/>
    </row>
    <row r="734">
      <c r="H734" s="47"/>
      <c r="I734" s="47"/>
      <c r="J734" s="47"/>
      <c r="K734" s="47"/>
      <c r="L734" s="47"/>
      <c r="M734" s="47"/>
      <c r="N734" s="47"/>
      <c r="O734" s="47"/>
    </row>
    <row r="735">
      <c r="H735" s="47"/>
      <c r="I735" s="47"/>
      <c r="J735" s="47"/>
      <c r="K735" s="47"/>
      <c r="L735" s="47"/>
      <c r="M735" s="47"/>
      <c r="N735" s="47"/>
      <c r="O735" s="47"/>
    </row>
    <row r="736">
      <c r="H736" s="47"/>
      <c r="I736" s="47"/>
      <c r="J736" s="47"/>
      <c r="K736" s="47"/>
      <c r="L736" s="47"/>
      <c r="M736" s="47"/>
      <c r="N736" s="47"/>
      <c r="O736" s="47"/>
    </row>
    <row r="737">
      <c r="H737" s="47"/>
      <c r="I737" s="47"/>
      <c r="J737" s="47"/>
      <c r="K737" s="47"/>
      <c r="L737" s="47"/>
      <c r="M737" s="47"/>
      <c r="N737" s="47"/>
      <c r="O737" s="47"/>
    </row>
    <row r="738">
      <c r="H738" s="47"/>
      <c r="I738" s="47"/>
      <c r="J738" s="47"/>
      <c r="K738" s="47"/>
      <c r="L738" s="47"/>
      <c r="M738" s="47"/>
      <c r="N738" s="47"/>
      <c r="O738" s="47"/>
    </row>
    <row r="739">
      <c r="H739" s="47"/>
      <c r="I739" s="47"/>
      <c r="J739" s="47"/>
      <c r="K739" s="47"/>
      <c r="L739" s="47"/>
      <c r="M739" s="47"/>
      <c r="N739" s="47"/>
      <c r="O739" s="47"/>
    </row>
    <row r="740">
      <c r="H740" s="47"/>
      <c r="I740" s="47"/>
      <c r="J740" s="47"/>
      <c r="K740" s="47"/>
      <c r="L740" s="47"/>
      <c r="M740" s="47"/>
      <c r="N740" s="47"/>
      <c r="O740" s="47"/>
    </row>
    <row r="741">
      <c r="H741" s="47"/>
      <c r="I741" s="47"/>
      <c r="J741" s="47"/>
      <c r="K741" s="47"/>
      <c r="L741" s="47"/>
      <c r="M741" s="47"/>
      <c r="N741" s="47"/>
      <c r="O741" s="47"/>
    </row>
    <row r="742">
      <c r="H742" s="47"/>
      <c r="I742" s="47"/>
      <c r="J742" s="47"/>
      <c r="K742" s="47"/>
      <c r="L742" s="47"/>
      <c r="M742" s="47"/>
      <c r="N742" s="47"/>
      <c r="O742" s="47"/>
    </row>
    <row r="743">
      <c r="H743" s="47"/>
      <c r="I743" s="47"/>
      <c r="J743" s="47"/>
      <c r="K743" s="47"/>
      <c r="L743" s="47"/>
      <c r="M743" s="47"/>
      <c r="N743" s="47"/>
      <c r="O743" s="47"/>
    </row>
    <row r="744">
      <c r="H744" s="47"/>
      <c r="I744" s="47"/>
      <c r="J744" s="47"/>
      <c r="K744" s="47"/>
      <c r="L744" s="47"/>
      <c r="M744" s="47"/>
      <c r="N744" s="47"/>
      <c r="O744" s="47"/>
    </row>
    <row r="745">
      <c r="H745" s="47"/>
      <c r="I745" s="47"/>
      <c r="J745" s="47"/>
      <c r="K745" s="47"/>
      <c r="L745" s="47"/>
      <c r="M745" s="47"/>
      <c r="N745" s="47"/>
      <c r="O745" s="47"/>
    </row>
    <row r="746">
      <c r="H746" s="47"/>
      <c r="I746" s="47"/>
      <c r="J746" s="47"/>
      <c r="K746" s="47"/>
      <c r="L746" s="47"/>
      <c r="M746" s="47"/>
      <c r="N746" s="47"/>
      <c r="O746" s="47"/>
    </row>
    <row r="747">
      <c r="H747" s="47"/>
      <c r="I747" s="47"/>
      <c r="J747" s="47"/>
      <c r="K747" s="47"/>
      <c r="L747" s="47"/>
      <c r="M747" s="47"/>
      <c r="N747" s="47"/>
      <c r="O747" s="47"/>
    </row>
    <row r="748">
      <c r="H748" s="47"/>
      <c r="I748" s="47"/>
      <c r="J748" s="47"/>
      <c r="K748" s="47"/>
      <c r="L748" s="47"/>
      <c r="M748" s="47"/>
      <c r="N748" s="47"/>
      <c r="O748" s="47"/>
    </row>
    <row r="749">
      <c r="H749" s="47"/>
      <c r="I749" s="47"/>
      <c r="J749" s="47"/>
      <c r="K749" s="47"/>
      <c r="L749" s="47"/>
      <c r="M749" s="47"/>
      <c r="N749" s="47"/>
      <c r="O749" s="47"/>
    </row>
    <row r="750">
      <c r="H750" s="47"/>
      <c r="I750" s="47"/>
      <c r="J750" s="47"/>
      <c r="K750" s="47"/>
      <c r="L750" s="47"/>
      <c r="M750" s="47"/>
      <c r="N750" s="47"/>
      <c r="O750" s="47"/>
    </row>
    <row r="751">
      <c r="H751" s="47"/>
      <c r="I751" s="47"/>
      <c r="J751" s="47"/>
      <c r="K751" s="47"/>
      <c r="L751" s="47"/>
      <c r="M751" s="47"/>
      <c r="N751" s="47"/>
      <c r="O751" s="47"/>
    </row>
    <row r="752">
      <c r="H752" s="47"/>
      <c r="I752" s="47"/>
      <c r="J752" s="47"/>
      <c r="K752" s="47"/>
      <c r="L752" s="47"/>
      <c r="M752" s="47"/>
      <c r="N752" s="47"/>
      <c r="O752" s="47"/>
    </row>
    <row r="753">
      <c r="H753" s="47"/>
      <c r="I753" s="47"/>
      <c r="J753" s="47"/>
      <c r="K753" s="47"/>
      <c r="L753" s="47"/>
      <c r="M753" s="47"/>
      <c r="N753" s="47"/>
      <c r="O753" s="47"/>
    </row>
    <row r="754">
      <c r="H754" s="47"/>
      <c r="I754" s="47"/>
      <c r="J754" s="47"/>
      <c r="K754" s="47"/>
      <c r="L754" s="47"/>
      <c r="M754" s="47"/>
      <c r="N754" s="47"/>
      <c r="O754" s="47"/>
    </row>
    <row r="755">
      <c r="H755" s="47"/>
      <c r="I755" s="47"/>
      <c r="J755" s="47"/>
      <c r="K755" s="47"/>
      <c r="L755" s="47"/>
      <c r="M755" s="47"/>
      <c r="N755" s="47"/>
      <c r="O755" s="47"/>
    </row>
    <row r="756">
      <c r="H756" s="47"/>
      <c r="I756" s="47"/>
      <c r="J756" s="47"/>
      <c r="K756" s="47"/>
      <c r="L756" s="47"/>
      <c r="M756" s="47"/>
      <c r="N756" s="47"/>
      <c r="O756" s="47"/>
    </row>
    <row r="757">
      <c r="H757" s="47"/>
      <c r="I757" s="47"/>
      <c r="J757" s="47"/>
      <c r="K757" s="47"/>
      <c r="L757" s="47"/>
      <c r="M757" s="47"/>
      <c r="N757" s="47"/>
      <c r="O757" s="47"/>
    </row>
    <row r="758">
      <c r="H758" s="47"/>
      <c r="I758" s="47"/>
      <c r="J758" s="47"/>
      <c r="K758" s="47"/>
      <c r="L758" s="47"/>
      <c r="M758" s="47"/>
      <c r="N758" s="47"/>
      <c r="O758" s="47"/>
    </row>
    <row r="759">
      <c r="H759" s="47"/>
      <c r="I759" s="47"/>
      <c r="J759" s="47"/>
      <c r="K759" s="47"/>
      <c r="L759" s="47"/>
      <c r="M759" s="47"/>
      <c r="N759" s="47"/>
      <c r="O759" s="47"/>
    </row>
    <row r="760">
      <c r="H760" s="47"/>
      <c r="I760" s="47"/>
      <c r="J760" s="47"/>
      <c r="K760" s="47"/>
      <c r="L760" s="47"/>
      <c r="M760" s="47"/>
      <c r="N760" s="47"/>
      <c r="O760" s="47"/>
    </row>
    <row r="761">
      <c r="H761" s="47"/>
      <c r="I761" s="47"/>
      <c r="J761" s="47"/>
      <c r="K761" s="47"/>
      <c r="L761" s="47"/>
      <c r="M761" s="47"/>
      <c r="N761" s="47"/>
      <c r="O761" s="47"/>
    </row>
    <row r="762">
      <c r="H762" s="47"/>
      <c r="I762" s="47"/>
      <c r="J762" s="47"/>
      <c r="K762" s="47"/>
      <c r="L762" s="47"/>
      <c r="M762" s="47"/>
      <c r="N762" s="47"/>
      <c r="O762" s="47"/>
    </row>
    <row r="763">
      <c r="H763" s="47"/>
      <c r="I763" s="47"/>
      <c r="J763" s="47"/>
      <c r="K763" s="47"/>
      <c r="L763" s="47"/>
      <c r="M763" s="47"/>
      <c r="N763" s="47"/>
      <c r="O763" s="47"/>
    </row>
    <row r="764">
      <c r="H764" s="47"/>
      <c r="I764" s="47"/>
      <c r="J764" s="47"/>
      <c r="K764" s="47"/>
      <c r="L764" s="47"/>
      <c r="M764" s="47"/>
      <c r="N764" s="47"/>
      <c r="O764" s="47"/>
    </row>
    <row r="765">
      <c r="H765" s="47"/>
      <c r="I765" s="47"/>
      <c r="J765" s="47"/>
      <c r="K765" s="47"/>
      <c r="L765" s="47"/>
      <c r="M765" s="47"/>
      <c r="N765" s="47"/>
      <c r="O765" s="47"/>
    </row>
    <row r="766">
      <c r="H766" s="47"/>
      <c r="I766" s="47"/>
      <c r="J766" s="47"/>
      <c r="K766" s="47"/>
      <c r="L766" s="47"/>
      <c r="M766" s="47"/>
      <c r="N766" s="47"/>
      <c r="O766" s="47"/>
    </row>
    <row r="767">
      <c r="H767" s="47"/>
      <c r="I767" s="47"/>
      <c r="J767" s="47"/>
      <c r="K767" s="47"/>
      <c r="L767" s="47"/>
      <c r="M767" s="47"/>
      <c r="N767" s="47"/>
      <c r="O767" s="47"/>
    </row>
    <row r="768">
      <c r="H768" s="47"/>
      <c r="I768" s="47"/>
      <c r="J768" s="47"/>
      <c r="K768" s="47"/>
      <c r="L768" s="47"/>
      <c r="M768" s="47"/>
      <c r="N768" s="47"/>
      <c r="O768" s="47"/>
    </row>
    <row r="769">
      <c r="H769" s="47"/>
      <c r="I769" s="47"/>
      <c r="J769" s="47"/>
      <c r="K769" s="47"/>
      <c r="L769" s="47"/>
      <c r="M769" s="47"/>
      <c r="N769" s="47"/>
      <c r="O769" s="47"/>
    </row>
    <row r="770">
      <c r="H770" s="47"/>
      <c r="I770" s="47"/>
      <c r="J770" s="47"/>
      <c r="K770" s="47"/>
      <c r="L770" s="47"/>
      <c r="M770" s="47"/>
      <c r="N770" s="47"/>
      <c r="O770" s="47"/>
    </row>
    <row r="771">
      <c r="H771" s="47"/>
      <c r="I771" s="47"/>
      <c r="J771" s="47"/>
      <c r="K771" s="47"/>
      <c r="L771" s="47"/>
      <c r="M771" s="47"/>
      <c r="N771" s="47"/>
      <c r="O771" s="47"/>
    </row>
    <row r="772">
      <c r="H772" s="47"/>
      <c r="I772" s="47"/>
      <c r="J772" s="47"/>
      <c r="K772" s="47"/>
      <c r="L772" s="47"/>
      <c r="M772" s="47"/>
      <c r="N772" s="47"/>
      <c r="O772" s="47"/>
    </row>
    <row r="773">
      <c r="H773" s="47"/>
      <c r="I773" s="47"/>
      <c r="J773" s="47"/>
      <c r="K773" s="47"/>
      <c r="L773" s="47"/>
      <c r="M773" s="47"/>
      <c r="N773" s="47"/>
      <c r="O773" s="47"/>
    </row>
    <row r="774">
      <c r="H774" s="47"/>
      <c r="I774" s="47"/>
      <c r="J774" s="47"/>
      <c r="K774" s="47"/>
      <c r="L774" s="47"/>
      <c r="M774" s="47"/>
      <c r="N774" s="47"/>
      <c r="O774" s="47"/>
    </row>
    <row r="775">
      <c r="H775" s="47"/>
      <c r="I775" s="47"/>
      <c r="J775" s="47"/>
      <c r="K775" s="47"/>
      <c r="L775" s="47"/>
      <c r="M775" s="47"/>
      <c r="N775" s="47"/>
      <c r="O775" s="47"/>
    </row>
    <row r="776">
      <c r="H776" s="47"/>
      <c r="I776" s="47"/>
      <c r="J776" s="47"/>
      <c r="K776" s="47"/>
      <c r="L776" s="47"/>
      <c r="M776" s="47"/>
      <c r="N776" s="47"/>
      <c r="O776" s="47"/>
    </row>
    <row r="777">
      <c r="H777" s="47"/>
      <c r="I777" s="47"/>
      <c r="J777" s="47"/>
      <c r="K777" s="47"/>
      <c r="L777" s="47"/>
      <c r="M777" s="47"/>
      <c r="N777" s="47"/>
      <c r="O777" s="47"/>
    </row>
    <row r="778">
      <c r="H778" s="47"/>
      <c r="I778" s="47"/>
      <c r="J778" s="47"/>
      <c r="K778" s="47"/>
      <c r="L778" s="47"/>
      <c r="M778" s="47"/>
      <c r="N778" s="47"/>
      <c r="O778" s="47"/>
    </row>
    <row r="779">
      <c r="H779" s="47"/>
      <c r="I779" s="47"/>
      <c r="J779" s="47"/>
      <c r="K779" s="47"/>
      <c r="L779" s="47"/>
      <c r="M779" s="47"/>
      <c r="N779" s="47"/>
      <c r="O779" s="47"/>
    </row>
    <row r="780">
      <c r="H780" s="47"/>
      <c r="I780" s="47"/>
      <c r="J780" s="47"/>
      <c r="K780" s="47"/>
      <c r="L780" s="47"/>
      <c r="M780" s="47"/>
      <c r="N780" s="47"/>
      <c r="O780" s="47"/>
    </row>
    <row r="781">
      <c r="H781" s="47"/>
      <c r="I781" s="47"/>
      <c r="J781" s="47"/>
      <c r="K781" s="47"/>
      <c r="L781" s="47"/>
      <c r="M781" s="47"/>
      <c r="N781" s="47"/>
      <c r="O781" s="47"/>
    </row>
    <row r="782">
      <c r="H782" s="47"/>
      <c r="I782" s="47"/>
      <c r="J782" s="47"/>
      <c r="K782" s="47"/>
      <c r="L782" s="47"/>
      <c r="M782" s="47"/>
      <c r="N782" s="47"/>
      <c r="O782" s="47"/>
    </row>
    <row r="783">
      <c r="H783" s="47"/>
      <c r="I783" s="47"/>
      <c r="J783" s="47"/>
      <c r="K783" s="47"/>
      <c r="L783" s="47"/>
      <c r="M783" s="47"/>
      <c r="N783" s="47"/>
      <c r="O783" s="47"/>
    </row>
    <row r="784">
      <c r="H784" s="47"/>
      <c r="I784" s="47"/>
      <c r="J784" s="47"/>
      <c r="K784" s="47"/>
      <c r="L784" s="47"/>
      <c r="M784" s="47"/>
      <c r="N784" s="47"/>
      <c r="O784" s="47"/>
    </row>
    <row r="785">
      <c r="H785" s="47"/>
      <c r="I785" s="47"/>
      <c r="J785" s="47"/>
      <c r="K785" s="47"/>
      <c r="L785" s="47"/>
      <c r="M785" s="47"/>
      <c r="N785" s="47"/>
      <c r="O785" s="47"/>
    </row>
    <row r="786">
      <c r="H786" s="47"/>
      <c r="I786" s="47"/>
      <c r="J786" s="47"/>
      <c r="K786" s="47"/>
      <c r="L786" s="47"/>
      <c r="M786" s="47"/>
      <c r="N786" s="47"/>
      <c r="O786" s="47"/>
    </row>
    <row r="787">
      <c r="H787" s="47"/>
      <c r="I787" s="47"/>
      <c r="J787" s="47"/>
      <c r="K787" s="47"/>
      <c r="L787" s="47"/>
      <c r="M787" s="47"/>
      <c r="N787" s="47"/>
      <c r="O787" s="47"/>
    </row>
    <row r="788">
      <c r="H788" s="47"/>
      <c r="I788" s="47"/>
      <c r="J788" s="47"/>
      <c r="K788" s="47"/>
      <c r="L788" s="47"/>
      <c r="M788" s="47"/>
      <c r="N788" s="47"/>
      <c r="O788" s="47"/>
    </row>
    <row r="789">
      <c r="H789" s="47"/>
      <c r="I789" s="47"/>
      <c r="J789" s="47"/>
      <c r="K789" s="47"/>
      <c r="L789" s="47"/>
      <c r="M789" s="47"/>
      <c r="N789" s="47"/>
      <c r="O789" s="47"/>
    </row>
    <row r="790">
      <c r="H790" s="47"/>
      <c r="I790" s="47"/>
      <c r="J790" s="47"/>
      <c r="K790" s="47"/>
      <c r="L790" s="47"/>
      <c r="M790" s="47"/>
      <c r="N790" s="47"/>
      <c r="O790" s="47"/>
    </row>
    <row r="791">
      <c r="H791" s="47"/>
      <c r="I791" s="47"/>
      <c r="J791" s="47"/>
      <c r="K791" s="47"/>
      <c r="L791" s="47"/>
      <c r="M791" s="47"/>
      <c r="N791" s="47"/>
      <c r="O791" s="47"/>
    </row>
    <row r="792">
      <c r="H792" s="47"/>
      <c r="I792" s="47"/>
      <c r="J792" s="47"/>
      <c r="K792" s="47"/>
      <c r="L792" s="47"/>
      <c r="M792" s="47"/>
      <c r="N792" s="47"/>
      <c r="O792" s="47"/>
    </row>
    <row r="793">
      <c r="H793" s="47"/>
      <c r="I793" s="47"/>
      <c r="J793" s="47"/>
      <c r="K793" s="47"/>
      <c r="L793" s="47"/>
      <c r="M793" s="47"/>
      <c r="N793" s="47"/>
      <c r="O793" s="47"/>
    </row>
    <row r="794">
      <c r="H794" s="47"/>
      <c r="I794" s="47"/>
      <c r="J794" s="47"/>
      <c r="K794" s="47"/>
      <c r="L794" s="47"/>
      <c r="M794" s="47"/>
      <c r="N794" s="47"/>
      <c r="O794" s="47"/>
    </row>
    <row r="795">
      <c r="H795" s="47"/>
      <c r="I795" s="47"/>
      <c r="J795" s="47"/>
      <c r="K795" s="47"/>
      <c r="L795" s="47"/>
      <c r="M795" s="47"/>
      <c r="N795" s="47"/>
      <c r="O795" s="47"/>
    </row>
    <row r="796">
      <c r="H796" s="47"/>
      <c r="I796" s="47"/>
      <c r="J796" s="47"/>
      <c r="K796" s="47"/>
      <c r="L796" s="47"/>
      <c r="M796" s="47"/>
      <c r="N796" s="47"/>
      <c r="O796" s="47"/>
    </row>
    <row r="797">
      <c r="H797" s="47"/>
      <c r="I797" s="47"/>
      <c r="J797" s="47"/>
      <c r="K797" s="47"/>
      <c r="L797" s="47"/>
      <c r="M797" s="47"/>
      <c r="N797" s="47"/>
      <c r="O797" s="47"/>
    </row>
    <row r="798">
      <c r="H798" s="47"/>
      <c r="I798" s="47"/>
      <c r="J798" s="47"/>
      <c r="K798" s="47"/>
      <c r="L798" s="47"/>
      <c r="M798" s="47"/>
      <c r="N798" s="47"/>
      <c r="O798" s="47"/>
    </row>
    <row r="799">
      <c r="H799" s="47"/>
      <c r="I799" s="47"/>
      <c r="J799" s="47"/>
      <c r="K799" s="47"/>
      <c r="L799" s="47"/>
      <c r="M799" s="47"/>
      <c r="N799" s="47"/>
      <c r="O799" s="47"/>
    </row>
    <row r="800">
      <c r="H800" s="47"/>
      <c r="I800" s="47"/>
      <c r="J800" s="47"/>
      <c r="K800" s="47"/>
      <c r="L800" s="47"/>
      <c r="M800" s="47"/>
      <c r="N800" s="47"/>
      <c r="O800" s="47"/>
    </row>
    <row r="801">
      <c r="H801" s="47"/>
      <c r="I801" s="47"/>
      <c r="J801" s="47"/>
      <c r="K801" s="47"/>
      <c r="L801" s="47"/>
      <c r="M801" s="47"/>
      <c r="N801" s="47"/>
      <c r="O801" s="47"/>
    </row>
    <row r="802">
      <c r="H802" s="47"/>
      <c r="I802" s="47"/>
      <c r="J802" s="47"/>
      <c r="K802" s="47"/>
      <c r="L802" s="47"/>
      <c r="M802" s="47"/>
      <c r="N802" s="47"/>
      <c r="O802" s="47"/>
    </row>
    <row r="803">
      <c r="H803" s="47"/>
      <c r="I803" s="47"/>
      <c r="J803" s="47"/>
      <c r="K803" s="47"/>
      <c r="L803" s="47"/>
      <c r="M803" s="47"/>
      <c r="N803" s="47"/>
      <c r="O803" s="47"/>
    </row>
    <row r="804">
      <c r="H804" s="47"/>
      <c r="I804" s="47"/>
      <c r="J804" s="47"/>
      <c r="K804" s="47"/>
      <c r="L804" s="47"/>
      <c r="M804" s="47"/>
      <c r="N804" s="47"/>
      <c r="O804" s="47"/>
    </row>
    <row r="805">
      <c r="H805" s="47"/>
      <c r="I805" s="47"/>
      <c r="J805" s="47"/>
      <c r="K805" s="47"/>
      <c r="L805" s="47"/>
      <c r="M805" s="47"/>
      <c r="N805" s="47"/>
      <c r="O805" s="47"/>
    </row>
    <row r="806">
      <c r="H806" s="47"/>
      <c r="I806" s="47"/>
      <c r="J806" s="47"/>
      <c r="K806" s="47"/>
      <c r="L806" s="47"/>
      <c r="M806" s="47"/>
      <c r="N806" s="47"/>
      <c r="O806" s="47"/>
    </row>
    <row r="807">
      <c r="H807" s="47"/>
      <c r="I807" s="47"/>
      <c r="J807" s="47"/>
      <c r="K807" s="47"/>
      <c r="L807" s="47"/>
      <c r="M807" s="47"/>
      <c r="N807" s="47"/>
      <c r="O807" s="47"/>
    </row>
    <row r="808">
      <c r="H808" s="47"/>
      <c r="I808" s="47"/>
      <c r="J808" s="47"/>
      <c r="K808" s="47"/>
      <c r="L808" s="47"/>
      <c r="M808" s="47"/>
      <c r="N808" s="47"/>
      <c r="O808" s="47"/>
    </row>
    <row r="809">
      <c r="H809" s="47"/>
      <c r="I809" s="47"/>
      <c r="J809" s="47"/>
      <c r="K809" s="47"/>
      <c r="L809" s="47"/>
      <c r="M809" s="47"/>
      <c r="N809" s="47"/>
      <c r="O809" s="47"/>
    </row>
    <row r="810">
      <c r="H810" s="47"/>
      <c r="I810" s="47"/>
      <c r="J810" s="47"/>
      <c r="K810" s="47"/>
      <c r="L810" s="47"/>
      <c r="M810" s="47"/>
      <c r="N810" s="47"/>
      <c r="O810" s="47"/>
    </row>
    <row r="811">
      <c r="H811" s="47"/>
      <c r="I811" s="47"/>
      <c r="J811" s="47"/>
      <c r="K811" s="47"/>
      <c r="L811" s="47"/>
      <c r="M811" s="47"/>
      <c r="N811" s="47"/>
      <c r="O811" s="47"/>
    </row>
    <row r="812">
      <c r="H812" s="47"/>
      <c r="I812" s="47"/>
      <c r="J812" s="47"/>
      <c r="K812" s="47"/>
      <c r="L812" s="47"/>
      <c r="M812" s="47"/>
      <c r="N812" s="47"/>
      <c r="O812" s="47"/>
    </row>
    <row r="813">
      <c r="H813" s="47"/>
      <c r="I813" s="47"/>
      <c r="J813" s="47"/>
      <c r="K813" s="47"/>
      <c r="L813" s="47"/>
      <c r="M813" s="47"/>
      <c r="N813" s="47"/>
      <c r="O813" s="47"/>
    </row>
    <row r="814">
      <c r="H814" s="47"/>
      <c r="I814" s="47"/>
      <c r="J814" s="47"/>
      <c r="K814" s="47"/>
      <c r="L814" s="47"/>
      <c r="M814" s="47"/>
      <c r="N814" s="47"/>
      <c r="O814" s="47"/>
    </row>
    <row r="815">
      <c r="H815" s="47"/>
      <c r="I815" s="47"/>
      <c r="J815" s="47"/>
      <c r="K815" s="47"/>
      <c r="L815" s="47"/>
      <c r="M815" s="47"/>
      <c r="N815" s="47"/>
      <c r="O815" s="47"/>
    </row>
    <row r="816">
      <c r="H816" s="47"/>
      <c r="I816" s="47"/>
      <c r="J816" s="47"/>
      <c r="K816" s="47"/>
      <c r="L816" s="47"/>
      <c r="M816" s="47"/>
      <c r="N816" s="47"/>
      <c r="O816" s="47"/>
    </row>
    <row r="817">
      <c r="H817" s="47"/>
      <c r="I817" s="47"/>
      <c r="J817" s="47"/>
      <c r="K817" s="47"/>
      <c r="L817" s="47"/>
      <c r="M817" s="47"/>
      <c r="N817" s="47"/>
      <c r="O817" s="47"/>
    </row>
    <row r="818">
      <c r="H818" s="47"/>
      <c r="I818" s="47"/>
      <c r="J818" s="47"/>
      <c r="K818" s="47"/>
      <c r="L818" s="47"/>
      <c r="M818" s="47"/>
      <c r="N818" s="47"/>
      <c r="O818" s="47"/>
    </row>
    <row r="819">
      <c r="H819" s="47"/>
      <c r="I819" s="47"/>
      <c r="J819" s="47"/>
      <c r="K819" s="47"/>
      <c r="L819" s="47"/>
      <c r="M819" s="47"/>
      <c r="N819" s="47"/>
      <c r="O819" s="47"/>
    </row>
    <row r="820">
      <c r="H820" s="47"/>
      <c r="I820" s="47"/>
      <c r="J820" s="47"/>
      <c r="K820" s="47"/>
      <c r="L820" s="47"/>
      <c r="M820" s="47"/>
      <c r="N820" s="47"/>
      <c r="O820" s="47"/>
    </row>
    <row r="821">
      <c r="H821" s="47"/>
      <c r="I821" s="47"/>
      <c r="J821" s="47"/>
      <c r="K821" s="47"/>
      <c r="L821" s="47"/>
      <c r="M821" s="47"/>
      <c r="N821" s="47"/>
      <c r="O821" s="47"/>
    </row>
    <row r="822">
      <c r="H822" s="47"/>
      <c r="I822" s="47"/>
      <c r="J822" s="47"/>
      <c r="K822" s="47"/>
      <c r="L822" s="47"/>
      <c r="M822" s="47"/>
      <c r="N822" s="47"/>
      <c r="O822" s="47"/>
    </row>
    <row r="823">
      <c r="H823" s="47"/>
      <c r="I823" s="47"/>
      <c r="J823" s="47"/>
      <c r="K823" s="47"/>
      <c r="L823" s="47"/>
      <c r="M823" s="47"/>
      <c r="N823" s="47"/>
      <c r="O823" s="47"/>
    </row>
    <row r="824">
      <c r="H824" s="47"/>
      <c r="I824" s="47"/>
      <c r="J824" s="47"/>
      <c r="K824" s="47"/>
      <c r="L824" s="47"/>
      <c r="M824" s="47"/>
      <c r="N824" s="47"/>
      <c r="O824" s="47"/>
    </row>
    <row r="825">
      <c r="H825" s="47"/>
      <c r="I825" s="47"/>
      <c r="J825" s="47"/>
      <c r="K825" s="47"/>
      <c r="L825" s="47"/>
      <c r="M825" s="47"/>
      <c r="N825" s="47"/>
      <c r="O825" s="47"/>
    </row>
    <row r="826">
      <c r="H826" s="47"/>
      <c r="I826" s="47"/>
      <c r="J826" s="47"/>
      <c r="K826" s="47"/>
      <c r="L826" s="47"/>
      <c r="M826" s="47"/>
      <c r="N826" s="47"/>
      <c r="O826" s="47"/>
    </row>
    <row r="827">
      <c r="H827" s="47"/>
      <c r="I827" s="47"/>
      <c r="J827" s="47"/>
      <c r="K827" s="47"/>
      <c r="L827" s="47"/>
      <c r="M827" s="47"/>
      <c r="N827" s="47"/>
      <c r="O827" s="47"/>
    </row>
    <row r="828">
      <c r="H828" s="47"/>
      <c r="I828" s="47"/>
      <c r="J828" s="47"/>
      <c r="K828" s="47"/>
      <c r="L828" s="47"/>
      <c r="M828" s="47"/>
      <c r="N828" s="47"/>
      <c r="O828" s="47"/>
    </row>
    <row r="829">
      <c r="H829" s="47"/>
      <c r="I829" s="47"/>
      <c r="J829" s="47"/>
      <c r="K829" s="47"/>
      <c r="L829" s="47"/>
      <c r="M829" s="47"/>
      <c r="N829" s="47"/>
      <c r="O829" s="47"/>
    </row>
    <row r="830">
      <c r="H830" s="47"/>
      <c r="I830" s="47"/>
      <c r="J830" s="47"/>
      <c r="K830" s="47"/>
      <c r="L830" s="47"/>
      <c r="M830" s="47"/>
      <c r="N830" s="47"/>
      <c r="O830" s="47"/>
    </row>
    <row r="831">
      <c r="H831" s="47"/>
      <c r="I831" s="47"/>
      <c r="J831" s="47"/>
      <c r="K831" s="47"/>
      <c r="L831" s="47"/>
      <c r="M831" s="47"/>
      <c r="N831" s="47"/>
      <c r="O831" s="47"/>
    </row>
    <row r="832">
      <c r="H832" s="47"/>
      <c r="I832" s="47"/>
      <c r="J832" s="47"/>
      <c r="K832" s="47"/>
      <c r="L832" s="47"/>
      <c r="M832" s="47"/>
      <c r="N832" s="47"/>
      <c r="O832" s="47"/>
    </row>
    <row r="833">
      <c r="H833" s="47"/>
      <c r="I833" s="47"/>
      <c r="J833" s="47"/>
      <c r="K833" s="47"/>
      <c r="L833" s="47"/>
      <c r="M833" s="47"/>
      <c r="N833" s="47"/>
      <c r="O833" s="47"/>
    </row>
    <row r="834">
      <c r="H834" s="47"/>
      <c r="I834" s="47"/>
      <c r="J834" s="47"/>
      <c r="K834" s="47"/>
      <c r="L834" s="47"/>
      <c r="M834" s="47"/>
      <c r="N834" s="47"/>
      <c r="O834" s="47"/>
    </row>
    <row r="835">
      <c r="H835" s="47"/>
      <c r="I835" s="47"/>
      <c r="J835" s="47"/>
      <c r="K835" s="47"/>
      <c r="L835" s="47"/>
      <c r="M835" s="47"/>
      <c r="N835" s="47"/>
      <c r="O835" s="47"/>
    </row>
    <row r="836">
      <c r="H836" s="47"/>
      <c r="I836" s="47"/>
      <c r="J836" s="47"/>
      <c r="K836" s="47"/>
      <c r="L836" s="47"/>
      <c r="M836" s="47"/>
      <c r="N836" s="47"/>
      <c r="O836" s="47"/>
    </row>
    <row r="837">
      <c r="H837" s="47"/>
      <c r="I837" s="47"/>
      <c r="J837" s="47"/>
      <c r="K837" s="47"/>
      <c r="L837" s="47"/>
      <c r="M837" s="47"/>
      <c r="N837" s="47"/>
      <c r="O837" s="47"/>
    </row>
    <row r="838">
      <c r="H838" s="47"/>
      <c r="I838" s="47"/>
      <c r="J838" s="47"/>
      <c r="K838" s="47"/>
      <c r="L838" s="47"/>
      <c r="M838" s="47"/>
      <c r="N838" s="47"/>
      <c r="O838" s="47"/>
    </row>
    <row r="839">
      <c r="H839" s="47"/>
      <c r="I839" s="47"/>
      <c r="J839" s="47"/>
      <c r="K839" s="47"/>
      <c r="L839" s="47"/>
      <c r="M839" s="47"/>
      <c r="N839" s="47"/>
      <c r="O839" s="47"/>
    </row>
    <row r="840">
      <c r="H840" s="47"/>
      <c r="I840" s="47"/>
      <c r="J840" s="47"/>
      <c r="K840" s="47"/>
      <c r="L840" s="47"/>
      <c r="M840" s="47"/>
      <c r="N840" s="47"/>
      <c r="O840" s="47"/>
    </row>
    <row r="841">
      <c r="H841" s="47"/>
      <c r="I841" s="47"/>
      <c r="J841" s="47"/>
      <c r="K841" s="47"/>
      <c r="L841" s="47"/>
      <c r="M841" s="47"/>
      <c r="N841" s="47"/>
      <c r="O841" s="47"/>
    </row>
    <row r="842">
      <c r="H842" s="47"/>
      <c r="I842" s="47"/>
      <c r="J842" s="47"/>
      <c r="K842" s="47"/>
      <c r="L842" s="47"/>
      <c r="M842" s="47"/>
      <c r="N842" s="47"/>
      <c r="O842" s="47"/>
    </row>
    <row r="843">
      <c r="H843" s="47"/>
      <c r="I843" s="47"/>
      <c r="J843" s="47"/>
      <c r="K843" s="47"/>
      <c r="L843" s="47"/>
      <c r="M843" s="47"/>
      <c r="N843" s="47"/>
      <c r="O843" s="47"/>
    </row>
    <row r="844">
      <c r="H844" s="47"/>
      <c r="I844" s="47"/>
      <c r="J844" s="47"/>
      <c r="K844" s="47"/>
      <c r="L844" s="47"/>
      <c r="M844" s="47"/>
      <c r="N844" s="47"/>
      <c r="O844" s="47"/>
    </row>
    <row r="845">
      <c r="H845" s="47"/>
      <c r="I845" s="47"/>
      <c r="J845" s="47"/>
      <c r="K845" s="47"/>
      <c r="L845" s="47"/>
      <c r="M845" s="47"/>
      <c r="N845" s="47"/>
      <c r="O845" s="47"/>
    </row>
    <row r="846">
      <c r="H846" s="47"/>
      <c r="I846" s="47"/>
      <c r="J846" s="47"/>
      <c r="K846" s="47"/>
      <c r="L846" s="47"/>
      <c r="M846" s="47"/>
      <c r="N846" s="47"/>
      <c r="O846" s="47"/>
    </row>
    <row r="847">
      <c r="H847" s="47"/>
      <c r="I847" s="47"/>
      <c r="J847" s="47"/>
      <c r="K847" s="47"/>
      <c r="L847" s="47"/>
      <c r="M847" s="47"/>
      <c r="N847" s="47"/>
      <c r="O847" s="47"/>
    </row>
    <row r="848">
      <c r="H848" s="47"/>
      <c r="I848" s="47"/>
      <c r="J848" s="47"/>
      <c r="K848" s="47"/>
      <c r="L848" s="47"/>
      <c r="M848" s="47"/>
      <c r="N848" s="47"/>
      <c r="O848" s="47"/>
    </row>
    <row r="849">
      <c r="H849" s="47"/>
      <c r="I849" s="47"/>
      <c r="J849" s="47"/>
      <c r="K849" s="47"/>
      <c r="L849" s="47"/>
      <c r="M849" s="47"/>
      <c r="N849" s="47"/>
      <c r="O849" s="47"/>
    </row>
    <row r="850">
      <c r="H850" s="47"/>
      <c r="I850" s="47"/>
      <c r="J850" s="47"/>
      <c r="K850" s="47"/>
      <c r="L850" s="47"/>
      <c r="M850" s="47"/>
      <c r="N850" s="47"/>
      <c r="O850" s="47"/>
    </row>
    <row r="851">
      <c r="H851" s="47"/>
      <c r="I851" s="47"/>
      <c r="J851" s="47"/>
      <c r="K851" s="47"/>
      <c r="L851" s="47"/>
      <c r="M851" s="47"/>
      <c r="N851" s="47"/>
      <c r="O851" s="47"/>
    </row>
    <row r="852">
      <c r="H852" s="47"/>
      <c r="I852" s="47"/>
      <c r="J852" s="47"/>
      <c r="K852" s="47"/>
      <c r="L852" s="47"/>
      <c r="M852" s="47"/>
      <c r="N852" s="47"/>
      <c r="O852" s="47"/>
    </row>
    <row r="853">
      <c r="H853" s="47"/>
      <c r="I853" s="47"/>
      <c r="J853" s="47"/>
      <c r="K853" s="47"/>
      <c r="L853" s="47"/>
      <c r="M853" s="47"/>
      <c r="N853" s="47"/>
      <c r="O853" s="47"/>
    </row>
    <row r="854">
      <c r="H854" s="47"/>
      <c r="I854" s="47"/>
      <c r="J854" s="47"/>
      <c r="K854" s="47"/>
      <c r="L854" s="47"/>
      <c r="M854" s="47"/>
      <c r="N854" s="47"/>
      <c r="O854" s="47"/>
    </row>
    <row r="855">
      <c r="H855" s="47"/>
      <c r="I855" s="47"/>
      <c r="J855" s="47"/>
      <c r="K855" s="47"/>
      <c r="L855" s="47"/>
      <c r="M855" s="47"/>
      <c r="N855" s="47"/>
      <c r="O855" s="47"/>
    </row>
    <row r="856">
      <c r="H856" s="47"/>
      <c r="I856" s="47"/>
      <c r="J856" s="47"/>
      <c r="K856" s="47"/>
      <c r="L856" s="47"/>
      <c r="M856" s="47"/>
      <c r="N856" s="47"/>
      <c r="O856" s="47"/>
    </row>
    <row r="857">
      <c r="H857" s="47"/>
      <c r="I857" s="47"/>
      <c r="J857" s="47"/>
      <c r="K857" s="47"/>
      <c r="L857" s="47"/>
      <c r="M857" s="47"/>
      <c r="N857" s="47"/>
      <c r="O857" s="47"/>
    </row>
    <row r="858">
      <c r="H858" s="47"/>
      <c r="I858" s="47"/>
      <c r="J858" s="47"/>
      <c r="K858" s="47"/>
      <c r="L858" s="47"/>
      <c r="M858" s="47"/>
      <c r="N858" s="47"/>
      <c r="O858" s="47"/>
    </row>
    <row r="859">
      <c r="H859" s="47"/>
      <c r="I859" s="47"/>
      <c r="J859" s="47"/>
      <c r="K859" s="47"/>
      <c r="L859" s="47"/>
      <c r="M859" s="47"/>
      <c r="N859" s="47"/>
      <c r="O859" s="47"/>
    </row>
    <row r="860">
      <c r="H860" s="47"/>
      <c r="I860" s="47"/>
      <c r="J860" s="47"/>
      <c r="K860" s="47"/>
      <c r="L860" s="47"/>
      <c r="M860" s="47"/>
      <c r="N860" s="47"/>
      <c r="O860" s="47"/>
    </row>
    <row r="861">
      <c r="H861" s="47"/>
      <c r="I861" s="47"/>
      <c r="J861" s="47"/>
      <c r="K861" s="47"/>
      <c r="L861" s="47"/>
      <c r="M861" s="47"/>
      <c r="N861" s="47"/>
      <c r="O861" s="47"/>
    </row>
    <row r="862">
      <c r="H862" s="47"/>
      <c r="I862" s="47"/>
      <c r="J862" s="47"/>
      <c r="K862" s="47"/>
      <c r="L862" s="47"/>
      <c r="M862" s="47"/>
      <c r="N862" s="47"/>
      <c r="O862" s="47"/>
    </row>
    <row r="863">
      <c r="H863" s="47"/>
      <c r="I863" s="47"/>
      <c r="J863" s="47"/>
      <c r="K863" s="47"/>
      <c r="L863" s="47"/>
      <c r="M863" s="47"/>
      <c r="N863" s="47"/>
      <c r="O863" s="47"/>
    </row>
    <row r="864">
      <c r="H864" s="47"/>
      <c r="I864" s="47"/>
      <c r="J864" s="47"/>
      <c r="K864" s="47"/>
      <c r="L864" s="47"/>
      <c r="M864" s="47"/>
      <c r="N864" s="47"/>
      <c r="O864" s="47"/>
    </row>
    <row r="865">
      <c r="H865" s="47"/>
      <c r="I865" s="47"/>
      <c r="J865" s="47"/>
      <c r="K865" s="47"/>
      <c r="L865" s="47"/>
      <c r="M865" s="47"/>
      <c r="N865" s="47"/>
      <c r="O865" s="47"/>
    </row>
    <row r="866">
      <c r="H866" s="47"/>
      <c r="I866" s="47"/>
      <c r="J866" s="47"/>
      <c r="K866" s="47"/>
      <c r="L866" s="47"/>
      <c r="M866" s="47"/>
      <c r="N866" s="47"/>
      <c r="O866" s="47"/>
    </row>
    <row r="867">
      <c r="H867" s="47"/>
      <c r="I867" s="47"/>
      <c r="J867" s="47"/>
      <c r="K867" s="47"/>
      <c r="L867" s="47"/>
      <c r="M867" s="47"/>
      <c r="N867" s="47"/>
      <c r="O867" s="47"/>
    </row>
    <row r="868">
      <c r="H868" s="47"/>
      <c r="I868" s="47"/>
      <c r="J868" s="47"/>
      <c r="K868" s="47"/>
      <c r="L868" s="47"/>
      <c r="M868" s="47"/>
      <c r="N868" s="47"/>
      <c r="O868" s="47"/>
    </row>
    <row r="869">
      <c r="H869" s="47"/>
      <c r="I869" s="47"/>
      <c r="J869" s="47"/>
      <c r="K869" s="47"/>
      <c r="L869" s="47"/>
      <c r="M869" s="47"/>
      <c r="N869" s="47"/>
      <c r="O869" s="47"/>
    </row>
    <row r="870">
      <c r="H870" s="47"/>
      <c r="I870" s="47"/>
      <c r="J870" s="47"/>
      <c r="K870" s="47"/>
      <c r="L870" s="47"/>
      <c r="M870" s="47"/>
      <c r="N870" s="47"/>
      <c r="O870" s="47"/>
    </row>
    <row r="871">
      <c r="H871" s="47"/>
      <c r="I871" s="47"/>
      <c r="J871" s="47"/>
      <c r="K871" s="47"/>
      <c r="L871" s="47"/>
      <c r="M871" s="47"/>
      <c r="N871" s="47"/>
      <c r="O871" s="47"/>
    </row>
    <row r="872">
      <c r="H872" s="47"/>
      <c r="I872" s="47"/>
      <c r="J872" s="47"/>
      <c r="K872" s="47"/>
      <c r="L872" s="47"/>
      <c r="M872" s="47"/>
      <c r="N872" s="47"/>
      <c r="O872" s="47"/>
    </row>
    <row r="873">
      <c r="H873" s="47"/>
      <c r="I873" s="47"/>
      <c r="J873" s="47"/>
      <c r="K873" s="47"/>
      <c r="L873" s="47"/>
      <c r="M873" s="47"/>
      <c r="N873" s="47"/>
      <c r="O873" s="47"/>
    </row>
    <row r="874">
      <c r="H874" s="47"/>
      <c r="I874" s="47"/>
      <c r="J874" s="47"/>
      <c r="K874" s="47"/>
      <c r="L874" s="47"/>
      <c r="M874" s="47"/>
      <c r="N874" s="47"/>
      <c r="O874" s="47"/>
    </row>
    <row r="875">
      <c r="H875" s="47"/>
      <c r="I875" s="47"/>
      <c r="J875" s="47"/>
      <c r="K875" s="47"/>
      <c r="L875" s="47"/>
      <c r="M875" s="47"/>
      <c r="N875" s="47"/>
      <c r="O875" s="47"/>
    </row>
    <row r="876">
      <c r="H876" s="47"/>
      <c r="I876" s="47"/>
      <c r="J876" s="47"/>
      <c r="K876" s="47"/>
      <c r="L876" s="47"/>
      <c r="M876" s="47"/>
      <c r="N876" s="47"/>
      <c r="O876" s="47"/>
    </row>
    <row r="877">
      <c r="H877" s="47"/>
      <c r="I877" s="47"/>
      <c r="J877" s="47"/>
      <c r="K877" s="47"/>
      <c r="L877" s="47"/>
      <c r="M877" s="47"/>
      <c r="N877" s="47"/>
      <c r="O877" s="47"/>
    </row>
    <row r="878">
      <c r="H878" s="47"/>
      <c r="I878" s="47"/>
      <c r="J878" s="47"/>
      <c r="K878" s="47"/>
      <c r="L878" s="47"/>
      <c r="M878" s="47"/>
      <c r="N878" s="47"/>
      <c r="O878" s="47"/>
    </row>
    <row r="879">
      <c r="H879" s="47"/>
      <c r="I879" s="47"/>
      <c r="J879" s="47"/>
      <c r="K879" s="47"/>
      <c r="L879" s="47"/>
      <c r="M879" s="47"/>
      <c r="N879" s="47"/>
      <c r="O879" s="47"/>
    </row>
    <row r="880">
      <c r="H880" s="47"/>
      <c r="I880" s="47"/>
      <c r="J880" s="47"/>
      <c r="K880" s="47"/>
      <c r="L880" s="47"/>
      <c r="M880" s="47"/>
      <c r="N880" s="47"/>
      <c r="O880" s="47"/>
    </row>
    <row r="881">
      <c r="H881" s="47"/>
      <c r="I881" s="47"/>
      <c r="J881" s="47"/>
      <c r="K881" s="47"/>
      <c r="L881" s="47"/>
      <c r="M881" s="47"/>
      <c r="N881" s="47"/>
      <c r="O881" s="47"/>
    </row>
    <row r="882">
      <c r="H882" s="47"/>
      <c r="I882" s="47"/>
      <c r="J882" s="47"/>
      <c r="K882" s="47"/>
      <c r="L882" s="47"/>
      <c r="M882" s="47"/>
      <c r="N882" s="47"/>
      <c r="O882" s="47"/>
    </row>
    <row r="883">
      <c r="H883" s="47"/>
      <c r="I883" s="47"/>
      <c r="J883" s="47"/>
      <c r="K883" s="47"/>
      <c r="L883" s="47"/>
      <c r="M883" s="47"/>
      <c r="N883" s="47"/>
      <c r="O883" s="47"/>
    </row>
    <row r="884">
      <c r="H884" s="47"/>
      <c r="I884" s="47"/>
      <c r="J884" s="47"/>
      <c r="K884" s="47"/>
      <c r="L884" s="47"/>
      <c r="M884" s="47"/>
      <c r="N884" s="47"/>
      <c r="O884" s="47"/>
    </row>
    <row r="885">
      <c r="H885" s="47"/>
      <c r="I885" s="47"/>
      <c r="J885" s="47"/>
      <c r="K885" s="47"/>
      <c r="L885" s="47"/>
      <c r="M885" s="47"/>
      <c r="N885" s="47"/>
      <c r="O885" s="47"/>
    </row>
    <row r="886">
      <c r="H886" s="47"/>
      <c r="I886" s="47"/>
      <c r="J886" s="47"/>
      <c r="K886" s="47"/>
      <c r="L886" s="47"/>
      <c r="M886" s="47"/>
      <c r="N886" s="47"/>
      <c r="O886" s="47"/>
    </row>
    <row r="887">
      <c r="H887" s="47"/>
      <c r="I887" s="47"/>
      <c r="J887" s="47"/>
      <c r="K887" s="47"/>
      <c r="L887" s="47"/>
      <c r="M887" s="47"/>
      <c r="N887" s="47"/>
      <c r="O887" s="47"/>
    </row>
    <row r="888">
      <c r="H888" s="47"/>
      <c r="I888" s="47"/>
      <c r="J888" s="47"/>
      <c r="K888" s="47"/>
      <c r="L888" s="47"/>
      <c r="M888" s="47"/>
      <c r="N888" s="47"/>
      <c r="O888" s="47"/>
    </row>
    <row r="889">
      <c r="H889" s="47"/>
      <c r="I889" s="47"/>
      <c r="J889" s="47"/>
      <c r="K889" s="47"/>
      <c r="L889" s="47"/>
      <c r="M889" s="47"/>
      <c r="N889" s="47"/>
      <c r="O889" s="47"/>
    </row>
    <row r="890">
      <c r="H890" s="47"/>
      <c r="I890" s="47"/>
      <c r="J890" s="47"/>
      <c r="K890" s="47"/>
      <c r="L890" s="47"/>
      <c r="M890" s="47"/>
      <c r="N890" s="47"/>
      <c r="O890" s="47"/>
    </row>
    <row r="891">
      <c r="H891" s="47"/>
      <c r="I891" s="47"/>
      <c r="J891" s="47"/>
      <c r="K891" s="47"/>
      <c r="L891" s="47"/>
      <c r="M891" s="47"/>
      <c r="N891" s="47"/>
      <c r="O891" s="47"/>
    </row>
    <row r="892">
      <c r="H892" s="47"/>
      <c r="I892" s="47"/>
      <c r="J892" s="47"/>
      <c r="K892" s="47"/>
      <c r="L892" s="47"/>
      <c r="M892" s="47"/>
      <c r="N892" s="47"/>
      <c r="O892" s="47"/>
    </row>
    <row r="893">
      <c r="H893" s="47"/>
      <c r="I893" s="47"/>
      <c r="J893" s="47"/>
      <c r="K893" s="47"/>
      <c r="L893" s="47"/>
      <c r="M893" s="47"/>
      <c r="N893" s="47"/>
      <c r="O893" s="47"/>
    </row>
    <row r="894">
      <c r="H894" s="47"/>
      <c r="I894" s="47"/>
      <c r="J894" s="47"/>
      <c r="K894" s="47"/>
      <c r="L894" s="47"/>
      <c r="M894" s="47"/>
      <c r="N894" s="47"/>
      <c r="O894" s="47"/>
    </row>
    <row r="895">
      <c r="H895" s="47"/>
      <c r="I895" s="47"/>
      <c r="J895" s="47"/>
      <c r="K895" s="47"/>
      <c r="L895" s="47"/>
      <c r="M895" s="47"/>
      <c r="N895" s="47"/>
      <c r="O895" s="47"/>
    </row>
    <row r="896">
      <c r="H896" s="47"/>
      <c r="I896" s="47"/>
      <c r="J896" s="47"/>
      <c r="K896" s="47"/>
      <c r="L896" s="47"/>
      <c r="M896" s="47"/>
      <c r="N896" s="47"/>
      <c r="O896" s="47"/>
    </row>
    <row r="897">
      <c r="H897" s="47"/>
      <c r="I897" s="47"/>
      <c r="J897" s="47"/>
      <c r="K897" s="47"/>
      <c r="L897" s="47"/>
      <c r="M897" s="47"/>
      <c r="N897" s="47"/>
      <c r="O897" s="47"/>
    </row>
    <row r="898">
      <c r="H898" s="47"/>
      <c r="I898" s="47"/>
      <c r="J898" s="47"/>
      <c r="K898" s="47"/>
      <c r="L898" s="47"/>
      <c r="M898" s="47"/>
      <c r="N898" s="47"/>
      <c r="O898" s="47"/>
    </row>
    <row r="899">
      <c r="H899" s="47"/>
      <c r="I899" s="47"/>
      <c r="J899" s="47"/>
      <c r="K899" s="47"/>
      <c r="L899" s="47"/>
      <c r="M899" s="47"/>
      <c r="N899" s="47"/>
      <c r="O899" s="47"/>
    </row>
    <row r="900">
      <c r="H900" s="47"/>
      <c r="I900" s="47"/>
      <c r="J900" s="47"/>
      <c r="K900" s="47"/>
      <c r="L900" s="47"/>
      <c r="M900" s="47"/>
      <c r="N900" s="47"/>
      <c r="O900" s="47"/>
    </row>
    <row r="901">
      <c r="H901" s="47"/>
      <c r="I901" s="47"/>
      <c r="J901" s="47"/>
      <c r="K901" s="47"/>
      <c r="L901" s="47"/>
      <c r="M901" s="47"/>
      <c r="N901" s="47"/>
      <c r="O901" s="47"/>
    </row>
    <row r="902">
      <c r="H902" s="47"/>
      <c r="I902" s="47"/>
      <c r="J902" s="47"/>
      <c r="K902" s="47"/>
      <c r="L902" s="47"/>
      <c r="M902" s="47"/>
      <c r="N902" s="47"/>
      <c r="O902" s="47"/>
    </row>
    <row r="903">
      <c r="H903" s="47"/>
      <c r="I903" s="47"/>
      <c r="J903" s="47"/>
      <c r="K903" s="47"/>
      <c r="L903" s="47"/>
      <c r="M903" s="47"/>
      <c r="N903" s="47"/>
      <c r="O903" s="47"/>
    </row>
    <row r="904">
      <c r="H904" s="47"/>
      <c r="I904" s="47"/>
      <c r="J904" s="47"/>
      <c r="K904" s="47"/>
      <c r="L904" s="47"/>
      <c r="M904" s="47"/>
      <c r="N904" s="47"/>
      <c r="O904" s="47"/>
    </row>
    <row r="905">
      <c r="H905" s="47"/>
      <c r="I905" s="47"/>
      <c r="J905" s="47"/>
      <c r="K905" s="47"/>
      <c r="L905" s="47"/>
      <c r="M905" s="47"/>
      <c r="N905" s="47"/>
      <c r="O905" s="47"/>
    </row>
    <row r="906">
      <c r="H906" s="47"/>
      <c r="I906" s="47"/>
      <c r="J906" s="47"/>
      <c r="K906" s="47"/>
      <c r="L906" s="47"/>
      <c r="M906" s="47"/>
      <c r="N906" s="47"/>
      <c r="O906" s="47"/>
    </row>
    <row r="907">
      <c r="H907" s="47"/>
      <c r="I907" s="47"/>
      <c r="J907" s="47"/>
      <c r="K907" s="47"/>
      <c r="L907" s="47"/>
      <c r="M907" s="47"/>
      <c r="N907" s="47"/>
      <c r="O907" s="47"/>
    </row>
    <row r="908">
      <c r="H908" s="47"/>
      <c r="I908" s="47"/>
      <c r="J908" s="47"/>
      <c r="K908" s="47"/>
      <c r="L908" s="47"/>
      <c r="M908" s="47"/>
      <c r="N908" s="47"/>
      <c r="O908" s="47"/>
    </row>
    <row r="909">
      <c r="H909" s="47"/>
      <c r="I909" s="47"/>
      <c r="J909" s="47"/>
      <c r="K909" s="47"/>
      <c r="L909" s="47"/>
      <c r="M909" s="47"/>
      <c r="N909" s="47"/>
      <c r="O909" s="47"/>
    </row>
    <row r="910">
      <c r="H910" s="47"/>
      <c r="I910" s="47"/>
      <c r="J910" s="47"/>
      <c r="K910" s="47"/>
      <c r="L910" s="47"/>
      <c r="M910" s="47"/>
      <c r="N910" s="47"/>
      <c r="O910" s="47"/>
    </row>
    <row r="911">
      <c r="H911" s="47"/>
      <c r="I911" s="47"/>
      <c r="J911" s="47"/>
      <c r="K911" s="47"/>
      <c r="L911" s="47"/>
      <c r="M911" s="47"/>
      <c r="N911" s="47"/>
      <c r="O911" s="47"/>
    </row>
    <row r="912">
      <c r="H912" s="47"/>
      <c r="I912" s="47"/>
      <c r="J912" s="47"/>
      <c r="K912" s="47"/>
      <c r="L912" s="47"/>
      <c r="M912" s="47"/>
      <c r="N912" s="47"/>
      <c r="O912" s="47"/>
    </row>
    <row r="913">
      <c r="H913" s="47"/>
      <c r="I913" s="47"/>
      <c r="J913" s="47"/>
      <c r="K913" s="47"/>
      <c r="L913" s="47"/>
      <c r="M913" s="47"/>
      <c r="N913" s="47"/>
      <c r="O913" s="47"/>
    </row>
    <row r="914">
      <c r="H914" s="47"/>
      <c r="I914" s="47"/>
      <c r="J914" s="47"/>
      <c r="K914" s="47"/>
      <c r="L914" s="47"/>
      <c r="M914" s="47"/>
      <c r="N914" s="47"/>
      <c r="O914" s="47"/>
    </row>
    <row r="915">
      <c r="H915" s="47"/>
      <c r="I915" s="47"/>
      <c r="J915" s="47"/>
      <c r="K915" s="47"/>
      <c r="L915" s="47"/>
      <c r="M915" s="47"/>
      <c r="N915" s="47"/>
      <c r="O915" s="47"/>
    </row>
    <row r="916">
      <c r="H916" s="47"/>
      <c r="I916" s="47"/>
      <c r="J916" s="47"/>
      <c r="K916" s="47"/>
      <c r="L916" s="47"/>
      <c r="M916" s="47"/>
      <c r="N916" s="47"/>
      <c r="O916" s="47"/>
    </row>
    <row r="917">
      <c r="H917" s="47"/>
      <c r="I917" s="47"/>
      <c r="J917" s="47"/>
      <c r="K917" s="47"/>
      <c r="L917" s="47"/>
      <c r="M917" s="47"/>
      <c r="N917" s="47"/>
      <c r="O917" s="47"/>
    </row>
    <row r="918">
      <c r="H918" s="47"/>
      <c r="I918" s="47"/>
      <c r="J918" s="47"/>
      <c r="K918" s="47"/>
      <c r="L918" s="47"/>
      <c r="M918" s="47"/>
      <c r="N918" s="47"/>
      <c r="O918" s="47"/>
    </row>
    <row r="919">
      <c r="H919" s="47"/>
      <c r="I919" s="47"/>
      <c r="J919" s="47"/>
      <c r="K919" s="47"/>
      <c r="L919" s="47"/>
      <c r="M919" s="47"/>
      <c r="N919" s="47"/>
      <c r="O919" s="47"/>
    </row>
    <row r="920">
      <c r="H920" s="47"/>
      <c r="I920" s="47"/>
      <c r="J920" s="47"/>
      <c r="K920" s="47"/>
      <c r="L920" s="47"/>
      <c r="M920" s="47"/>
      <c r="N920" s="47"/>
      <c r="O920" s="47"/>
    </row>
    <row r="921">
      <c r="H921" s="47"/>
      <c r="I921" s="47"/>
      <c r="J921" s="47"/>
      <c r="K921" s="47"/>
      <c r="L921" s="47"/>
      <c r="M921" s="47"/>
      <c r="N921" s="47"/>
      <c r="O921" s="47"/>
    </row>
    <row r="922">
      <c r="H922" s="47"/>
      <c r="I922" s="47"/>
      <c r="J922" s="47"/>
      <c r="K922" s="47"/>
      <c r="L922" s="47"/>
      <c r="M922" s="47"/>
      <c r="N922" s="47"/>
      <c r="O922" s="47"/>
    </row>
    <row r="923">
      <c r="H923" s="47"/>
      <c r="I923" s="47"/>
      <c r="J923" s="47"/>
      <c r="K923" s="47"/>
      <c r="L923" s="47"/>
      <c r="M923" s="47"/>
      <c r="N923" s="47"/>
      <c r="O923" s="47"/>
    </row>
    <row r="924">
      <c r="H924" s="47"/>
      <c r="I924" s="47"/>
      <c r="J924" s="47"/>
      <c r="K924" s="47"/>
      <c r="L924" s="47"/>
      <c r="M924" s="47"/>
      <c r="N924" s="47"/>
      <c r="O924" s="47"/>
    </row>
    <row r="925">
      <c r="H925" s="47"/>
      <c r="I925" s="47"/>
      <c r="J925" s="47"/>
      <c r="K925" s="47"/>
      <c r="L925" s="47"/>
      <c r="M925" s="47"/>
      <c r="N925" s="47"/>
      <c r="O925" s="47"/>
    </row>
    <row r="926">
      <c r="H926" s="47"/>
      <c r="I926" s="47"/>
      <c r="J926" s="47"/>
      <c r="K926" s="47"/>
      <c r="L926" s="47"/>
      <c r="M926" s="47"/>
      <c r="N926" s="47"/>
      <c r="O926" s="47"/>
    </row>
    <row r="927">
      <c r="H927" s="47"/>
      <c r="I927" s="47"/>
      <c r="J927" s="47"/>
      <c r="K927" s="47"/>
      <c r="L927" s="47"/>
      <c r="M927" s="47"/>
      <c r="N927" s="47"/>
      <c r="O927" s="47"/>
    </row>
    <row r="928">
      <c r="H928" s="47"/>
      <c r="I928" s="47"/>
      <c r="J928" s="47"/>
      <c r="K928" s="47"/>
      <c r="L928" s="47"/>
      <c r="M928" s="47"/>
      <c r="N928" s="47"/>
      <c r="O928" s="47"/>
    </row>
    <row r="929">
      <c r="H929" s="47"/>
      <c r="I929" s="47"/>
      <c r="J929" s="47"/>
      <c r="K929" s="47"/>
      <c r="L929" s="47"/>
      <c r="M929" s="47"/>
      <c r="N929" s="47"/>
      <c r="O929" s="47"/>
    </row>
    <row r="930">
      <c r="H930" s="47"/>
      <c r="I930" s="47"/>
      <c r="J930" s="47"/>
      <c r="K930" s="47"/>
      <c r="L930" s="47"/>
      <c r="M930" s="47"/>
      <c r="N930" s="47"/>
      <c r="O930" s="47"/>
    </row>
    <row r="931">
      <c r="H931" s="47"/>
      <c r="I931" s="47"/>
      <c r="J931" s="47"/>
      <c r="K931" s="47"/>
      <c r="L931" s="47"/>
      <c r="M931" s="47"/>
      <c r="N931" s="47"/>
      <c r="O931" s="47"/>
    </row>
    <row r="932">
      <c r="H932" s="47"/>
      <c r="I932" s="47"/>
      <c r="J932" s="47"/>
      <c r="K932" s="47"/>
      <c r="L932" s="47"/>
      <c r="M932" s="47"/>
      <c r="N932" s="47"/>
      <c r="O932" s="47"/>
    </row>
    <row r="933">
      <c r="H933" s="47"/>
      <c r="I933" s="47"/>
      <c r="J933" s="47"/>
      <c r="K933" s="47"/>
      <c r="L933" s="47"/>
      <c r="M933" s="47"/>
      <c r="N933" s="47"/>
      <c r="O933" s="47"/>
    </row>
    <row r="934">
      <c r="H934" s="47"/>
      <c r="I934" s="47"/>
      <c r="J934" s="47"/>
      <c r="K934" s="47"/>
      <c r="L934" s="47"/>
      <c r="M934" s="47"/>
      <c r="N934" s="47"/>
      <c r="O934" s="47"/>
    </row>
    <row r="935">
      <c r="H935" s="47"/>
      <c r="I935" s="47"/>
      <c r="J935" s="47"/>
      <c r="K935" s="47"/>
      <c r="L935" s="47"/>
      <c r="M935" s="47"/>
      <c r="N935" s="47"/>
      <c r="O935" s="47"/>
    </row>
    <row r="936">
      <c r="H936" s="47"/>
      <c r="I936" s="47"/>
      <c r="J936" s="47"/>
      <c r="K936" s="47"/>
      <c r="L936" s="47"/>
      <c r="M936" s="47"/>
      <c r="N936" s="47"/>
      <c r="O936" s="47"/>
    </row>
    <row r="937">
      <c r="H937" s="47"/>
      <c r="I937" s="47"/>
      <c r="J937" s="47"/>
      <c r="K937" s="47"/>
      <c r="L937" s="47"/>
      <c r="M937" s="47"/>
      <c r="N937" s="47"/>
      <c r="O937" s="47"/>
    </row>
    <row r="938">
      <c r="H938" s="47"/>
      <c r="I938" s="47"/>
      <c r="J938" s="47"/>
      <c r="K938" s="47"/>
      <c r="L938" s="47"/>
      <c r="M938" s="47"/>
      <c r="N938" s="47"/>
      <c r="O938" s="47"/>
    </row>
    <row r="939">
      <c r="H939" s="47"/>
      <c r="I939" s="47"/>
      <c r="J939" s="47"/>
      <c r="K939" s="47"/>
      <c r="L939" s="47"/>
      <c r="M939" s="47"/>
      <c r="N939" s="47"/>
      <c r="O939" s="47"/>
    </row>
    <row r="940">
      <c r="H940" s="47"/>
      <c r="I940" s="47"/>
      <c r="J940" s="47"/>
      <c r="K940" s="47"/>
      <c r="L940" s="47"/>
      <c r="M940" s="47"/>
      <c r="N940" s="47"/>
      <c r="O940" s="47"/>
    </row>
    <row r="941">
      <c r="H941" s="47"/>
      <c r="I941" s="47"/>
      <c r="J941" s="47"/>
      <c r="K941" s="47"/>
      <c r="L941" s="47"/>
      <c r="M941" s="47"/>
      <c r="N941" s="47"/>
      <c r="O941" s="47"/>
    </row>
    <row r="942">
      <c r="H942" s="47"/>
      <c r="I942" s="47"/>
      <c r="J942" s="47"/>
      <c r="K942" s="47"/>
      <c r="L942" s="47"/>
      <c r="M942" s="47"/>
      <c r="N942" s="47"/>
      <c r="O942" s="47"/>
    </row>
    <row r="943">
      <c r="H943" s="47"/>
      <c r="I943" s="47"/>
      <c r="J943" s="47"/>
      <c r="K943" s="47"/>
      <c r="L943" s="47"/>
      <c r="M943" s="47"/>
      <c r="N943" s="47"/>
      <c r="O943" s="47"/>
    </row>
    <row r="944">
      <c r="H944" s="47"/>
      <c r="I944" s="47"/>
      <c r="J944" s="47"/>
      <c r="K944" s="47"/>
      <c r="L944" s="47"/>
      <c r="M944" s="47"/>
      <c r="N944" s="47"/>
      <c r="O944" s="47"/>
    </row>
    <row r="945">
      <c r="H945" s="47"/>
      <c r="I945" s="47"/>
      <c r="J945" s="47"/>
      <c r="K945" s="47"/>
      <c r="L945" s="47"/>
      <c r="M945" s="47"/>
      <c r="N945" s="47"/>
      <c r="O945" s="47"/>
    </row>
    <row r="946">
      <c r="H946" s="47"/>
      <c r="I946" s="47"/>
      <c r="J946" s="47"/>
      <c r="K946" s="47"/>
      <c r="L946" s="47"/>
      <c r="M946" s="47"/>
      <c r="N946" s="47"/>
      <c r="O946" s="47"/>
    </row>
    <row r="947">
      <c r="H947" s="47"/>
      <c r="I947" s="47"/>
      <c r="J947" s="47"/>
      <c r="K947" s="47"/>
      <c r="L947" s="47"/>
      <c r="M947" s="47"/>
      <c r="N947" s="47"/>
      <c r="O947" s="47"/>
    </row>
    <row r="948">
      <c r="H948" s="47"/>
      <c r="I948" s="47"/>
      <c r="J948" s="47"/>
      <c r="K948" s="47"/>
      <c r="L948" s="47"/>
      <c r="M948" s="47"/>
      <c r="N948" s="47"/>
      <c r="O948" s="47"/>
    </row>
    <row r="949">
      <c r="H949" s="47"/>
      <c r="I949" s="47"/>
      <c r="J949" s="47"/>
      <c r="K949" s="47"/>
      <c r="L949" s="47"/>
      <c r="M949" s="47"/>
      <c r="N949" s="47"/>
      <c r="O949" s="47"/>
    </row>
    <row r="950">
      <c r="H950" s="47"/>
      <c r="I950" s="47"/>
      <c r="J950" s="47"/>
      <c r="K950" s="47"/>
      <c r="L950" s="47"/>
      <c r="M950" s="47"/>
      <c r="N950" s="47"/>
      <c r="O950" s="47"/>
    </row>
    <row r="951">
      <c r="H951" s="47"/>
      <c r="I951" s="47"/>
      <c r="J951" s="47"/>
      <c r="K951" s="47"/>
      <c r="L951" s="47"/>
      <c r="M951" s="47"/>
      <c r="N951" s="47"/>
      <c r="O951" s="47"/>
    </row>
    <row r="952">
      <c r="H952" s="47"/>
      <c r="I952" s="47"/>
      <c r="J952" s="47"/>
      <c r="K952" s="47"/>
      <c r="L952" s="47"/>
      <c r="M952" s="47"/>
      <c r="N952" s="47"/>
      <c r="O952" s="47"/>
    </row>
    <row r="953">
      <c r="H953" s="47"/>
      <c r="I953" s="47"/>
      <c r="J953" s="47"/>
      <c r="K953" s="47"/>
      <c r="L953" s="47"/>
      <c r="M953" s="47"/>
      <c r="N953" s="47"/>
      <c r="O953" s="47"/>
    </row>
    <row r="954">
      <c r="H954" s="47"/>
      <c r="I954" s="47"/>
      <c r="J954" s="47"/>
      <c r="K954" s="47"/>
      <c r="L954" s="47"/>
      <c r="M954" s="47"/>
      <c r="N954" s="47"/>
      <c r="O954" s="47"/>
    </row>
    <row r="955">
      <c r="H955" s="47"/>
      <c r="I955" s="47"/>
      <c r="J955" s="47"/>
      <c r="K955" s="47"/>
      <c r="L955" s="47"/>
      <c r="M955" s="47"/>
      <c r="N955" s="47"/>
      <c r="O955" s="47"/>
    </row>
    <row r="956">
      <c r="H956" s="47"/>
      <c r="I956" s="47"/>
      <c r="J956" s="47"/>
      <c r="K956" s="47"/>
      <c r="L956" s="47"/>
      <c r="M956" s="47"/>
      <c r="N956" s="47"/>
      <c r="O956" s="47"/>
    </row>
    <row r="957">
      <c r="H957" s="47"/>
      <c r="I957" s="47"/>
      <c r="J957" s="47"/>
      <c r="K957" s="47"/>
      <c r="L957" s="47"/>
      <c r="M957" s="47"/>
      <c r="N957" s="47"/>
      <c r="O957" s="47"/>
    </row>
    <row r="958">
      <c r="H958" s="47"/>
      <c r="I958" s="47"/>
      <c r="J958" s="47"/>
      <c r="K958" s="47"/>
      <c r="L958" s="47"/>
      <c r="M958" s="47"/>
      <c r="N958" s="47"/>
      <c r="O958" s="47"/>
    </row>
    <row r="959">
      <c r="H959" s="47"/>
      <c r="I959" s="47"/>
      <c r="J959" s="47"/>
      <c r="K959" s="47"/>
      <c r="L959" s="47"/>
      <c r="M959" s="47"/>
      <c r="N959" s="47"/>
      <c r="O959" s="47"/>
    </row>
    <row r="960">
      <c r="H960" s="47"/>
      <c r="I960" s="47"/>
      <c r="J960" s="47"/>
      <c r="K960" s="47"/>
      <c r="L960" s="47"/>
      <c r="M960" s="47"/>
      <c r="N960" s="47"/>
      <c r="O960" s="47"/>
    </row>
    <row r="961">
      <c r="H961" s="47"/>
      <c r="I961" s="47"/>
      <c r="J961" s="47"/>
      <c r="K961" s="47"/>
      <c r="L961" s="47"/>
      <c r="M961" s="47"/>
      <c r="N961" s="47"/>
      <c r="O961" s="47"/>
    </row>
    <row r="962">
      <c r="H962" s="47"/>
      <c r="I962" s="47"/>
      <c r="J962" s="47"/>
      <c r="K962" s="47"/>
      <c r="L962" s="47"/>
      <c r="M962" s="47"/>
      <c r="N962" s="47"/>
      <c r="O962" s="47"/>
    </row>
    <row r="963">
      <c r="H963" s="47"/>
      <c r="I963" s="47"/>
      <c r="J963" s="47"/>
      <c r="K963" s="47"/>
      <c r="L963" s="47"/>
      <c r="M963" s="47"/>
      <c r="N963" s="47"/>
      <c r="O963" s="47"/>
    </row>
    <row r="964">
      <c r="H964" s="47"/>
      <c r="I964" s="47"/>
      <c r="J964" s="47"/>
      <c r="K964" s="47"/>
      <c r="L964" s="47"/>
      <c r="M964" s="47"/>
      <c r="N964" s="47"/>
      <c r="O964" s="47"/>
    </row>
    <row r="965">
      <c r="H965" s="47"/>
      <c r="I965" s="47"/>
      <c r="J965" s="47"/>
      <c r="K965" s="47"/>
      <c r="L965" s="47"/>
      <c r="M965" s="47"/>
      <c r="N965" s="47"/>
      <c r="O965" s="47"/>
    </row>
    <row r="966">
      <c r="H966" s="47"/>
      <c r="I966" s="47"/>
      <c r="J966" s="47"/>
      <c r="K966" s="47"/>
      <c r="L966" s="47"/>
      <c r="M966" s="47"/>
      <c r="N966" s="47"/>
      <c r="O966" s="47"/>
    </row>
    <row r="967">
      <c r="H967" s="47"/>
      <c r="I967" s="47"/>
      <c r="J967" s="47"/>
      <c r="K967" s="47"/>
      <c r="L967" s="47"/>
      <c r="M967" s="47"/>
      <c r="N967" s="47"/>
      <c r="O967" s="47"/>
    </row>
    <row r="968">
      <c r="H968" s="47"/>
      <c r="I968" s="47"/>
      <c r="J968" s="47"/>
      <c r="K968" s="47"/>
      <c r="L968" s="47"/>
      <c r="M968" s="47"/>
      <c r="N968" s="47"/>
      <c r="O968" s="47"/>
    </row>
    <row r="969">
      <c r="H969" s="47"/>
      <c r="I969" s="47"/>
      <c r="J969" s="47"/>
      <c r="K969" s="47"/>
      <c r="L969" s="47"/>
      <c r="M969" s="47"/>
      <c r="N969" s="47"/>
      <c r="O969" s="47"/>
    </row>
    <row r="970">
      <c r="H970" s="47"/>
      <c r="I970" s="47"/>
      <c r="J970" s="47"/>
      <c r="K970" s="47"/>
      <c r="L970" s="47"/>
      <c r="M970" s="47"/>
      <c r="N970" s="47"/>
      <c r="O970" s="47"/>
    </row>
    <row r="971">
      <c r="H971" s="47"/>
      <c r="I971" s="47"/>
      <c r="J971" s="47"/>
      <c r="K971" s="47"/>
      <c r="L971" s="47"/>
      <c r="M971" s="47"/>
      <c r="N971" s="47"/>
      <c r="O971" s="47"/>
    </row>
    <row r="972">
      <c r="H972" s="47"/>
      <c r="I972" s="47"/>
      <c r="J972" s="47"/>
      <c r="K972" s="47"/>
      <c r="L972" s="47"/>
      <c r="M972" s="47"/>
      <c r="N972" s="47"/>
      <c r="O972" s="47"/>
    </row>
    <row r="973">
      <c r="H973" s="47"/>
      <c r="I973" s="47"/>
      <c r="J973" s="47"/>
      <c r="K973" s="47"/>
      <c r="L973" s="47"/>
      <c r="M973" s="47"/>
      <c r="N973" s="47"/>
      <c r="O973" s="47"/>
    </row>
    <row r="974">
      <c r="H974" s="47"/>
      <c r="I974" s="47"/>
      <c r="J974" s="47"/>
      <c r="K974" s="47"/>
      <c r="L974" s="47"/>
      <c r="M974" s="47"/>
      <c r="N974" s="47"/>
      <c r="O974" s="47"/>
    </row>
    <row r="975">
      <c r="H975" s="47"/>
      <c r="I975" s="47"/>
      <c r="J975" s="47"/>
      <c r="K975" s="47"/>
      <c r="L975" s="47"/>
      <c r="M975" s="47"/>
      <c r="N975" s="47"/>
      <c r="O975" s="47"/>
    </row>
    <row r="976">
      <c r="H976" s="47"/>
      <c r="I976" s="47"/>
      <c r="J976" s="47"/>
      <c r="K976" s="47"/>
      <c r="L976" s="47"/>
      <c r="M976" s="47"/>
      <c r="N976" s="47"/>
      <c r="O976" s="47"/>
    </row>
    <row r="977">
      <c r="H977" s="47"/>
      <c r="I977" s="47"/>
      <c r="J977" s="47"/>
      <c r="K977" s="47"/>
      <c r="L977" s="47"/>
      <c r="M977" s="47"/>
      <c r="N977" s="47"/>
      <c r="O977" s="47"/>
    </row>
    <row r="978">
      <c r="H978" s="47"/>
      <c r="I978" s="47"/>
      <c r="J978" s="47"/>
      <c r="K978" s="47"/>
      <c r="L978" s="47"/>
      <c r="M978" s="47"/>
      <c r="N978" s="47"/>
      <c r="O978" s="47"/>
    </row>
    <row r="979">
      <c r="H979" s="47"/>
      <c r="I979" s="47"/>
      <c r="J979" s="47"/>
      <c r="K979" s="47"/>
      <c r="L979" s="47"/>
      <c r="M979" s="47"/>
      <c r="N979" s="47"/>
      <c r="O979" s="47"/>
    </row>
    <row r="980">
      <c r="H980" s="47"/>
      <c r="I980" s="47"/>
      <c r="J980" s="47"/>
      <c r="K980" s="47"/>
      <c r="L980" s="47"/>
      <c r="M980" s="47"/>
      <c r="N980" s="47"/>
      <c r="O980" s="47"/>
    </row>
    <row r="981">
      <c r="H981" s="47"/>
      <c r="I981" s="47"/>
      <c r="J981" s="47"/>
      <c r="K981" s="47"/>
      <c r="L981" s="47"/>
      <c r="M981" s="47"/>
      <c r="N981" s="47"/>
      <c r="O981" s="47"/>
    </row>
    <row r="982">
      <c r="H982" s="47"/>
      <c r="I982" s="47"/>
      <c r="J982" s="47"/>
      <c r="K982" s="47"/>
      <c r="L982" s="47"/>
      <c r="M982" s="47"/>
      <c r="N982" s="47"/>
      <c r="O982" s="47"/>
    </row>
    <row r="983">
      <c r="H983" s="47"/>
      <c r="I983" s="47"/>
      <c r="J983" s="47"/>
      <c r="K983" s="47"/>
      <c r="L983" s="47"/>
      <c r="M983" s="47"/>
      <c r="N983" s="47"/>
      <c r="O983" s="47"/>
    </row>
    <row r="984">
      <c r="H984" s="47"/>
      <c r="I984" s="47"/>
      <c r="J984" s="47"/>
      <c r="K984" s="47"/>
      <c r="L984" s="47"/>
      <c r="M984" s="47"/>
      <c r="N984" s="47"/>
      <c r="O984" s="47"/>
    </row>
    <row r="985">
      <c r="H985" s="47"/>
      <c r="I985" s="47"/>
      <c r="J985" s="47"/>
      <c r="K985" s="47"/>
      <c r="L985" s="47"/>
      <c r="M985" s="47"/>
      <c r="N985" s="47"/>
      <c r="O985" s="47"/>
    </row>
    <row r="986">
      <c r="H986" s="47"/>
      <c r="I986" s="47"/>
      <c r="J986" s="47"/>
      <c r="K986" s="47"/>
      <c r="L986" s="47"/>
      <c r="M986" s="47"/>
      <c r="N986" s="47"/>
      <c r="O986" s="47"/>
    </row>
    <row r="987">
      <c r="H987" s="47"/>
      <c r="I987" s="47"/>
      <c r="J987" s="47"/>
      <c r="K987" s="47"/>
      <c r="L987" s="47"/>
      <c r="M987" s="47"/>
      <c r="N987" s="47"/>
      <c r="O987" s="47"/>
    </row>
    <row r="988">
      <c r="H988" s="47"/>
      <c r="I988" s="47"/>
      <c r="J988" s="47"/>
      <c r="K988" s="47"/>
      <c r="L988" s="47"/>
      <c r="M988" s="47"/>
      <c r="N988" s="47"/>
      <c r="O988" s="47"/>
    </row>
    <row r="989">
      <c r="H989" s="47"/>
      <c r="I989" s="47"/>
      <c r="J989" s="47"/>
      <c r="K989" s="47"/>
      <c r="L989" s="47"/>
      <c r="M989" s="47"/>
      <c r="N989" s="47"/>
      <c r="O989" s="47"/>
    </row>
    <row r="990">
      <c r="H990" s="47"/>
      <c r="I990" s="47"/>
      <c r="J990" s="47"/>
      <c r="K990" s="47"/>
      <c r="L990" s="47"/>
      <c r="M990" s="47"/>
      <c r="N990" s="47"/>
      <c r="O990" s="47"/>
    </row>
    <row r="991">
      <c r="H991" s="47"/>
      <c r="I991" s="47"/>
      <c r="J991" s="47"/>
      <c r="K991" s="47"/>
      <c r="L991" s="47"/>
      <c r="M991" s="47"/>
      <c r="N991" s="47"/>
      <c r="O991" s="47"/>
    </row>
    <row r="992">
      <c r="H992" s="47"/>
      <c r="I992" s="47"/>
      <c r="J992" s="47"/>
      <c r="K992" s="47"/>
      <c r="L992" s="47"/>
      <c r="M992" s="47"/>
      <c r="N992" s="47"/>
      <c r="O992" s="47"/>
    </row>
    <row r="993">
      <c r="H993" s="47"/>
      <c r="I993" s="47"/>
      <c r="J993" s="47"/>
      <c r="K993" s="47"/>
      <c r="L993" s="47"/>
      <c r="M993" s="47"/>
      <c r="N993" s="47"/>
      <c r="O993" s="47"/>
    </row>
    <row r="994">
      <c r="H994" s="47"/>
      <c r="I994" s="47"/>
      <c r="J994" s="47"/>
      <c r="K994" s="47"/>
      <c r="L994" s="47"/>
      <c r="M994" s="47"/>
      <c r="N994" s="47"/>
      <c r="O994" s="47"/>
    </row>
    <row r="995">
      <c r="H995" s="47"/>
      <c r="I995" s="47"/>
      <c r="J995" s="47"/>
      <c r="K995" s="47"/>
      <c r="L995" s="47"/>
      <c r="M995" s="47"/>
      <c r="N995" s="47"/>
      <c r="O995" s="47"/>
    </row>
    <row r="996">
      <c r="H996" s="47"/>
      <c r="I996" s="47"/>
      <c r="J996" s="47"/>
      <c r="K996" s="47"/>
      <c r="L996" s="47"/>
      <c r="M996" s="47"/>
      <c r="N996" s="47"/>
      <c r="O996" s="47"/>
    </row>
    <row r="997">
      <c r="H997" s="47"/>
      <c r="I997" s="47"/>
      <c r="J997" s="47"/>
      <c r="K997" s="47"/>
      <c r="L997" s="47"/>
      <c r="M997" s="47"/>
      <c r="N997" s="47"/>
      <c r="O997" s="47"/>
    </row>
    <row r="998">
      <c r="H998" s="47"/>
      <c r="I998" s="47"/>
      <c r="J998" s="47"/>
      <c r="K998" s="47"/>
      <c r="L998" s="47"/>
      <c r="M998" s="47"/>
      <c r="N998" s="47"/>
      <c r="O998" s="47"/>
    </row>
    <row r="999">
      <c r="H999" s="47"/>
      <c r="I999" s="47"/>
      <c r="J999" s="47"/>
      <c r="K999" s="47"/>
      <c r="L999" s="47"/>
      <c r="M999" s="47"/>
      <c r="N999" s="47"/>
      <c r="O999" s="47"/>
    </row>
    <row r="1000">
      <c r="H1000" s="47"/>
      <c r="I1000" s="47"/>
      <c r="J1000" s="47"/>
      <c r="K1000" s="47"/>
      <c r="L1000" s="47"/>
      <c r="M1000" s="47"/>
      <c r="N1000" s="47"/>
      <c r="O1000" s="47"/>
    </row>
  </sheetData>
  <drawing r:id="rId4"/>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sheetData>
    <row r="1">
      <c r="B1" s="27" t="s">
        <v>124</v>
      </c>
    </row>
    <row r="2">
      <c r="A2" s="103" t="s">
        <v>125</v>
      </c>
      <c r="B2" s="1" t="s">
        <v>126</v>
      </c>
      <c r="C2" s="1" t="s">
        <v>127</v>
      </c>
      <c r="D2" s="1" t="s">
        <v>3</v>
      </c>
      <c r="E2" s="1" t="s">
        <v>4</v>
      </c>
      <c r="F2" s="1" t="s">
        <v>128</v>
      </c>
      <c r="G2" s="1" t="s">
        <v>129</v>
      </c>
      <c r="H2" s="1"/>
      <c r="I2" s="104"/>
      <c r="J2" s="103" t="s">
        <v>130</v>
      </c>
      <c r="K2" s="103" t="s">
        <v>94</v>
      </c>
      <c r="L2" s="103" t="s">
        <v>98</v>
      </c>
      <c r="M2" s="103" t="s">
        <v>131</v>
      </c>
      <c r="N2" s="1" t="s">
        <v>132</v>
      </c>
    </row>
    <row r="3"/>
    <row r="4">
      <c r="A4" s="108" t="s">
        <v>136</v>
      </c>
      <c r="J4" s="108" t="str">
        <f t="shared" ref="J4:J469" si="1">LEFT(C4,4)</f>
        <v>2023</v>
      </c>
      <c r="K4" s="110">
        <f t="shared" ref="K4:K469" si="2">VALUE(RIGHT(LEFT(C4,7),2))</f>
        <v>7</v>
      </c>
      <c r="L4" s="108" t="str">
        <f t="shared" ref="L4:L469" si="3">J4 &amp; "-Q" &amp; CHOOSE(CEILING(K4/3, 1), "1", "2", "3", "4")</f>
        <v>2023-Q3</v>
      </c>
      <c r="M4" s="111" t="str">
        <f t="shared" ref="M4:M469" si="4">J4&amp;"-"&amp;TEXT(K4, "00")</f>
        <v>2023-07</v>
      </c>
      <c r="N4" s="112" t="str">
        <f t="shared" ref="N4:N469" si="5">J4 &amp; "-H" &amp; CHOOSE(CEILING(K4/6, 1), "1", "2")</f>
        <v>2023-H2</v>
      </c>
    </row>
    <row r="5">
      <c r="A5" s="108" t="s">
        <v>136</v>
      </c>
      <c r="J5" s="108" t="str">
        <f t="shared" si="1"/>
        <v>2023</v>
      </c>
      <c r="K5" s="110">
        <f t="shared" si="2"/>
        <v>7</v>
      </c>
      <c r="L5" s="108" t="str">
        <f t="shared" si="3"/>
        <v>2023-Q3</v>
      </c>
      <c r="M5" s="111" t="str">
        <f t="shared" si="4"/>
        <v>2023-07</v>
      </c>
      <c r="N5" s="112" t="str">
        <f t="shared" si="5"/>
        <v>2023-H2</v>
      </c>
    </row>
    <row r="6">
      <c r="A6" s="108" t="s">
        <v>136</v>
      </c>
      <c r="J6" s="108" t="str">
        <f t="shared" si="1"/>
        <v>2023</v>
      </c>
      <c r="K6" s="110">
        <f t="shared" si="2"/>
        <v>7</v>
      </c>
      <c r="L6" s="108" t="str">
        <f t="shared" si="3"/>
        <v>2023-Q3</v>
      </c>
      <c r="M6" s="111" t="str">
        <f t="shared" si="4"/>
        <v>2023-07</v>
      </c>
      <c r="N6" s="112" t="str">
        <f t="shared" si="5"/>
        <v>2023-H2</v>
      </c>
    </row>
    <row r="7">
      <c r="A7" s="108" t="s">
        <v>136</v>
      </c>
      <c r="J7" s="108" t="str">
        <f t="shared" si="1"/>
        <v>2023</v>
      </c>
      <c r="K7" s="110">
        <f t="shared" si="2"/>
        <v>7</v>
      </c>
      <c r="L7" s="108" t="str">
        <f t="shared" si="3"/>
        <v>2023-Q3</v>
      </c>
      <c r="M7" s="111" t="str">
        <f t="shared" si="4"/>
        <v>2023-07</v>
      </c>
      <c r="N7" s="112" t="str">
        <f t="shared" si="5"/>
        <v>2023-H2</v>
      </c>
    </row>
    <row r="8">
      <c r="A8" s="108" t="s">
        <v>136</v>
      </c>
      <c r="J8" s="108" t="str">
        <f t="shared" si="1"/>
        <v>2023</v>
      </c>
      <c r="K8" s="110">
        <f t="shared" si="2"/>
        <v>7</v>
      </c>
      <c r="L8" s="108" t="str">
        <f t="shared" si="3"/>
        <v>2023-Q3</v>
      </c>
      <c r="M8" s="111" t="str">
        <f t="shared" si="4"/>
        <v>2023-07</v>
      </c>
      <c r="N8" s="112" t="str">
        <f t="shared" si="5"/>
        <v>2023-H2</v>
      </c>
    </row>
    <row r="9">
      <c r="A9" s="108" t="s">
        <v>136</v>
      </c>
      <c r="J9" s="108" t="str">
        <f t="shared" si="1"/>
        <v>2023</v>
      </c>
      <c r="K9" s="110">
        <f t="shared" si="2"/>
        <v>7</v>
      </c>
      <c r="L9" s="108" t="str">
        <f t="shared" si="3"/>
        <v>2023-Q3</v>
      </c>
      <c r="M9" s="111" t="str">
        <f t="shared" si="4"/>
        <v>2023-07</v>
      </c>
      <c r="N9" s="112" t="str">
        <f t="shared" si="5"/>
        <v>2023-H2</v>
      </c>
    </row>
    <row r="10">
      <c r="A10" s="108" t="s">
        <v>136</v>
      </c>
      <c r="J10" s="108" t="str">
        <f t="shared" si="1"/>
        <v>2023</v>
      </c>
      <c r="K10" s="110">
        <f t="shared" si="2"/>
        <v>7</v>
      </c>
      <c r="L10" s="108" t="str">
        <f t="shared" si="3"/>
        <v>2023-Q3</v>
      </c>
      <c r="M10" s="111" t="str">
        <f t="shared" si="4"/>
        <v>2023-07</v>
      </c>
      <c r="N10" s="112" t="str">
        <f t="shared" si="5"/>
        <v>2023-H2</v>
      </c>
    </row>
    <row r="11">
      <c r="A11" s="108" t="s">
        <v>136</v>
      </c>
      <c r="J11" s="108" t="str">
        <f t="shared" si="1"/>
        <v>2023</v>
      </c>
      <c r="K11" s="110">
        <f t="shared" si="2"/>
        <v>7</v>
      </c>
      <c r="L11" s="108" t="str">
        <f t="shared" si="3"/>
        <v>2023-Q3</v>
      </c>
      <c r="M11" s="111" t="str">
        <f t="shared" si="4"/>
        <v>2023-07</v>
      </c>
      <c r="N11" s="112" t="str">
        <f t="shared" si="5"/>
        <v>2023-H2</v>
      </c>
    </row>
    <row r="12">
      <c r="A12" s="108" t="s">
        <v>136</v>
      </c>
      <c r="J12" s="108" t="str">
        <f t="shared" si="1"/>
        <v>2023</v>
      </c>
      <c r="K12" s="110">
        <f t="shared" si="2"/>
        <v>7</v>
      </c>
      <c r="L12" s="108" t="str">
        <f t="shared" si="3"/>
        <v>2023-Q3</v>
      </c>
      <c r="M12" s="111" t="str">
        <f t="shared" si="4"/>
        <v>2023-07</v>
      </c>
      <c r="N12" s="112" t="str">
        <f t="shared" si="5"/>
        <v>2023-H2</v>
      </c>
    </row>
    <row r="13">
      <c r="A13" s="108" t="s">
        <v>136</v>
      </c>
      <c r="J13" s="108" t="str">
        <f t="shared" si="1"/>
        <v>2023</v>
      </c>
      <c r="K13" s="110">
        <f t="shared" si="2"/>
        <v>7</v>
      </c>
      <c r="L13" s="108" t="str">
        <f t="shared" si="3"/>
        <v>2023-Q3</v>
      </c>
      <c r="M13" s="111" t="str">
        <f t="shared" si="4"/>
        <v>2023-07</v>
      </c>
      <c r="N13" s="112" t="str">
        <f t="shared" si="5"/>
        <v>2023-H2</v>
      </c>
    </row>
    <row r="14">
      <c r="A14" s="108" t="s">
        <v>136</v>
      </c>
      <c r="J14" s="108" t="str">
        <f t="shared" si="1"/>
        <v>2023</v>
      </c>
      <c r="K14" s="110">
        <f t="shared" si="2"/>
        <v>7</v>
      </c>
      <c r="L14" s="108" t="str">
        <f t="shared" si="3"/>
        <v>2023-Q3</v>
      </c>
      <c r="M14" s="111" t="str">
        <f t="shared" si="4"/>
        <v>2023-07</v>
      </c>
      <c r="N14" s="112" t="str">
        <f t="shared" si="5"/>
        <v>2023-H2</v>
      </c>
    </row>
    <row r="15">
      <c r="A15" s="108" t="s">
        <v>136</v>
      </c>
      <c r="J15" s="108" t="str">
        <f t="shared" si="1"/>
        <v>2023</v>
      </c>
      <c r="K15" s="110">
        <f t="shared" si="2"/>
        <v>7</v>
      </c>
      <c r="L15" s="108" t="str">
        <f t="shared" si="3"/>
        <v>2023-Q3</v>
      </c>
      <c r="M15" s="111" t="str">
        <f t="shared" si="4"/>
        <v>2023-07</v>
      </c>
      <c r="N15" s="112" t="str">
        <f t="shared" si="5"/>
        <v>2023-H2</v>
      </c>
    </row>
    <row r="16">
      <c r="A16" s="108" t="s">
        <v>136</v>
      </c>
      <c r="J16" s="108" t="str">
        <f t="shared" si="1"/>
        <v>2023</v>
      </c>
      <c r="K16" s="110">
        <f t="shared" si="2"/>
        <v>6</v>
      </c>
      <c r="L16" s="108" t="str">
        <f t="shared" si="3"/>
        <v>2023-Q2</v>
      </c>
      <c r="M16" s="111" t="str">
        <f t="shared" si="4"/>
        <v>2023-06</v>
      </c>
      <c r="N16" s="112" t="str">
        <f t="shared" si="5"/>
        <v>2023-H1</v>
      </c>
    </row>
    <row r="17">
      <c r="A17" s="108" t="s">
        <v>136</v>
      </c>
      <c r="J17" s="108" t="str">
        <f t="shared" si="1"/>
        <v>2023</v>
      </c>
      <c r="K17" s="110">
        <f t="shared" si="2"/>
        <v>6</v>
      </c>
      <c r="L17" s="108" t="str">
        <f t="shared" si="3"/>
        <v>2023-Q2</v>
      </c>
      <c r="M17" s="111" t="str">
        <f t="shared" si="4"/>
        <v>2023-06</v>
      </c>
      <c r="N17" s="112" t="str">
        <f t="shared" si="5"/>
        <v>2023-H1</v>
      </c>
    </row>
    <row r="18">
      <c r="A18" s="108" t="s">
        <v>136</v>
      </c>
      <c r="J18" s="108" t="str">
        <f t="shared" si="1"/>
        <v>2023</v>
      </c>
      <c r="K18" s="110">
        <f t="shared" si="2"/>
        <v>6</v>
      </c>
      <c r="L18" s="108" t="str">
        <f t="shared" si="3"/>
        <v>2023-Q2</v>
      </c>
      <c r="M18" s="111" t="str">
        <f t="shared" si="4"/>
        <v>2023-06</v>
      </c>
      <c r="N18" s="112" t="str">
        <f t="shared" si="5"/>
        <v>2023-H1</v>
      </c>
    </row>
    <row r="19">
      <c r="A19" s="108" t="s">
        <v>136</v>
      </c>
      <c r="J19" s="108" t="str">
        <f t="shared" si="1"/>
        <v>2023</v>
      </c>
      <c r="K19" s="110">
        <f t="shared" si="2"/>
        <v>6</v>
      </c>
      <c r="L19" s="108" t="str">
        <f t="shared" si="3"/>
        <v>2023-Q2</v>
      </c>
      <c r="M19" s="111" t="str">
        <f t="shared" si="4"/>
        <v>2023-06</v>
      </c>
      <c r="N19" s="112" t="str">
        <f t="shared" si="5"/>
        <v>2023-H1</v>
      </c>
    </row>
    <row r="20">
      <c r="A20" s="108" t="s">
        <v>136</v>
      </c>
      <c r="J20" s="108" t="str">
        <f t="shared" si="1"/>
        <v>2023</v>
      </c>
      <c r="K20" s="110">
        <f t="shared" si="2"/>
        <v>6</v>
      </c>
      <c r="L20" s="108" t="str">
        <f t="shared" si="3"/>
        <v>2023-Q2</v>
      </c>
      <c r="M20" s="111" t="str">
        <f t="shared" si="4"/>
        <v>2023-06</v>
      </c>
      <c r="N20" s="112" t="str">
        <f t="shared" si="5"/>
        <v>2023-H1</v>
      </c>
    </row>
    <row r="21">
      <c r="A21" s="108" t="s">
        <v>136</v>
      </c>
      <c r="J21" s="108" t="str">
        <f t="shared" si="1"/>
        <v>2023</v>
      </c>
      <c r="K21" s="110">
        <f t="shared" si="2"/>
        <v>7</v>
      </c>
      <c r="L21" s="108" t="str">
        <f t="shared" si="3"/>
        <v>2023-Q3</v>
      </c>
      <c r="M21" s="111" t="str">
        <f t="shared" si="4"/>
        <v>2023-07</v>
      </c>
      <c r="N21" s="112" t="str">
        <f t="shared" si="5"/>
        <v>2023-H2</v>
      </c>
    </row>
    <row r="22">
      <c r="A22" s="108" t="s">
        <v>136</v>
      </c>
      <c r="J22" s="108" t="str">
        <f t="shared" si="1"/>
        <v>2023</v>
      </c>
      <c r="K22" s="110">
        <f t="shared" si="2"/>
        <v>7</v>
      </c>
      <c r="L22" s="108" t="str">
        <f t="shared" si="3"/>
        <v>2023-Q3</v>
      </c>
      <c r="M22" s="111" t="str">
        <f t="shared" si="4"/>
        <v>2023-07</v>
      </c>
      <c r="N22" s="112" t="str">
        <f t="shared" si="5"/>
        <v>2023-H2</v>
      </c>
    </row>
    <row r="23">
      <c r="A23" s="108" t="s">
        <v>136</v>
      </c>
      <c r="J23" s="108" t="str">
        <f t="shared" si="1"/>
        <v>2023</v>
      </c>
      <c r="K23" s="110">
        <f t="shared" si="2"/>
        <v>7</v>
      </c>
      <c r="L23" s="108" t="str">
        <f t="shared" si="3"/>
        <v>2023-Q3</v>
      </c>
      <c r="M23" s="111" t="str">
        <f t="shared" si="4"/>
        <v>2023-07</v>
      </c>
      <c r="N23" s="112" t="str">
        <f t="shared" si="5"/>
        <v>2023-H2</v>
      </c>
    </row>
    <row r="24">
      <c r="A24" s="108" t="s">
        <v>136</v>
      </c>
      <c r="J24" s="108" t="str">
        <f t="shared" si="1"/>
        <v>2023</v>
      </c>
      <c r="K24" s="110">
        <f t="shared" si="2"/>
        <v>6</v>
      </c>
      <c r="L24" s="108" t="str">
        <f t="shared" si="3"/>
        <v>2023-Q2</v>
      </c>
      <c r="M24" s="111" t="str">
        <f t="shared" si="4"/>
        <v>2023-06</v>
      </c>
      <c r="N24" s="112" t="str">
        <f t="shared" si="5"/>
        <v>2023-H1</v>
      </c>
    </row>
    <row r="25">
      <c r="A25" s="108" t="s">
        <v>136</v>
      </c>
      <c r="J25" s="108" t="str">
        <f t="shared" si="1"/>
        <v>2023</v>
      </c>
      <c r="K25" s="110">
        <f t="shared" si="2"/>
        <v>7</v>
      </c>
      <c r="L25" s="108" t="str">
        <f t="shared" si="3"/>
        <v>2023-Q3</v>
      </c>
      <c r="M25" s="111" t="str">
        <f t="shared" si="4"/>
        <v>2023-07</v>
      </c>
      <c r="N25" s="112" t="str">
        <f t="shared" si="5"/>
        <v>2023-H2</v>
      </c>
    </row>
    <row r="26">
      <c r="A26" s="108" t="s">
        <v>136</v>
      </c>
      <c r="J26" s="108" t="str">
        <f t="shared" si="1"/>
        <v>2023</v>
      </c>
      <c r="K26" s="110">
        <f t="shared" si="2"/>
        <v>7</v>
      </c>
      <c r="L26" s="108" t="str">
        <f t="shared" si="3"/>
        <v>2023-Q3</v>
      </c>
      <c r="M26" s="111" t="str">
        <f t="shared" si="4"/>
        <v>2023-07</v>
      </c>
      <c r="N26" s="112" t="str">
        <f t="shared" si="5"/>
        <v>2023-H2</v>
      </c>
    </row>
    <row r="27">
      <c r="A27" s="108" t="s">
        <v>136</v>
      </c>
      <c r="J27" s="108" t="str">
        <f t="shared" si="1"/>
        <v>2023</v>
      </c>
      <c r="K27" s="110">
        <f t="shared" si="2"/>
        <v>7</v>
      </c>
      <c r="L27" s="108" t="str">
        <f t="shared" si="3"/>
        <v>2023-Q3</v>
      </c>
      <c r="M27" s="111" t="str">
        <f t="shared" si="4"/>
        <v>2023-07</v>
      </c>
      <c r="N27" s="112" t="str">
        <f t="shared" si="5"/>
        <v>2023-H2</v>
      </c>
    </row>
    <row r="28">
      <c r="A28" s="108" t="s">
        <v>136</v>
      </c>
      <c r="J28" s="108" t="str">
        <f t="shared" si="1"/>
        <v>2023</v>
      </c>
      <c r="K28" s="110">
        <f t="shared" si="2"/>
        <v>7</v>
      </c>
      <c r="L28" s="108" t="str">
        <f t="shared" si="3"/>
        <v>2023-Q3</v>
      </c>
      <c r="M28" s="111" t="str">
        <f t="shared" si="4"/>
        <v>2023-07</v>
      </c>
      <c r="N28" s="112" t="str">
        <f t="shared" si="5"/>
        <v>2023-H2</v>
      </c>
    </row>
    <row r="29">
      <c r="A29" s="108" t="s">
        <v>136</v>
      </c>
      <c r="J29" s="108" t="str">
        <f t="shared" si="1"/>
        <v>2023</v>
      </c>
      <c r="K29" s="110">
        <f t="shared" si="2"/>
        <v>7</v>
      </c>
      <c r="L29" s="108" t="str">
        <f t="shared" si="3"/>
        <v>2023-Q3</v>
      </c>
      <c r="M29" s="111" t="str">
        <f t="shared" si="4"/>
        <v>2023-07</v>
      </c>
      <c r="N29" s="112" t="str">
        <f t="shared" si="5"/>
        <v>2023-H2</v>
      </c>
    </row>
    <row r="30">
      <c r="A30" s="108" t="s">
        <v>136</v>
      </c>
      <c r="J30" s="108" t="str">
        <f t="shared" si="1"/>
        <v>2023</v>
      </c>
      <c r="K30" s="110">
        <f t="shared" si="2"/>
        <v>7</v>
      </c>
      <c r="L30" s="108" t="str">
        <f t="shared" si="3"/>
        <v>2023-Q3</v>
      </c>
      <c r="M30" s="111" t="str">
        <f t="shared" si="4"/>
        <v>2023-07</v>
      </c>
      <c r="N30" s="112" t="str">
        <f t="shared" si="5"/>
        <v>2023-H2</v>
      </c>
    </row>
    <row r="31">
      <c r="A31" s="108" t="s">
        <v>136</v>
      </c>
      <c r="J31" s="108" t="str">
        <f t="shared" si="1"/>
        <v>2023</v>
      </c>
      <c r="K31" s="110">
        <f t="shared" si="2"/>
        <v>7</v>
      </c>
      <c r="L31" s="108" t="str">
        <f t="shared" si="3"/>
        <v>2023-Q3</v>
      </c>
      <c r="M31" s="111" t="str">
        <f t="shared" si="4"/>
        <v>2023-07</v>
      </c>
      <c r="N31" s="112" t="str">
        <f t="shared" si="5"/>
        <v>2023-H2</v>
      </c>
    </row>
    <row r="32">
      <c r="A32" s="108" t="s">
        <v>136</v>
      </c>
      <c r="J32" s="108" t="str">
        <f t="shared" si="1"/>
        <v>2023</v>
      </c>
      <c r="K32" s="110">
        <f t="shared" si="2"/>
        <v>8</v>
      </c>
      <c r="L32" s="108" t="str">
        <f t="shared" si="3"/>
        <v>2023-Q3</v>
      </c>
      <c r="M32" s="111" t="str">
        <f t="shared" si="4"/>
        <v>2023-08</v>
      </c>
      <c r="N32" s="112" t="str">
        <f t="shared" si="5"/>
        <v>2023-H2</v>
      </c>
    </row>
    <row r="33">
      <c r="A33" s="108" t="s">
        <v>136</v>
      </c>
      <c r="J33" s="108" t="str">
        <f t="shared" si="1"/>
        <v>2023</v>
      </c>
      <c r="K33" s="110">
        <f t="shared" si="2"/>
        <v>8</v>
      </c>
      <c r="L33" s="108" t="str">
        <f t="shared" si="3"/>
        <v>2023-Q3</v>
      </c>
      <c r="M33" s="111" t="str">
        <f t="shared" si="4"/>
        <v>2023-08</v>
      </c>
      <c r="N33" s="112" t="str">
        <f t="shared" si="5"/>
        <v>2023-H2</v>
      </c>
    </row>
    <row r="34">
      <c r="A34" s="108" t="s">
        <v>136</v>
      </c>
      <c r="J34" s="108" t="str">
        <f t="shared" si="1"/>
        <v>2023</v>
      </c>
      <c r="K34" s="110">
        <f t="shared" si="2"/>
        <v>7</v>
      </c>
      <c r="L34" s="108" t="str">
        <f t="shared" si="3"/>
        <v>2023-Q3</v>
      </c>
      <c r="M34" s="111" t="str">
        <f t="shared" si="4"/>
        <v>2023-07</v>
      </c>
      <c r="N34" s="112" t="str">
        <f t="shared" si="5"/>
        <v>2023-H2</v>
      </c>
    </row>
    <row r="35">
      <c r="A35" s="108" t="s">
        <v>136</v>
      </c>
      <c r="J35" s="108" t="str">
        <f t="shared" si="1"/>
        <v>2023</v>
      </c>
      <c r="K35" s="110">
        <f t="shared" si="2"/>
        <v>8</v>
      </c>
      <c r="L35" s="108" t="str">
        <f t="shared" si="3"/>
        <v>2023-Q3</v>
      </c>
      <c r="M35" s="111" t="str">
        <f t="shared" si="4"/>
        <v>2023-08</v>
      </c>
      <c r="N35" s="112" t="str">
        <f t="shared" si="5"/>
        <v>2023-H2</v>
      </c>
    </row>
    <row r="36">
      <c r="A36" s="108" t="s">
        <v>136</v>
      </c>
      <c r="J36" s="108" t="str">
        <f t="shared" si="1"/>
        <v>2023</v>
      </c>
      <c r="K36" s="110">
        <f t="shared" si="2"/>
        <v>8</v>
      </c>
      <c r="L36" s="108" t="str">
        <f t="shared" si="3"/>
        <v>2023-Q3</v>
      </c>
      <c r="M36" s="111" t="str">
        <f t="shared" si="4"/>
        <v>2023-08</v>
      </c>
      <c r="N36" s="112" t="str">
        <f t="shared" si="5"/>
        <v>2023-H2</v>
      </c>
    </row>
    <row r="37">
      <c r="A37" s="108" t="s">
        <v>136</v>
      </c>
      <c r="J37" s="108" t="str">
        <f t="shared" si="1"/>
        <v>2023</v>
      </c>
      <c r="K37" s="110">
        <f t="shared" si="2"/>
        <v>7</v>
      </c>
      <c r="L37" s="108" t="str">
        <f t="shared" si="3"/>
        <v>2023-Q3</v>
      </c>
      <c r="M37" s="111" t="str">
        <f t="shared" si="4"/>
        <v>2023-07</v>
      </c>
      <c r="N37" s="112" t="str">
        <f t="shared" si="5"/>
        <v>2023-H2</v>
      </c>
    </row>
    <row r="38">
      <c r="A38" s="108" t="s">
        <v>136</v>
      </c>
      <c r="J38" s="108" t="str">
        <f t="shared" si="1"/>
        <v>2023</v>
      </c>
      <c r="K38" s="110">
        <f t="shared" si="2"/>
        <v>8</v>
      </c>
      <c r="L38" s="108" t="str">
        <f t="shared" si="3"/>
        <v>2023-Q3</v>
      </c>
      <c r="M38" s="111" t="str">
        <f t="shared" si="4"/>
        <v>2023-08</v>
      </c>
      <c r="N38" s="112" t="str">
        <f t="shared" si="5"/>
        <v>2023-H2</v>
      </c>
    </row>
    <row r="39">
      <c r="A39" s="108" t="s">
        <v>136</v>
      </c>
      <c r="J39" s="108" t="str">
        <f t="shared" si="1"/>
        <v>2023</v>
      </c>
      <c r="K39" s="110">
        <f t="shared" si="2"/>
        <v>7</v>
      </c>
      <c r="L39" s="108" t="str">
        <f t="shared" si="3"/>
        <v>2023-Q3</v>
      </c>
      <c r="M39" s="111" t="str">
        <f t="shared" si="4"/>
        <v>2023-07</v>
      </c>
      <c r="N39" s="112" t="str">
        <f t="shared" si="5"/>
        <v>2023-H2</v>
      </c>
    </row>
    <row r="40">
      <c r="A40" s="108" t="s">
        <v>136</v>
      </c>
      <c r="J40" s="108" t="str">
        <f t="shared" si="1"/>
        <v>2023</v>
      </c>
      <c r="K40" s="110">
        <f t="shared" si="2"/>
        <v>8</v>
      </c>
      <c r="L40" s="108" t="str">
        <f t="shared" si="3"/>
        <v>2023-Q3</v>
      </c>
      <c r="M40" s="111" t="str">
        <f t="shared" si="4"/>
        <v>2023-08</v>
      </c>
      <c r="N40" s="112" t="str">
        <f t="shared" si="5"/>
        <v>2023-H2</v>
      </c>
    </row>
    <row r="41">
      <c r="A41" s="108" t="s">
        <v>136</v>
      </c>
      <c r="J41" s="108" t="str">
        <f t="shared" si="1"/>
        <v>2023</v>
      </c>
      <c r="K41" s="110">
        <f t="shared" si="2"/>
        <v>8</v>
      </c>
      <c r="L41" s="108" t="str">
        <f t="shared" si="3"/>
        <v>2023-Q3</v>
      </c>
      <c r="M41" s="111" t="str">
        <f t="shared" si="4"/>
        <v>2023-08</v>
      </c>
      <c r="N41" s="112" t="str">
        <f t="shared" si="5"/>
        <v>2023-H2</v>
      </c>
    </row>
    <row r="42">
      <c r="A42" s="108" t="s">
        <v>136</v>
      </c>
      <c r="J42" s="108" t="str">
        <f t="shared" si="1"/>
        <v>2023</v>
      </c>
      <c r="K42" s="110">
        <f t="shared" si="2"/>
        <v>8</v>
      </c>
      <c r="L42" s="108" t="str">
        <f t="shared" si="3"/>
        <v>2023-Q3</v>
      </c>
      <c r="M42" s="111" t="str">
        <f t="shared" si="4"/>
        <v>2023-08</v>
      </c>
      <c r="N42" s="112" t="str">
        <f t="shared" si="5"/>
        <v>2023-H2</v>
      </c>
    </row>
    <row r="43">
      <c r="A43" s="108" t="s">
        <v>136</v>
      </c>
      <c r="J43" s="108" t="str">
        <f t="shared" si="1"/>
        <v>2023</v>
      </c>
      <c r="K43" s="110">
        <f t="shared" si="2"/>
        <v>8</v>
      </c>
      <c r="L43" s="108" t="str">
        <f t="shared" si="3"/>
        <v>2023-Q3</v>
      </c>
      <c r="M43" s="111" t="str">
        <f t="shared" si="4"/>
        <v>2023-08</v>
      </c>
      <c r="N43" s="112" t="str">
        <f t="shared" si="5"/>
        <v>2023-H2</v>
      </c>
    </row>
    <row r="44">
      <c r="A44" s="108" t="s">
        <v>136</v>
      </c>
      <c r="J44" s="108" t="str">
        <f t="shared" si="1"/>
        <v>2023</v>
      </c>
      <c r="K44" s="110">
        <f t="shared" si="2"/>
        <v>8</v>
      </c>
      <c r="L44" s="108" t="str">
        <f t="shared" si="3"/>
        <v>2023-Q3</v>
      </c>
      <c r="M44" s="111" t="str">
        <f t="shared" si="4"/>
        <v>2023-08</v>
      </c>
      <c r="N44" s="112" t="str">
        <f t="shared" si="5"/>
        <v>2023-H2</v>
      </c>
    </row>
    <row r="45">
      <c r="A45" s="108" t="s">
        <v>136</v>
      </c>
      <c r="J45" s="108" t="str">
        <f t="shared" si="1"/>
        <v>2023</v>
      </c>
      <c r="K45" s="110">
        <f t="shared" si="2"/>
        <v>8</v>
      </c>
      <c r="L45" s="108" t="str">
        <f t="shared" si="3"/>
        <v>2023-Q3</v>
      </c>
      <c r="M45" s="111" t="str">
        <f t="shared" si="4"/>
        <v>2023-08</v>
      </c>
      <c r="N45" s="112" t="str">
        <f t="shared" si="5"/>
        <v>2023-H2</v>
      </c>
    </row>
    <row r="46">
      <c r="A46" s="108" t="s">
        <v>136</v>
      </c>
      <c r="J46" s="108" t="str">
        <f t="shared" si="1"/>
        <v>2023</v>
      </c>
      <c r="K46" s="110">
        <f t="shared" si="2"/>
        <v>8</v>
      </c>
      <c r="L46" s="108" t="str">
        <f t="shared" si="3"/>
        <v>2023-Q3</v>
      </c>
      <c r="M46" s="111" t="str">
        <f t="shared" si="4"/>
        <v>2023-08</v>
      </c>
      <c r="N46" s="112" t="str">
        <f t="shared" si="5"/>
        <v>2023-H2</v>
      </c>
    </row>
    <row r="47">
      <c r="A47" s="108" t="s">
        <v>136</v>
      </c>
      <c r="J47" s="108" t="str">
        <f t="shared" si="1"/>
        <v>2023</v>
      </c>
      <c r="K47" s="110">
        <f t="shared" si="2"/>
        <v>8</v>
      </c>
      <c r="L47" s="108" t="str">
        <f t="shared" si="3"/>
        <v>2023-Q3</v>
      </c>
      <c r="M47" s="111" t="str">
        <f t="shared" si="4"/>
        <v>2023-08</v>
      </c>
      <c r="N47" s="112" t="str">
        <f t="shared" si="5"/>
        <v>2023-H2</v>
      </c>
    </row>
    <row r="48">
      <c r="A48" s="108" t="s">
        <v>136</v>
      </c>
      <c r="J48" s="108" t="str">
        <f t="shared" si="1"/>
        <v>2023</v>
      </c>
      <c r="K48" s="110">
        <f t="shared" si="2"/>
        <v>9</v>
      </c>
      <c r="L48" s="108" t="str">
        <f t="shared" si="3"/>
        <v>2023-Q3</v>
      </c>
      <c r="M48" s="111" t="str">
        <f t="shared" si="4"/>
        <v>2023-09</v>
      </c>
      <c r="N48" s="112" t="str">
        <f t="shared" si="5"/>
        <v>2023-H2</v>
      </c>
    </row>
    <row r="49">
      <c r="A49" s="108" t="s">
        <v>136</v>
      </c>
      <c r="J49" s="108" t="str">
        <f t="shared" si="1"/>
        <v>2023</v>
      </c>
      <c r="K49" s="110">
        <f t="shared" si="2"/>
        <v>8</v>
      </c>
      <c r="L49" s="108" t="str">
        <f t="shared" si="3"/>
        <v>2023-Q3</v>
      </c>
      <c r="M49" s="111" t="str">
        <f t="shared" si="4"/>
        <v>2023-08</v>
      </c>
      <c r="N49" s="112" t="str">
        <f t="shared" si="5"/>
        <v>2023-H2</v>
      </c>
    </row>
    <row r="50">
      <c r="A50" s="108" t="s">
        <v>136</v>
      </c>
      <c r="J50" s="108" t="str">
        <f t="shared" si="1"/>
        <v>2023</v>
      </c>
      <c r="K50" s="110">
        <f t="shared" si="2"/>
        <v>8</v>
      </c>
      <c r="L50" s="108" t="str">
        <f t="shared" si="3"/>
        <v>2023-Q3</v>
      </c>
      <c r="M50" s="111" t="str">
        <f t="shared" si="4"/>
        <v>2023-08</v>
      </c>
      <c r="N50" s="112" t="str">
        <f t="shared" si="5"/>
        <v>2023-H2</v>
      </c>
    </row>
    <row r="51">
      <c r="A51" s="108" t="s">
        <v>136</v>
      </c>
      <c r="J51" s="108" t="str">
        <f t="shared" si="1"/>
        <v>2023</v>
      </c>
      <c r="K51" s="110">
        <f t="shared" si="2"/>
        <v>8</v>
      </c>
      <c r="L51" s="108" t="str">
        <f t="shared" si="3"/>
        <v>2023-Q3</v>
      </c>
      <c r="M51" s="111" t="str">
        <f t="shared" si="4"/>
        <v>2023-08</v>
      </c>
      <c r="N51" s="112" t="str">
        <f t="shared" si="5"/>
        <v>2023-H2</v>
      </c>
    </row>
    <row r="52">
      <c r="A52" s="108" t="s">
        <v>136</v>
      </c>
      <c r="J52" s="108" t="str">
        <f t="shared" si="1"/>
        <v>2023</v>
      </c>
      <c r="K52" s="110">
        <f t="shared" si="2"/>
        <v>8</v>
      </c>
      <c r="L52" s="108" t="str">
        <f t="shared" si="3"/>
        <v>2023-Q3</v>
      </c>
      <c r="M52" s="111" t="str">
        <f t="shared" si="4"/>
        <v>2023-08</v>
      </c>
      <c r="N52" s="112" t="str">
        <f t="shared" si="5"/>
        <v>2023-H2</v>
      </c>
    </row>
    <row r="53">
      <c r="A53" s="108" t="s">
        <v>136</v>
      </c>
      <c r="J53" s="108" t="str">
        <f t="shared" si="1"/>
        <v>2023</v>
      </c>
      <c r="K53" s="110">
        <f t="shared" si="2"/>
        <v>8</v>
      </c>
      <c r="L53" s="108" t="str">
        <f t="shared" si="3"/>
        <v>2023-Q3</v>
      </c>
      <c r="M53" s="111" t="str">
        <f t="shared" si="4"/>
        <v>2023-08</v>
      </c>
      <c r="N53" s="112" t="str">
        <f t="shared" si="5"/>
        <v>2023-H2</v>
      </c>
    </row>
    <row r="54">
      <c r="A54" s="108" t="s">
        <v>136</v>
      </c>
      <c r="J54" s="108" t="str">
        <f t="shared" si="1"/>
        <v>2023</v>
      </c>
      <c r="K54" s="110">
        <f t="shared" si="2"/>
        <v>8</v>
      </c>
      <c r="L54" s="108" t="str">
        <f t="shared" si="3"/>
        <v>2023-Q3</v>
      </c>
      <c r="M54" s="111" t="str">
        <f t="shared" si="4"/>
        <v>2023-08</v>
      </c>
      <c r="N54" s="112" t="str">
        <f t="shared" si="5"/>
        <v>2023-H2</v>
      </c>
    </row>
    <row r="55">
      <c r="A55" s="108" t="s">
        <v>136</v>
      </c>
      <c r="J55" s="108" t="str">
        <f t="shared" si="1"/>
        <v>2023</v>
      </c>
      <c r="K55" s="110">
        <f t="shared" si="2"/>
        <v>9</v>
      </c>
      <c r="L55" s="108" t="str">
        <f t="shared" si="3"/>
        <v>2023-Q3</v>
      </c>
      <c r="M55" s="111" t="str">
        <f t="shared" si="4"/>
        <v>2023-09</v>
      </c>
      <c r="N55" s="112" t="str">
        <f t="shared" si="5"/>
        <v>2023-H2</v>
      </c>
    </row>
    <row r="56">
      <c r="A56" s="108" t="s">
        <v>136</v>
      </c>
      <c r="J56" s="108" t="str">
        <f t="shared" si="1"/>
        <v>2023</v>
      </c>
      <c r="K56" s="110">
        <f t="shared" si="2"/>
        <v>9</v>
      </c>
      <c r="L56" s="108" t="str">
        <f t="shared" si="3"/>
        <v>2023-Q3</v>
      </c>
      <c r="M56" s="111" t="str">
        <f t="shared" si="4"/>
        <v>2023-09</v>
      </c>
      <c r="N56" s="112" t="str">
        <f t="shared" si="5"/>
        <v>2023-H2</v>
      </c>
    </row>
    <row r="57">
      <c r="A57" s="108" t="s">
        <v>136</v>
      </c>
      <c r="J57" s="108" t="str">
        <f t="shared" si="1"/>
        <v>2023</v>
      </c>
      <c r="K57" s="110">
        <f t="shared" si="2"/>
        <v>9</v>
      </c>
      <c r="L57" s="108" t="str">
        <f t="shared" si="3"/>
        <v>2023-Q3</v>
      </c>
      <c r="M57" s="111" t="str">
        <f t="shared" si="4"/>
        <v>2023-09</v>
      </c>
      <c r="N57" s="112" t="str">
        <f t="shared" si="5"/>
        <v>2023-H2</v>
      </c>
    </row>
    <row r="58">
      <c r="A58" s="108" t="s">
        <v>136</v>
      </c>
      <c r="J58" s="108" t="str">
        <f t="shared" si="1"/>
        <v>2023</v>
      </c>
      <c r="K58" s="110">
        <f t="shared" si="2"/>
        <v>8</v>
      </c>
      <c r="L58" s="108" t="str">
        <f t="shared" si="3"/>
        <v>2023-Q3</v>
      </c>
      <c r="M58" s="111" t="str">
        <f t="shared" si="4"/>
        <v>2023-08</v>
      </c>
      <c r="N58" s="112" t="str">
        <f t="shared" si="5"/>
        <v>2023-H2</v>
      </c>
    </row>
    <row r="59">
      <c r="A59" s="108" t="s">
        <v>136</v>
      </c>
      <c r="J59" s="108" t="str">
        <f t="shared" si="1"/>
        <v>2023</v>
      </c>
      <c r="K59" s="110">
        <f t="shared" si="2"/>
        <v>9</v>
      </c>
      <c r="L59" s="108" t="str">
        <f t="shared" si="3"/>
        <v>2023-Q3</v>
      </c>
      <c r="M59" s="111" t="str">
        <f t="shared" si="4"/>
        <v>2023-09</v>
      </c>
      <c r="N59" s="112" t="str">
        <f t="shared" si="5"/>
        <v>2023-H2</v>
      </c>
    </row>
    <row r="60">
      <c r="A60" s="108" t="s">
        <v>136</v>
      </c>
      <c r="J60" s="108" t="str">
        <f t="shared" si="1"/>
        <v>2023</v>
      </c>
      <c r="K60" s="110">
        <f t="shared" si="2"/>
        <v>9</v>
      </c>
      <c r="L60" s="108" t="str">
        <f t="shared" si="3"/>
        <v>2023-Q3</v>
      </c>
      <c r="M60" s="111" t="str">
        <f t="shared" si="4"/>
        <v>2023-09</v>
      </c>
      <c r="N60" s="112" t="str">
        <f t="shared" si="5"/>
        <v>2023-H2</v>
      </c>
    </row>
    <row r="61">
      <c r="A61" s="108" t="s">
        <v>136</v>
      </c>
      <c r="J61" s="108" t="str">
        <f t="shared" si="1"/>
        <v>2023</v>
      </c>
      <c r="K61" s="110">
        <f t="shared" si="2"/>
        <v>9</v>
      </c>
      <c r="L61" s="108" t="str">
        <f t="shared" si="3"/>
        <v>2023-Q3</v>
      </c>
      <c r="M61" s="111" t="str">
        <f t="shared" si="4"/>
        <v>2023-09</v>
      </c>
      <c r="N61" s="112" t="str">
        <f t="shared" si="5"/>
        <v>2023-H2</v>
      </c>
    </row>
    <row r="62">
      <c r="A62" s="108" t="s">
        <v>136</v>
      </c>
      <c r="J62" s="108" t="str">
        <f t="shared" si="1"/>
        <v>2023</v>
      </c>
      <c r="K62" s="110">
        <f t="shared" si="2"/>
        <v>9</v>
      </c>
      <c r="L62" s="108" t="str">
        <f t="shared" si="3"/>
        <v>2023-Q3</v>
      </c>
      <c r="M62" s="111" t="str">
        <f t="shared" si="4"/>
        <v>2023-09</v>
      </c>
      <c r="N62" s="112" t="str">
        <f t="shared" si="5"/>
        <v>2023-H2</v>
      </c>
    </row>
    <row r="63">
      <c r="A63" s="108" t="s">
        <v>136</v>
      </c>
      <c r="J63" s="108" t="str">
        <f t="shared" si="1"/>
        <v>2023</v>
      </c>
      <c r="K63" s="110">
        <f t="shared" si="2"/>
        <v>9</v>
      </c>
      <c r="L63" s="108" t="str">
        <f t="shared" si="3"/>
        <v>2023-Q3</v>
      </c>
      <c r="M63" s="111" t="str">
        <f t="shared" si="4"/>
        <v>2023-09</v>
      </c>
      <c r="N63" s="112" t="str">
        <f t="shared" si="5"/>
        <v>2023-H2</v>
      </c>
    </row>
    <row r="64">
      <c r="A64" s="108" t="s">
        <v>136</v>
      </c>
      <c r="J64" s="108" t="str">
        <f t="shared" si="1"/>
        <v>2023</v>
      </c>
      <c r="K64" s="110">
        <f t="shared" si="2"/>
        <v>9</v>
      </c>
      <c r="L64" s="108" t="str">
        <f t="shared" si="3"/>
        <v>2023-Q3</v>
      </c>
      <c r="M64" s="111" t="str">
        <f t="shared" si="4"/>
        <v>2023-09</v>
      </c>
      <c r="N64" s="112" t="str">
        <f t="shared" si="5"/>
        <v>2023-H2</v>
      </c>
    </row>
    <row r="65">
      <c r="A65" s="108" t="s">
        <v>136</v>
      </c>
      <c r="J65" s="108" t="str">
        <f t="shared" si="1"/>
        <v>2023</v>
      </c>
      <c r="K65" s="110">
        <f t="shared" si="2"/>
        <v>10</v>
      </c>
      <c r="L65" s="108" t="str">
        <f t="shared" si="3"/>
        <v>2023-Q4</v>
      </c>
      <c r="M65" s="111" t="str">
        <f t="shared" si="4"/>
        <v>2023-10</v>
      </c>
      <c r="N65" s="112" t="str">
        <f t="shared" si="5"/>
        <v>2023-H2</v>
      </c>
    </row>
    <row r="66">
      <c r="A66" s="108" t="s">
        <v>136</v>
      </c>
      <c r="J66" s="108" t="str">
        <f t="shared" si="1"/>
        <v>2023</v>
      </c>
      <c r="K66" s="110">
        <f t="shared" si="2"/>
        <v>9</v>
      </c>
      <c r="L66" s="108" t="str">
        <f t="shared" si="3"/>
        <v>2023-Q3</v>
      </c>
      <c r="M66" s="111" t="str">
        <f t="shared" si="4"/>
        <v>2023-09</v>
      </c>
      <c r="N66" s="112" t="str">
        <f t="shared" si="5"/>
        <v>2023-H2</v>
      </c>
    </row>
    <row r="67">
      <c r="A67" s="108" t="s">
        <v>136</v>
      </c>
      <c r="J67" s="108" t="str">
        <f t="shared" si="1"/>
        <v>2023</v>
      </c>
      <c r="K67" s="110">
        <f t="shared" si="2"/>
        <v>9</v>
      </c>
      <c r="L67" s="108" t="str">
        <f t="shared" si="3"/>
        <v>2023-Q3</v>
      </c>
      <c r="M67" s="111" t="str">
        <f t="shared" si="4"/>
        <v>2023-09</v>
      </c>
      <c r="N67" s="112" t="str">
        <f t="shared" si="5"/>
        <v>2023-H2</v>
      </c>
    </row>
    <row r="68">
      <c r="A68" s="108" t="s">
        <v>136</v>
      </c>
      <c r="J68" s="108" t="str">
        <f t="shared" si="1"/>
        <v>2023</v>
      </c>
      <c r="K68" s="110">
        <f t="shared" si="2"/>
        <v>10</v>
      </c>
      <c r="L68" s="108" t="str">
        <f t="shared" si="3"/>
        <v>2023-Q4</v>
      </c>
      <c r="M68" s="111" t="str">
        <f t="shared" si="4"/>
        <v>2023-10</v>
      </c>
      <c r="N68" s="112" t="str">
        <f t="shared" si="5"/>
        <v>2023-H2</v>
      </c>
    </row>
    <row r="69">
      <c r="A69" s="108" t="s">
        <v>136</v>
      </c>
      <c r="J69" s="108" t="str">
        <f t="shared" si="1"/>
        <v>2023</v>
      </c>
      <c r="K69" s="110">
        <f t="shared" si="2"/>
        <v>10</v>
      </c>
      <c r="L69" s="108" t="str">
        <f t="shared" si="3"/>
        <v>2023-Q4</v>
      </c>
      <c r="M69" s="111" t="str">
        <f t="shared" si="4"/>
        <v>2023-10</v>
      </c>
      <c r="N69" s="112" t="str">
        <f t="shared" si="5"/>
        <v>2023-H2</v>
      </c>
    </row>
    <row r="70">
      <c r="A70" s="108" t="s">
        <v>136</v>
      </c>
      <c r="J70" s="108" t="str">
        <f t="shared" si="1"/>
        <v>2023</v>
      </c>
      <c r="K70" s="110">
        <f t="shared" si="2"/>
        <v>10</v>
      </c>
      <c r="L70" s="108" t="str">
        <f t="shared" si="3"/>
        <v>2023-Q4</v>
      </c>
      <c r="M70" s="111" t="str">
        <f t="shared" si="4"/>
        <v>2023-10</v>
      </c>
      <c r="N70" s="112" t="str">
        <f t="shared" si="5"/>
        <v>2023-H2</v>
      </c>
    </row>
    <row r="71">
      <c r="A71" s="108" t="s">
        <v>136</v>
      </c>
      <c r="J71" s="108" t="str">
        <f t="shared" si="1"/>
        <v>2023</v>
      </c>
      <c r="K71" s="110">
        <f t="shared" si="2"/>
        <v>10</v>
      </c>
      <c r="L71" s="108" t="str">
        <f t="shared" si="3"/>
        <v>2023-Q4</v>
      </c>
      <c r="M71" s="111" t="str">
        <f t="shared" si="4"/>
        <v>2023-10</v>
      </c>
      <c r="N71" s="112" t="str">
        <f t="shared" si="5"/>
        <v>2023-H2</v>
      </c>
    </row>
    <row r="72">
      <c r="A72" s="108" t="s">
        <v>136</v>
      </c>
      <c r="J72" s="108" t="str">
        <f t="shared" si="1"/>
        <v>2023</v>
      </c>
      <c r="K72" s="110">
        <f t="shared" si="2"/>
        <v>10</v>
      </c>
      <c r="L72" s="108" t="str">
        <f t="shared" si="3"/>
        <v>2023-Q4</v>
      </c>
      <c r="M72" s="111" t="str">
        <f t="shared" si="4"/>
        <v>2023-10</v>
      </c>
      <c r="N72" s="112" t="str">
        <f t="shared" si="5"/>
        <v>2023-H2</v>
      </c>
    </row>
    <row r="73">
      <c r="A73" s="108" t="s">
        <v>136</v>
      </c>
      <c r="J73" s="108" t="str">
        <f t="shared" si="1"/>
        <v>2023</v>
      </c>
      <c r="K73" s="110">
        <f t="shared" si="2"/>
        <v>10</v>
      </c>
      <c r="L73" s="108" t="str">
        <f t="shared" si="3"/>
        <v>2023-Q4</v>
      </c>
      <c r="M73" s="111" t="str">
        <f t="shared" si="4"/>
        <v>2023-10</v>
      </c>
      <c r="N73" s="112" t="str">
        <f t="shared" si="5"/>
        <v>2023-H2</v>
      </c>
    </row>
    <row r="74">
      <c r="A74" s="108" t="s">
        <v>136</v>
      </c>
      <c r="J74" s="108" t="str">
        <f t="shared" si="1"/>
        <v>2023</v>
      </c>
      <c r="K74" s="110">
        <f t="shared" si="2"/>
        <v>10</v>
      </c>
      <c r="L74" s="108" t="str">
        <f t="shared" si="3"/>
        <v>2023-Q4</v>
      </c>
      <c r="M74" s="111" t="str">
        <f t="shared" si="4"/>
        <v>2023-10</v>
      </c>
      <c r="N74" s="112" t="str">
        <f t="shared" si="5"/>
        <v>2023-H2</v>
      </c>
    </row>
    <row r="75">
      <c r="A75" s="108" t="s">
        <v>136</v>
      </c>
      <c r="J75" s="108" t="str">
        <f t="shared" si="1"/>
        <v>2023</v>
      </c>
      <c r="K75" s="110">
        <f t="shared" si="2"/>
        <v>9</v>
      </c>
      <c r="L75" s="108" t="str">
        <f t="shared" si="3"/>
        <v>2023-Q3</v>
      </c>
      <c r="M75" s="111" t="str">
        <f t="shared" si="4"/>
        <v>2023-09</v>
      </c>
      <c r="N75" s="112" t="str">
        <f t="shared" si="5"/>
        <v>2023-H2</v>
      </c>
    </row>
    <row r="76">
      <c r="A76" s="108" t="s">
        <v>136</v>
      </c>
      <c r="J76" s="108" t="str">
        <f t="shared" si="1"/>
        <v>2023</v>
      </c>
      <c r="K76" s="110">
        <f t="shared" si="2"/>
        <v>10</v>
      </c>
      <c r="L76" s="108" t="str">
        <f t="shared" si="3"/>
        <v>2023-Q4</v>
      </c>
      <c r="M76" s="111" t="str">
        <f t="shared" si="4"/>
        <v>2023-10</v>
      </c>
      <c r="N76" s="112" t="str">
        <f t="shared" si="5"/>
        <v>2023-H2</v>
      </c>
    </row>
    <row r="77">
      <c r="A77" s="108" t="s">
        <v>136</v>
      </c>
      <c r="J77" s="108" t="str">
        <f t="shared" si="1"/>
        <v>2023</v>
      </c>
      <c r="K77" s="110">
        <f t="shared" si="2"/>
        <v>10</v>
      </c>
      <c r="L77" s="108" t="str">
        <f t="shared" si="3"/>
        <v>2023-Q4</v>
      </c>
      <c r="M77" s="111" t="str">
        <f t="shared" si="4"/>
        <v>2023-10</v>
      </c>
      <c r="N77" s="112" t="str">
        <f t="shared" si="5"/>
        <v>2023-H2</v>
      </c>
    </row>
    <row r="78">
      <c r="A78" s="108" t="s">
        <v>136</v>
      </c>
      <c r="J78" s="108" t="str">
        <f t="shared" si="1"/>
        <v>2023</v>
      </c>
      <c r="K78" s="110">
        <f t="shared" si="2"/>
        <v>10</v>
      </c>
      <c r="L78" s="108" t="str">
        <f t="shared" si="3"/>
        <v>2023-Q4</v>
      </c>
      <c r="M78" s="111" t="str">
        <f t="shared" si="4"/>
        <v>2023-10</v>
      </c>
      <c r="N78" s="112" t="str">
        <f t="shared" si="5"/>
        <v>2023-H2</v>
      </c>
    </row>
    <row r="79">
      <c r="A79" s="108" t="s">
        <v>136</v>
      </c>
      <c r="J79" s="108" t="str">
        <f t="shared" si="1"/>
        <v>2023</v>
      </c>
      <c r="K79" s="110">
        <f t="shared" si="2"/>
        <v>10</v>
      </c>
      <c r="L79" s="108" t="str">
        <f t="shared" si="3"/>
        <v>2023-Q4</v>
      </c>
      <c r="M79" s="111" t="str">
        <f t="shared" si="4"/>
        <v>2023-10</v>
      </c>
      <c r="N79" s="112" t="str">
        <f t="shared" si="5"/>
        <v>2023-H2</v>
      </c>
    </row>
    <row r="80">
      <c r="A80" s="108" t="s">
        <v>136</v>
      </c>
      <c r="J80" s="108" t="str">
        <f t="shared" si="1"/>
        <v>2023</v>
      </c>
      <c r="K80" s="110">
        <f t="shared" si="2"/>
        <v>10</v>
      </c>
      <c r="L80" s="108" t="str">
        <f t="shared" si="3"/>
        <v>2023-Q4</v>
      </c>
      <c r="M80" s="111" t="str">
        <f t="shared" si="4"/>
        <v>2023-10</v>
      </c>
      <c r="N80" s="112" t="str">
        <f t="shared" si="5"/>
        <v>2023-H2</v>
      </c>
    </row>
    <row r="81">
      <c r="A81" s="108" t="s">
        <v>136</v>
      </c>
      <c r="J81" s="108" t="str">
        <f t="shared" si="1"/>
        <v>2023</v>
      </c>
      <c r="K81" s="110">
        <f t="shared" si="2"/>
        <v>10</v>
      </c>
      <c r="L81" s="108" t="str">
        <f t="shared" si="3"/>
        <v>2023-Q4</v>
      </c>
      <c r="M81" s="111" t="str">
        <f t="shared" si="4"/>
        <v>2023-10</v>
      </c>
      <c r="N81" s="112" t="str">
        <f t="shared" si="5"/>
        <v>2023-H2</v>
      </c>
    </row>
    <row r="82">
      <c r="A82" s="108" t="s">
        <v>136</v>
      </c>
      <c r="J82" s="108" t="str">
        <f t="shared" si="1"/>
        <v>2023</v>
      </c>
      <c r="K82" s="110">
        <f t="shared" si="2"/>
        <v>10</v>
      </c>
      <c r="L82" s="108" t="str">
        <f t="shared" si="3"/>
        <v>2023-Q4</v>
      </c>
      <c r="M82" s="111" t="str">
        <f t="shared" si="4"/>
        <v>2023-10</v>
      </c>
      <c r="N82" s="112" t="str">
        <f t="shared" si="5"/>
        <v>2023-H2</v>
      </c>
    </row>
    <row r="83">
      <c r="A83" s="108" t="s">
        <v>136</v>
      </c>
      <c r="J83" s="108" t="str">
        <f t="shared" si="1"/>
        <v>2023</v>
      </c>
      <c r="K83" s="110">
        <f t="shared" si="2"/>
        <v>10</v>
      </c>
      <c r="L83" s="108" t="str">
        <f t="shared" si="3"/>
        <v>2023-Q4</v>
      </c>
      <c r="M83" s="111" t="str">
        <f t="shared" si="4"/>
        <v>2023-10</v>
      </c>
      <c r="N83" s="112" t="str">
        <f t="shared" si="5"/>
        <v>2023-H2</v>
      </c>
    </row>
    <row r="84">
      <c r="A84" s="108" t="s">
        <v>136</v>
      </c>
      <c r="J84" s="108" t="str">
        <f t="shared" si="1"/>
        <v>2023</v>
      </c>
      <c r="K84" s="110">
        <f t="shared" si="2"/>
        <v>10</v>
      </c>
      <c r="L84" s="108" t="str">
        <f t="shared" si="3"/>
        <v>2023-Q4</v>
      </c>
      <c r="M84" s="111" t="str">
        <f t="shared" si="4"/>
        <v>2023-10</v>
      </c>
      <c r="N84" s="112" t="str">
        <f t="shared" si="5"/>
        <v>2023-H2</v>
      </c>
    </row>
    <row r="85">
      <c r="A85" s="108" t="s">
        <v>136</v>
      </c>
      <c r="J85" s="108" t="str">
        <f t="shared" si="1"/>
        <v>2023</v>
      </c>
      <c r="K85" s="110">
        <f t="shared" si="2"/>
        <v>10</v>
      </c>
      <c r="L85" s="108" t="str">
        <f t="shared" si="3"/>
        <v>2023-Q4</v>
      </c>
      <c r="M85" s="111" t="str">
        <f t="shared" si="4"/>
        <v>2023-10</v>
      </c>
      <c r="N85" s="112" t="str">
        <f t="shared" si="5"/>
        <v>2023-H2</v>
      </c>
    </row>
    <row r="86">
      <c r="A86" s="108" t="s">
        <v>136</v>
      </c>
      <c r="J86" s="108" t="str">
        <f t="shared" si="1"/>
        <v>2023</v>
      </c>
      <c r="K86" s="110">
        <f t="shared" si="2"/>
        <v>10</v>
      </c>
      <c r="L86" s="108" t="str">
        <f t="shared" si="3"/>
        <v>2023-Q4</v>
      </c>
      <c r="M86" s="111" t="str">
        <f t="shared" si="4"/>
        <v>2023-10</v>
      </c>
      <c r="N86" s="112" t="str">
        <f t="shared" si="5"/>
        <v>2023-H2</v>
      </c>
    </row>
    <row r="87">
      <c r="A87" s="108" t="s">
        <v>136</v>
      </c>
      <c r="J87" s="108" t="str">
        <f t="shared" si="1"/>
        <v>2023</v>
      </c>
      <c r="K87" s="110">
        <f t="shared" si="2"/>
        <v>10</v>
      </c>
      <c r="L87" s="108" t="str">
        <f t="shared" si="3"/>
        <v>2023-Q4</v>
      </c>
      <c r="M87" s="111" t="str">
        <f t="shared" si="4"/>
        <v>2023-10</v>
      </c>
      <c r="N87" s="112" t="str">
        <f t="shared" si="5"/>
        <v>2023-H2</v>
      </c>
    </row>
    <row r="88">
      <c r="A88" s="108" t="s">
        <v>136</v>
      </c>
      <c r="J88" s="108" t="str">
        <f t="shared" si="1"/>
        <v>2023</v>
      </c>
      <c r="K88" s="110">
        <f t="shared" si="2"/>
        <v>10</v>
      </c>
      <c r="L88" s="108" t="str">
        <f t="shared" si="3"/>
        <v>2023-Q4</v>
      </c>
      <c r="M88" s="111" t="str">
        <f t="shared" si="4"/>
        <v>2023-10</v>
      </c>
      <c r="N88" s="112" t="str">
        <f t="shared" si="5"/>
        <v>2023-H2</v>
      </c>
    </row>
    <row r="89">
      <c r="A89" s="108" t="s">
        <v>136</v>
      </c>
      <c r="J89" s="108" t="str">
        <f t="shared" si="1"/>
        <v>2023</v>
      </c>
      <c r="K89" s="110">
        <f t="shared" si="2"/>
        <v>10</v>
      </c>
      <c r="L89" s="108" t="str">
        <f t="shared" si="3"/>
        <v>2023-Q4</v>
      </c>
      <c r="M89" s="111" t="str">
        <f t="shared" si="4"/>
        <v>2023-10</v>
      </c>
      <c r="N89" s="112" t="str">
        <f t="shared" si="5"/>
        <v>2023-H2</v>
      </c>
    </row>
    <row r="90">
      <c r="A90" s="108" t="s">
        <v>136</v>
      </c>
      <c r="J90" s="108" t="str">
        <f t="shared" si="1"/>
        <v>2023</v>
      </c>
      <c r="K90" s="110">
        <f t="shared" si="2"/>
        <v>10</v>
      </c>
      <c r="L90" s="108" t="str">
        <f t="shared" si="3"/>
        <v>2023-Q4</v>
      </c>
      <c r="M90" s="111" t="str">
        <f t="shared" si="4"/>
        <v>2023-10</v>
      </c>
      <c r="N90" s="112" t="str">
        <f t="shared" si="5"/>
        <v>2023-H2</v>
      </c>
    </row>
    <row r="91">
      <c r="A91" s="108" t="s">
        <v>136</v>
      </c>
      <c r="J91" s="108" t="str">
        <f t="shared" si="1"/>
        <v>2023</v>
      </c>
      <c r="K91" s="110">
        <f t="shared" si="2"/>
        <v>10</v>
      </c>
      <c r="L91" s="108" t="str">
        <f t="shared" si="3"/>
        <v>2023-Q4</v>
      </c>
      <c r="M91" s="111" t="str">
        <f t="shared" si="4"/>
        <v>2023-10</v>
      </c>
      <c r="N91" s="112" t="str">
        <f t="shared" si="5"/>
        <v>2023-H2</v>
      </c>
    </row>
    <row r="92">
      <c r="A92" s="108" t="s">
        <v>136</v>
      </c>
      <c r="J92" s="108" t="str">
        <f t="shared" si="1"/>
        <v>2023</v>
      </c>
      <c r="K92" s="110">
        <f t="shared" si="2"/>
        <v>10</v>
      </c>
      <c r="L92" s="108" t="str">
        <f t="shared" si="3"/>
        <v>2023-Q4</v>
      </c>
      <c r="M92" s="111" t="str">
        <f t="shared" si="4"/>
        <v>2023-10</v>
      </c>
      <c r="N92" s="112" t="str">
        <f t="shared" si="5"/>
        <v>2023-H2</v>
      </c>
    </row>
    <row r="93">
      <c r="A93" s="108" t="s">
        <v>136</v>
      </c>
      <c r="J93" s="108" t="str">
        <f t="shared" si="1"/>
        <v>2023</v>
      </c>
      <c r="K93" s="110">
        <f t="shared" si="2"/>
        <v>10</v>
      </c>
      <c r="L93" s="108" t="str">
        <f t="shared" si="3"/>
        <v>2023-Q4</v>
      </c>
      <c r="M93" s="111" t="str">
        <f t="shared" si="4"/>
        <v>2023-10</v>
      </c>
      <c r="N93" s="112" t="str">
        <f t="shared" si="5"/>
        <v>2023-H2</v>
      </c>
    </row>
    <row r="94">
      <c r="A94" s="108" t="s">
        <v>136</v>
      </c>
      <c r="J94" s="108" t="str">
        <f t="shared" si="1"/>
        <v>2023</v>
      </c>
      <c r="K94" s="110">
        <f t="shared" si="2"/>
        <v>10</v>
      </c>
      <c r="L94" s="108" t="str">
        <f t="shared" si="3"/>
        <v>2023-Q4</v>
      </c>
      <c r="M94" s="111" t="str">
        <f t="shared" si="4"/>
        <v>2023-10</v>
      </c>
      <c r="N94" s="112" t="str">
        <f t="shared" si="5"/>
        <v>2023-H2</v>
      </c>
    </row>
    <row r="95">
      <c r="A95" s="108" t="s">
        <v>136</v>
      </c>
      <c r="J95" s="108" t="str">
        <f t="shared" si="1"/>
        <v>2023</v>
      </c>
      <c r="K95" s="110">
        <f t="shared" si="2"/>
        <v>10</v>
      </c>
      <c r="L95" s="108" t="str">
        <f t="shared" si="3"/>
        <v>2023-Q4</v>
      </c>
      <c r="M95" s="111" t="str">
        <f t="shared" si="4"/>
        <v>2023-10</v>
      </c>
      <c r="N95" s="112" t="str">
        <f t="shared" si="5"/>
        <v>2023-H2</v>
      </c>
    </row>
    <row r="96">
      <c r="A96" s="108" t="s">
        <v>136</v>
      </c>
      <c r="J96" s="108" t="str">
        <f t="shared" si="1"/>
        <v>2023</v>
      </c>
      <c r="K96" s="110">
        <f t="shared" si="2"/>
        <v>10</v>
      </c>
      <c r="L96" s="108" t="str">
        <f t="shared" si="3"/>
        <v>2023-Q4</v>
      </c>
      <c r="M96" s="111" t="str">
        <f t="shared" si="4"/>
        <v>2023-10</v>
      </c>
      <c r="N96" s="112" t="str">
        <f t="shared" si="5"/>
        <v>2023-H2</v>
      </c>
    </row>
    <row r="97">
      <c r="A97" s="108" t="s">
        <v>136</v>
      </c>
      <c r="J97" s="108" t="str">
        <f t="shared" si="1"/>
        <v>2023</v>
      </c>
      <c r="K97" s="110">
        <f t="shared" si="2"/>
        <v>10</v>
      </c>
      <c r="L97" s="108" t="str">
        <f t="shared" si="3"/>
        <v>2023-Q4</v>
      </c>
      <c r="M97" s="111" t="str">
        <f t="shared" si="4"/>
        <v>2023-10</v>
      </c>
      <c r="N97" s="112" t="str">
        <f t="shared" si="5"/>
        <v>2023-H2</v>
      </c>
    </row>
    <row r="98">
      <c r="A98" s="108" t="s">
        <v>136</v>
      </c>
      <c r="J98" s="108" t="str">
        <f t="shared" si="1"/>
        <v>2023</v>
      </c>
      <c r="K98" s="110">
        <f t="shared" si="2"/>
        <v>10</v>
      </c>
      <c r="L98" s="108" t="str">
        <f t="shared" si="3"/>
        <v>2023-Q4</v>
      </c>
      <c r="M98" s="111" t="str">
        <f t="shared" si="4"/>
        <v>2023-10</v>
      </c>
      <c r="N98" s="112" t="str">
        <f t="shared" si="5"/>
        <v>2023-H2</v>
      </c>
    </row>
    <row r="99">
      <c r="A99" s="108" t="s">
        <v>136</v>
      </c>
      <c r="J99" s="108" t="str">
        <f t="shared" si="1"/>
        <v>2023</v>
      </c>
      <c r="K99" s="110">
        <f t="shared" si="2"/>
        <v>11</v>
      </c>
      <c r="L99" s="108" t="str">
        <f t="shared" si="3"/>
        <v>2023-Q4</v>
      </c>
      <c r="M99" s="111" t="str">
        <f t="shared" si="4"/>
        <v>2023-11</v>
      </c>
      <c r="N99" s="112" t="str">
        <f t="shared" si="5"/>
        <v>2023-H2</v>
      </c>
    </row>
    <row r="100">
      <c r="A100" s="108" t="s">
        <v>136</v>
      </c>
      <c r="J100" s="108" t="str">
        <f t="shared" si="1"/>
        <v>2023</v>
      </c>
      <c r="K100" s="110">
        <f t="shared" si="2"/>
        <v>11</v>
      </c>
      <c r="L100" s="108" t="str">
        <f t="shared" si="3"/>
        <v>2023-Q4</v>
      </c>
      <c r="M100" s="111" t="str">
        <f t="shared" si="4"/>
        <v>2023-11</v>
      </c>
      <c r="N100" s="112" t="str">
        <f t="shared" si="5"/>
        <v>2023-H2</v>
      </c>
    </row>
    <row r="101">
      <c r="A101" s="108" t="s">
        <v>136</v>
      </c>
      <c r="J101" s="108" t="str">
        <f t="shared" si="1"/>
        <v>2023</v>
      </c>
      <c r="K101" s="110">
        <f t="shared" si="2"/>
        <v>11</v>
      </c>
      <c r="L101" s="108" t="str">
        <f t="shared" si="3"/>
        <v>2023-Q4</v>
      </c>
      <c r="M101" s="111" t="str">
        <f t="shared" si="4"/>
        <v>2023-11</v>
      </c>
      <c r="N101" s="112" t="str">
        <f t="shared" si="5"/>
        <v>2023-H2</v>
      </c>
    </row>
    <row r="102">
      <c r="A102" s="108" t="s">
        <v>136</v>
      </c>
      <c r="J102" s="108" t="str">
        <f t="shared" si="1"/>
        <v>2023</v>
      </c>
      <c r="K102" s="110">
        <f t="shared" si="2"/>
        <v>11</v>
      </c>
      <c r="L102" s="108" t="str">
        <f t="shared" si="3"/>
        <v>2023-Q4</v>
      </c>
      <c r="M102" s="111" t="str">
        <f t="shared" si="4"/>
        <v>2023-11</v>
      </c>
      <c r="N102" s="112" t="str">
        <f t="shared" si="5"/>
        <v>2023-H2</v>
      </c>
    </row>
    <row r="103">
      <c r="A103" s="108" t="s">
        <v>136</v>
      </c>
      <c r="J103" s="108" t="str">
        <f t="shared" si="1"/>
        <v>2023</v>
      </c>
      <c r="K103" s="110">
        <f t="shared" si="2"/>
        <v>11</v>
      </c>
      <c r="L103" s="108" t="str">
        <f t="shared" si="3"/>
        <v>2023-Q4</v>
      </c>
      <c r="M103" s="111" t="str">
        <f t="shared" si="4"/>
        <v>2023-11</v>
      </c>
      <c r="N103" s="112" t="str">
        <f t="shared" si="5"/>
        <v>2023-H2</v>
      </c>
    </row>
    <row r="104">
      <c r="A104" s="108" t="s">
        <v>136</v>
      </c>
      <c r="J104" s="108" t="str">
        <f t="shared" si="1"/>
        <v>2023</v>
      </c>
      <c r="K104" s="110">
        <f t="shared" si="2"/>
        <v>10</v>
      </c>
      <c r="L104" s="108" t="str">
        <f t="shared" si="3"/>
        <v>2023-Q4</v>
      </c>
      <c r="M104" s="111" t="str">
        <f t="shared" si="4"/>
        <v>2023-10</v>
      </c>
      <c r="N104" s="112" t="str">
        <f t="shared" si="5"/>
        <v>2023-H2</v>
      </c>
    </row>
    <row r="105">
      <c r="A105" s="108" t="s">
        <v>136</v>
      </c>
      <c r="J105" s="108" t="str">
        <f t="shared" si="1"/>
        <v>2023</v>
      </c>
      <c r="K105" s="110">
        <f t="shared" si="2"/>
        <v>11</v>
      </c>
      <c r="L105" s="108" t="str">
        <f t="shared" si="3"/>
        <v>2023-Q4</v>
      </c>
      <c r="M105" s="111" t="str">
        <f t="shared" si="4"/>
        <v>2023-11</v>
      </c>
      <c r="N105" s="112" t="str">
        <f t="shared" si="5"/>
        <v>2023-H2</v>
      </c>
    </row>
    <row r="106">
      <c r="A106" s="108" t="s">
        <v>136</v>
      </c>
      <c r="J106" s="108" t="str">
        <f t="shared" si="1"/>
        <v>2023</v>
      </c>
      <c r="K106" s="110">
        <f t="shared" si="2"/>
        <v>11</v>
      </c>
      <c r="L106" s="108" t="str">
        <f t="shared" si="3"/>
        <v>2023-Q4</v>
      </c>
      <c r="M106" s="111" t="str">
        <f t="shared" si="4"/>
        <v>2023-11</v>
      </c>
      <c r="N106" s="112" t="str">
        <f t="shared" si="5"/>
        <v>2023-H2</v>
      </c>
    </row>
    <row r="107">
      <c r="A107" s="108" t="s">
        <v>136</v>
      </c>
      <c r="J107" s="108" t="str">
        <f t="shared" si="1"/>
        <v>2023</v>
      </c>
      <c r="K107" s="110">
        <f t="shared" si="2"/>
        <v>11</v>
      </c>
      <c r="L107" s="108" t="str">
        <f t="shared" si="3"/>
        <v>2023-Q4</v>
      </c>
      <c r="M107" s="111" t="str">
        <f t="shared" si="4"/>
        <v>2023-11</v>
      </c>
      <c r="N107" s="112" t="str">
        <f t="shared" si="5"/>
        <v>2023-H2</v>
      </c>
    </row>
    <row r="108">
      <c r="A108" s="108" t="s">
        <v>136</v>
      </c>
      <c r="J108" s="108" t="str">
        <f t="shared" si="1"/>
        <v>2023</v>
      </c>
      <c r="K108" s="110">
        <f t="shared" si="2"/>
        <v>10</v>
      </c>
      <c r="L108" s="108" t="str">
        <f t="shared" si="3"/>
        <v>2023-Q4</v>
      </c>
      <c r="M108" s="111" t="str">
        <f t="shared" si="4"/>
        <v>2023-10</v>
      </c>
      <c r="N108" s="112" t="str">
        <f t="shared" si="5"/>
        <v>2023-H2</v>
      </c>
    </row>
    <row r="109">
      <c r="A109" s="108" t="s">
        <v>136</v>
      </c>
      <c r="J109" s="108" t="str">
        <f t="shared" si="1"/>
        <v>2023</v>
      </c>
      <c r="K109" s="110">
        <f t="shared" si="2"/>
        <v>11</v>
      </c>
      <c r="L109" s="108" t="str">
        <f t="shared" si="3"/>
        <v>2023-Q4</v>
      </c>
      <c r="M109" s="111" t="str">
        <f t="shared" si="4"/>
        <v>2023-11</v>
      </c>
      <c r="N109" s="112" t="str">
        <f t="shared" si="5"/>
        <v>2023-H2</v>
      </c>
    </row>
    <row r="110">
      <c r="A110" s="108" t="s">
        <v>136</v>
      </c>
      <c r="J110" s="108" t="str">
        <f t="shared" si="1"/>
        <v>2023</v>
      </c>
      <c r="K110" s="110">
        <f t="shared" si="2"/>
        <v>11</v>
      </c>
      <c r="L110" s="108" t="str">
        <f t="shared" si="3"/>
        <v>2023-Q4</v>
      </c>
      <c r="M110" s="111" t="str">
        <f t="shared" si="4"/>
        <v>2023-11</v>
      </c>
      <c r="N110" s="112" t="str">
        <f t="shared" si="5"/>
        <v>2023-H2</v>
      </c>
    </row>
    <row r="111">
      <c r="A111" s="108" t="s">
        <v>136</v>
      </c>
      <c r="J111" s="108" t="str">
        <f t="shared" si="1"/>
        <v>2023</v>
      </c>
      <c r="K111" s="110">
        <f t="shared" si="2"/>
        <v>11</v>
      </c>
      <c r="L111" s="108" t="str">
        <f t="shared" si="3"/>
        <v>2023-Q4</v>
      </c>
      <c r="M111" s="111" t="str">
        <f t="shared" si="4"/>
        <v>2023-11</v>
      </c>
      <c r="N111" s="112" t="str">
        <f t="shared" si="5"/>
        <v>2023-H2</v>
      </c>
    </row>
    <row r="112">
      <c r="A112" s="108" t="s">
        <v>136</v>
      </c>
      <c r="J112" s="108" t="str">
        <f t="shared" si="1"/>
        <v>2023</v>
      </c>
      <c r="K112" s="110">
        <f t="shared" si="2"/>
        <v>11</v>
      </c>
      <c r="L112" s="108" t="str">
        <f t="shared" si="3"/>
        <v>2023-Q4</v>
      </c>
      <c r="M112" s="111" t="str">
        <f t="shared" si="4"/>
        <v>2023-11</v>
      </c>
      <c r="N112" s="112" t="str">
        <f t="shared" si="5"/>
        <v>2023-H2</v>
      </c>
    </row>
    <row r="113">
      <c r="A113" s="108" t="s">
        <v>136</v>
      </c>
      <c r="J113" s="108" t="str">
        <f t="shared" si="1"/>
        <v>2023</v>
      </c>
      <c r="K113" s="110">
        <f t="shared" si="2"/>
        <v>11</v>
      </c>
      <c r="L113" s="108" t="str">
        <f t="shared" si="3"/>
        <v>2023-Q4</v>
      </c>
      <c r="M113" s="111" t="str">
        <f t="shared" si="4"/>
        <v>2023-11</v>
      </c>
      <c r="N113" s="112" t="str">
        <f t="shared" si="5"/>
        <v>2023-H2</v>
      </c>
    </row>
    <row r="114">
      <c r="A114" s="108" t="s">
        <v>136</v>
      </c>
      <c r="J114" s="108" t="str">
        <f t="shared" si="1"/>
        <v>2023</v>
      </c>
      <c r="K114" s="110">
        <f t="shared" si="2"/>
        <v>11</v>
      </c>
      <c r="L114" s="108" t="str">
        <f t="shared" si="3"/>
        <v>2023-Q4</v>
      </c>
      <c r="M114" s="111" t="str">
        <f t="shared" si="4"/>
        <v>2023-11</v>
      </c>
      <c r="N114" s="112" t="str">
        <f t="shared" si="5"/>
        <v>2023-H2</v>
      </c>
    </row>
    <row r="115">
      <c r="A115" s="108" t="s">
        <v>136</v>
      </c>
      <c r="J115" s="108" t="str">
        <f t="shared" si="1"/>
        <v>2023</v>
      </c>
      <c r="K115" s="110">
        <f t="shared" si="2"/>
        <v>11</v>
      </c>
      <c r="L115" s="108" t="str">
        <f t="shared" si="3"/>
        <v>2023-Q4</v>
      </c>
      <c r="M115" s="111" t="str">
        <f t="shared" si="4"/>
        <v>2023-11</v>
      </c>
      <c r="N115" s="112" t="str">
        <f t="shared" si="5"/>
        <v>2023-H2</v>
      </c>
    </row>
    <row r="116">
      <c r="A116" s="108" t="s">
        <v>136</v>
      </c>
      <c r="J116" s="108" t="str">
        <f t="shared" si="1"/>
        <v>2023</v>
      </c>
      <c r="K116" s="110">
        <f t="shared" si="2"/>
        <v>11</v>
      </c>
      <c r="L116" s="108" t="str">
        <f t="shared" si="3"/>
        <v>2023-Q4</v>
      </c>
      <c r="M116" s="111" t="str">
        <f t="shared" si="4"/>
        <v>2023-11</v>
      </c>
      <c r="N116" s="112" t="str">
        <f t="shared" si="5"/>
        <v>2023-H2</v>
      </c>
    </row>
    <row r="117">
      <c r="A117" s="108" t="s">
        <v>136</v>
      </c>
      <c r="J117" s="108" t="str">
        <f t="shared" si="1"/>
        <v>2023</v>
      </c>
      <c r="K117" s="110">
        <f t="shared" si="2"/>
        <v>11</v>
      </c>
      <c r="L117" s="108" t="str">
        <f t="shared" si="3"/>
        <v>2023-Q4</v>
      </c>
      <c r="M117" s="111" t="str">
        <f t="shared" si="4"/>
        <v>2023-11</v>
      </c>
      <c r="N117" s="112" t="str">
        <f t="shared" si="5"/>
        <v>2023-H2</v>
      </c>
    </row>
    <row r="118">
      <c r="A118" s="108" t="s">
        <v>136</v>
      </c>
      <c r="J118" s="108" t="str">
        <f t="shared" si="1"/>
        <v>2023</v>
      </c>
      <c r="K118" s="110">
        <f t="shared" si="2"/>
        <v>11</v>
      </c>
      <c r="L118" s="108" t="str">
        <f t="shared" si="3"/>
        <v>2023-Q4</v>
      </c>
      <c r="M118" s="111" t="str">
        <f t="shared" si="4"/>
        <v>2023-11</v>
      </c>
      <c r="N118" s="112" t="str">
        <f t="shared" si="5"/>
        <v>2023-H2</v>
      </c>
    </row>
    <row r="119">
      <c r="A119" s="108" t="s">
        <v>136</v>
      </c>
      <c r="J119" s="108" t="str">
        <f t="shared" si="1"/>
        <v>2023</v>
      </c>
      <c r="K119" s="110">
        <f t="shared" si="2"/>
        <v>11</v>
      </c>
      <c r="L119" s="108" t="str">
        <f t="shared" si="3"/>
        <v>2023-Q4</v>
      </c>
      <c r="M119" s="111" t="str">
        <f t="shared" si="4"/>
        <v>2023-11</v>
      </c>
      <c r="N119" s="112" t="str">
        <f t="shared" si="5"/>
        <v>2023-H2</v>
      </c>
    </row>
    <row r="120">
      <c r="A120" s="108" t="s">
        <v>136</v>
      </c>
      <c r="J120" s="108" t="str">
        <f t="shared" si="1"/>
        <v>2023</v>
      </c>
      <c r="K120" s="110">
        <f t="shared" si="2"/>
        <v>11</v>
      </c>
      <c r="L120" s="108" t="str">
        <f t="shared" si="3"/>
        <v>2023-Q4</v>
      </c>
      <c r="M120" s="111" t="str">
        <f t="shared" si="4"/>
        <v>2023-11</v>
      </c>
      <c r="N120" s="112" t="str">
        <f t="shared" si="5"/>
        <v>2023-H2</v>
      </c>
    </row>
    <row r="121">
      <c r="A121" s="108" t="s">
        <v>136</v>
      </c>
      <c r="J121" s="108" t="str">
        <f t="shared" si="1"/>
        <v>2023</v>
      </c>
      <c r="K121" s="110">
        <f t="shared" si="2"/>
        <v>11</v>
      </c>
      <c r="L121" s="108" t="str">
        <f t="shared" si="3"/>
        <v>2023-Q4</v>
      </c>
      <c r="M121" s="111" t="str">
        <f t="shared" si="4"/>
        <v>2023-11</v>
      </c>
      <c r="N121" s="112" t="str">
        <f t="shared" si="5"/>
        <v>2023-H2</v>
      </c>
    </row>
    <row r="122">
      <c r="A122" s="108" t="s">
        <v>136</v>
      </c>
      <c r="J122" s="108" t="str">
        <f t="shared" si="1"/>
        <v>2023</v>
      </c>
      <c r="K122" s="110">
        <f t="shared" si="2"/>
        <v>11</v>
      </c>
      <c r="L122" s="108" t="str">
        <f t="shared" si="3"/>
        <v>2023-Q4</v>
      </c>
      <c r="M122" s="111" t="str">
        <f t="shared" si="4"/>
        <v>2023-11</v>
      </c>
      <c r="N122" s="112" t="str">
        <f t="shared" si="5"/>
        <v>2023-H2</v>
      </c>
    </row>
    <row r="123">
      <c r="A123" s="108" t="s">
        <v>136</v>
      </c>
      <c r="J123" s="108" t="str">
        <f t="shared" si="1"/>
        <v>2023</v>
      </c>
      <c r="K123" s="110">
        <f t="shared" si="2"/>
        <v>11</v>
      </c>
      <c r="L123" s="108" t="str">
        <f t="shared" si="3"/>
        <v>2023-Q4</v>
      </c>
      <c r="M123" s="111" t="str">
        <f t="shared" si="4"/>
        <v>2023-11</v>
      </c>
      <c r="N123" s="112" t="str">
        <f t="shared" si="5"/>
        <v>2023-H2</v>
      </c>
    </row>
    <row r="124">
      <c r="A124" s="108" t="s">
        <v>136</v>
      </c>
      <c r="J124" s="108" t="str">
        <f t="shared" si="1"/>
        <v>2023</v>
      </c>
      <c r="K124" s="110">
        <f t="shared" si="2"/>
        <v>11</v>
      </c>
      <c r="L124" s="108" t="str">
        <f t="shared" si="3"/>
        <v>2023-Q4</v>
      </c>
      <c r="M124" s="111" t="str">
        <f t="shared" si="4"/>
        <v>2023-11</v>
      </c>
      <c r="N124" s="112" t="str">
        <f t="shared" si="5"/>
        <v>2023-H2</v>
      </c>
    </row>
    <row r="125">
      <c r="A125" s="108" t="s">
        <v>136</v>
      </c>
      <c r="J125" s="108" t="str">
        <f t="shared" si="1"/>
        <v>2023</v>
      </c>
      <c r="K125" s="110">
        <f t="shared" si="2"/>
        <v>11</v>
      </c>
      <c r="L125" s="108" t="str">
        <f t="shared" si="3"/>
        <v>2023-Q4</v>
      </c>
      <c r="M125" s="111" t="str">
        <f t="shared" si="4"/>
        <v>2023-11</v>
      </c>
      <c r="N125" s="112" t="str">
        <f t="shared" si="5"/>
        <v>2023-H2</v>
      </c>
    </row>
    <row r="126">
      <c r="A126" s="108" t="s">
        <v>136</v>
      </c>
      <c r="J126" s="108" t="str">
        <f t="shared" si="1"/>
        <v>2023</v>
      </c>
      <c r="K126" s="110">
        <f t="shared" si="2"/>
        <v>11</v>
      </c>
      <c r="L126" s="108" t="str">
        <f t="shared" si="3"/>
        <v>2023-Q4</v>
      </c>
      <c r="M126" s="111" t="str">
        <f t="shared" si="4"/>
        <v>2023-11</v>
      </c>
      <c r="N126" s="112" t="str">
        <f t="shared" si="5"/>
        <v>2023-H2</v>
      </c>
    </row>
    <row r="127">
      <c r="A127" s="108" t="s">
        <v>136</v>
      </c>
      <c r="J127" s="108" t="str">
        <f t="shared" si="1"/>
        <v>2023</v>
      </c>
      <c r="K127" s="110">
        <f t="shared" si="2"/>
        <v>11</v>
      </c>
      <c r="L127" s="108" t="str">
        <f t="shared" si="3"/>
        <v>2023-Q4</v>
      </c>
      <c r="M127" s="111" t="str">
        <f t="shared" si="4"/>
        <v>2023-11</v>
      </c>
      <c r="N127" s="112" t="str">
        <f t="shared" si="5"/>
        <v>2023-H2</v>
      </c>
    </row>
    <row r="128">
      <c r="A128" s="108" t="s">
        <v>136</v>
      </c>
      <c r="J128" s="108" t="str">
        <f t="shared" si="1"/>
        <v>2023</v>
      </c>
      <c r="K128" s="110">
        <f t="shared" si="2"/>
        <v>11</v>
      </c>
      <c r="L128" s="108" t="str">
        <f t="shared" si="3"/>
        <v>2023-Q4</v>
      </c>
      <c r="M128" s="111" t="str">
        <f t="shared" si="4"/>
        <v>2023-11</v>
      </c>
      <c r="N128" s="112" t="str">
        <f t="shared" si="5"/>
        <v>2023-H2</v>
      </c>
    </row>
    <row r="129">
      <c r="A129" s="108" t="s">
        <v>136</v>
      </c>
      <c r="J129" s="108" t="str">
        <f t="shared" si="1"/>
        <v>2023</v>
      </c>
      <c r="K129" s="110">
        <f t="shared" si="2"/>
        <v>11</v>
      </c>
      <c r="L129" s="108" t="str">
        <f t="shared" si="3"/>
        <v>2023-Q4</v>
      </c>
      <c r="M129" s="111" t="str">
        <f t="shared" si="4"/>
        <v>2023-11</v>
      </c>
      <c r="N129" s="112" t="str">
        <f t="shared" si="5"/>
        <v>2023-H2</v>
      </c>
    </row>
    <row r="130">
      <c r="A130" s="108" t="s">
        <v>136</v>
      </c>
      <c r="J130" s="108" t="str">
        <f t="shared" si="1"/>
        <v>2023</v>
      </c>
      <c r="K130" s="110">
        <f t="shared" si="2"/>
        <v>11</v>
      </c>
      <c r="L130" s="108" t="str">
        <f t="shared" si="3"/>
        <v>2023-Q4</v>
      </c>
      <c r="M130" s="111" t="str">
        <f t="shared" si="4"/>
        <v>2023-11</v>
      </c>
      <c r="N130" s="112" t="str">
        <f t="shared" si="5"/>
        <v>2023-H2</v>
      </c>
    </row>
    <row r="131">
      <c r="A131" s="108" t="s">
        <v>136</v>
      </c>
      <c r="J131" s="108" t="str">
        <f t="shared" si="1"/>
        <v>2023</v>
      </c>
      <c r="K131" s="110">
        <f t="shared" si="2"/>
        <v>11</v>
      </c>
      <c r="L131" s="108" t="str">
        <f t="shared" si="3"/>
        <v>2023-Q4</v>
      </c>
      <c r="M131" s="111" t="str">
        <f t="shared" si="4"/>
        <v>2023-11</v>
      </c>
      <c r="N131" s="112" t="str">
        <f t="shared" si="5"/>
        <v>2023-H2</v>
      </c>
    </row>
    <row r="132">
      <c r="A132" s="108" t="s">
        <v>136</v>
      </c>
      <c r="J132" s="108" t="str">
        <f t="shared" si="1"/>
        <v>2023</v>
      </c>
      <c r="K132" s="110">
        <f t="shared" si="2"/>
        <v>12</v>
      </c>
      <c r="L132" s="108" t="str">
        <f t="shared" si="3"/>
        <v>2023-Q4</v>
      </c>
      <c r="M132" s="111" t="str">
        <f t="shared" si="4"/>
        <v>2023-12</v>
      </c>
      <c r="N132" s="112" t="str">
        <f t="shared" si="5"/>
        <v>2023-H2</v>
      </c>
    </row>
    <row r="133">
      <c r="A133" s="108" t="s">
        <v>136</v>
      </c>
      <c r="J133" s="108" t="str">
        <f t="shared" si="1"/>
        <v>2023</v>
      </c>
      <c r="K133" s="110">
        <f t="shared" si="2"/>
        <v>11</v>
      </c>
      <c r="L133" s="108" t="str">
        <f t="shared" si="3"/>
        <v>2023-Q4</v>
      </c>
      <c r="M133" s="111" t="str">
        <f t="shared" si="4"/>
        <v>2023-11</v>
      </c>
      <c r="N133" s="112" t="str">
        <f t="shared" si="5"/>
        <v>2023-H2</v>
      </c>
    </row>
    <row r="134">
      <c r="A134" s="108" t="s">
        <v>136</v>
      </c>
      <c r="J134" s="108" t="str">
        <f t="shared" si="1"/>
        <v>2023</v>
      </c>
      <c r="K134" s="110">
        <f t="shared" si="2"/>
        <v>11</v>
      </c>
      <c r="L134" s="108" t="str">
        <f t="shared" si="3"/>
        <v>2023-Q4</v>
      </c>
      <c r="M134" s="111" t="str">
        <f t="shared" si="4"/>
        <v>2023-11</v>
      </c>
      <c r="N134" s="112" t="str">
        <f t="shared" si="5"/>
        <v>2023-H2</v>
      </c>
    </row>
    <row r="135">
      <c r="A135" s="108" t="s">
        <v>136</v>
      </c>
      <c r="J135" s="108" t="str">
        <f t="shared" si="1"/>
        <v>2023</v>
      </c>
      <c r="K135" s="110">
        <f t="shared" si="2"/>
        <v>12</v>
      </c>
      <c r="L135" s="108" t="str">
        <f t="shared" si="3"/>
        <v>2023-Q4</v>
      </c>
      <c r="M135" s="111" t="str">
        <f t="shared" si="4"/>
        <v>2023-12</v>
      </c>
      <c r="N135" s="112" t="str">
        <f t="shared" si="5"/>
        <v>2023-H2</v>
      </c>
    </row>
    <row r="136">
      <c r="A136" s="108" t="s">
        <v>136</v>
      </c>
      <c r="J136" s="108" t="str">
        <f t="shared" si="1"/>
        <v>2023</v>
      </c>
      <c r="K136" s="110">
        <f t="shared" si="2"/>
        <v>11</v>
      </c>
      <c r="L136" s="108" t="str">
        <f t="shared" si="3"/>
        <v>2023-Q4</v>
      </c>
      <c r="M136" s="111" t="str">
        <f t="shared" si="4"/>
        <v>2023-11</v>
      </c>
      <c r="N136" s="112" t="str">
        <f t="shared" si="5"/>
        <v>2023-H2</v>
      </c>
    </row>
    <row r="137">
      <c r="A137" s="108" t="s">
        <v>136</v>
      </c>
      <c r="J137" s="108" t="str">
        <f t="shared" si="1"/>
        <v>2023</v>
      </c>
      <c r="K137" s="110">
        <f t="shared" si="2"/>
        <v>11</v>
      </c>
      <c r="L137" s="108" t="str">
        <f t="shared" si="3"/>
        <v>2023-Q4</v>
      </c>
      <c r="M137" s="111" t="str">
        <f t="shared" si="4"/>
        <v>2023-11</v>
      </c>
      <c r="N137" s="112" t="str">
        <f t="shared" si="5"/>
        <v>2023-H2</v>
      </c>
    </row>
    <row r="138">
      <c r="A138" s="108" t="s">
        <v>136</v>
      </c>
      <c r="J138" s="108" t="str">
        <f t="shared" si="1"/>
        <v>2023</v>
      </c>
      <c r="K138" s="110">
        <f t="shared" si="2"/>
        <v>12</v>
      </c>
      <c r="L138" s="108" t="str">
        <f t="shared" si="3"/>
        <v>2023-Q4</v>
      </c>
      <c r="M138" s="111" t="str">
        <f t="shared" si="4"/>
        <v>2023-12</v>
      </c>
      <c r="N138" s="112" t="str">
        <f t="shared" si="5"/>
        <v>2023-H2</v>
      </c>
    </row>
    <row r="139">
      <c r="A139" s="108" t="s">
        <v>136</v>
      </c>
      <c r="J139" s="108" t="str">
        <f t="shared" si="1"/>
        <v>2023</v>
      </c>
      <c r="K139" s="110">
        <f t="shared" si="2"/>
        <v>12</v>
      </c>
      <c r="L139" s="108" t="str">
        <f t="shared" si="3"/>
        <v>2023-Q4</v>
      </c>
      <c r="M139" s="111" t="str">
        <f t="shared" si="4"/>
        <v>2023-12</v>
      </c>
      <c r="N139" s="112" t="str">
        <f t="shared" si="5"/>
        <v>2023-H2</v>
      </c>
    </row>
    <row r="140">
      <c r="A140" s="108" t="s">
        <v>136</v>
      </c>
      <c r="J140" s="108" t="str">
        <f t="shared" si="1"/>
        <v>2023</v>
      </c>
      <c r="K140" s="110">
        <f t="shared" si="2"/>
        <v>12</v>
      </c>
      <c r="L140" s="108" t="str">
        <f t="shared" si="3"/>
        <v>2023-Q4</v>
      </c>
      <c r="M140" s="111" t="str">
        <f t="shared" si="4"/>
        <v>2023-12</v>
      </c>
      <c r="N140" s="112" t="str">
        <f t="shared" si="5"/>
        <v>2023-H2</v>
      </c>
    </row>
    <row r="141">
      <c r="A141" s="108" t="s">
        <v>136</v>
      </c>
      <c r="J141" s="108" t="str">
        <f t="shared" si="1"/>
        <v>2023</v>
      </c>
      <c r="K141" s="110">
        <f t="shared" si="2"/>
        <v>12</v>
      </c>
      <c r="L141" s="108" t="str">
        <f t="shared" si="3"/>
        <v>2023-Q4</v>
      </c>
      <c r="M141" s="111" t="str">
        <f t="shared" si="4"/>
        <v>2023-12</v>
      </c>
      <c r="N141" s="112" t="str">
        <f t="shared" si="5"/>
        <v>2023-H2</v>
      </c>
    </row>
    <row r="142">
      <c r="A142" s="108" t="s">
        <v>136</v>
      </c>
      <c r="J142" s="108" t="str">
        <f t="shared" si="1"/>
        <v>2023</v>
      </c>
      <c r="K142" s="110">
        <f t="shared" si="2"/>
        <v>12</v>
      </c>
      <c r="L142" s="108" t="str">
        <f t="shared" si="3"/>
        <v>2023-Q4</v>
      </c>
      <c r="M142" s="111" t="str">
        <f t="shared" si="4"/>
        <v>2023-12</v>
      </c>
      <c r="N142" s="112" t="str">
        <f t="shared" si="5"/>
        <v>2023-H2</v>
      </c>
    </row>
    <row r="143">
      <c r="A143" s="108" t="s">
        <v>136</v>
      </c>
      <c r="J143" s="108" t="str">
        <f t="shared" si="1"/>
        <v>2023</v>
      </c>
      <c r="K143" s="110">
        <f t="shared" si="2"/>
        <v>12</v>
      </c>
      <c r="L143" s="108" t="str">
        <f t="shared" si="3"/>
        <v>2023-Q4</v>
      </c>
      <c r="M143" s="111" t="str">
        <f t="shared" si="4"/>
        <v>2023-12</v>
      </c>
      <c r="N143" s="112" t="str">
        <f t="shared" si="5"/>
        <v>2023-H2</v>
      </c>
    </row>
    <row r="144">
      <c r="A144" s="108" t="s">
        <v>136</v>
      </c>
      <c r="J144" s="108" t="str">
        <f t="shared" si="1"/>
        <v>2023</v>
      </c>
      <c r="K144" s="110">
        <f t="shared" si="2"/>
        <v>12</v>
      </c>
      <c r="L144" s="108" t="str">
        <f t="shared" si="3"/>
        <v>2023-Q4</v>
      </c>
      <c r="M144" s="111" t="str">
        <f t="shared" si="4"/>
        <v>2023-12</v>
      </c>
      <c r="N144" s="112" t="str">
        <f t="shared" si="5"/>
        <v>2023-H2</v>
      </c>
    </row>
    <row r="145">
      <c r="A145" s="108" t="s">
        <v>136</v>
      </c>
      <c r="J145" s="108" t="str">
        <f t="shared" si="1"/>
        <v>2023</v>
      </c>
      <c r="K145" s="110">
        <f t="shared" si="2"/>
        <v>12</v>
      </c>
      <c r="L145" s="108" t="str">
        <f t="shared" si="3"/>
        <v>2023-Q4</v>
      </c>
      <c r="M145" s="111" t="str">
        <f t="shared" si="4"/>
        <v>2023-12</v>
      </c>
      <c r="N145" s="112" t="str">
        <f t="shared" si="5"/>
        <v>2023-H2</v>
      </c>
    </row>
    <row r="146">
      <c r="A146" s="108" t="s">
        <v>136</v>
      </c>
      <c r="J146" s="108" t="str">
        <f t="shared" si="1"/>
        <v>2023</v>
      </c>
      <c r="K146" s="110">
        <f t="shared" si="2"/>
        <v>12</v>
      </c>
      <c r="L146" s="108" t="str">
        <f t="shared" si="3"/>
        <v>2023-Q4</v>
      </c>
      <c r="M146" s="111" t="str">
        <f t="shared" si="4"/>
        <v>2023-12</v>
      </c>
      <c r="N146" s="112" t="str">
        <f t="shared" si="5"/>
        <v>2023-H2</v>
      </c>
    </row>
    <row r="147">
      <c r="A147" s="108" t="s">
        <v>136</v>
      </c>
      <c r="J147" s="108" t="str">
        <f t="shared" si="1"/>
        <v>2023</v>
      </c>
      <c r="K147" s="110">
        <f t="shared" si="2"/>
        <v>12</v>
      </c>
      <c r="L147" s="108" t="str">
        <f t="shared" si="3"/>
        <v>2023-Q4</v>
      </c>
      <c r="M147" s="111" t="str">
        <f t="shared" si="4"/>
        <v>2023-12</v>
      </c>
      <c r="N147" s="112" t="str">
        <f t="shared" si="5"/>
        <v>2023-H2</v>
      </c>
    </row>
    <row r="148">
      <c r="A148" s="108" t="s">
        <v>136</v>
      </c>
      <c r="J148" s="108" t="str">
        <f t="shared" si="1"/>
        <v>2023</v>
      </c>
      <c r="K148" s="110">
        <f t="shared" si="2"/>
        <v>12</v>
      </c>
      <c r="L148" s="108" t="str">
        <f t="shared" si="3"/>
        <v>2023-Q4</v>
      </c>
      <c r="M148" s="111" t="str">
        <f t="shared" si="4"/>
        <v>2023-12</v>
      </c>
      <c r="N148" s="112" t="str">
        <f t="shared" si="5"/>
        <v>2023-H2</v>
      </c>
    </row>
    <row r="149">
      <c r="A149" s="108" t="s">
        <v>136</v>
      </c>
      <c r="J149" s="108" t="str">
        <f t="shared" si="1"/>
        <v>2023</v>
      </c>
      <c r="K149" s="110">
        <f t="shared" si="2"/>
        <v>11</v>
      </c>
      <c r="L149" s="108" t="str">
        <f t="shared" si="3"/>
        <v>2023-Q4</v>
      </c>
      <c r="M149" s="111" t="str">
        <f t="shared" si="4"/>
        <v>2023-11</v>
      </c>
      <c r="N149" s="112" t="str">
        <f t="shared" si="5"/>
        <v>2023-H2</v>
      </c>
    </row>
    <row r="150">
      <c r="A150" s="108" t="s">
        <v>136</v>
      </c>
      <c r="J150" s="108" t="str">
        <f t="shared" si="1"/>
        <v>2023</v>
      </c>
      <c r="K150" s="110">
        <f t="shared" si="2"/>
        <v>12</v>
      </c>
      <c r="L150" s="108" t="str">
        <f t="shared" si="3"/>
        <v>2023-Q4</v>
      </c>
      <c r="M150" s="111" t="str">
        <f t="shared" si="4"/>
        <v>2023-12</v>
      </c>
      <c r="N150" s="112" t="str">
        <f t="shared" si="5"/>
        <v>2023-H2</v>
      </c>
    </row>
    <row r="151">
      <c r="A151" s="108" t="s">
        <v>136</v>
      </c>
      <c r="J151" s="108" t="str">
        <f t="shared" si="1"/>
        <v>2023</v>
      </c>
      <c r="K151" s="110">
        <f t="shared" si="2"/>
        <v>12</v>
      </c>
      <c r="L151" s="108" t="str">
        <f t="shared" si="3"/>
        <v>2023-Q4</v>
      </c>
      <c r="M151" s="111" t="str">
        <f t="shared" si="4"/>
        <v>2023-12</v>
      </c>
      <c r="N151" s="112" t="str">
        <f t="shared" si="5"/>
        <v>2023-H2</v>
      </c>
    </row>
    <row r="152">
      <c r="A152" s="108" t="s">
        <v>136</v>
      </c>
      <c r="J152" s="108" t="str">
        <f t="shared" si="1"/>
        <v>2023</v>
      </c>
      <c r="K152" s="110">
        <f t="shared" si="2"/>
        <v>12</v>
      </c>
      <c r="L152" s="108" t="str">
        <f t="shared" si="3"/>
        <v>2023-Q4</v>
      </c>
      <c r="M152" s="111" t="str">
        <f t="shared" si="4"/>
        <v>2023-12</v>
      </c>
      <c r="N152" s="112" t="str">
        <f t="shared" si="5"/>
        <v>2023-H2</v>
      </c>
    </row>
    <row r="153">
      <c r="A153" s="108" t="s">
        <v>136</v>
      </c>
      <c r="J153" s="108" t="str">
        <f t="shared" si="1"/>
        <v>2023</v>
      </c>
      <c r="K153" s="110">
        <f t="shared" si="2"/>
        <v>12</v>
      </c>
      <c r="L153" s="108" t="str">
        <f t="shared" si="3"/>
        <v>2023-Q4</v>
      </c>
      <c r="M153" s="111" t="str">
        <f t="shared" si="4"/>
        <v>2023-12</v>
      </c>
      <c r="N153" s="112" t="str">
        <f t="shared" si="5"/>
        <v>2023-H2</v>
      </c>
    </row>
    <row r="154">
      <c r="A154" s="108" t="s">
        <v>136</v>
      </c>
      <c r="J154" s="108" t="str">
        <f t="shared" si="1"/>
        <v>2023</v>
      </c>
      <c r="K154" s="110">
        <f t="shared" si="2"/>
        <v>12</v>
      </c>
      <c r="L154" s="108" t="str">
        <f t="shared" si="3"/>
        <v>2023-Q4</v>
      </c>
      <c r="M154" s="111" t="str">
        <f t="shared" si="4"/>
        <v>2023-12</v>
      </c>
      <c r="N154" s="112" t="str">
        <f t="shared" si="5"/>
        <v>2023-H2</v>
      </c>
    </row>
    <row r="155">
      <c r="A155" s="108" t="s">
        <v>136</v>
      </c>
      <c r="J155" s="108" t="str">
        <f t="shared" si="1"/>
        <v>2023</v>
      </c>
      <c r="K155" s="110">
        <f t="shared" si="2"/>
        <v>12</v>
      </c>
      <c r="L155" s="108" t="str">
        <f t="shared" si="3"/>
        <v>2023-Q4</v>
      </c>
      <c r="M155" s="111" t="str">
        <f t="shared" si="4"/>
        <v>2023-12</v>
      </c>
      <c r="N155" s="112" t="str">
        <f t="shared" si="5"/>
        <v>2023-H2</v>
      </c>
    </row>
    <row r="156">
      <c r="A156" s="108" t="s">
        <v>136</v>
      </c>
      <c r="J156" s="108" t="str">
        <f t="shared" si="1"/>
        <v>2023</v>
      </c>
      <c r="K156" s="110">
        <f t="shared" si="2"/>
        <v>12</v>
      </c>
      <c r="L156" s="108" t="str">
        <f t="shared" si="3"/>
        <v>2023-Q4</v>
      </c>
      <c r="M156" s="111" t="str">
        <f t="shared" si="4"/>
        <v>2023-12</v>
      </c>
      <c r="N156" s="112" t="str">
        <f t="shared" si="5"/>
        <v>2023-H2</v>
      </c>
    </row>
    <row r="157">
      <c r="A157" s="108" t="s">
        <v>136</v>
      </c>
      <c r="J157" s="108" t="str">
        <f t="shared" si="1"/>
        <v>2023</v>
      </c>
      <c r="K157" s="110">
        <f t="shared" si="2"/>
        <v>12</v>
      </c>
      <c r="L157" s="108" t="str">
        <f t="shared" si="3"/>
        <v>2023-Q4</v>
      </c>
      <c r="M157" s="111" t="str">
        <f t="shared" si="4"/>
        <v>2023-12</v>
      </c>
      <c r="N157" s="112" t="str">
        <f t="shared" si="5"/>
        <v>2023-H2</v>
      </c>
    </row>
    <row r="158">
      <c r="A158" s="108" t="s">
        <v>136</v>
      </c>
      <c r="J158" s="108" t="str">
        <f t="shared" si="1"/>
        <v>2024</v>
      </c>
      <c r="K158" s="110">
        <f t="shared" si="2"/>
        <v>1</v>
      </c>
      <c r="L158" s="108" t="str">
        <f t="shared" si="3"/>
        <v>2024-Q1</v>
      </c>
      <c r="M158" s="111" t="str">
        <f t="shared" si="4"/>
        <v>2024-01</v>
      </c>
      <c r="N158" s="112" t="str">
        <f t="shared" si="5"/>
        <v>2024-H1</v>
      </c>
    </row>
    <row r="159">
      <c r="A159" s="108" t="s">
        <v>136</v>
      </c>
      <c r="J159" s="108" t="str">
        <f t="shared" si="1"/>
        <v>2023</v>
      </c>
      <c r="K159" s="110">
        <f t="shared" si="2"/>
        <v>12</v>
      </c>
      <c r="L159" s="108" t="str">
        <f t="shared" si="3"/>
        <v>2023-Q4</v>
      </c>
      <c r="M159" s="111" t="str">
        <f t="shared" si="4"/>
        <v>2023-12</v>
      </c>
      <c r="N159" s="112" t="str">
        <f t="shared" si="5"/>
        <v>2023-H2</v>
      </c>
    </row>
    <row r="160">
      <c r="A160" s="108" t="s">
        <v>136</v>
      </c>
      <c r="J160" s="108" t="str">
        <f t="shared" si="1"/>
        <v>2023</v>
      </c>
      <c r="K160" s="110">
        <f t="shared" si="2"/>
        <v>12</v>
      </c>
      <c r="L160" s="108" t="str">
        <f t="shared" si="3"/>
        <v>2023-Q4</v>
      </c>
      <c r="M160" s="111" t="str">
        <f t="shared" si="4"/>
        <v>2023-12</v>
      </c>
      <c r="N160" s="112" t="str">
        <f t="shared" si="5"/>
        <v>2023-H2</v>
      </c>
    </row>
    <row r="161">
      <c r="A161" s="108" t="s">
        <v>136</v>
      </c>
      <c r="J161" s="108" t="str">
        <f t="shared" si="1"/>
        <v>2023</v>
      </c>
      <c r="K161" s="110">
        <f t="shared" si="2"/>
        <v>12</v>
      </c>
      <c r="L161" s="108" t="str">
        <f t="shared" si="3"/>
        <v>2023-Q4</v>
      </c>
      <c r="M161" s="111" t="str">
        <f t="shared" si="4"/>
        <v>2023-12</v>
      </c>
      <c r="N161" s="112" t="str">
        <f t="shared" si="5"/>
        <v>2023-H2</v>
      </c>
    </row>
    <row r="162">
      <c r="A162" s="108" t="s">
        <v>136</v>
      </c>
      <c r="J162" s="108" t="str">
        <f t="shared" si="1"/>
        <v>2023</v>
      </c>
      <c r="K162" s="110">
        <f t="shared" si="2"/>
        <v>12</v>
      </c>
      <c r="L162" s="108" t="str">
        <f t="shared" si="3"/>
        <v>2023-Q4</v>
      </c>
      <c r="M162" s="111" t="str">
        <f t="shared" si="4"/>
        <v>2023-12</v>
      </c>
      <c r="N162" s="112" t="str">
        <f t="shared" si="5"/>
        <v>2023-H2</v>
      </c>
    </row>
    <row r="163">
      <c r="A163" s="108" t="s">
        <v>136</v>
      </c>
      <c r="J163" s="108" t="str">
        <f t="shared" si="1"/>
        <v>2024</v>
      </c>
      <c r="K163" s="110">
        <f t="shared" si="2"/>
        <v>1</v>
      </c>
      <c r="L163" s="108" t="str">
        <f t="shared" si="3"/>
        <v>2024-Q1</v>
      </c>
      <c r="M163" s="111" t="str">
        <f t="shared" si="4"/>
        <v>2024-01</v>
      </c>
      <c r="N163" s="112" t="str">
        <f t="shared" si="5"/>
        <v>2024-H1</v>
      </c>
    </row>
    <row r="164">
      <c r="A164" s="108" t="s">
        <v>136</v>
      </c>
      <c r="J164" s="108" t="str">
        <f t="shared" si="1"/>
        <v>2024</v>
      </c>
      <c r="K164" s="110">
        <f t="shared" si="2"/>
        <v>1</v>
      </c>
      <c r="L164" s="108" t="str">
        <f t="shared" si="3"/>
        <v>2024-Q1</v>
      </c>
      <c r="M164" s="111" t="str">
        <f t="shared" si="4"/>
        <v>2024-01</v>
      </c>
      <c r="N164" s="112" t="str">
        <f t="shared" si="5"/>
        <v>2024-H1</v>
      </c>
    </row>
    <row r="165">
      <c r="A165" s="108" t="s">
        <v>136</v>
      </c>
      <c r="J165" s="108" t="str">
        <f t="shared" si="1"/>
        <v>2023</v>
      </c>
      <c r="K165" s="110">
        <f t="shared" si="2"/>
        <v>12</v>
      </c>
      <c r="L165" s="108" t="str">
        <f t="shared" si="3"/>
        <v>2023-Q4</v>
      </c>
      <c r="M165" s="111" t="str">
        <f t="shared" si="4"/>
        <v>2023-12</v>
      </c>
      <c r="N165" s="112" t="str">
        <f t="shared" si="5"/>
        <v>2023-H2</v>
      </c>
    </row>
    <row r="166">
      <c r="A166" s="108" t="s">
        <v>136</v>
      </c>
      <c r="J166" s="108" t="str">
        <f t="shared" si="1"/>
        <v>2023</v>
      </c>
      <c r="K166" s="110">
        <f t="shared" si="2"/>
        <v>12</v>
      </c>
      <c r="L166" s="108" t="str">
        <f t="shared" si="3"/>
        <v>2023-Q4</v>
      </c>
      <c r="M166" s="111" t="str">
        <f t="shared" si="4"/>
        <v>2023-12</v>
      </c>
      <c r="N166" s="112" t="str">
        <f t="shared" si="5"/>
        <v>2023-H2</v>
      </c>
    </row>
    <row r="167">
      <c r="A167" s="108" t="s">
        <v>136</v>
      </c>
      <c r="J167" s="108" t="str">
        <f t="shared" si="1"/>
        <v>2024</v>
      </c>
      <c r="K167" s="110">
        <f t="shared" si="2"/>
        <v>1</v>
      </c>
      <c r="L167" s="108" t="str">
        <f t="shared" si="3"/>
        <v>2024-Q1</v>
      </c>
      <c r="M167" s="111" t="str">
        <f t="shared" si="4"/>
        <v>2024-01</v>
      </c>
      <c r="N167" s="112" t="str">
        <f t="shared" si="5"/>
        <v>2024-H1</v>
      </c>
    </row>
    <row r="168">
      <c r="A168" s="108" t="s">
        <v>136</v>
      </c>
      <c r="J168" s="108" t="str">
        <f t="shared" si="1"/>
        <v>2024</v>
      </c>
      <c r="K168" s="110">
        <f t="shared" si="2"/>
        <v>1</v>
      </c>
      <c r="L168" s="108" t="str">
        <f t="shared" si="3"/>
        <v>2024-Q1</v>
      </c>
      <c r="M168" s="111" t="str">
        <f t="shared" si="4"/>
        <v>2024-01</v>
      </c>
      <c r="N168" s="112" t="str">
        <f t="shared" si="5"/>
        <v>2024-H1</v>
      </c>
    </row>
    <row r="169">
      <c r="A169" s="108" t="s">
        <v>136</v>
      </c>
      <c r="J169" s="108" t="str">
        <f t="shared" si="1"/>
        <v>2023</v>
      </c>
      <c r="K169" s="110">
        <f t="shared" si="2"/>
        <v>12</v>
      </c>
      <c r="L169" s="108" t="str">
        <f t="shared" si="3"/>
        <v>2023-Q4</v>
      </c>
      <c r="M169" s="111" t="str">
        <f t="shared" si="4"/>
        <v>2023-12</v>
      </c>
      <c r="N169" s="112" t="str">
        <f t="shared" si="5"/>
        <v>2023-H2</v>
      </c>
    </row>
    <row r="170">
      <c r="A170" s="108" t="s">
        <v>136</v>
      </c>
      <c r="J170" s="108" t="str">
        <f t="shared" si="1"/>
        <v>2024</v>
      </c>
      <c r="K170" s="110">
        <f t="shared" si="2"/>
        <v>1</v>
      </c>
      <c r="L170" s="108" t="str">
        <f t="shared" si="3"/>
        <v>2024-Q1</v>
      </c>
      <c r="M170" s="111" t="str">
        <f t="shared" si="4"/>
        <v>2024-01</v>
      </c>
      <c r="N170" s="112" t="str">
        <f t="shared" si="5"/>
        <v>2024-H1</v>
      </c>
    </row>
    <row r="171">
      <c r="A171" s="108" t="s">
        <v>136</v>
      </c>
      <c r="J171" s="108" t="str">
        <f t="shared" si="1"/>
        <v>2023</v>
      </c>
      <c r="K171" s="110">
        <f t="shared" si="2"/>
        <v>12</v>
      </c>
      <c r="L171" s="108" t="str">
        <f t="shared" si="3"/>
        <v>2023-Q4</v>
      </c>
      <c r="M171" s="111" t="str">
        <f t="shared" si="4"/>
        <v>2023-12</v>
      </c>
      <c r="N171" s="112" t="str">
        <f t="shared" si="5"/>
        <v>2023-H2</v>
      </c>
    </row>
    <row r="172">
      <c r="A172" s="108" t="s">
        <v>136</v>
      </c>
      <c r="J172" s="108" t="str">
        <f t="shared" si="1"/>
        <v>2023</v>
      </c>
      <c r="K172" s="110">
        <f t="shared" si="2"/>
        <v>12</v>
      </c>
      <c r="L172" s="108" t="str">
        <f t="shared" si="3"/>
        <v>2023-Q4</v>
      </c>
      <c r="M172" s="111" t="str">
        <f t="shared" si="4"/>
        <v>2023-12</v>
      </c>
      <c r="N172" s="112" t="str">
        <f t="shared" si="5"/>
        <v>2023-H2</v>
      </c>
    </row>
    <row r="173">
      <c r="A173" s="108" t="s">
        <v>136</v>
      </c>
      <c r="J173" s="108" t="str">
        <f t="shared" si="1"/>
        <v>2024</v>
      </c>
      <c r="K173" s="110">
        <f t="shared" si="2"/>
        <v>1</v>
      </c>
      <c r="L173" s="108" t="str">
        <f t="shared" si="3"/>
        <v>2024-Q1</v>
      </c>
      <c r="M173" s="111" t="str">
        <f t="shared" si="4"/>
        <v>2024-01</v>
      </c>
      <c r="N173" s="112" t="str">
        <f t="shared" si="5"/>
        <v>2024-H1</v>
      </c>
    </row>
    <row r="174">
      <c r="A174" s="108" t="s">
        <v>136</v>
      </c>
      <c r="J174" s="108" t="str">
        <f t="shared" si="1"/>
        <v>2023</v>
      </c>
      <c r="K174" s="110">
        <f t="shared" si="2"/>
        <v>12</v>
      </c>
      <c r="L174" s="108" t="str">
        <f t="shared" si="3"/>
        <v>2023-Q4</v>
      </c>
      <c r="M174" s="111" t="str">
        <f t="shared" si="4"/>
        <v>2023-12</v>
      </c>
      <c r="N174" s="112" t="str">
        <f t="shared" si="5"/>
        <v>2023-H2</v>
      </c>
    </row>
    <row r="175">
      <c r="A175" s="108" t="s">
        <v>136</v>
      </c>
      <c r="J175" s="108" t="str">
        <f t="shared" si="1"/>
        <v>2024</v>
      </c>
      <c r="K175" s="110">
        <f t="shared" si="2"/>
        <v>1</v>
      </c>
      <c r="L175" s="108" t="str">
        <f t="shared" si="3"/>
        <v>2024-Q1</v>
      </c>
      <c r="M175" s="111" t="str">
        <f t="shared" si="4"/>
        <v>2024-01</v>
      </c>
      <c r="N175" s="112" t="str">
        <f t="shared" si="5"/>
        <v>2024-H1</v>
      </c>
    </row>
    <row r="176">
      <c r="A176" s="108" t="s">
        <v>136</v>
      </c>
      <c r="J176" s="108" t="str">
        <f t="shared" si="1"/>
        <v>2024</v>
      </c>
      <c r="K176" s="110">
        <f t="shared" si="2"/>
        <v>1</v>
      </c>
      <c r="L176" s="108" t="str">
        <f t="shared" si="3"/>
        <v>2024-Q1</v>
      </c>
      <c r="M176" s="111" t="str">
        <f t="shared" si="4"/>
        <v>2024-01</v>
      </c>
      <c r="N176" s="112" t="str">
        <f t="shared" si="5"/>
        <v>2024-H1</v>
      </c>
    </row>
    <row r="177">
      <c r="A177" s="108" t="s">
        <v>136</v>
      </c>
      <c r="J177" s="108" t="str">
        <f t="shared" si="1"/>
        <v>2024</v>
      </c>
      <c r="K177" s="110">
        <f t="shared" si="2"/>
        <v>1</v>
      </c>
      <c r="L177" s="108" t="str">
        <f t="shared" si="3"/>
        <v>2024-Q1</v>
      </c>
      <c r="M177" s="111" t="str">
        <f t="shared" si="4"/>
        <v>2024-01</v>
      </c>
      <c r="N177" s="112" t="str">
        <f t="shared" si="5"/>
        <v>2024-H1</v>
      </c>
    </row>
    <row r="178">
      <c r="A178" s="108" t="s">
        <v>136</v>
      </c>
      <c r="J178" s="108" t="str">
        <f t="shared" si="1"/>
        <v>2024</v>
      </c>
      <c r="K178" s="110">
        <f t="shared" si="2"/>
        <v>1</v>
      </c>
      <c r="L178" s="108" t="str">
        <f t="shared" si="3"/>
        <v>2024-Q1</v>
      </c>
      <c r="M178" s="111" t="str">
        <f t="shared" si="4"/>
        <v>2024-01</v>
      </c>
      <c r="N178" s="112" t="str">
        <f t="shared" si="5"/>
        <v>2024-H1</v>
      </c>
    </row>
    <row r="179">
      <c r="A179" s="108" t="s">
        <v>136</v>
      </c>
      <c r="J179" s="108" t="str">
        <f t="shared" si="1"/>
        <v>2024</v>
      </c>
      <c r="K179" s="110">
        <f t="shared" si="2"/>
        <v>1</v>
      </c>
      <c r="L179" s="108" t="str">
        <f t="shared" si="3"/>
        <v>2024-Q1</v>
      </c>
      <c r="M179" s="111" t="str">
        <f t="shared" si="4"/>
        <v>2024-01</v>
      </c>
      <c r="N179" s="112" t="str">
        <f t="shared" si="5"/>
        <v>2024-H1</v>
      </c>
    </row>
    <row r="180">
      <c r="A180" s="108" t="s">
        <v>136</v>
      </c>
      <c r="J180" s="108" t="str">
        <f t="shared" si="1"/>
        <v>2024</v>
      </c>
      <c r="K180" s="110">
        <f t="shared" si="2"/>
        <v>1</v>
      </c>
      <c r="L180" s="108" t="str">
        <f t="shared" si="3"/>
        <v>2024-Q1</v>
      </c>
      <c r="M180" s="111" t="str">
        <f t="shared" si="4"/>
        <v>2024-01</v>
      </c>
      <c r="N180" s="112" t="str">
        <f t="shared" si="5"/>
        <v>2024-H1</v>
      </c>
    </row>
    <row r="181">
      <c r="A181" s="108" t="s">
        <v>136</v>
      </c>
      <c r="J181" s="108" t="str">
        <f t="shared" si="1"/>
        <v>2024</v>
      </c>
      <c r="K181" s="110">
        <f t="shared" si="2"/>
        <v>1</v>
      </c>
      <c r="L181" s="108" t="str">
        <f t="shared" si="3"/>
        <v>2024-Q1</v>
      </c>
      <c r="M181" s="111" t="str">
        <f t="shared" si="4"/>
        <v>2024-01</v>
      </c>
      <c r="N181" s="112" t="str">
        <f t="shared" si="5"/>
        <v>2024-H1</v>
      </c>
    </row>
    <row r="182">
      <c r="A182" s="108" t="s">
        <v>136</v>
      </c>
      <c r="J182" s="108" t="str">
        <f t="shared" si="1"/>
        <v>2024</v>
      </c>
      <c r="K182" s="110">
        <f t="shared" si="2"/>
        <v>1</v>
      </c>
      <c r="L182" s="108" t="str">
        <f t="shared" si="3"/>
        <v>2024-Q1</v>
      </c>
      <c r="M182" s="111" t="str">
        <f t="shared" si="4"/>
        <v>2024-01</v>
      </c>
      <c r="N182" s="112" t="str">
        <f t="shared" si="5"/>
        <v>2024-H1</v>
      </c>
    </row>
    <row r="183">
      <c r="A183" s="108" t="s">
        <v>136</v>
      </c>
      <c r="J183" s="108" t="str">
        <f t="shared" si="1"/>
        <v>2024</v>
      </c>
      <c r="K183" s="110">
        <f t="shared" si="2"/>
        <v>1</v>
      </c>
      <c r="L183" s="108" t="str">
        <f t="shared" si="3"/>
        <v>2024-Q1</v>
      </c>
      <c r="M183" s="111" t="str">
        <f t="shared" si="4"/>
        <v>2024-01</v>
      </c>
      <c r="N183" s="112" t="str">
        <f t="shared" si="5"/>
        <v>2024-H1</v>
      </c>
    </row>
    <row r="184">
      <c r="A184" s="108" t="s">
        <v>136</v>
      </c>
      <c r="J184" s="108" t="str">
        <f t="shared" si="1"/>
        <v>2023</v>
      </c>
      <c r="K184" s="110">
        <f t="shared" si="2"/>
        <v>12</v>
      </c>
      <c r="L184" s="108" t="str">
        <f t="shared" si="3"/>
        <v>2023-Q4</v>
      </c>
      <c r="M184" s="111" t="str">
        <f t="shared" si="4"/>
        <v>2023-12</v>
      </c>
      <c r="N184" s="112" t="str">
        <f t="shared" si="5"/>
        <v>2023-H2</v>
      </c>
    </row>
    <row r="185">
      <c r="A185" s="108" t="s">
        <v>136</v>
      </c>
      <c r="J185" s="108" t="str">
        <f t="shared" si="1"/>
        <v>2024</v>
      </c>
      <c r="K185" s="110">
        <f t="shared" si="2"/>
        <v>1</v>
      </c>
      <c r="L185" s="108" t="str">
        <f t="shared" si="3"/>
        <v>2024-Q1</v>
      </c>
      <c r="M185" s="111" t="str">
        <f t="shared" si="4"/>
        <v>2024-01</v>
      </c>
      <c r="N185" s="112" t="str">
        <f t="shared" si="5"/>
        <v>2024-H1</v>
      </c>
    </row>
    <row r="186">
      <c r="A186" s="108" t="s">
        <v>136</v>
      </c>
      <c r="J186" s="108" t="str">
        <f t="shared" si="1"/>
        <v>2024</v>
      </c>
      <c r="K186" s="110">
        <f t="shared" si="2"/>
        <v>1</v>
      </c>
      <c r="L186" s="108" t="str">
        <f t="shared" si="3"/>
        <v>2024-Q1</v>
      </c>
      <c r="M186" s="111" t="str">
        <f t="shared" si="4"/>
        <v>2024-01</v>
      </c>
      <c r="N186" s="112" t="str">
        <f t="shared" si="5"/>
        <v>2024-H1</v>
      </c>
    </row>
    <row r="187">
      <c r="A187" s="108" t="s">
        <v>136</v>
      </c>
      <c r="J187" s="108" t="str">
        <f t="shared" si="1"/>
        <v>2024</v>
      </c>
      <c r="K187" s="110">
        <f t="shared" si="2"/>
        <v>1</v>
      </c>
      <c r="L187" s="108" t="str">
        <f t="shared" si="3"/>
        <v>2024-Q1</v>
      </c>
      <c r="M187" s="111" t="str">
        <f t="shared" si="4"/>
        <v>2024-01</v>
      </c>
      <c r="N187" s="112" t="str">
        <f t="shared" si="5"/>
        <v>2024-H1</v>
      </c>
    </row>
    <row r="188">
      <c r="A188" s="108" t="s">
        <v>136</v>
      </c>
      <c r="J188" s="108" t="str">
        <f t="shared" si="1"/>
        <v>2024</v>
      </c>
      <c r="K188" s="110">
        <f t="shared" si="2"/>
        <v>1</v>
      </c>
      <c r="L188" s="108" t="str">
        <f t="shared" si="3"/>
        <v>2024-Q1</v>
      </c>
      <c r="M188" s="111" t="str">
        <f t="shared" si="4"/>
        <v>2024-01</v>
      </c>
      <c r="N188" s="112" t="str">
        <f t="shared" si="5"/>
        <v>2024-H1</v>
      </c>
    </row>
    <row r="189">
      <c r="A189" s="108" t="s">
        <v>136</v>
      </c>
      <c r="J189" s="108" t="str">
        <f t="shared" si="1"/>
        <v>2024</v>
      </c>
      <c r="K189" s="110">
        <f t="shared" si="2"/>
        <v>1</v>
      </c>
      <c r="L189" s="108" t="str">
        <f t="shared" si="3"/>
        <v>2024-Q1</v>
      </c>
      <c r="M189" s="111" t="str">
        <f t="shared" si="4"/>
        <v>2024-01</v>
      </c>
      <c r="N189" s="112" t="str">
        <f t="shared" si="5"/>
        <v>2024-H1</v>
      </c>
    </row>
    <row r="190">
      <c r="A190" s="108" t="s">
        <v>136</v>
      </c>
      <c r="J190" s="108" t="str">
        <f t="shared" si="1"/>
        <v>2024</v>
      </c>
      <c r="K190" s="110">
        <f t="shared" si="2"/>
        <v>1</v>
      </c>
      <c r="L190" s="108" t="str">
        <f t="shared" si="3"/>
        <v>2024-Q1</v>
      </c>
      <c r="M190" s="111" t="str">
        <f t="shared" si="4"/>
        <v>2024-01</v>
      </c>
      <c r="N190" s="112" t="str">
        <f t="shared" si="5"/>
        <v>2024-H1</v>
      </c>
    </row>
    <row r="191">
      <c r="A191" s="108" t="s">
        <v>136</v>
      </c>
      <c r="J191" s="108" t="str">
        <f t="shared" si="1"/>
        <v>2024</v>
      </c>
      <c r="K191" s="110">
        <f t="shared" si="2"/>
        <v>1</v>
      </c>
      <c r="L191" s="108" t="str">
        <f t="shared" si="3"/>
        <v>2024-Q1</v>
      </c>
      <c r="M191" s="111" t="str">
        <f t="shared" si="4"/>
        <v>2024-01</v>
      </c>
      <c r="N191" s="112" t="str">
        <f t="shared" si="5"/>
        <v>2024-H1</v>
      </c>
    </row>
    <row r="192">
      <c r="A192" s="108" t="s">
        <v>136</v>
      </c>
      <c r="J192" s="108" t="str">
        <f t="shared" si="1"/>
        <v>2024</v>
      </c>
      <c r="K192" s="110">
        <f t="shared" si="2"/>
        <v>1</v>
      </c>
      <c r="L192" s="108" t="str">
        <f t="shared" si="3"/>
        <v>2024-Q1</v>
      </c>
      <c r="M192" s="111" t="str">
        <f t="shared" si="4"/>
        <v>2024-01</v>
      </c>
      <c r="N192" s="112" t="str">
        <f t="shared" si="5"/>
        <v>2024-H1</v>
      </c>
    </row>
    <row r="193">
      <c r="A193" s="108" t="s">
        <v>136</v>
      </c>
      <c r="J193" s="108" t="str">
        <f t="shared" si="1"/>
        <v>2024</v>
      </c>
      <c r="K193" s="110">
        <f t="shared" si="2"/>
        <v>1</v>
      </c>
      <c r="L193" s="108" t="str">
        <f t="shared" si="3"/>
        <v>2024-Q1</v>
      </c>
      <c r="M193" s="111" t="str">
        <f t="shared" si="4"/>
        <v>2024-01</v>
      </c>
      <c r="N193" s="112" t="str">
        <f t="shared" si="5"/>
        <v>2024-H1</v>
      </c>
    </row>
    <row r="194">
      <c r="A194" s="108" t="s">
        <v>136</v>
      </c>
      <c r="J194" s="108" t="str">
        <f t="shared" si="1"/>
        <v>2024</v>
      </c>
      <c r="K194" s="110">
        <f t="shared" si="2"/>
        <v>1</v>
      </c>
      <c r="L194" s="108" t="str">
        <f t="shared" si="3"/>
        <v>2024-Q1</v>
      </c>
      <c r="M194" s="111" t="str">
        <f t="shared" si="4"/>
        <v>2024-01</v>
      </c>
      <c r="N194" s="112" t="str">
        <f t="shared" si="5"/>
        <v>2024-H1</v>
      </c>
    </row>
    <row r="195">
      <c r="A195" s="108" t="s">
        <v>136</v>
      </c>
      <c r="J195" s="108" t="str">
        <f t="shared" si="1"/>
        <v>2024</v>
      </c>
      <c r="K195" s="110">
        <f t="shared" si="2"/>
        <v>1</v>
      </c>
      <c r="L195" s="108" t="str">
        <f t="shared" si="3"/>
        <v>2024-Q1</v>
      </c>
      <c r="M195" s="111" t="str">
        <f t="shared" si="4"/>
        <v>2024-01</v>
      </c>
      <c r="N195" s="112" t="str">
        <f t="shared" si="5"/>
        <v>2024-H1</v>
      </c>
    </row>
    <row r="196">
      <c r="A196" s="108" t="s">
        <v>136</v>
      </c>
      <c r="J196" s="108" t="str">
        <f t="shared" si="1"/>
        <v>2024</v>
      </c>
      <c r="K196" s="110">
        <f t="shared" si="2"/>
        <v>1</v>
      </c>
      <c r="L196" s="108" t="str">
        <f t="shared" si="3"/>
        <v>2024-Q1</v>
      </c>
      <c r="M196" s="111" t="str">
        <f t="shared" si="4"/>
        <v>2024-01</v>
      </c>
      <c r="N196" s="112" t="str">
        <f t="shared" si="5"/>
        <v>2024-H1</v>
      </c>
    </row>
    <row r="197">
      <c r="A197" s="108" t="s">
        <v>136</v>
      </c>
      <c r="J197" s="108" t="str">
        <f t="shared" si="1"/>
        <v>2024</v>
      </c>
      <c r="K197" s="110">
        <f t="shared" si="2"/>
        <v>1</v>
      </c>
      <c r="L197" s="108" t="str">
        <f t="shared" si="3"/>
        <v>2024-Q1</v>
      </c>
      <c r="M197" s="111" t="str">
        <f t="shared" si="4"/>
        <v>2024-01</v>
      </c>
      <c r="N197" s="112" t="str">
        <f t="shared" si="5"/>
        <v>2024-H1</v>
      </c>
    </row>
    <row r="198">
      <c r="A198" s="108" t="s">
        <v>136</v>
      </c>
      <c r="J198" s="108" t="str">
        <f t="shared" si="1"/>
        <v>2024</v>
      </c>
      <c r="K198" s="110">
        <f t="shared" si="2"/>
        <v>1</v>
      </c>
      <c r="L198" s="108" t="str">
        <f t="shared" si="3"/>
        <v>2024-Q1</v>
      </c>
      <c r="M198" s="111" t="str">
        <f t="shared" si="4"/>
        <v>2024-01</v>
      </c>
      <c r="N198" s="112" t="str">
        <f t="shared" si="5"/>
        <v>2024-H1</v>
      </c>
    </row>
    <row r="199">
      <c r="A199" s="108" t="s">
        <v>136</v>
      </c>
      <c r="J199" s="108" t="str">
        <f t="shared" si="1"/>
        <v>2024</v>
      </c>
      <c r="K199" s="110">
        <f t="shared" si="2"/>
        <v>1</v>
      </c>
      <c r="L199" s="108" t="str">
        <f t="shared" si="3"/>
        <v>2024-Q1</v>
      </c>
      <c r="M199" s="111" t="str">
        <f t="shared" si="4"/>
        <v>2024-01</v>
      </c>
      <c r="N199" s="112" t="str">
        <f t="shared" si="5"/>
        <v>2024-H1</v>
      </c>
    </row>
    <row r="200">
      <c r="A200" s="108" t="s">
        <v>136</v>
      </c>
      <c r="J200" s="108" t="str">
        <f t="shared" si="1"/>
        <v>2024</v>
      </c>
      <c r="K200" s="110">
        <f t="shared" si="2"/>
        <v>1</v>
      </c>
      <c r="L200" s="108" t="str">
        <f t="shared" si="3"/>
        <v>2024-Q1</v>
      </c>
      <c r="M200" s="111" t="str">
        <f t="shared" si="4"/>
        <v>2024-01</v>
      </c>
      <c r="N200" s="112" t="str">
        <f t="shared" si="5"/>
        <v>2024-H1</v>
      </c>
    </row>
    <row r="201">
      <c r="A201" s="108" t="s">
        <v>136</v>
      </c>
      <c r="J201" s="108" t="str">
        <f t="shared" si="1"/>
        <v>2024</v>
      </c>
      <c r="K201" s="110">
        <f t="shared" si="2"/>
        <v>2</v>
      </c>
      <c r="L201" s="108" t="str">
        <f t="shared" si="3"/>
        <v>2024-Q1</v>
      </c>
      <c r="M201" s="111" t="str">
        <f t="shared" si="4"/>
        <v>2024-02</v>
      </c>
      <c r="N201" s="112" t="str">
        <f t="shared" si="5"/>
        <v>2024-H1</v>
      </c>
    </row>
    <row r="202">
      <c r="A202" s="108" t="s">
        <v>136</v>
      </c>
      <c r="J202" s="108" t="str">
        <f t="shared" si="1"/>
        <v>2024</v>
      </c>
      <c r="K202" s="110">
        <f t="shared" si="2"/>
        <v>1</v>
      </c>
      <c r="L202" s="108" t="str">
        <f t="shared" si="3"/>
        <v>2024-Q1</v>
      </c>
      <c r="M202" s="111" t="str">
        <f t="shared" si="4"/>
        <v>2024-01</v>
      </c>
      <c r="N202" s="112" t="str">
        <f t="shared" si="5"/>
        <v>2024-H1</v>
      </c>
    </row>
    <row r="203">
      <c r="A203" s="108" t="s">
        <v>136</v>
      </c>
      <c r="J203" s="108" t="str">
        <f t="shared" si="1"/>
        <v>2024</v>
      </c>
      <c r="K203" s="110">
        <f t="shared" si="2"/>
        <v>1</v>
      </c>
      <c r="L203" s="108" t="str">
        <f t="shared" si="3"/>
        <v>2024-Q1</v>
      </c>
      <c r="M203" s="111" t="str">
        <f t="shared" si="4"/>
        <v>2024-01</v>
      </c>
      <c r="N203" s="112" t="str">
        <f t="shared" si="5"/>
        <v>2024-H1</v>
      </c>
    </row>
    <row r="204">
      <c r="A204" s="108" t="s">
        <v>136</v>
      </c>
      <c r="J204" s="108" t="str">
        <f t="shared" si="1"/>
        <v>2024</v>
      </c>
      <c r="K204" s="110">
        <f t="shared" si="2"/>
        <v>1</v>
      </c>
      <c r="L204" s="108" t="str">
        <f t="shared" si="3"/>
        <v>2024-Q1</v>
      </c>
      <c r="M204" s="111" t="str">
        <f t="shared" si="4"/>
        <v>2024-01</v>
      </c>
      <c r="N204" s="112" t="str">
        <f t="shared" si="5"/>
        <v>2024-H1</v>
      </c>
    </row>
    <row r="205">
      <c r="A205" s="108" t="s">
        <v>136</v>
      </c>
      <c r="J205" s="108" t="str">
        <f t="shared" si="1"/>
        <v>2024</v>
      </c>
      <c r="K205" s="110">
        <f t="shared" si="2"/>
        <v>2</v>
      </c>
      <c r="L205" s="108" t="str">
        <f t="shared" si="3"/>
        <v>2024-Q1</v>
      </c>
      <c r="M205" s="111" t="str">
        <f t="shared" si="4"/>
        <v>2024-02</v>
      </c>
      <c r="N205" s="112" t="str">
        <f t="shared" si="5"/>
        <v>2024-H1</v>
      </c>
    </row>
    <row r="206">
      <c r="A206" s="108" t="s">
        <v>136</v>
      </c>
      <c r="J206" s="108" t="str">
        <f t="shared" si="1"/>
        <v>2024</v>
      </c>
      <c r="K206" s="110">
        <f t="shared" si="2"/>
        <v>2</v>
      </c>
      <c r="L206" s="108" t="str">
        <f t="shared" si="3"/>
        <v>2024-Q1</v>
      </c>
      <c r="M206" s="111" t="str">
        <f t="shared" si="4"/>
        <v>2024-02</v>
      </c>
      <c r="N206" s="112" t="str">
        <f t="shared" si="5"/>
        <v>2024-H1</v>
      </c>
    </row>
    <row r="207">
      <c r="A207" s="108" t="s">
        <v>136</v>
      </c>
      <c r="J207" s="108" t="str">
        <f t="shared" si="1"/>
        <v>2024</v>
      </c>
      <c r="K207" s="110">
        <f t="shared" si="2"/>
        <v>1</v>
      </c>
      <c r="L207" s="108" t="str">
        <f t="shared" si="3"/>
        <v>2024-Q1</v>
      </c>
      <c r="M207" s="111" t="str">
        <f t="shared" si="4"/>
        <v>2024-01</v>
      </c>
      <c r="N207" s="112" t="str">
        <f t="shared" si="5"/>
        <v>2024-H1</v>
      </c>
    </row>
    <row r="208">
      <c r="A208" s="108" t="s">
        <v>136</v>
      </c>
      <c r="J208" s="108" t="str">
        <f t="shared" si="1"/>
        <v>2024</v>
      </c>
      <c r="K208" s="110">
        <f t="shared" si="2"/>
        <v>1</v>
      </c>
      <c r="L208" s="108" t="str">
        <f t="shared" si="3"/>
        <v>2024-Q1</v>
      </c>
      <c r="M208" s="111" t="str">
        <f t="shared" si="4"/>
        <v>2024-01</v>
      </c>
      <c r="N208" s="112" t="str">
        <f t="shared" si="5"/>
        <v>2024-H1</v>
      </c>
    </row>
    <row r="209">
      <c r="A209" s="108" t="s">
        <v>136</v>
      </c>
      <c r="J209" s="108" t="str">
        <f t="shared" si="1"/>
        <v>2024</v>
      </c>
      <c r="K209" s="110">
        <f t="shared" si="2"/>
        <v>1</v>
      </c>
      <c r="L209" s="108" t="str">
        <f t="shared" si="3"/>
        <v>2024-Q1</v>
      </c>
      <c r="M209" s="111" t="str">
        <f t="shared" si="4"/>
        <v>2024-01</v>
      </c>
      <c r="N209" s="112" t="str">
        <f t="shared" si="5"/>
        <v>2024-H1</v>
      </c>
    </row>
    <row r="210">
      <c r="A210" s="108" t="s">
        <v>136</v>
      </c>
      <c r="J210" s="108" t="str">
        <f t="shared" si="1"/>
        <v>2024</v>
      </c>
      <c r="K210" s="110">
        <f t="shared" si="2"/>
        <v>2</v>
      </c>
      <c r="L210" s="108" t="str">
        <f t="shared" si="3"/>
        <v>2024-Q1</v>
      </c>
      <c r="M210" s="111" t="str">
        <f t="shared" si="4"/>
        <v>2024-02</v>
      </c>
      <c r="N210" s="112" t="str">
        <f t="shared" si="5"/>
        <v>2024-H1</v>
      </c>
    </row>
    <row r="211">
      <c r="A211" s="108" t="s">
        <v>136</v>
      </c>
      <c r="J211" s="108" t="str">
        <f t="shared" si="1"/>
        <v>2024</v>
      </c>
      <c r="K211" s="110">
        <f t="shared" si="2"/>
        <v>1</v>
      </c>
      <c r="L211" s="108" t="str">
        <f t="shared" si="3"/>
        <v>2024-Q1</v>
      </c>
      <c r="M211" s="111" t="str">
        <f t="shared" si="4"/>
        <v>2024-01</v>
      </c>
      <c r="N211" s="112" t="str">
        <f t="shared" si="5"/>
        <v>2024-H1</v>
      </c>
    </row>
    <row r="212">
      <c r="A212" s="108" t="s">
        <v>136</v>
      </c>
      <c r="J212" s="108" t="str">
        <f t="shared" si="1"/>
        <v>2024</v>
      </c>
      <c r="K212" s="110">
        <f t="shared" si="2"/>
        <v>2</v>
      </c>
      <c r="L212" s="108" t="str">
        <f t="shared" si="3"/>
        <v>2024-Q1</v>
      </c>
      <c r="M212" s="111" t="str">
        <f t="shared" si="4"/>
        <v>2024-02</v>
      </c>
      <c r="N212" s="112" t="str">
        <f t="shared" si="5"/>
        <v>2024-H1</v>
      </c>
    </row>
    <row r="213">
      <c r="A213" s="108" t="s">
        <v>136</v>
      </c>
      <c r="J213" s="108" t="str">
        <f t="shared" si="1"/>
        <v>2024</v>
      </c>
      <c r="K213" s="110">
        <f t="shared" si="2"/>
        <v>2</v>
      </c>
      <c r="L213" s="108" t="str">
        <f t="shared" si="3"/>
        <v>2024-Q1</v>
      </c>
      <c r="M213" s="111" t="str">
        <f t="shared" si="4"/>
        <v>2024-02</v>
      </c>
      <c r="N213" s="112" t="str">
        <f t="shared" si="5"/>
        <v>2024-H1</v>
      </c>
    </row>
    <row r="214">
      <c r="A214" s="108" t="s">
        <v>136</v>
      </c>
      <c r="J214" s="108" t="str">
        <f t="shared" si="1"/>
        <v>2024</v>
      </c>
      <c r="K214" s="110">
        <f t="shared" si="2"/>
        <v>2</v>
      </c>
      <c r="L214" s="108" t="str">
        <f t="shared" si="3"/>
        <v>2024-Q1</v>
      </c>
      <c r="M214" s="111" t="str">
        <f t="shared" si="4"/>
        <v>2024-02</v>
      </c>
      <c r="N214" s="112" t="str">
        <f t="shared" si="5"/>
        <v>2024-H1</v>
      </c>
    </row>
    <row r="215">
      <c r="A215" s="108" t="s">
        <v>136</v>
      </c>
      <c r="J215" s="108" t="str">
        <f t="shared" si="1"/>
        <v>2024</v>
      </c>
      <c r="K215" s="110">
        <f t="shared" si="2"/>
        <v>2</v>
      </c>
      <c r="L215" s="108" t="str">
        <f t="shared" si="3"/>
        <v>2024-Q1</v>
      </c>
      <c r="M215" s="111" t="str">
        <f t="shared" si="4"/>
        <v>2024-02</v>
      </c>
      <c r="N215" s="112" t="str">
        <f t="shared" si="5"/>
        <v>2024-H1</v>
      </c>
    </row>
    <row r="216">
      <c r="A216" s="108" t="s">
        <v>136</v>
      </c>
      <c r="J216" s="108" t="str">
        <f t="shared" si="1"/>
        <v>2024</v>
      </c>
      <c r="K216" s="110">
        <f t="shared" si="2"/>
        <v>3</v>
      </c>
      <c r="L216" s="108" t="str">
        <f t="shared" si="3"/>
        <v>2024-Q1</v>
      </c>
      <c r="M216" s="111" t="str">
        <f t="shared" si="4"/>
        <v>2024-03</v>
      </c>
      <c r="N216" s="112" t="str">
        <f t="shared" si="5"/>
        <v>2024-H1</v>
      </c>
    </row>
    <row r="217">
      <c r="A217" s="108" t="s">
        <v>136</v>
      </c>
      <c r="J217" s="108" t="str">
        <f t="shared" si="1"/>
        <v>2024</v>
      </c>
      <c r="K217" s="110">
        <f t="shared" si="2"/>
        <v>2</v>
      </c>
      <c r="L217" s="108" t="str">
        <f t="shared" si="3"/>
        <v>2024-Q1</v>
      </c>
      <c r="M217" s="111" t="str">
        <f t="shared" si="4"/>
        <v>2024-02</v>
      </c>
      <c r="N217" s="112" t="str">
        <f t="shared" si="5"/>
        <v>2024-H1</v>
      </c>
    </row>
    <row r="218">
      <c r="A218" s="108" t="s">
        <v>136</v>
      </c>
      <c r="J218" s="108" t="str">
        <f t="shared" si="1"/>
        <v>2024</v>
      </c>
      <c r="K218" s="110">
        <f t="shared" si="2"/>
        <v>2</v>
      </c>
      <c r="L218" s="108" t="str">
        <f t="shared" si="3"/>
        <v>2024-Q1</v>
      </c>
      <c r="M218" s="111" t="str">
        <f t="shared" si="4"/>
        <v>2024-02</v>
      </c>
      <c r="N218" s="112" t="str">
        <f t="shared" si="5"/>
        <v>2024-H1</v>
      </c>
    </row>
    <row r="219">
      <c r="A219" s="108" t="s">
        <v>136</v>
      </c>
      <c r="J219" s="108" t="str">
        <f t="shared" si="1"/>
        <v>2024</v>
      </c>
      <c r="K219" s="110">
        <f t="shared" si="2"/>
        <v>2</v>
      </c>
      <c r="L219" s="108" t="str">
        <f t="shared" si="3"/>
        <v>2024-Q1</v>
      </c>
      <c r="M219" s="111" t="str">
        <f t="shared" si="4"/>
        <v>2024-02</v>
      </c>
      <c r="N219" s="112" t="str">
        <f t="shared" si="5"/>
        <v>2024-H1</v>
      </c>
    </row>
    <row r="220">
      <c r="A220" s="108" t="s">
        <v>136</v>
      </c>
      <c r="J220" s="108" t="str">
        <f t="shared" si="1"/>
        <v>2024</v>
      </c>
      <c r="K220" s="110">
        <f t="shared" si="2"/>
        <v>2</v>
      </c>
      <c r="L220" s="108" t="str">
        <f t="shared" si="3"/>
        <v>2024-Q1</v>
      </c>
      <c r="M220" s="111" t="str">
        <f t="shared" si="4"/>
        <v>2024-02</v>
      </c>
      <c r="N220" s="112" t="str">
        <f t="shared" si="5"/>
        <v>2024-H1</v>
      </c>
    </row>
    <row r="221">
      <c r="A221" s="108" t="s">
        <v>136</v>
      </c>
      <c r="J221" s="108" t="str">
        <f t="shared" si="1"/>
        <v>2024</v>
      </c>
      <c r="K221" s="110">
        <f t="shared" si="2"/>
        <v>3</v>
      </c>
      <c r="L221" s="108" t="str">
        <f t="shared" si="3"/>
        <v>2024-Q1</v>
      </c>
      <c r="M221" s="111" t="str">
        <f t="shared" si="4"/>
        <v>2024-03</v>
      </c>
      <c r="N221" s="112" t="str">
        <f t="shared" si="5"/>
        <v>2024-H1</v>
      </c>
    </row>
    <row r="222">
      <c r="A222" s="108" t="s">
        <v>136</v>
      </c>
      <c r="J222" s="108" t="str">
        <f t="shared" si="1"/>
        <v>2024</v>
      </c>
      <c r="K222" s="110">
        <f t="shared" si="2"/>
        <v>2</v>
      </c>
      <c r="L222" s="108" t="str">
        <f t="shared" si="3"/>
        <v>2024-Q1</v>
      </c>
      <c r="M222" s="111" t="str">
        <f t="shared" si="4"/>
        <v>2024-02</v>
      </c>
      <c r="N222" s="112" t="str">
        <f t="shared" si="5"/>
        <v>2024-H1</v>
      </c>
    </row>
    <row r="223">
      <c r="A223" s="108" t="s">
        <v>136</v>
      </c>
      <c r="J223" s="108" t="str">
        <f t="shared" si="1"/>
        <v>2024</v>
      </c>
      <c r="K223" s="110">
        <f t="shared" si="2"/>
        <v>2</v>
      </c>
      <c r="L223" s="108" t="str">
        <f t="shared" si="3"/>
        <v>2024-Q1</v>
      </c>
      <c r="M223" s="111" t="str">
        <f t="shared" si="4"/>
        <v>2024-02</v>
      </c>
      <c r="N223" s="112" t="str">
        <f t="shared" si="5"/>
        <v>2024-H1</v>
      </c>
    </row>
    <row r="224">
      <c r="A224" s="108" t="s">
        <v>136</v>
      </c>
      <c r="J224" s="108" t="str">
        <f t="shared" si="1"/>
        <v>2024</v>
      </c>
      <c r="K224" s="110">
        <f t="shared" si="2"/>
        <v>2</v>
      </c>
      <c r="L224" s="108" t="str">
        <f t="shared" si="3"/>
        <v>2024-Q1</v>
      </c>
      <c r="M224" s="111" t="str">
        <f t="shared" si="4"/>
        <v>2024-02</v>
      </c>
      <c r="N224" s="112" t="str">
        <f t="shared" si="5"/>
        <v>2024-H1</v>
      </c>
    </row>
    <row r="225">
      <c r="A225" s="108" t="s">
        <v>136</v>
      </c>
      <c r="J225" s="108" t="str">
        <f t="shared" si="1"/>
        <v>2024</v>
      </c>
      <c r="K225" s="110">
        <f t="shared" si="2"/>
        <v>2</v>
      </c>
      <c r="L225" s="108" t="str">
        <f t="shared" si="3"/>
        <v>2024-Q1</v>
      </c>
      <c r="M225" s="111" t="str">
        <f t="shared" si="4"/>
        <v>2024-02</v>
      </c>
      <c r="N225" s="112" t="str">
        <f t="shared" si="5"/>
        <v>2024-H1</v>
      </c>
    </row>
    <row r="226">
      <c r="A226" s="108" t="s">
        <v>136</v>
      </c>
      <c r="J226" s="108" t="str">
        <f t="shared" si="1"/>
        <v>2024</v>
      </c>
      <c r="K226" s="110">
        <f t="shared" si="2"/>
        <v>2</v>
      </c>
      <c r="L226" s="108" t="str">
        <f t="shared" si="3"/>
        <v>2024-Q1</v>
      </c>
      <c r="M226" s="111" t="str">
        <f t="shared" si="4"/>
        <v>2024-02</v>
      </c>
      <c r="N226" s="112" t="str">
        <f t="shared" si="5"/>
        <v>2024-H1</v>
      </c>
    </row>
    <row r="227">
      <c r="A227" s="108" t="s">
        <v>136</v>
      </c>
      <c r="J227" s="108" t="str">
        <f t="shared" si="1"/>
        <v>2024</v>
      </c>
      <c r="K227" s="110">
        <f t="shared" si="2"/>
        <v>2</v>
      </c>
      <c r="L227" s="108" t="str">
        <f t="shared" si="3"/>
        <v>2024-Q1</v>
      </c>
      <c r="M227" s="111" t="str">
        <f t="shared" si="4"/>
        <v>2024-02</v>
      </c>
      <c r="N227" s="112" t="str">
        <f t="shared" si="5"/>
        <v>2024-H1</v>
      </c>
    </row>
    <row r="228">
      <c r="A228" s="108" t="s">
        <v>136</v>
      </c>
      <c r="J228" s="108" t="str">
        <f t="shared" si="1"/>
        <v>2024</v>
      </c>
      <c r="K228" s="110">
        <f t="shared" si="2"/>
        <v>2</v>
      </c>
      <c r="L228" s="108" t="str">
        <f t="shared" si="3"/>
        <v>2024-Q1</v>
      </c>
      <c r="M228" s="111" t="str">
        <f t="shared" si="4"/>
        <v>2024-02</v>
      </c>
      <c r="N228" s="112" t="str">
        <f t="shared" si="5"/>
        <v>2024-H1</v>
      </c>
    </row>
    <row r="229">
      <c r="A229" s="108" t="s">
        <v>136</v>
      </c>
      <c r="J229" s="108" t="str">
        <f t="shared" si="1"/>
        <v>2024</v>
      </c>
      <c r="K229" s="110">
        <f t="shared" si="2"/>
        <v>2</v>
      </c>
      <c r="L229" s="108" t="str">
        <f t="shared" si="3"/>
        <v>2024-Q1</v>
      </c>
      <c r="M229" s="111" t="str">
        <f t="shared" si="4"/>
        <v>2024-02</v>
      </c>
      <c r="N229" s="112" t="str">
        <f t="shared" si="5"/>
        <v>2024-H1</v>
      </c>
    </row>
    <row r="230">
      <c r="A230" s="108" t="s">
        <v>136</v>
      </c>
      <c r="J230" s="108" t="str">
        <f t="shared" si="1"/>
        <v>2024</v>
      </c>
      <c r="K230" s="110">
        <f t="shared" si="2"/>
        <v>3</v>
      </c>
      <c r="L230" s="108" t="str">
        <f t="shared" si="3"/>
        <v>2024-Q1</v>
      </c>
      <c r="M230" s="111" t="str">
        <f t="shared" si="4"/>
        <v>2024-03</v>
      </c>
      <c r="N230" s="112" t="str">
        <f t="shared" si="5"/>
        <v>2024-H1</v>
      </c>
    </row>
    <row r="231">
      <c r="A231" s="108" t="s">
        <v>136</v>
      </c>
      <c r="J231" s="108" t="str">
        <f t="shared" si="1"/>
        <v>2024</v>
      </c>
      <c r="K231" s="110">
        <f t="shared" si="2"/>
        <v>2</v>
      </c>
      <c r="L231" s="108" t="str">
        <f t="shared" si="3"/>
        <v>2024-Q1</v>
      </c>
      <c r="M231" s="111" t="str">
        <f t="shared" si="4"/>
        <v>2024-02</v>
      </c>
      <c r="N231" s="112" t="str">
        <f t="shared" si="5"/>
        <v>2024-H1</v>
      </c>
    </row>
    <row r="232">
      <c r="A232" s="108" t="s">
        <v>136</v>
      </c>
      <c r="J232" s="108" t="str">
        <f t="shared" si="1"/>
        <v>2024</v>
      </c>
      <c r="K232" s="110">
        <f t="shared" si="2"/>
        <v>2</v>
      </c>
      <c r="L232" s="108" t="str">
        <f t="shared" si="3"/>
        <v>2024-Q1</v>
      </c>
      <c r="M232" s="111" t="str">
        <f t="shared" si="4"/>
        <v>2024-02</v>
      </c>
      <c r="N232" s="112" t="str">
        <f t="shared" si="5"/>
        <v>2024-H1</v>
      </c>
    </row>
    <row r="233">
      <c r="A233" s="108" t="s">
        <v>136</v>
      </c>
      <c r="J233" s="108" t="str">
        <f t="shared" si="1"/>
        <v>2024</v>
      </c>
      <c r="K233" s="110">
        <f t="shared" si="2"/>
        <v>3</v>
      </c>
      <c r="L233" s="108" t="str">
        <f t="shared" si="3"/>
        <v>2024-Q1</v>
      </c>
      <c r="M233" s="111" t="str">
        <f t="shared" si="4"/>
        <v>2024-03</v>
      </c>
      <c r="N233" s="112" t="str">
        <f t="shared" si="5"/>
        <v>2024-H1</v>
      </c>
    </row>
    <row r="234">
      <c r="A234" s="108" t="s">
        <v>136</v>
      </c>
      <c r="J234" s="108" t="str">
        <f t="shared" si="1"/>
        <v>2024</v>
      </c>
      <c r="K234" s="110">
        <f t="shared" si="2"/>
        <v>2</v>
      </c>
      <c r="L234" s="108" t="str">
        <f t="shared" si="3"/>
        <v>2024-Q1</v>
      </c>
      <c r="M234" s="111" t="str">
        <f t="shared" si="4"/>
        <v>2024-02</v>
      </c>
      <c r="N234" s="112" t="str">
        <f t="shared" si="5"/>
        <v>2024-H1</v>
      </c>
    </row>
    <row r="235">
      <c r="A235" s="108" t="s">
        <v>136</v>
      </c>
      <c r="J235" s="108" t="str">
        <f t="shared" si="1"/>
        <v>2024</v>
      </c>
      <c r="K235" s="110">
        <f t="shared" si="2"/>
        <v>2</v>
      </c>
      <c r="L235" s="108" t="str">
        <f t="shared" si="3"/>
        <v>2024-Q1</v>
      </c>
      <c r="M235" s="111" t="str">
        <f t="shared" si="4"/>
        <v>2024-02</v>
      </c>
      <c r="N235" s="112" t="str">
        <f t="shared" si="5"/>
        <v>2024-H1</v>
      </c>
    </row>
    <row r="236">
      <c r="A236" s="108" t="s">
        <v>136</v>
      </c>
      <c r="J236" s="108" t="str">
        <f t="shared" si="1"/>
        <v>2024</v>
      </c>
      <c r="K236" s="110">
        <f t="shared" si="2"/>
        <v>3</v>
      </c>
      <c r="L236" s="108" t="str">
        <f t="shared" si="3"/>
        <v>2024-Q1</v>
      </c>
      <c r="M236" s="111" t="str">
        <f t="shared" si="4"/>
        <v>2024-03</v>
      </c>
      <c r="N236" s="112" t="str">
        <f t="shared" si="5"/>
        <v>2024-H1</v>
      </c>
    </row>
    <row r="237">
      <c r="A237" s="108" t="s">
        <v>136</v>
      </c>
      <c r="J237" s="108" t="str">
        <f t="shared" si="1"/>
        <v>2024</v>
      </c>
      <c r="K237" s="110">
        <f t="shared" si="2"/>
        <v>2</v>
      </c>
      <c r="L237" s="108" t="str">
        <f t="shared" si="3"/>
        <v>2024-Q1</v>
      </c>
      <c r="M237" s="111" t="str">
        <f t="shared" si="4"/>
        <v>2024-02</v>
      </c>
      <c r="N237" s="112" t="str">
        <f t="shared" si="5"/>
        <v>2024-H1</v>
      </c>
    </row>
    <row r="238">
      <c r="A238" s="108" t="s">
        <v>136</v>
      </c>
      <c r="J238" s="108" t="str">
        <f t="shared" si="1"/>
        <v>2024</v>
      </c>
      <c r="K238" s="110">
        <f t="shared" si="2"/>
        <v>3</v>
      </c>
      <c r="L238" s="108" t="str">
        <f t="shared" si="3"/>
        <v>2024-Q1</v>
      </c>
      <c r="M238" s="111" t="str">
        <f t="shared" si="4"/>
        <v>2024-03</v>
      </c>
      <c r="N238" s="112" t="str">
        <f t="shared" si="5"/>
        <v>2024-H1</v>
      </c>
    </row>
    <row r="239">
      <c r="A239" s="108" t="s">
        <v>136</v>
      </c>
      <c r="J239" s="108" t="str">
        <f t="shared" si="1"/>
        <v>2024</v>
      </c>
      <c r="K239" s="110">
        <f t="shared" si="2"/>
        <v>3</v>
      </c>
      <c r="L239" s="108" t="str">
        <f t="shared" si="3"/>
        <v>2024-Q1</v>
      </c>
      <c r="M239" s="111" t="str">
        <f t="shared" si="4"/>
        <v>2024-03</v>
      </c>
      <c r="N239" s="112" t="str">
        <f t="shared" si="5"/>
        <v>2024-H1</v>
      </c>
    </row>
    <row r="240">
      <c r="A240" s="108" t="s">
        <v>136</v>
      </c>
      <c r="J240" s="108" t="str">
        <f t="shared" si="1"/>
        <v>2024</v>
      </c>
      <c r="K240" s="110">
        <f t="shared" si="2"/>
        <v>3</v>
      </c>
      <c r="L240" s="108" t="str">
        <f t="shared" si="3"/>
        <v>2024-Q1</v>
      </c>
      <c r="M240" s="111" t="str">
        <f t="shared" si="4"/>
        <v>2024-03</v>
      </c>
      <c r="N240" s="112" t="str">
        <f t="shared" si="5"/>
        <v>2024-H1</v>
      </c>
    </row>
    <row r="241">
      <c r="A241" s="108" t="s">
        <v>136</v>
      </c>
      <c r="J241" s="108" t="str">
        <f t="shared" si="1"/>
        <v>2024</v>
      </c>
      <c r="K241" s="110">
        <f t="shared" si="2"/>
        <v>3</v>
      </c>
      <c r="L241" s="108" t="str">
        <f t="shared" si="3"/>
        <v>2024-Q1</v>
      </c>
      <c r="M241" s="111" t="str">
        <f t="shared" si="4"/>
        <v>2024-03</v>
      </c>
      <c r="N241" s="112" t="str">
        <f t="shared" si="5"/>
        <v>2024-H1</v>
      </c>
    </row>
    <row r="242">
      <c r="A242" s="108" t="s">
        <v>136</v>
      </c>
      <c r="J242" s="108" t="str">
        <f t="shared" si="1"/>
        <v>2024</v>
      </c>
      <c r="K242" s="110">
        <f t="shared" si="2"/>
        <v>3</v>
      </c>
      <c r="L242" s="108" t="str">
        <f t="shared" si="3"/>
        <v>2024-Q1</v>
      </c>
      <c r="M242" s="111" t="str">
        <f t="shared" si="4"/>
        <v>2024-03</v>
      </c>
      <c r="N242" s="112" t="str">
        <f t="shared" si="5"/>
        <v>2024-H1</v>
      </c>
    </row>
    <row r="243">
      <c r="A243" s="108" t="s">
        <v>136</v>
      </c>
      <c r="J243" s="108" t="str">
        <f t="shared" si="1"/>
        <v>2024</v>
      </c>
      <c r="K243" s="110">
        <f t="shared" si="2"/>
        <v>3</v>
      </c>
      <c r="L243" s="108" t="str">
        <f t="shared" si="3"/>
        <v>2024-Q1</v>
      </c>
      <c r="M243" s="111" t="str">
        <f t="shared" si="4"/>
        <v>2024-03</v>
      </c>
      <c r="N243" s="112" t="str">
        <f t="shared" si="5"/>
        <v>2024-H1</v>
      </c>
    </row>
    <row r="244">
      <c r="A244" s="108" t="s">
        <v>136</v>
      </c>
      <c r="J244" s="108" t="str">
        <f t="shared" si="1"/>
        <v>2024</v>
      </c>
      <c r="K244" s="110">
        <f t="shared" si="2"/>
        <v>3</v>
      </c>
      <c r="L244" s="108" t="str">
        <f t="shared" si="3"/>
        <v>2024-Q1</v>
      </c>
      <c r="M244" s="111" t="str">
        <f t="shared" si="4"/>
        <v>2024-03</v>
      </c>
      <c r="N244" s="112" t="str">
        <f t="shared" si="5"/>
        <v>2024-H1</v>
      </c>
    </row>
    <row r="245">
      <c r="A245" s="108" t="s">
        <v>136</v>
      </c>
      <c r="J245" s="108" t="str">
        <f t="shared" si="1"/>
        <v>2024</v>
      </c>
      <c r="K245" s="110">
        <f t="shared" si="2"/>
        <v>2</v>
      </c>
      <c r="L245" s="108" t="str">
        <f t="shared" si="3"/>
        <v>2024-Q1</v>
      </c>
      <c r="M245" s="111" t="str">
        <f t="shared" si="4"/>
        <v>2024-02</v>
      </c>
      <c r="N245" s="112" t="str">
        <f t="shared" si="5"/>
        <v>2024-H1</v>
      </c>
    </row>
    <row r="246">
      <c r="A246" s="108" t="s">
        <v>136</v>
      </c>
      <c r="J246" s="108" t="str">
        <f t="shared" si="1"/>
        <v>2024</v>
      </c>
      <c r="K246" s="110">
        <f t="shared" si="2"/>
        <v>3</v>
      </c>
      <c r="L246" s="108" t="str">
        <f t="shared" si="3"/>
        <v>2024-Q1</v>
      </c>
      <c r="M246" s="111" t="str">
        <f t="shared" si="4"/>
        <v>2024-03</v>
      </c>
      <c r="N246" s="112" t="str">
        <f t="shared" si="5"/>
        <v>2024-H1</v>
      </c>
    </row>
    <row r="247">
      <c r="A247" s="108" t="s">
        <v>136</v>
      </c>
      <c r="J247" s="108" t="str">
        <f t="shared" si="1"/>
        <v>2024</v>
      </c>
      <c r="K247" s="110">
        <f t="shared" si="2"/>
        <v>3</v>
      </c>
      <c r="L247" s="108" t="str">
        <f t="shared" si="3"/>
        <v>2024-Q1</v>
      </c>
      <c r="M247" s="111" t="str">
        <f t="shared" si="4"/>
        <v>2024-03</v>
      </c>
      <c r="N247" s="112" t="str">
        <f t="shared" si="5"/>
        <v>2024-H1</v>
      </c>
    </row>
    <row r="248">
      <c r="A248" s="108" t="s">
        <v>136</v>
      </c>
      <c r="J248" s="108" t="str">
        <f t="shared" si="1"/>
        <v>2024</v>
      </c>
      <c r="K248" s="110">
        <f t="shared" si="2"/>
        <v>2</v>
      </c>
      <c r="L248" s="108" t="str">
        <f t="shared" si="3"/>
        <v>2024-Q1</v>
      </c>
      <c r="M248" s="111" t="str">
        <f t="shared" si="4"/>
        <v>2024-02</v>
      </c>
      <c r="N248" s="112" t="str">
        <f t="shared" si="5"/>
        <v>2024-H1</v>
      </c>
    </row>
    <row r="249">
      <c r="A249" s="108" t="s">
        <v>136</v>
      </c>
      <c r="J249" s="108" t="str">
        <f t="shared" si="1"/>
        <v>2024</v>
      </c>
      <c r="K249" s="110">
        <f t="shared" si="2"/>
        <v>3</v>
      </c>
      <c r="L249" s="108" t="str">
        <f t="shared" si="3"/>
        <v>2024-Q1</v>
      </c>
      <c r="M249" s="111" t="str">
        <f t="shared" si="4"/>
        <v>2024-03</v>
      </c>
      <c r="N249" s="112" t="str">
        <f t="shared" si="5"/>
        <v>2024-H1</v>
      </c>
    </row>
    <row r="250">
      <c r="A250" s="108" t="s">
        <v>136</v>
      </c>
      <c r="J250" s="108" t="str">
        <f t="shared" si="1"/>
        <v>2024</v>
      </c>
      <c r="K250" s="110">
        <f t="shared" si="2"/>
        <v>2</v>
      </c>
      <c r="L250" s="108" t="str">
        <f t="shared" si="3"/>
        <v>2024-Q1</v>
      </c>
      <c r="M250" s="111" t="str">
        <f t="shared" si="4"/>
        <v>2024-02</v>
      </c>
      <c r="N250" s="112" t="str">
        <f t="shared" si="5"/>
        <v>2024-H1</v>
      </c>
    </row>
    <row r="251">
      <c r="A251" s="108" t="s">
        <v>136</v>
      </c>
      <c r="J251" s="108" t="str">
        <f t="shared" si="1"/>
        <v>2024</v>
      </c>
      <c r="K251" s="110">
        <f t="shared" si="2"/>
        <v>2</v>
      </c>
      <c r="L251" s="108" t="str">
        <f t="shared" si="3"/>
        <v>2024-Q1</v>
      </c>
      <c r="M251" s="111" t="str">
        <f t="shared" si="4"/>
        <v>2024-02</v>
      </c>
      <c r="N251" s="112" t="str">
        <f t="shared" si="5"/>
        <v>2024-H1</v>
      </c>
    </row>
    <row r="252">
      <c r="A252" s="108" t="s">
        <v>136</v>
      </c>
      <c r="J252" s="108" t="str">
        <f t="shared" si="1"/>
        <v>2024</v>
      </c>
      <c r="K252" s="110">
        <f t="shared" si="2"/>
        <v>3</v>
      </c>
      <c r="L252" s="108" t="str">
        <f t="shared" si="3"/>
        <v>2024-Q1</v>
      </c>
      <c r="M252" s="111" t="str">
        <f t="shared" si="4"/>
        <v>2024-03</v>
      </c>
      <c r="N252" s="112" t="str">
        <f t="shared" si="5"/>
        <v>2024-H1</v>
      </c>
    </row>
    <row r="253">
      <c r="A253" s="108" t="s">
        <v>136</v>
      </c>
      <c r="J253" s="108" t="str">
        <f t="shared" si="1"/>
        <v>2024</v>
      </c>
      <c r="K253" s="110">
        <f t="shared" si="2"/>
        <v>4</v>
      </c>
      <c r="L253" s="108" t="str">
        <f t="shared" si="3"/>
        <v>2024-Q2</v>
      </c>
      <c r="M253" s="111" t="str">
        <f t="shared" si="4"/>
        <v>2024-04</v>
      </c>
      <c r="N253" s="112" t="str">
        <f t="shared" si="5"/>
        <v>2024-H1</v>
      </c>
    </row>
    <row r="254">
      <c r="A254" s="108" t="s">
        <v>136</v>
      </c>
      <c r="J254" s="108" t="str">
        <f t="shared" si="1"/>
        <v>2024</v>
      </c>
      <c r="K254" s="110">
        <f t="shared" si="2"/>
        <v>3</v>
      </c>
      <c r="L254" s="108" t="str">
        <f t="shared" si="3"/>
        <v>2024-Q1</v>
      </c>
      <c r="M254" s="111" t="str">
        <f t="shared" si="4"/>
        <v>2024-03</v>
      </c>
      <c r="N254" s="112" t="str">
        <f t="shared" si="5"/>
        <v>2024-H1</v>
      </c>
    </row>
    <row r="255">
      <c r="A255" s="108" t="s">
        <v>136</v>
      </c>
      <c r="J255" s="108" t="str">
        <f t="shared" si="1"/>
        <v>2024</v>
      </c>
      <c r="K255" s="110">
        <f t="shared" si="2"/>
        <v>3</v>
      </c>
      <c r="L255" s="108" t="str">
        <f t="shared" si="3"/>
        <v>2024-Q1</v>
      </c>
      <c r="M255" s="111" t="str">
        <f t="shared" si="4"/>
        <v>2024-03</v>
      </c>
      <c r="N255" s="112" t="str">
        <f t="shared" si="5"/>
        <v>2024-H1</v>
      </c>
    </row>
    <row r="256">
      <c r="A256" s="108" t="s">
        <v>136</v>
      </c>
      <c r="J256" s="108" t="str">
        <f t="shared" si="1"/>
        <v>2024</v>
      </c>
      <c r="K256" s="110">
        <f t="shared" si="2"/>
        <v>3</v>
      </c>
      <c r="L256" s="108" t="str">
        <f t="shared" si="3"/>
        <v>2024-Q1</v>
      </c>
      <c r="M256" s="111" t="str">
        <f t="shared" si="4"/>
        <v>2024-03</v>
      </c>
      <c r="N256" s="112" t="str">
        <f t="shared" si="5"/>
        <v>2024-H1</v>
      </c>
    </row>
    <row r="257">
      <c r="A257" s="108" t="s">
        <v>136</v>
      </c>
      <c r="J257" s="108" t="str">
        <f t="shared" si="1"/>
        <v>2024</v>
      </c>
      <c r="K257" s="110">
        <f t="shared" si="2"/>
        <v>4</v>
      </c>
      <c r="L257" s="108" t="str">
        <f t="shared" si="3"/>
        <v>2024-Q2</v>
      </c>
      <c r="M257" s="111" t="str">
        <f t="shared" si="4"/>
        <v>2024-04</v>
      </c>
      <c r="N257" s="112" t="str">
        <f t="shared" si="5"/>
        <v>2024-H1</v>
      </c>
    </row>
    <row r="258">
      <c r="A258" s="108" t="s">
        <v>136</v>
      </c>
      <c r="J258" s="108" t="str">
        <f t="shared" si="1"/>
        <v>2024</v>
      </c>
      <c r="K258" s="110">
        <f t="shared" si="2"/>
        <v>3</v>
      </c>
      <c r="L258" s="108" t="str">
        <f t="shared" si="3"/>
        <v>2024-Q1</v>
      </c>
      <c r="M258" s="111" t="str">
        <f t="shared" si="4"/>
        <v>2024-03</v>
      </c>
      <c r="N258" s="112" t="str">
        <f t="shared" si="5"/>
        <v>2024-H1</v>
      </c>
    </row>
    <row r="259">
      <c r="A259" s="108" t="s">
        <v>136</v>
      </c>
      <c r="J259" s="108" t="str">
        <f t="shared" si="1"/>
        <v>2024</v>
      </c>
      <c r="K259" s="110">
        <f t="shared" si="2"/>
        <v>4</v>
      </c>
      <c r="L259" s="108" t="str">
        <f t="shared" si="3"/>
        <v>2024-Q2</v>
      </c>
      <c r="M259" s="111" t="str">
        <f t="shared" si="4"/>
        <v>2024-04</v>
      </c>
      <c r="N259" s="112" t="str">
        <f t="shared" si="5"/>
        <v>2024-H1</v>
      </c>
    </row>
    <row r="260">
      <c r="A260" s="108" t="s">
        <v>136</v>
      </c>
      <c r="J260" s="108" t="str">
        <f t="shared" si="1"/>
        <v>2024</v>
      </c>
      <c r="K260" s="110">
        <f t="shared" si="2"/>
        <v>3</v>
      </c>
      <c r="L260" s="108" t="str">
        <f t="shared" si="3"/>
        <v>2024-Q1</v>
      </c>
      <c r="M260" s="111" t="str">
        <f t="shared" si="4"/>
        <v>2024-03</v>
      </c>
      <c r="N260" s="112" t="str">
        <f t="shared" si="5"/>
        <v>2024-H1</v>
      </c>
    </row>
    <row r="261">
      <c r="A261" s="108" t="s">
        <v>136</v>
      </c>
      <c r="J261" s="108" t="str">
        <f t="shared" si="1"/>
        <v>2024</v>
      </c>
      <c r="K261" s="110">
        <f t="shared" si="2"/>
        <v>4</v>
      </c>
      <c r="L261" s="108" t="str">
        <f t="shared" si="3"/>
        <v>2024-Q2</v>
      </c>
      <c r="M261" s="111" t="str">
        <f t="shared" si="4"/>
        <v>2024-04</v>
      </c>
      <c r="N261" s="112" t="str">
        <f t="shared" si="5"/>
        <v>2024-H1</v>
      </c>
    </row>
    <row r="262">
      <c r="A262" s="108" t="s">
        <v>136</v>
      </c>
      <c r="J262" s="108" t="str">
        <f t="shared" si="1"/>
        <v>2024</v>
      </c>
      <c r="K262" s="110">
        <f t="shared" si="2"/>
        <v>3</v>
      </c>
      <c r="L262" s="108" t="str">
        <f t="shared" si="3"/>
        <v>2024-Q1</v>
      </c>
      <c r="M262" s="111" t="str">
        <f t="shared" si="4"/>
        <v>2024-03</v>
      </c>
      <c r="N262" s="112" t="str">
        <f t="shared" si="5"/>
        <v>2024-H1</v>
      </c>
    </row>
    <row r="263">
      <c r="A263" s="108" t="s">
        <v>136</v>
      </c>
      <c r="J263" s="108" t="str">
        <f t="shared" si="1"/>
        <v>2024</v>
      </c>
      <c r="K263" s="110">
        <f t="shared" si="2"/>
        <v>4</v>
      </c>
      <c r="L263" s="108" t="str">
        <f t="shared" si="3"/>
        <v>2024-Q2</v>
      </c>
      <c r="M263" s="111" t="str">
        <f t="shared" si="4"/>
        <v>2024-04</v>
      </c>
      <c r="N263" s="112" t="str">
        <f t="shared" si="5"/>
        <v>2024-H1</v>
      </c>
    </row>
    <row r="264">
      <c r="A264" s="108" t="s">
        <v>136</v>
      </c>
      <c r="J264" s="108" t="str">
        <f t="shared" si="1"/>
        <v>2024</v>
      </c>
      <c r="K264" s="110">
        <f t="shared" si="2"/>
        <v>3</v>
      </c>
      <c r="L264" s="108" t="str">
        <f t="shared" si="3"/>
        <v>2024-Q1</v>
      </c>
      <c r="M264" s="111" t="str">
        <f t="shared" si="4"/>
        <v>2024-03</v>
      </c>
      <c r="N264" s="112" t="str">
        <f t="shared" si="5"/>
        <v>2024-H1</v>
      </c>
    </row>
    <row r="265">
      <c r="A265" s="108" t="s">
        <v>136</v>
      </c>
      <c r="J265" s="108" t="str">
        <f t="shared" si="1"/>
        <v>2024</v>
      </c>
      <c r="K265" s="110">
        <f t="shared" si="2"/>
        <v>3</v>
      </c>
      <c r="L265" s="108" t="str">
        <f t="shared" si="3"/>
        <v>2024-Q1</v>
      </c>
      <c r="M265" s="111" t="str">
        <f t="shared" si="4"/>
        <v>2024-03</v>
      </c>
      <c r="N265" s="112" t="str">
        <f t="shared" si="5"/>
        <v>2024-H1</v>
      </c>
    </row>
    <row r="266">
      <c r="A266" s="108" t="s">
        <v>136</v>
      </c>
      <c r="J266" s="108" t="str">
        <f t="shared" si="1"/>
        <v>2024</v>
      </c>
      <c r="K266" s="110">
        <f t="shared" si="2"/>
        <v>4</v>
      </c>
      <c r="L266" s="108" t="str">
        <f t="shared" si="3"/>
        <v>2024-Q2</v>
      </c>
      <c r="M266" s="111" t="str">
        <f t="shared" si="4"/>
        <v>2024-04</v>
      </c>
      <c r="N266" s="112" t="str">
        <f t="shared" si="5"/>
        <v>2024-H1</v>
      </c>
    </row>
    <row r="267">
      <c r="A267" s="108" t="s">
        <v>136</v>
      </c>
      <c r="J267" s="108" t="str">
        <f t="shared" si="1"/>
        <v>2024</v>
      </c>
      <c r="K267" s="110">
        <f t="shared" si="2"/>
        <v>4</v>
      </c>
      <c r="L267" s="108" t="str">
        <f t="shared" si="3"/>
        <v>2024-Q2</v>
      </c>
      <c r="M267" s="111" t="str">
        <f t="shared" si="4"/>
        <v>2024-04</v>
      </c>
      <c r="N267" s="112" t="str">
        <f t="shared" si="5"/>
        <v>2024-H1</v>
      </c>
    </row>
    <row r="268">
      <c r="A268" s="108" t="s">
        <v>136</v>
      </c>
      <c r="J268" s="108" t="str">
        <f t="shared" si="1"/>
        <v>2024</v>
      </c>
      <c r="K268" s="110">
        <f t="shared" si="2"/>
        <v>3</v>
      </c>
      <c r="L268" s="108" t="str">
        <f t="shared" si="3"/>
        <v>2024-Q1</v>
      </c>
      <c r="M268" s="111" t="str">
        <f t="shared" si="4"/>
        <v>2024-03</v>
      </c>
      <c r="N268" s="112" t="str">
        <f t="shared" si="5"/>
        <v>2024-H1</v>
      </c>
    </row>
    <row r="269">
      <c r="A269" s="108" t="s">
        <v>136</v>
      </c>
      <c r="J269" s="108" t="str">
        <f t="shared" si="1"/>
        <v>2024</v>
      </c>
      <c r="K269" s="110">
        <f t="shared" si="2"/>
        <v>3</v>
      </c>
      <c r="L269" s="108" t="str">
        <f t="shared" si="3"/>
        <v>2024-Q1</v>
      </c>
      <c r="M269" s="111" t="str">
        <f t="shared" si="4"/>
        <v>2024-03</v>
      </c>
      <c r="N269" s="112" t="str">
        <f t="shared" si="5"/>
        <v>2024-H1</v>
      </c>
    </row>
    <row r="270">
      <c r="A270" s="108" t="s">
        <v>136</v>
      </c>
      <c r="J270" s="108" t="str">
        <f t="shared" si="1"/>
        <v>2024</v>
      </c>
      <c r="K270" s="110">
        <f t="shared" si="2"/>
        <v>4</v>
      </c>
      <c r="L270" s="108" t="str">
        <f t="shared" si="3"/>
        <v>2024-Q2</v>
      </c>
      <c r="M270" s="111" t="str">
        <f t="shared" si="4"/>
        <v>2024-04</v>
      </c>
      <c r="N270" s="112" t="str">
        <f t="shared" si="5"/>
        <v>2024-H1</v>
      </c>
    </row>
    <row r="271">
      <c r="A271" s="108" t="s">
        <v>136</v>
      </c>
      <c r="J271" s="108" t="str">
        <f t="shared" si="1"/>
        <v>2024</v>
      </c>
      <c r="K271" s="110">
        <f t="shared" si="2"/>
        <v>4</v>
      </c>
      <c r="L271" s="108" t="str">
        <f t="shared" si="3"/>
        <v>2024-Q2</v>
      </c>
      <c r="M271" s="111" t="str">
        <f t="shared" si="4"/>
        <v>2024-04</v>
      </c>
      <c r="N271" s="112" t="str">
        <f t="shared" si="5"/>
        <v>2024-H1</v>
      </c>
    </row>
    <row r="272">
      <c r="A272" s="108" t="s">
        <v>136</v>
      </c>
      <c r="J272" s="108" t="str">
        <f t="shared" si="1"/>
        <v>2024</v>
      </c>
      <c r="K272" s="110">
        <f t="shared" si="2"/>
        <v>4</v>
      </c>
      <c r="L272" s="108" t="str">
        <f t="shared" si="3"/>
        <v>2024-Q2</v>
      </c>
      <c r="M272" s="111" t="str">
        <f t="shared" si="4"/>
        <v>2024-04</v>
      </c>
      <c r="N272" s="112" t="str">
        <f t="shared" si="5"/>
        <v>2024-H1</v>
      </c>
    </row>
    <row r="273">
      <c r="A273" s="108" t="s">
        <v>136</v>
      </c>
      <c r="J273" s="108" t="str">
        <f t="shared" si="1"/>
        <v>2024</v>
      </c>
      <c r="K273" s="110">
        <f t="shared" si="2"/>
        <v>3</v>
      </c>
      <c r="L273" s="108" t="str">
        <f t="shared" si="3"/>
        <v>2024-Q1</v>
      </c>
      <c r="M273" s="111" t="str">
        <f t="shared" si="4"/>
        <v>2024-03</v>
      </c>
      <c r="N273" s="112" t="str">
        <f t="shared" si="5"/>
        <v>2024-H1</v>
      </c>
    </row>
    <row r="274">
      <c r="A274" s="108" t="s">
        <v>136</v>
      </c>
      <c r="J274" s="108" t="str">
        <f t="shared" si="1"/>
        <v>2024</v>
      </c>
      <c r="K274" s="110">
        <f t="shared" si="2"/>
        <v>3</v>
      </c>
      <c r="L274" s="108" t="str">
        <f t="shared" si="3"/>
        <v>2024-Q1</v>
      </c>
      <c r="M274" s="111" t="str">
        <f t="shared" si="4"/>
        <v>2024-03</v>
      </c>
      <c r="N274" s="112" t="str">
        <f t="shared" si="5"/>
        <v>2024-H1</v>
      </c>
    </row>
    <row r="275">
      <c r="A275" s="108" t="s">
        <v>136</v>
      </c>
      <c r="J275" s="108" t="str">
        <f t="shared" si="1"/>
        <v>2024</v>
      </c>
      <c r="K275" s="110">
        <f t="shared" si="2"/>
        <v>3</v>
      </c>
      <c r="L275" s="108" t="str">
        <f t="shared" si="3"/>
        <v>2024-Q1</v>
      </c>
      <c r="M275" s="111" t="str">
        <f t="shared" si="4"/>
        <v>2024-03</v>
      </c>
      <c r="N275" s="112" t="str">
        <f t="shared" si="5"/>
        <v>2024-H1</v>
      </c>
    </row>
    <row r="276">
      <c r="A276" s="108" t="s">
        <v>136</v>
      </c>
      <c r="J276" s="108" t="str">
        <f t="shared" si="1"/>
        <v>2024</v>
      </c>
      <c r="K276" s="110">
        <f t="shared" si="2"/>
        <v>4</v>
      </c>
      <c r="L276" s="108" t="str">
        <f t="shared" si="3"/>
        <v>2024-Q2</v>
      </c>
      <c r="M276" s="111" t="str">
        <f t="shared" si="4"/>
        <v>2024-04</v>
      </c>
      <c r="N276" s="112" t="str">
        <f t="shared" si="5"/>
        <v>2024-H1</v>
      </c>
    </row>
    <row r="277">
      <c r="A277" s="108" t="s">
        <v>136</v>
      </c>
      <c r="J277" s="108" t="str">
        <f t="shared" si="1"/>
        <v>2024</v>
      </c>
      <c r="K277" s="110">
        <f t="shared" si="2"/>
        <v>4</v>
      </c>
      <c r="L277" s="108" t="str">
        <f t="shared" si="3"/>
        <v>2024-Q2</v>
      </c>
      <c r="M277" s="111" t="str">
        <f t="shared" si="4"/>
        <v>2024-04</v>
      </c>
      <c r="N277" s="112" t="str">
        <f t="shared" si="5"/>
        <v>2024-H1</v>
      </c>
    </row>
    <row r="278">
      <c r="A278" s="108" t="s">
        <v>136</v>
      </c>
      <c r="J278" s="108" t="str">
        <f t="shared" si="1"/>
        <v>2024</v>
      </c>
      <c r="K278" s="110">
        <f t="shared" si="2"/>
        <v>4</v>
      </c>
      <c r="L278" s="108" t="str">
        <f t="shared" si="3"/>
        <v>2024-Q2</v>
      </c>
      <c r="M278" s="111" t="str">
        <f t="shared" si="4"/>
        <v>2024-04</v>
      </c>
      <c r="N278" s="112" t="str">
        <f t="shared" si="5"/>
        <v>2024-H1</v>
      </c>
    </row>
    <row r="279">
      <c r="A279" s="108" t="s">
        <v>136</v>
      </c>
      <c r="J279" s="108" t="str">
        <f t="shared" si="1"/>
        <v>2024</v>
      </c>
      <c r="K279" s="110">
        <f t="shared" si="2"/>
        <v>4</v>
      </c>
      <c r="L279" s="108" t="str">
        <f t="shared" si="3"/>
        <v>2024-Q2</v>
      </c>
      <c r="M279" s="111" t="str">
        <f t="shared" si="4"/>
        <v>2024-04</v>
      </c>
      <c r="N279" s="112" t="str">
        <f t="shared" si="5"/>
        <v>2024-H1</v>
      </c>
    </row>
    <row r="280">
      <c r="A280" s="108" t="s">
        <v>136</v>
      </c>
      <c r="J280" s="108" t="str">
        <f t="shared" si="1"/>
        <v>2024</v>
      </c>
      <c r="K280" s="110">
        <f t="shared" si="2"/>
        <v>4</v>
      </c>
      <c r="L280" s="108" t="str">
        <f t="shared" si="3"/>
        <v>2024-Q2</v>
      </c>
      <c r="M280" s="111" t="str">
        <f t="shared" si="4"/>
        <v>2024-04</v>
      </c>
      <c r="N280" s="112" t="str">
        <f t="shared" si="5"/>
        <v>2024-H1</v>
      </c>
    </row>
    <row r="281">
      <c r="A281" s="108" t="s">
        <v>136</v>
      </c>
      <c r="J281" s="108" t="str">
        <f t="shared" si="1"/>
        <v>2024</v>
      </c>
      <c r="K281" s="110">
        <f t="shared" si="2"/>
        <v>3</v>
      </c>
      <c r="L281" s="108" t="str">
        <f t="shared" si="3"/>
        <v>2024-Q1</v>
      </c>
      <c r="M281" s="111" t="str">
        <f t="shared" si="4"/>
        <v>2024-03</v>
      </c>
      <c r="N281" s="112" t="str">
        <f t="shared" si="5"/>
        <v>2024-H1</v>
      </c>
    </row>
    <row r="282">
      <c r="A282" s="108" t="s">
        <v>136</v>
      </c>
      <c r="J282" s="108" t="str">
        <f t="shared" si="1"/>
        <v>2024</v>
      </c>
      <c r="K282" s="110">
        <f t="shared" si="2"/>
        <v>4</v>
      </c>
      <c r="L282" s="108" t="str">
        <f t="shared" si="3"/>
        <v>2024-Q2</v>
      </c>
      <c r="M282" s="111" t="str">
        <f t="shared" si="4"/>
        <v>2024-04</v>
      </c>
      <c r="N282" s="112" t="str">
        <f t="shared" si="5"/>
        <v>2024-H1</v>
      </c>
    </row>
    <row r="283">
      <c r="A283" s="108" t="s">
        <v>136</v>
      </c>
      <c r="J283" s="108" t="str">
        <f t="shared" si="1"/>
        <v>2024</v>
      </c>
      <c r="K283" s="110">
        <f t="shared" si="2"/>
        <v>4</v>
      </c>
      <c r="L283" s="108" t="str">
        <f t="shared" si="3"/>
        <v>2024-Q2</v>
      </c>
      <c r="M283" s="111" t="str">
        <f t="shared" si="4"/>
        <v>2024-04</v>
      </c>
      <c r="N283" s="112" t="str">
        <f t="shared" si="5"/>
        <v>2024-H1</v>
      </c>
    </row>
    <row r="284">
      <c r="A284" s="108" t="s">
        <v>136</v>
      </c>
      <c r="J284" s="108" t="str">
        <f t="shared" si="1"/>
        <v>2024</v>
      </c>
      <c r="K284" s="110">
        <f t="shared" si="2"/>
        <v>4</v>
      </c>
      <c r="L284" s="108" t="str">
        <f t="shared" si="3"/>
        <v>2024-Q2</v>
      </c>
      <c r="M284" s="111" t="str">
        <f t="shared" si="4"/>
        <v>2024-04</v>
      </c>
      <c r="N284" s="112" t="str">
        <f t="shared" si="5"/>
        <v>2024-H1</v>
      </c>
    </row>
    <row r="285">
      <c r="A285" s="108" t="s">
        <v>136</v>
      </c>
      <c r="J285" s="108" t="str">
        <f t="shared" si="1"/>
        <v>2024</v>
      </c>
      <c r="K285" s="110">
        <f t="shared" si="2"/>
        <v>4</v>
      </c>
      <c r="L285" s="108" t="str">
        <f t="shared" si="3"/>
        <v>2024-Q2</v>
      </c>
      <c r="M285" s="111" t="str">
        <f t="shared" si="4"/>
        <v>2024-04</v>
      </c>
      <c r="N285" s="112" t="str">
        <f t="shared" si="5"/>
        <v>2024-H1</v>
      </c>
    </row>
    <row r="286">
      <c r="A286" s="108" t="s">
        <v>136</v>
      </c>
      <c r="J286" s="108" t="str">
        <f t="shared" si="1"/>
        <v>2024</v>
      </c>
      <c r="K286" s="110">
        <f t="shared" si="2"/>
        <v>4</v>
      </c>
      <c r="L286" s="108" t="str">
        <f t="shared" si="3"/>
        <v>2024-Q2</v>
      </c>
      <c r="M286" s="111" t="str">
        <f t="shared" si="4"/>
        <v>2024-04</v>
      </c>
      <c r="N286" s="112" t="str">
        <f t="shared" si="5"/>
        <v>2024-H1</v>
      </c>
    </row>
    <row r="287">
      <c r="A287" s="108" t="s">
        <v>136</v>
      </c>
      <c r="J287" s="108" t="str">
        <f t="shared" si="1"/>
        <v>2024</v>
      </c>
      <c r="K287" s="110">
        <f t="shared" si="2"/>
        <v>4</v>
      </c>
      <c r="L287" s="108" t="str">
        <f t="shared" si="3"/>
        <v>2024-Q2</v>
      </c>
      <c r="M287" s="111" t="str">
        <f t="shared" si="4"/>
        <v>2024-04</v>
      </c>
      <c r="N287" s="112" t="str">
        <f t="shared" si="5"/>
        <v>2024-H1</v>
      </c>
    </row>
    <row r="288">
      <c r="A288" s="108" t="s">
        <v>136</v>
      </c>
      <c r="J288" s="108" t="str">
        <f t="shared" si="1"/>
        <v>2024</v>
      </c>
      <c r="K288" s="110">
        <f t="shared" si="2"/>
        <v>3</v>
      </c>
      <c r="L288" s="108" t="str">
        <f t="shared" si="3"/>
        <v>2024-Q1</v>
      </c>
      <c r="M288" s="111" t="str">
        <f t="shared" si="4"/>
        <v>2024-03</v>
      </c>
      <c r="N288" s="112" t="str">
        <f t="shared" si="5"/>
        <v>2024-H1</v>
      </c>
    </row>
    <row r="289">
      <c r="A289" s="108" t="s">
        <v>136</v>
      </c>
      <c r="J289" s="108" t="str">
        <f t="shared" si="1"/>
        <v>2024</v>
      </c>
      <c r="K289" s="110">
        <f t="shared" si="2"/>
        <v>3</v>
      </c>
      <c r="L289" s="108" t="str">
        <f t="shared" si="3"/>
        <v>2024-Q1</v>
      </c>
      <c r="M289" s="111" t="str">
        <f t="shared" si="4"/>
        <v>2024-03</v>
      </c>
      <c r="N289" s="112" t="str">
        <f t="shared" si="5"/>
        <v>2024-H1</v>
      </c>
    </row>
    <row r="290">
      <c r="A290" s="108" t="s">
        <v>136</v>
      </c>
      <c r="J290" s="108" t="str">
        <f t="shared" si="1"/>
        <v>2024</v>
      </c>
      <c r="K290" s="110">
        <f t="shared" si="2"/>
        <v>4</v>
      </c>
      <c r="L290" s="108" t="str">
        <f t="shared" si="3"/>
        <v>2024-Q2</v>
      </c>
      <c r="M290" s="111" t="str">
        <f t="shared" si="4"/>
        <v>2024-04</v>
      </c>
      <c r="N290" s="112" t="str">
        <f t="shared" si="5"/>
        <v>2024-H1</v>
      </c>
    </row>
    <row r="291">
      <c r="A291" s="108" t="s">
        <v>136</v>
      </c>
      <c r="J291" s="108" t="str">
        <f t="shared" si="1"/>
        <v>2024</v>
      </c>
      <c r="K291" s="110">
        <f t="shared" si="2"/>
        <v>3</v>
      </c>
      <c r="L291" s="108" t="str">
        <f t="shared" si="3"/>
        <v>2024-Q1</v>
      </c>
      <c r="M291" s="111" t="str">
        <f t="shared" si="4"/>
        <v>2024-03</v>
      </c>
      <c r="N291" s="112" t="str">
        <f t="shared" si="5"/>
        <v>2024-H1</v>
      </c>
    </row>
    <row r="292">
      <c r="A292" s="108" t="s">
        <v>136</v>
      </c>
      <c r="J292" s="108" t="str">
        <f t="shared" si="1"/>
        <v>2024</v>
      </c>
      <c r="K292" s="110">
        <f t="shared" si="2"/>
        <v>4</v>
      </c>
      <c r="L292" s="108" t="str">
        <f t="shared" si="3"/>
        <v>2024-Q2</v>
      </c>
      <c r="M292" s="111" t="str">
        <f t="shared" si="4"/>
        <v>2024-04</v>
      </c>
      <c r="N292" s="112" t="str">
        <f t="shared" si="5"/>
        <v>2024-H1</v>
      </c>
    </row>
    <row r="293">
      <c r="A293" s="108" t="s">
        <v>136</v>
      </c>
      <c r="J293" s="108" t="str">
        <f t="shared" si="1"/>
        <v>2024</v>
      </c>
      <c r="K293" s="110">
        <f t="shared" si="2"/>
        <v>4</v>
      </c>
      <c r="L293" s="108" t="str">
        <f t="shared" si="3"/>
        <v>2024-Q2</v>
      </c>
      <c r="M293" s="111" t="str">
        <f t="shared" si="4"/>
        <v>2024-04</v>
      </c>
      <c r="N293" s="112" t="str">
        <f t="shared" si="5"/>
        <v>2024-H1</v>
      </c>
    </row>
    <row r="294">
      <c r="A294" s="108" t="s">
        <v>136</v>
      </c>
      <c r="J294" s="108" t="str">
        <f t="shared" si="1"/>
        <v>2024</v>
      </c>
      <c r="K294" s="110">
        <f t="shared" si="2"/>
        <v>4</v>
      </c>
      <c r="L294" s="108" t="str">
        <f t="shared" si="3"/>
        <v>2024-Q2</v>
      </c>
      <c r="M294" s="111" t="str">
        <f t="shared" si="4"/>
        <v>2024-04</v>
      </c>
      <c r="N294" s="112" t="str">
        <f t="shared" si="5"/>
        <v>2024-H1</v>
      </c>
    </row>
    <row r="295">
      <c r="A295" s="108" t="s">
        <v>136</v>
      </c>
      <c r="J295" s="108" t="str">
        <f t="shared" si="1"/>
        <v>2024</v>
      </c>
      <c r="K295" s="110">
        <f t="shared" si="2"/>
        <v>4</v>
      </c>
      <c r="L295" s="108" t="str">
        <f t="shared" si="3"/>
        <v>2024-Q2</v>
      </c>
      <c r="M295" s="111" t="str">
        <f t="shared" si="4"/>
        <v>2024-04</v>
      </c>
      <c r="N295" s="112" t="str">
        <f t="shared" si="5"/>
        <v>2024-H1</v>
      </c>
    </row>
    <row r="296">
      <c r="A296" s="108" t="s">
        <v>136</v>
      </c>
      <c r="J296" s="108" t="str">
        <f t="shared" si="1"/>
        <v>2024</v>
      </c>
      <c r="K296" s="110">
        <f t="shared" si="2"/>
        <v>4</v>
      </c>
      <c r="L296" s="108" t="str">
        <f t="shared" si="3"/>
        <v>2024-Q2</v>
      </c>
      <c r="M296" s="111" t="str">
        <f t="shared" si="4"/>
        <v>2024-04</v>
      </c>
      <c r="N296" s="112" t="str">
        <f t="shared" si="5"/>
        <v>2024-H1</v>
      </c>
    </row>
    <row r="297">
      <c r="A297" s="108" t="s">
        <v>136</v>
      </c>
      <c r="J297" s="108" t="str">
        <f t="shared" si="1"/>
        <v>2024</v>
      </c>
      <c r="K297" s="110">
        <f t="shared" si="2"/>
        <v>4</v>
      </c>
      <c r="L297" s="108" t="str">
        <f t="shared" si="3"/>
        <v>2024-Q2</v>
      </c>
      <c r="M297" s="111" t="str">
        <f t="shared" si="4"/>
        <v>2024-04</v>
      </c>
      <c r="N297" s="112" t="str">
        <f t="shared" si="5"/>
        <v>2024-H1</v>
      </c>
    </row>
    <row r="298">
      <c r="A298" s="108" t="s">
        <v>136</v>
      </c>
      <c r="J298" s="108" t="str">
        <f t="shared" si="1"/>
        <v>2024</v>
      </c>
      <c r="K298" s="110">
        <f t="shared" si="2"/>
        <v>4</v>
      </c>
      <c r="L298" s="108" t="str">
        <f t="shared" si="3"/>
        <v>2024-Q2</v>
      </c>
      <c r="M298" s="111" t="str">
        <f t="shared" si="4"/>
        <v>2024-04</v>
      </c>
      <c r="N298" s="112" t="str">
        <f t="shared" si="5"/>
        <v>2024-H1</v>
      </c>
    </row>
    <row r="299">
      <c r="A299" s="108" t="s">
        <v>136</v>
      </c>
      <c r="J299" s="108" t="str">
        <f t="shared" si="1"/>
        <v>2024</v>
      </c>
      <c r="K299" s="110">
        <f t="shared" si="2"/>
        <v>4</v>
      </c>
      <c r="L299" s="108" t="str">
        <f t="shared" si="3"/>
        <v>2024-Q2</v>
      </c>
      <c r="M299" s="111" t="str">
        <f t="shared" si="4"/>
        <v>2024-04</v>
      </c>
      <c r="N299" s="112" t="str">
        <f t="shared" si="5"/>
        <v>2024-H1</v>
      </c>
    </row>
    <row r="300">
      <c r="A300" s="108" t="s">
        <v>136</v>
      </c>
      <c r="J300" s="108" t="str">
        <f t="shared" si="1"/>
        <v>2024</v>
      </c>
      <c r="K300" s="110">
        <f t="shared" si="2"/>
        <v>5</v>
      </c>
      <c r="L300" s="108" t="str">
        <f t="shared" si="3"/>
        <v>2024-Q2</v>
      </c>
      <c r="M300" s="111" t="str">
        <f t="shared" si="4"/>
        <v>2024-05</v>
      </c>
      <c r="N300" s="112" t="str">
        <f t="shared" si="5"/>
        <v>2024-H1</v>
      </c>
    </row>
    <row r="301">
      <c r="A301" s="108" t="s">
        <v>136</v>
      </c>
      <c r="J301" s="108" t="str">
        <f t="shared" si="1"/>
        <v>2024</v>
      </c>
      <c r="K301" s="110">
        <f t="shared" si="2"/>
        <v>4</v>
      </c>
      <c r="L301" s="108" t="str">
        <f t="shared" si="3"/>
        <v>2024-Q2</v>
      </c>
      <c r="M301" s="111" t="str">
        <f t="shared" si="4"/>
        <v>2024-04</v>
      </c>
      <c r="N301" s="112" t="str">
        <f t="shared" si="5"/>
        <v>2024-H1</v>
      </c>
    </row>
    <row r="302">
      <c r="A302" s="108" t="s">
        <v>136</v>
      </c>
      <c r="J302" s="108" t="str">
        <f t="shared" si="1"/>
        <v>2024</v>
      </c>
      <c r="K302" s="110">
        <f t="shared" si="2"/>
        <v>5</v>
      </c>
      <c r="L302" s="108" t="str">
        <f t="shared" si="3"/>
        <v>2024-Q2</v>
      </c>
      <c r="M302" s="111" t="str">
        <f t="shared" si="4"/>
        <v>2024-05</v>
      </c>
      <c r="N302" s="112" t="str">
        <f t="shared" si="5"/>
        <v>2024-H1</v>
      </c>
    </row>
    <row r="303">
      <c r="A303" s="108" t="s">
        <v>136</v>
      </c>
      <c r="J303" s="108" t="str">
        <f t="shared" si="1"/>
        <v>2024</v>
      </c>
      <c r="K303" s="110">
        <f t="shared" si="2"/>
        <v>4</v>
      </c>
      <c r="L303" s="108" t="str">
        <f t="shared" si="3"/>
        <v>2024-Q2</v>
      </c>
      <c r="M303" s="111" t="str">
        <f t="shared" si="4"/>
        <v>2024-04</v>
      </c>
      <c r="N303" s="112" t="str">
        <f t="shared" si="5"/>
        <v>2024-H1</v>
      </c>
    </row>
    <row r="304">
      <c r="A304" s="108" t="s">
        <v>136</v>
      </c>
      <c r="J304" s="108" t="str">
        <f t="shared" si="1"/>
        <v>2024</v>
      </c>
      <c r="K304" s="110">
        <f t="shared" si="2"/>
        <v>4</v>
      </c>
      <c r="L304" s="108" t="str">
        <f t="shared" si="3"/>
        <v>2024-Q2</v>
      </c>
      <c r="M304" s="111" t="str">
        <f t="shared" si="4"/>
        <v>2024-04</v>
      </c>
      <c r="N304" s="112" t="str">
        <f t="shared" si="5"/>
        <v>2024-H1</v>
      </c>
    </row>
    <row r="305">
      <c r="A305" s="108" t="s">
        <v>136</v>
      </c>
      <c r="J305" s="108" t="str">
        <f t="shared" si="1"/>
        <v>2024</v>
      </c>
      <c r="K305" s="110">
        <f t="shared" si="2"/>
        <v>4</v>
      </c>
      <c r="L305" s="108" t="str">
        <f t="shared" si="3"/>
        <v>2024-Q2</v>
      </c>
      <c r="M305" s="111" t="str">
        <f t="shared" si="4"/>
        <v>2024-04</v>
      </c>
      <c r="N305" s="112" t="str">
        <f t="shared" si="5"/>
        <v>2024-H1</v>
      </c>
    </row>
    <row r="306">
      <c r="A306" s="108" t="s">
        <v>136</v>
      </c>
      <c r="J306" s="108" t="str">
        <f t="shared" si="1"/>
        <v>2024</v>
      </c>
      <c r="K306" s="110">
        <f t="shared" si="2"/>
        <v>4</v>
      </c>
      <c r="L306" s="108" t="str">
        <f t="shared" si="3"/>
        <v>2024-Q2</v>
      </c>
      <c r="M306" s="111" t="str">
        <f t="shared" si="4"/>
        <v>2024-04</v>
      </c>
      <c r="N306" s="112" t="str">
        <f t="shared" si="5"/>
        <v>2024-H1</v>
      </c>
    </row>
    <row r="307">
      <c r="A307" s="108" t="s">
        <v>136</v>
      </c>
      <c r="J307" s="108" t="str">
        <f t="shared" si="1"/>
        <v>2024</v>
      </c>
      <c r="K307" s="110">
        <f t="shared" si="2"/>
        <v>4</v>
      </c>
      <c r="L307" s="108" t="str">
        <f t="shared" si="3"/>
        <v>2024-Q2</v>
      </c>
      <c r="M307" s="111" t="str">
        <f t="shared" si="4"/>
        <v>2024-04</v>
      </c>
      <c r="N307" s="112" t="str">
        <f t="shared" si="5"/>
        <v>2024-H1</v>
      </c>
    </row>
    <row r="308">
      <c r="A308" s="108" t="s">
        <v>136</v>
      </c>
      <c r="J308" s="108" t="str">
        <f t="shared" si="1"/>
        <v>2024</v>
      </c>
      <c r="K308" s="110">
        <f t="shared" si="2"/>
        <v>5</v>
      </c>
      <c r="L308" s="108" t="str">
        <f t="shared" si="3"/>
        <v>2024-Q2</v>
      </c>
      <c r="M308" s="111" t="str">
        <f t="shared" si="4"/>
        <v>2024-05</v>
      </c>
      <c r="N308" s="112" t="str">
        <f t="shared" si="5"/>
        <v>2024-H1</v>
      </c>
    </row>
    <row r="309">
      <c r="A309" s="108" t="s">
        <v>136</v>
      </c>
      <c r="J309" s="108" t="str">
        <f t="shared" si="1"/>
        <v>2024</v>
      </c>
      <c r="K309" s="110">
        <f t="shared" si="2"/>
        <v>4</v>
      </c>
      <c r="L309" s="108" t="str">
        <f t="shared" si="3"/>
        <v>2024-Q2</v>
      </c>
      <c r="M309" s="111" t="str">
        <f t="shared" si="4"/>
        <v>2024-04</v>
      </c>
      <c r="N309" s="112" t="str">
        <f t="shared" si="5"/>
        <v>2024-H1</v>
      </c>
    </row>
    <row r="310">
      <c r="A310" s="108" t="s">
        <v>136</v>
      </c>
      <c r="J310" s="108" t="str">
        <f t="shared" si="1"/>
        <v>2024</v>
      </c>
      <c r="K310" s="110">
        <f t="shared" si="2"/>
        <v>4</v>
      </c>
      <c r="L310" s="108" t="str">
        <f t="shared" si="3"/>
        <v>2024-Q2</v>
      </c>
      <c r="M310" s="111" t="str">
        <f t="shared" si="4"/>
        <v>2024-04</v>
      </c>
      <c r="N310" s="112" t="str">
        <f t="shared" si="5"/>
        <v>2024-H1</v>
      </c>
    </row>
    <row r="311">
      <c r="A311" s="108" t="s">
        <v>136</v>
      </c>
      <c r="J311" s="108" t="str">
        <f t="shared" si="1"/>
        <v>2024</v>
      </c>
      <c r="K311" s="110">
        <f t="shared" si="2"/>
        <v>5</v>
      </c>
      <c r="L311" s="108" t="str">
        <f t="shared" si="3"/>
        <v>2024-Q2</v>
      </c>
      <c r="M311" s="111" t="str">
        <f t="shared" si="4"/>
        <v>2024-05</v>
      </c>
      <c r="N311" s="112" t="str">
        <f t="shared" si="5"/>
        <v>2024-H1</v>
      </c>
    </row>
    <row r="312">
      <c r="A312" s="108" t="s">
        <v>136</v>
      </c>
      <c r="J312" s="108" t="str">
        <f t="shared" si="1"/>
        <v>2024</v>
      </c>
      <c r="K312" s="110">
        <f t="shared" si="2"/>
        <v>4</v>
      </c>
      <c r="L312" s="108" t="str">
        <f t="shared" si="3"/>
        <v>2024-Q2</v>
      </c>
      <c r="M312" s="111" t="str">
        <f t="shared" si="4"/>
        <v>2024-04</v>
      </c>
      <c r="N312" s="112" t="str">
        <f t="shared" si="5"/>
        <v>2024-H1</v>
      </c>
    </row>
    <row r="313">
      <c r="A313" s="108" t="s">
        <v>136</v>
      </c>
      <c r="J313" s="108" t="str">
        <f t="shared" si="1"/>
        <v>2024</v>
      </c>
      <c r="K313" s="110">
        <f t="shared" si="2"/>
        <v>4</v>
      </c>
      <c r="L313" s="108" t="str">
        <f t="shared" si="3"/>
        <v>2024-Q2</v>
      </c>
      <c r="M313" s="111" t="str">
        <f t="shared" si="4"/>
        <v>2024-04</v>
      </c>
      <c r="N313" s="112" t="str">
        <f t="shared" si="5"/>
        <v>2024-H1</v>
      </c>
    </row>
    <row r="314">
      <c r="A314" s="108" t="s">
        <v>136</v>
      </c>
      <c r="J314" s="108" t="str">
        <f t="shared" si="1"/>
        <v>2024</v>
      </c>
      <c r="K314" s="110">
        <f t="shared" si="2"/>
        <v>5</v>
      </c>
      <c r="L314" s="108" t="str">
        <f t="shared" si="3"/>
        <v>2024-Q2</v>
      </c>
      <c r="M314" s="111" t="str">
        <f t="shared" si="4"/>
        <v>2024-05</v>
      </c>
      <c r="N314" s="112" t="str">
        <f t="shared" si="5"/>
        <v>2024-H1</v>
      </c>
    </row>
    <row r="315">
      <c r="A315" s="108" t="s">
        <v>136</v>
      </c>
      <c r="J315" s="108" t="str">
        <f t="shared" si="1"/>
        <v>2024</v>
      </c>
      <c r="K315" s="110">
        <f t="shared" si="2"/>
        <v>4</v>
      </c>
      <c r="L315" s="108" t="str">
        <f t="shared" si="3"/>
        <v>2024-Q2</v>
      </c>
      <c r="M315" s="111" t="str">
        <f t="shared" si="4"/>
        <v>2024-04</v>
      </c>
      <c r="N315" s="112" t="str">
        <f t="shared" si="5"/>
        <v>2024-H1</v>
      </c>
    </row>
    <row r="316">
      <c r="A316" s="108" t="s">
        <v>136</v>
      </c>
      <c r="J316" s="108" t="str">
        <f t="shared" si="1"/>
        <v>2024</v>
      </c>
      <c r="K316" s="110">
        <f t="shared" si="2"/>
        <v>4</v>
      </c>
      <c r="L316" s="108" t="str">
        <f t="shared" si="3"/>
        <v>2024-Q2</v>
      </c>
      <c r="M316" s="111" t="str">
        <f t="shared" si="4"/>
        <v>2024-04</v>
      </c>
      <c r="N316" s="112" t="str">
        <f t="shared" si="5"/>
        <v>2024-H1</v>
      </c>
    </row>
    <row r="317">
      <c r="A317" s="108" t="s">
        <v>136</v>
      </c>
      <c r="J317" s="108" t="str">
        <f t="shared" si="1"/>
        <v>2024</v>
      </c>
      <c r="K317" s="110">
        <f t="shared" si="2"/>
        <v>5</v>
      </c>
      <c r="L317" s="108" t="str">
        <f t="shared" si="3"/>
        <v>2024-Q2</v>
      </c>
      <c r="M317" s="111" t="str">
        <f t="shared" si="4"/>
        <v>2024-05</v>
      </c>
      <c r="N317" s="112" t="str">
        <f t="shared" si="5"/>
        <v>2024-H1</v>
      </c>
    </row>
    <row r="318">
      <c r="A318" s="108" t="s">
        <v>136</v>
      </c>
      <c r="J318" s="108" t="str">
        <f t="shared" si="1"/>
        <v>2024</v>
      </c>
      <c r="K318" s="110">
        <f t="shared" si="2"/>
        <v>5</v>
      </c>
      <c r="L318" s="108" t="str">
        <f t="shared" si="3"/>
        <v>2024-Q2</v>
      </c>
      <c r="M318" s="111" t="str">
        <f t="shared" si="4"/>
        <v>2024-05</v>
      </c>
      <c r="N318" s="112" t="str">
        <f t="shared" si="5"/>
        <v>2024-H1</v>
      </c>
    </row>
    <row r="319">
      <c r="A319" s="108" t="s">
        <v>136</v>
      </c>
      <c r="J319" s="108" t="str">
        <f t="shared" si="1"/>
        <v>2024</v>
      </c>
      <c r="K319" s="110">
        <f t="shared" si="2"/>
        <v>5</v>
      </c>
      <c r="L319" s="108" t="str">
        <f t="shared" si="3"/>
        <v>2024-Q2</v>
      </c>
      <c r="M319" s="111" t="str">
        <f t="shared" si="4"/>
        <v>2024-05</v>
      </c>
      <c r="N319" s="112" t="str">
        <f t="shared" si="5"/>
        <v>2024-H1</v>
      </c>
    </row>
    <row r="320">
      <c r="A320" s="108" t="s">
        <v>136</v>
      </c>
      <c r="J320" s="108" t="str">
        <f t="shared" si="1"/>
        <v>2024</v>
      </c>
      <c r="K320" s="110">
        <f t="shared" si="2"/>
        <v>4</v>
      </c>
      <c r="L320" s="108" t="str">
        <f t="shared" si="3"/>
        <v>2024-Q2</v>
      </c>
      <c r="M320" s="111" t="str">
        <f t="shared" si="4"/>
        <v>2024-04</v>
      </c>
      <c r="N320" s="112" t="str">
        <f t="shared" si="5"/>
        <v>2024-H1</v>
      </c>
    </row>
    <row r="321">
      <c r="A321" s="108" t="s">
        <v>136</v>
      </c>
      <c r="J321" s="108" t="str">
        <f t="shared" si="1"/>
        <v>2024</v>
      </c>
      <c r="K321" s="110">
        <f t="shared" si="2"/>
        <v>5</v>
      </c>
      <c r="L321" s="108" t="str">
        <f t="shared" si="3"/>
        <v>2024-Q2</v>
      </c>
      <c r="M321" s="111" t="str">
        <f t="shared" si="4"/>
        <v>2024-05</v>
      </c>
      <c r="N321" s="112" t="str">
        <f t="shared" si="5"/>
        <v>2024-H1</v>
      </c>
    </row>
    <row r="322">
      <c r="A322" s="108" t="s">
        <v>136</v>
      </c>
      <c r="J322" s="108" t="str">
        <f t="shared" si="1"/>
        <v>2024</v>
      </c>
      <c r="K322" s="110">
        <f t="shared" si="2"/>
        <v>5</v>
      </c>
      <c r="L322" s="108" t="str">
        <f t="shared" si="3"/>
        <v>2024-Q2</v>
      </c>
      <c r="M322" s="111" t="str">
        <f t="shared" si="4"/>
        <v>2024-05</v>
      </c>
      <c r="N322" s="112" t="str">
        <f t="shared" si="5"/>
        <v>2024-H1</v>
      </c>
    </row>
    <row r="323">
      <c r="A323" s="108" t="s">
        <v>136</v>
      </c>
      <c r="J323" s="108" t="str">
        <f t="shared" si="1"/>
        <v>2024</v>
      </c>
      <c r="K323" s="110">
        <f t="shared" si="2"/>
        <v>5</v>
      </c>
      <c r="L323" s="108" t="str">
        <f t="shared" si="3"/>
        <v>2024-Q2</v>
      </c>
      <c r="M323" s="111" t="str">
        <f t="shared" si="4"/>
        <v>2024-05</v>
      </c>
      <c r="N323" s="112" t="str">
        <f t="shared" si="5"/>
        <v>2024-H1</v>
      </c>
    </row>
    <row r="324">
      <c r="A324" s="108" t="s">
        <v>136</v>
      </c>
      <c r="J324" s="108" t="str">
        <f t="shared" si="1"/>
        <v>2024</v>
      </c>
      <c r="K324" s="110">
        <f t="shared" si="2"/>
        <v>5</v>
      </c>
      <c r="L324" s="108" t="str">
        <f t="shared" si="3"/>
        <v>2024-Q2</v>
      </c>
      <c r="M324" s="111" t="str">
        <f t="shared" si="4"/>
        <v>2024-05</v>
      </c>
      <c r="N324" s="112" t="str">
        <f t="shared" si="5"/>
        <v>2024-H1</v>
      </c>
    </row>
    <row r="325">
      <c r="A325" s="108" t="s">
        <v>136</v>
      </c>
      <c r="J325" s="108" t="str">
        <f t="shared" si="1"/>
        <v>2024</v>
      </c>
      <c r="K325" s="110">
        <f t="shared" si="2"/>
        <v>5</v>
      </c>
      <c r="L325" s="108" t="str">
        <f t="shared" si="3"/>
        <v>2024-Q2</v>
      </c>
      <c r="M325" s="111" t="str">
        <f t="shared" si="4"/>
        <v>2024-05</v>
      </c>
      <c r="N325" s="112" t="str">
        <f t="shared" si="5"/>
        <v>2024-H1</v>
      </c>
    </row>
    <row r="326">
      <c r="A326" s="108" t="s">
        <v>136</v>
      </c>
      <c r="J326" s="108" t="str">
        <f t="shared" si="1"/>
        <v>2024</v>
      </c>
      <c r="K326" s="110">
        <f t="shared" si="2"/>
        <v>5</v>
      </c>
      <c r="L326" s="108" t="str">
        <f t="shared" si="3"/>
        <v>2024-Q2</v>
      </c>
      <c r="M326" s="111" t="str">
        <f t="shared" si="4"/>
        <v>2024-05</v>
      </c>
      <c r="N326" s="112" t="str">
        <f t="shared" si="5"/>
        <v>2024-H1</v>
      </c>
    </row>
    <row r="327">
      <c r="A327" s="108" t="s">
        <v>136</v>
      </c>
      <c r="J327" s="108" t="str">
        <f t="shared" si="1"/>
        <v>2024</v>
      </c>
      <c r="K327" s="110">
        <f t="shared" si="2"/>
        <v>5</v>
      </c>
      <c r="L327" s="108" t="str">
        <f t="shared" si="3"/>
        <v>2024-Q2</v>
      </c>
      <c r="M327" s="111" t="str">
        <f t="shared" si="4"/>
        <v>2024-05</v>
      </c>
      <c r="N327" s="112" t="str">
        <f t="shared" si="5"/>
        <v>2024-H1</v>
      </c>
    </row>
    <row r="328">
      <c r="A328" s="108" t="s">
        <v>136</v>
      </c>
      <c r="J328" s="108" t="str">
        <f t="shared" si="1"/>
        <v>2024</v>
      </c>
      <c r="K328" s="110">
        <f t="shared" si="2"/>
        <v>5</v>
      </c>
      <c r="L328" s="108" t="str">
        <f t="shared" si="3"/>
        <v>2024-Q2</v>
      </c>
      <c r="M328" s="111" t="str">
        <f t="shared" si="4"/>
        <v>2024-05</v>
      </c>
      <c r="N328" s="112" t="str">
        <f t="shared" si="5"/>
        <v>2024-H1</v>
      </c>
    </row>
    <row r="329">
      <c r="A329" s="108" t="s">
        <v>136</v>
      </c>
      <c r="J329" s="108" t="str">
        <f t="shared" si="1"/>
        <v>2024</v>
      </c>
      <c r="K329" s="110">
        <f t="shared" si="2"/>
        <v>5</v>
      </c>
      <c r="L329" s="108" t="str">
        <f t="shared" si="3"/>
        <v>2024-Q2</v>
      </c>
      <c r="M329" s="111" t="str">
        <f t="shared" si="4"/>
        <v>2024-05</v>
      </c>
      <c r="N329" s="112" t="str">
        <f t="shared" si="5"/>
        <v>2024-H1</v>
      </c>
    </row>
    <row r="330">
      <c r="A330" s="108" t="s">
        <v>136</v>
      </c>
      <c r="J330" s="108" t="str">
        <f t="shared" si="1"/>
        <v>2024</v>
      </c>
      <c r="K330" s="110">
        <f t="shared" si="2"/>
        <v>5</v>
      </c>
      <c r="L330" s="108" t="str">
        <f t="shared" si="3"/>
        <v>2024-Q2</v>
      </c>
      <c r="M330" s="111" t="str">
        <f t="shared" si="4"/>
        <v>2024-05</v>
      </c>
      <c r="N330" s="112" t="str">
        <f t="shared" si="5"/>
        <v>2024-H1</v>
      </c>
    </row>
    <row r="331">
      <c r="A331" s="108" t="s">
        <v>136</v>
      </c>
      <c r="J331" s="108" t="str">
        <f t="shared" si="1"/>
        <v>2024</v>
      </c>
      <c r="K331" s="110">
        <f t="shared" si="2"/>
        <v>4</v>
      </c>
      <c r="L331" s="108" t="str">
        <f t="shared" si="3"/>
        <v>2024-Q2</v>
      </c>
      <c r="M331" s="111" t="str">
        <f t="shared" si="4"/>
        <v>2024-04</v>
      </c>
      <c r="N331" s="112" t="str">
        <f t="shared" si="5"/>
        <v>2024-H1</v>
      </c>
    </row>
    <row r="332">
      <c r="A332" s="108" t="s">
        <v>136</v>
      </c>
      <c r="J332" s="108" t="str">
        <f t="shared" si="1"/>
        <v>2024</v>
      </c>
      <c r="K332" s="110">
        <f t="shared" si="2"/>
        <v>4</v>
      </c>
      <c r="L332" s="108" t="str">
        <f t="shared" si="3"/>
        <v>2024-Q2</v>
      </c>
      <c r="M332" s="111" t="str">
        <f t="shared" si="4"/>
        <v>2024-04</v>
      </c>
      <c r="N332" s="112" t="str">
        <f t="shared" si="5"/>
        <v>2024-H1</v>
      </c>
    </row>
    <row r="333">
      <c r="A333" s="108" t="s">
        <v>136</v>
      </c>
      <c r="J333" s="108" t="str">
        <f t="shared" si="1"/>
        <v>2024</v>
      </c>
      <c r="K333" s="110">
        <f t="shared" si="2"/>
        <v>4</v>
      </c>
      <c r="L333" s="108" t="str">
        <f t="shared" si="3"/>
        <v>2024-Q2</v>
      </c>
      <c r="M333" s="111" t="str">
        <f t="shared" si="4"/>
        <v>2024-04</v>
      </c>
      <c r="N333" s="112" t="str">
        <f t="shared" si="5"/>
        <v>2024-H1</v>
      </c>
    </row>
    <row r="334">
      <c r="A334" s="108" t="s">
        <v>136</v>
      </c>
      <c r="J334" s="108" t="str">
        <f t="shared" si="1"/>
        <v>2024</v>
      </c>
      <c r="K334" s="110">
        <f t="shared" si="2"/>
        <v>5</v>
      </c>
      <c r="L334" s="108" t="str">
        <f t="shared" si="3"/>
        <v>2024-Q2</v>
      </c>
      <c r="M334" s="111" t="str">
        <f t="shared" si="4"/>
        <v>2024-05</v>
      </c>
      <c r="N334" s="112" t="str">
        <f t="shared" si="5"/>
        <v>2024-H1</v>
      </c>
    </row>
    <row r="335">
      <c r="A335" s="108" t="s">
        <v>136</v>
      </c>
      <c r="J335" s="108" t="str">
        <f t="shared" si="1"/>
        <v>2024</v>
      </c>
      <c r="K335" s="110">
        <f t="shared" si="2"/>
        <v>5</v>
      </c>
      <c r="L335" s="108" t="str">
        <f t="shared" si="3"/>
        <v>2024-Q2</v>
      </c>
      <c r="M335" s="111" t="str">
        <f t="shared" si="4"/>
        <v>2024-05</v>
      </c>
      <c r="N335" s="112" t="str">
        <f t="shared" si="5"/>
        <v>2024-H1</v>
      </c>
    </row>
    <row r="336">
      <c r="A336" s="108" t="s">
        <v>136</v>
      </c>
      <c r="J336" s="108" t="str">
        <f t="shared" si="1"/>
        <v>2024</v>
      </c>
      <c r="K336" s="110">
        <f t="shared" si="2"/>
        <v>4</v>
      </c>
      <c r="L336" s="108" t="str">
        <f t="shared" si="3"/>
        <v>2024-Q2</v>
      </c>
      <c r="M336" s="111" t="str">
        <f t="shared" si="4"/>
        <v>2024-04</v>
      </c>
      <c r="N336" s="112" t="str">
        <f t="shared" si="5"/>
        <v>2024-H1</v>
      </c>
    </row>
    <row r="337">
      <c r="A337" s="108" t="s">
        <v>136</v>
      </c>
      <c r="J337" s="108" t="str">
        <f t="shared" si="1"/>
        <v>2024</v>
      </c>
      <c r="K337" s="110">
        <f t="shared" si="2"/>
        <v>5</v>
      </c>
      <c r="L337" s="108" t="str">
        <f t="shared" si="3"/>
        <v>2024-Q2</v>
      </c>
      <c r="M337" s="111" t="str">
        <f t="shared" si="4"/>
        <v>2024-05</v>
      </c>
      <c r="N337" s="112" t="str">
        <f t="shared" si="5"/>
        <v>2024-H1</v>
      </c>
    </row>
    <row r="338">
      <c r="A338" s="108" t="s">
        <v>136</v>
      </c>
      <c r="J338" s="108" t="str">
        <f t="shared" si="1"/>
        <v>2024</v>
      </c>
      <c r="K338" s="110">
        <f t="shared" si="2"/>
        <v>5</v>
      </c>
      <c r="L338" s="108" t="str">
        <f t="shared" si="3"/>
        <v>2024-Q2</v>
      </c>
      <c r="M338" s="111" t="str">
        <f t="shared" si="4"/>
        <v>2024-05</v>
      </c>
      <c r="N338" s="112" t="str">
        <f t="shared" si="5"/>
        <v>2024-H1</v>
      </c>
    </row>
    <row r="339">
      <c r="A339" s="108" t="s">
        <v>136</v>
      </c>
      <c r="J339" s="108" t="str">
        <f t="shared" si="1"/>
        <v>2024</v>
      </c>
      <c r="K339" s="110">
        <f t="shared" si="2"/>
        <v>5</v>
      </c>
      <c r="L339" s="108" t="str">
        <f t="shared" si="3"/>
        <v>2024-Q2</v>
      </c>
      <c r="M339" s="111" t="str">
        <f t="shared" si="4"/>
        <v>2024-05</v>
      </c>
      <c r="N339" s="112" t="str">
        <f t="shared" si="5"/>
        <v>2024-H1</v>
      </c>
    </row>
    <row r="340">
      <c r="A340" s="108" t="s">
        <v>136</v>
      </c>
      <c r="J340" s="108" t="str">
        <f t="shared" si="1"/>
        <v>2024</v>
      </c>
      <c r="K340" s="110">
        <f t="shared" si="2"/>
        <v>5</v>
      </c>
      <c r="L340" s="108" t="str">
        <f t="shared" si="3"/>
        <v>2024-Q2</v>
      </c>
      <c r="M340" s="111" t="str">
        <f t="shared" si="4"/>
        <v>2024-05</v>
      </c>
      <c r="N340" s="112" t="str">
        <f t="shared" si="5"/>
        <v>2024-H1</v>
      </c>
    </row>
    <row r="341">
      <c r="A341" s="108" t="s">
        <v>136</v>
      </c>
      <c r="J341" s="108" t="str">
        <f t="shared" si="1"/>
        <v>2024</v>
      </c>
      <c r="K341" s="110">
        <f t="shared" si="2"/>
        <v>6</v>
      </c>
      <c r="L341" s="108" t="str">
        <f t="shared" si="3"/>
        <v>2024-Q2</v>
      </c>
      <c r="M341" s="111" t="str">
        <f t="shared" si="4"/>
        <v>2024-06</v>
      </c>
      <c r="N341" s="112" t="str">
        <f t="shared" si="5"/>
        <v>2024-H1</v>
      </c>
    </row>
    <row r="342">
      <c r="A342" s="108" t="s">
        <v>136</v>
      </c>
      <c r="J342" s="108" t="str">
        <f t="shared" si="1"/>
        <v>2024</v>
      </c>
      <c r="K342" s="110">
        <f t="shared" si="2"/>
        <v>5</v>
      </c>
      <c r="L342" s="108" t="str">
        <f t="shared" si="3"/>
        <v>2024-Q2</v>
      </c>
      <c r="M342" s="111" t="str">
        <f t="shared" si="4"/>
        <v>2024-05</v>
      </c>
      <c r="N342" s="112" t="str">
        <f t="shared" si="5"/>
        <v>2024-H1</v>
      </c>
    </row>
    <row r="343">
      <c r="A343" s="108" t="s">
        <v>136</v>
      </c>
      <c r="J343" s="108" t="str">
        <f t="shared" si="1"/>
        <v>2024</v>
      </c>
      <c r="K343" s="110">
        <f t="shared" si="2"/>
        <v>5</v>
      </c>
      <c r="L343" s="108" t="str">
        <f t="shared" si="3"/>
        <v>2024-Q2</v>
      </c>
      <c r="M343" s="111" t="str">
        <f t="shared" si="4"/>
        <v>2024-05</v>
      </c>
      <c r="N343" s="112" t="str">
        <f t="shared" si="5"/>
        <v>2024-H1</v>
      </c>
    </row>
    <row r="344">
      <c r="A344" s="108" t="s">
        <v>136</v>
      </c>
      <c r="J344" s="108" t="str">
        <f t="shared" si="1"/>
        <v>2024</v>
      </c>
      <c r="K344" s="110">
        <f t="shared" si="2"/>
        <v>5</v>
      </c>
      <c r="L344" s="108" t="str">
        <f t="shared" si="3"/>
        <v>2024-Q2</v>
      </c>
      <c r="M344" s="111" t="str">
        <f t="shared" si="4"/>
        <v>2024-05</v>
      </c>
      <c r="N344" s="112" t="str">
        <f t="shared" si="5"/>
        <v>2024-H1</v>
      </c>
    </row>
    <row r="345">
      <c r="A345" s="108" t="s">
        <v>136</v>
      </c>
      <c r="J345" s="108" t="str">
        <f t="shared" si="1"/>
        <v>2024</v>
      </c>
      <c r="K345" s="110">
        <f t="shared" si="2"/>
        <v>5</v>
      </c>
      <c r="L345" s="108" t="str">
        <f t="shared" si="3"/>
        <v>2024-Q2</v>
      </c>
      <c r="M345" s="111" t="str">
        <f t="shared" si="4"/>
        <v>2024-05</v>
      </c>
      <c r="N345" s="112" t="str">
        <f t="shared" si="5"/>
        <v>2024-H1</v>
      </c>
    </row>
    <row r="346">
      <c r="A346" s="108" t="s">
        <v>136</v>
      </c>
      <c r="J346" s="108" t="str">
        <f t="shared" si="1"/>
        <v>2024</v>
      </c>
      <c r="K346" s="110">
        <f t="shared" si="2"/>
        <v>6</v>
      </c>
      <c r="L346" s="108" t="str">
        <f t="shared" si="3"/>
        <v>2024-Q2</v>
      </c>
      <c r="M346" s="111" t="str">
        <f t="shared" si="4"/>
        <v>2024-06</v>
      </c>
      <c r="N346" s="112" t="str">
        <f t="shared" si="5"/>
        <v>2024-H1</v>
      </c>
    </row>
    <row r="347">
      <c r="A347" s="108" t="s">
        <v>136</v>
      </c>
      <c r="J347" s="108" t="str">
        <f t="shared" si="1"/>
        <v>2024</v>
      </c>
      <c r="K347" s="110">
        <f t="shared" si="2"/>
        <v>6</v>
      </c>
      <c r="L347" s="108" t="str">
        <f t="shared" si="3"/>
        <v>2024-Q2</v>
      </c>
      <c r="M347" s="111" t="str">
        <f t="shared" si="4"/>
        <v>2024-06</v>
      </c>
      <c r="N347" s="112" t="str">
        <f t="shared" si="5"/>
        <v>2024-H1</v>
      </c>
    </row>
    <row r="348">
      <c r="A348" s="108" t="s">
        <v>136</v>
      </c>
      <c r="J348" s="108" t="str">
        <f t="shared" si="1"/>
        <v>2024</v>
      </c>
      <c r="K348" s="110">
        <f t="shared" si="2"/>
        <v>5</v>
      </c>
      <c r="L348" s="108" t="str">
        <f t="shared" si="3"/>
        <v>2024-Q2</v>
      </c>
      <c r="M348" s="111" t="str">
        <f t="shared" si="4"/>
        <v>2024-05</v>
      </c>
      <c r="N348" s="112" t="str">
        <f t="shared" si="5"/>
        <v>2024-H1</v>
      </c>
    </row>
    <row r="349">
      <c r="A349" s="108" t="s">
        <v>136</v>
      </c>
      <c r="J349" s="108" t="str">
        <f t="shared" si="1"/>
        <v>2024</v>
      </c>
      <c r="K349" s="110">
        <f t="shared" si="2"/>
        <v>5</v>
      </c>
      <c r="L349" s="108" t="str">
        <f t="shared" si="3"/>
        <v>2024-Q2</v>
      </c>
      <c r="M349" s="111" t="str">
        <f t="shared" si="4"/>
        <v>2024-05</v>
      </c>
      <c r="N349" s="112" t="str">
        <f t="shared" si="5"/>
        <v>2024-H1</v>
      </c>
    </row>
    <row r="350">
      <c r="A350" s="108" t="s">
        <v>136</v>
      </c>
      <c r="J350" s="108" t="str">
        <f t="shared" si="1"/>
        <v>2024</v>
      </c>
      <c r="K350" s="110">
        <f t="shared" si="2"/>
        <v>5</v>
      </c>
      <c r="L350" s="108" t="str">
        <f t="shared" si="3"/>
        <v>2024-Q2</v>
      </c>
      <c r="M350" s="111" t="str">
        <f t="shared" si="4"/>
        <v>2024-05</v>
      </c>
      <c r="N350" s="112" t="str">
        <f t="shared" si="5"/>
        <v>2024-H1</v>
      </c>
    </row>
    <row r="351">
      <c r="A351" s="108" t="s">
        <v>136</v>
      </c>
      <c r="J351" s="108" t="str">
        <f t="shared" si="1"/>
        <v>2024</v>
      </c>
      <c r="K351" s="110">
        <f t="shared" si="2"/>
        <v>6</v>
      </c>
      <c r="L351" s="108" t="str">
        <f t="shared" si="3"/>
        <v>2024-Q2</v>
      </c>
      <c r="M351" s="111" t="str">
        <f t="shared" si="4"/>
        <v>2024-06</v>
      </c>
      <c r="N351" s="112" t="str">
        <f t="shared" si="5"/>
        <v>2024-H1</v>
      </c>
    </row>
    <row r="352">
      <c r="A352" s="108" t="s">
        <v>136</v>
      </c>
      <c r="J352" s="108" t="str">
        <f t="shared" si="1"/>
        <v>2024</v>
      </c>
      <c r="K352" s="110">
        <f t="shared" si="2"/>
        <v>6</v>
      </c>
      <c r="L352" s="108" t="str">
        <f t="shared" si="3"/>
        <v>2024-Q2</v>
      </c>
      <c r="M352" s="111" t="str">
        <f t="shared" si="4"/>
        <v>2024-06</v>
      </c>
      <c r="N352" s="112" t="str">
        <f t="shared" si="5"/>
        <v>2024-H1</v>
      </c>
    </row>
    <row r="353">
      <c r="A353" s="108" t="s">
        <v>136</v>
      </c>
      <c r="J353" s="108" t="str">
        <f t="shared" si="1"/>
        <v>2024</v>
      </c>
      <c r="K353" s="110">
        <f t="shared" si="2"/>
        <v>6</v>
      </c>
      <c r="L353" s="108" t="str">
        <f t="shared" si="3"/>
        <v>2024-Q2</v>
      </c>
      <c r="M353" s="111" t="str">
        <f t="shared" si="4"/>
        <v>2024-06</v>
      </c>
      <c r="N353" s="112" t="str">
        <f t="shared" si="5"/>
        <v>2024-H1</v>
      </c>
    </row>
    <row r="354">
      <c r="A354" s="108" t="s">
        <v>136</v>
      </c>
      <c r="J354" s="108" t="str">
        <f t="shared" si="1"/>
        <v>2024</v>
      </c>
      <c r="K354" s="110">
        <f t="shared" si="2"/>
        <v>6</v>
      </c>
      <c r="L354" s="108" t="str">
        <f t="shared" si="3"/>
        <v>2024-Q2</v>
      </c>
      <c r="M354" s="111" t="str">
        <f t="shared" si="4"/>
        <v>2024-06</v>
      </c>
      <c r="N354" s="112" t="str">
        <f t="shared" si="5"/>
        <v>2024-H1</v>
      </c>
    </row>
    <row r="355">
      <c r="A355" s="108" t="s">
        <v>136</v>
      </c>
      <c r="J355" s="108" t="str">
        <f t="shared" si="1"/>
        <v>2024</v>
      </c>
      <c r="K355" s="110">
        <f t="shared" si="2"/>
        <v>5</v>
      </c>
      <c r="L355" s="108" t="str">
        <f t="shared" si="3"/>
        <v>2024-Q2</v>
      </c>
      <c r="M355" s="111" t="str">
        <f t="shared" si="4"/>
        <v>2024-05</v>
      </c>
      <c r="N355" s="112" t="str">
        <f t="shared" si="5"/>
        <v>2024-H1</v>
      </c>
    </row>
    <row r="356">
      <c r="A356" s="108" t="s">
        <v>136</v>
      </c>
      <c r="J356" s="108" t="str">
        <f t="shared" si="1"/>
        <v>2024</v>
      </c>
      <c r="K356" s="110">
        <f t="shared" si="2"/>
        <v>5</v>
      </c>
      <c r="L356" s="108" t="str">
        <f t="shared" si="3"/>
        <v>2024-Q2</v>
      </c>
      <c r="M356" s="111" t="str">
        <f t="shared" si="4"/>
        <v>2024-05</v>
      </c>
      <c r="N356" s="112" t="str">
        <f t="shared" si="5"/>
        <v>2024-H1</v>
      </c>
    </row>
    <row r="357">
      <c r="A357" s="108" t="s">
        <v>136</v>
      </c>
      <c r="J357" s="108" t="str">
        <f t="shared" si="1"/>
        <v>2024</v>
      </c>
      <c r="K357" s="110">
        <f t="shared" si="2"/>
        <v>6</v>
      </c>
      <c r="L357" s="108" t="str">
        <f t="shared" si="3"/>
        <v>2024-Q2</v>
      </c>
      <c r="M357" s="111" t="str">
        <f t="shared" si="4"/>
        <v>2024-06</v>
      </c>
      <c r="N357" s="112" t="str">
        <f t="shared" si="5"/>
        <v>2024-H1</v>
      </c>
    </row>
    <row r="358">
      <c r="A358" s="108" t="s">
        <v>136</v>
      </c>
      <c r="J358" s="108" t="str">
        <f t="shared" si="1"/>
        <v>2024</v>
      </c>
      <c r="K358" s="110">
        <f t="shared" si="2"/>
        <v>5</v>
      </c>
      <c r="L358" s="108" t="str">
        <f t="shared" si="3"/>
        <v>2024-Q2</v>
      </c>
      <c r="M358" s="111" t="str">
        <f t="shared" si="4"/>
        <v>2024-05</v>
      </c>
      <c r="N358" s="112" t="str">
        <f t="shared" si="5"/>
        <v>2024-H1</v>
      </c>
    </row>
    <row r="359">
      <c r="A359" s="108" t="s">
        <v>136</v>
      </c>
      <c r="J359" s="108" t="str">
        <f t="shared" si="1"/>
        <v>2024</v>
      </c>
      <c r="K359" s="110">
        <f t="shared" si="2"/>
        <v>6</v>
      </c>
      <c r="L359" s="108" t="str">
        <f t="shared" si="3"/>
        <v>2024-Q2</v>
      </c>
      <c r="M359" s="111" t="str">
        <f t="shared" si="4"/>
        <v>2024-06</v>
      </c>
      <c r="N359" s="112" t="str">
        <f t="shared" si="5"/>
        <v>2024-H1</v>
      </c>
    </row>
    <row r="360">
      <c r="A360" s="108" t="s">
        <v>136</v>
      </c>
      <c r="J360" s="108" t="str">
        <f t="shared" si="1"/>
        <v>2024</v>
      </c>
      <c r="K360" s="110">
        <f t="shared" si="2"/>
        <v>6</v>
      </c>
      <c r="L360" s="108" t="str">
        <f t="shared" si="3"/>
        <v>2024-Q2</v>
      </c>
      <c r="M360" s="111" t="str">
        <f t="shared" si="4"/>
        <v>2024-06</v>
      </c>
      <c r="N360" s="112" t="str">
        <f t="shared" si="5"/>
        <v>2024-H1</v>
      </c>
    </row>
    <row r="361">
      <c r="A361" s="108" t="s">
        <v>136</v>
      </c>
      <c r="J361" s="108" t="str">
        <f t="shared" si="1"/>
        <v>2024</v>
      </c>
      <c r="K361" s="110">
        <f t="shared" si="2"/>
        <v>6</v>
      </c>
      <c r="L361" s="108" t="str">
        <f t="shared" si="3"/>
        <v>2024-Q2</v>
      </c>
      <c r="M361" s="111" t="str">
        <f t="shared" si="4"/>
        <v>2024-06</v>
      </c>
      <c r="N361" s="112" t="str">
        <f t="shared" si="5"/>
        <v>2024-H1</v>
      </c>
    </row>
    <row r="362">
      <c r="A362" s="108" t="s">
        <v>136</v>
      </c>
      <c r="J362" s="108" t="str">
        <f t="shared" si="1"/>
        <v>2024</v>
      </c>
      <c r="K362" s="110">
        <f t="shared" si="2"/>
        <v>6</v>
      </c>
      <c r="L362" s="108" t="str">
        <f t="shared" si="3"/>
        <v>2024-Q2</v>
      </c>
      <c r="M362" s="111" t="str">
        <f t="shared" si="4"/>
        <v>2024-06</v>
      </c>
      <c r="N362" s="112" t="str">
        <f t="shared" si="5"/>
        <v>2024-H1</v>
      </c>
    </row>
    <row r="363">
      <c r="A363" s="108" t="s">
        <v>136</v>
      </c>
      <c r="J363" s="108" t="str">
        <f t="shared" si="1"/>
        <v>2024</v>
      </c>
      <c r="K363" s="110">
        <f t="shared" si="2"/>
        <v>5</v>
      </c>
      <c r="L363" s="108" t="str">
        <f t="shared" si="3"/>
        <v>2024-Q2</v>
      </c>
      <c r="M363" s="111" t="str">
        <f t="shared" si="4"/>
        <v>2024-05</v>
      </c>
      <c r="N363" s="112" t="str">
        <f t="shared" si="5"/>
        <v>2024-H1</v>
      </c>
    </row>
    <row r="364">
      <c r="A364" s="108" t="s">
        <v>136</v>
      </c>
      <c r="J364" s="108" t="str">
        <f t="shared" si="1"/>
        <v>2024</v>
      </c>
      <c r="K364" s="110">
        <f t="shared" si="2"/>
        <v>6</v>
      </c>
      <c r="L364" s="108" t="str">
        <f t="shared" si="3"/>
        <v>2024-Q2</v>
      </c>
      <c r="M364" s="111" t="str">
        <f t="shared" si="4"/>
        <v>2024-06</v>
      </c>
      <c r="N364" s="112" t="str">
        <f t="shared" si="5"/>
        <v>2024-H1</v>
      </c>
    </row>
    <row r="365">
      <c r="A365" s="108" t="s">
        <v>136</v>
      </c>
      <c r="J365" s="108" t="str">
        <f t="shared" si="1"/>
        <v>2024</v>
      </c>
      <c r="K365" s="110">
        <f t="shared" si="2"/>
        <v>6</v>
      </c>
      <c r="L365" s="108" t="str">
        <f t="shared" si="3"/>
        <v>2024-Q2</v>
      </c>
      <c r="M365" s="111" t="str">
        <f t="shared" si="4"/>
        <v>2024-06</v>
      </c>
      <c r="N365" s="112" t="str">
        <f t="shared" si="5"/>
        <v>2024-H1</v>
      </c>
    </row>
    <row r="366">
      <c r="A366" s="108" t="s">
        <v>136</v>
      </c>
      <c r="J366" s="108" t="str">
        <f t="shared" si="1"/>
        <v>2024</v>
      </c>
      <c r="K366" s="110">
        <f t="shared" si="2"/>
        <v>6</v>
      </c>
      <c r="L366" s="108" t="str">
        <f t="shared" si="3"/>
        <v>2024-Q2</v>
      </c>
      <c r="M366" s="111" t="str">
        <f t="shared" si="4"/>
        <v>2024-06</v>
      </c>
      <c r="N366" s="112" t="str">
        <f t="shared" si="5"/>
        <v>2024-H1</v>
      </c>
    </row>
    <row r="367">
      <c r="A367" s="108" t="s">
        <v>136</v>
      </c>
      <c r="J367" s="108" t="str">
        <f t="shared" si="1"/>
        <v>2024</v>
      </c>
      <c r="K367" s="110">
        <f t="shared" si="2"/>
        <v>6</v>
      </c>
      <c r="L367" s="108" t="str">
        <f t="shared" si="3"/>
        <v>2024-Q2</v>
      </c>
      <c r="M367" s="111" t="str">
        <f t="shared" si="4"/>
        <v>2024-06</v>
      </c>
      <c r="N367" s="112" t="str">
        <f t="shared" si="5"/>
        <v>2024-H1</v>
      </c>
    </row>
    <row r="368">
      <c r="A368" s="108" t="s">
        <v>136</v>
      </c>
      <c r="J368" s="108" t="str">
        <f t="shared" si="1"/>
        <v>2024</v>
      </c>
      <c r="K368" s="110">
        <f t="shared" si="2"/>
        <v>5</v>
      </c>
      <c r="L368" s="108" t="str">
        <f t="shared" si="3"/>
        <v>2024-Q2</v>
      </c>
      <c r="M368" s="111" t="str">
        <f t="shared" si="4"/>
        <v>2024-05</v>
      </c>
      <c r="N368" s="112" t="str">
        <f t="shared" si="5"/>
        <v>2024-H1</v>
      </c>
    </row>
    <row r="369">
      <c r="A369" s="108" t="s">
        <v>136</v>
      </c>
      <c r="J369" s="108" t="str">
        <f t="shared" si="1"/>
        <v>2024</v>
      </c>
      <c r="K369" s="110">
        <f t="shared" si="2"/>
        <v>6</v>
      </c>
      <c r="L369" s="108" t="str">
        <f t="shared" si="3"/>
        <v>2024-Q2</v>
      </c>
      <c r="M369" s="111" t="str">
        <f t="shared" si="4"/>
        <v>2024-06</v>
      </c>
      <c r="N369" s="112" t="str">
        <f t="shared" si="5"/>
        <v>2024-H1</v>
      </c>
    </row>
    <row r="370">
      <c r="A370" s="108" t="s">
        <v>136</v>
      </c>
      <c r="J370" s="108" t="str">
        <f t="shared" si="1"/>
        <v>2024</v>
      </c>
      <c r="K370" s="110">
        <f t="shared" si="2"/>
        <v>6</v>
      </c>
      <c r="L370" s="108" t="str">
        <f t="shared" si="3"/>
        <v>2024-Q2</v>
      </c>
      <c r="M370" s="111" t="str">
        <f t="shared" si="4"/>
        <v>2024-06</v>
      </c>
      <c r="N370" s="112" t="str">
        <f t="shared" si="5"/>
        <v>2024-H1</v>
      </c>
    </row>
    <row r="371">
      <c r="A371" s="108" t="s">
        <v>136</v>
      </c>
      <c r="J371" s="108" t="str">
        <f t="shared" si="1"/>
        <v>2024</v>
      </c>
      <c r="K371" s="110">
        <f t="shared" si="2"/>
        <v>6</v>
      </c>
      <c r="L371" s="108" t="str">
        <f t="shared" si="3"/>
        <v>2024-Q2</v>
      </c>
      <c r="M371" s="111" t="str">
        <f t="shared" si="4"/>
        <v>2024-06</v>
      </c>
      <c r="N371" s="112" t="str">
        <f t="shared" si="5"/>
        <v>2024-H1</v>
      </c>
    </row>
    <row r="372">
      <c r="A372" s="108" t="s">
        <v>136</v>
      </c>
      <c r="J372" s="108" t="str">
        <f t="shared" si="1"/>
        <v>2024</v>
      </c>
      <c r="K372" s="110">
        <f t="shared" si="2"/>
        <v>5</v>
      </c>
      <c r="L372" s="108" t="str">
        <f t="shared" si="3"/>
        <v>2024-Q2</v>
      </c>
      <c r="M372" s="111" t="str">
        <f t="shared" si="4"/>
        <v>2024-05</v>
      </c>
      <c r="N372" s="112" t="str">
        <f t="shared" si="5"/>
        <v>2024-H1</v>
      </c>
    </row>
    <row r="373">
      <c r="A373" s="108" t="s">
        <v>136</v>
      </c>
      <c r="J373" s="108" t="str">
        <f t="shared" si="1"/>
        <v>2024</v>
      </c>
      <c r="K373" s="110">
        <f t="shared" si="2"/>
        <v>6</v>
      </c>
      <c r="L373" s="108" t="str">
        <f t="shared" si="3"/>
        <v>2024-Q2</v>
      </c>
      <c r="M373" s="111" t="str">
        <f t="shared" si="4"/>
        <v>2024-06</v>
      </c>
      <c r="N373" s="112" t="str">
        <f t="shared" si="5"/>
        <v>2024-H1</v>
      </c>
    </row>
    <row r="374">
      <c r="A374" s="108" t="s">
        <v>136</v>
      </c>
      <c r="J374" s="108" t="str">
        <f t="shared" si="1"/>
        <v>2024</v>
      </c>
      <c r="K374" s="110">
        <f t="shared" si="2"/>
        <v>6</v>
      </c>
      <c r="L374" s="108" t="str">
        <f t="shared" si="3"/>
        <v>2024-Q2</v>
      </c>
      <c r="M374" s="111" t="str">
        <f t="shared" si="4"/>
        <v>2024-06</v>
      </c>
      <c r="N374" s="112" t="str">
        <f t="shared" si="5"/>
        <v>2024-H1</v>
      </c>
    </row>
    <row r="375">
      <c r="A375" s="108" t="s">
        <v>136</v>
      </c>
      <c r="J375" s="108" t="str">
        <f t="shared" si="1"/>
        <v>2024</v>
      </c>
      <c r="K375" s="110">
        <f t="shared" si="2"/>
        <v>6</v>
      </c>
      <c r="L375" s="108" t="str">
        <f t="shared" si="3"/>
        <v>2024-Q2</v>
      </c>
      <c r="M375" s="111" t="str">
        <f t="shared" si="4"/>
        <v>2024-06</v>
      </c>
      <c r="N375" s="112" t="str">
        <f t="shared" si="5"/>
        <v>2024-H1</v>
      </c>
    </row>
    <row r="376">
      <c r="A376" s="108" t="s">
        <v>136</v>
      </c>
      <c r="J376" s="108" t="str">
        <f t="shared" si="1"/>
        <v>2024</v>
      </c>
      <c r="K376" s="110">
        <f t="shared" si="2"/>
        <v>5</v>
      </c>
      <c r="L376" s="108" t="str">
        <f t="shared" si="3"/>
        <v>2024-Q2</v>
      </c>
      <c r="M376" s="111" t="str">
        <f t="shared" si="4"/>
        <v>2024-05</v>
      </c>
      <c r="N376" s="112" t="str">
        <f t="shared" si="5"/>
        <v>2024-H1</v>
      </c>
    </row>
    <row r="377">
      <c r="A377" s="108" t="s">
        <v>136</v>
      </c>
      <c r="J377" s="108" t="str">
        <f t="shared" si="1"/>
        <v>2024</v>
      </c>
      <c r="K377" s="110">
        <f t="shared" si="2"/>
        <v>6</v>
      </c>
      <c r="L377" s="108" t="str">
        <f t="shared" si="3"/>
        <v>2024-Q2</v>
      </c>
      <c r="M377" s="111" t="str">
        <f t="shared" si="4"/>
        <v>2024-06</v>
      </c>
      <c r="N377" s="112" t="str">
        <f t="shared" si="5"/>
        <v>2024-H1</v>
      </c>
    </row>
    <row r="378">
      <c r="A378" s="108" t="s">
        <v>136</v>
      </c>
      <c r="J378" s="108" t="str">
        <f t="shared" si="1"/>
        <v>2024</v>
      </c>
      <c r="K378" s="110">
        <f t="shared" si="2"/>
        <v>6</v>
      </c>
      <c r="L378" s="108" t="str">
        <f t="shared" si="3"/>
        <v>2024-Q2</v>
      </c>
      <c r="M378" s="111" t="str">
        <f t="shared" si="4"/>
        <v>2024-06</v>
      </c>
      <c r="N378" s="112" t="str">
        <f t="shared" si="5"/>
        <v>2024-H1</v>
      </c>
    </row>
    <row r="379">
      <c r="A379" s="108" t="s">
        <v>136</v>
      </c>
      <c r="J379" s="108" t="str">
        <f t="shared" si="1"/>
        <v>2024</v>
      </c>
      <c r="K379" s="110">
        <f t="shared" si="2"/>
        <v>6</v>
      </c>
      <c r="L379" s="108" t="str">
        <f t="shared" si="3"/>
        <v>2024-Q2</v>
      </c>
      <c r="M379" s="111" t="str">
        <f t="shared" si="4"/>
        <v>2024-06</v>
      </c>
      <c r="N379" s="112" t="str">
        <f t="shared" si="5"/>
        <v>2024-H1</v>
      </c>
    </row>
    <row r="380">
      <c r="A380" s="108" t="s">
        <v>136</v>
      </c>
      <c r="J380" s="108" t="str">
        <f t="shared" si="1"/>
        <v>2024</v>
      </c>
      <c r="K380" s="110">
        <f t="shared" si="2"/>
        <v>6</v>
      </c>
      <c r="L380" s="108" t="str">
        <f t="shared" si="3"/>
        <v>2024-Q2</v>
      </c>
      <c r="M380" s="111" t="str">
        <f t="shared" si="4"/>
        <v>2024-06</v>
      </c>
      <c r="N380" s="112" t="str">
        <f t="shared" si="5"/>
        <v>2024-H1</v>
      </c>
    </row>
    <row r="381">
      <c r="A381" s="108" t="s">
        <v>136</v>
      </c>
      <c r="J381" s="108" t="str">
        <f t="shared" si="1"/>
        <v>2024</v>
      </c>
      <c r="K381" s="110">
        <f t="shared" si="2"/>
        <v>6</v>
      </c>
      <c r="L381" s="108" t="str">
        <f t="shared" si="3"/>
        <v>2024-Q2</v>
      </c>
      <c r="M381" s="111" t="str">
        <f t="shared" si="4"/>
        <v>2024-06</v>
      </c>
      <c r="N381" s="112" t="str">
        <f t="shared" si="5"/>
        <v>2024-H1</v>
      </c>
    </row>
    <row r="382">
      <c r="A382" s="108" t="s">
        <v>136</v>
      </c>
      <c r="J382" s="108" t="str">
        <f t="shared" si="1"/>
        <v>2024</v>
      </c>
      <c r="K382" s="110">
        <f t="shared" si="2"/>
        <v>6</v>
      </c>
      <c r="L382" s="108" t="str">
        <f t="shared" si="3"/>
        <v>2024-Q2</v>
      </c>
      <c r="M382" s="111" t="str">
        <f t="shared" si="4"/>
        <v>2024-06</v>
      </c>
      <c r="N382" s="112" t="str">
        <f t="shared" si="5"/>
        <v>2024-H1</v>
      </c>
    </row>
    <row r="383">
      <c r="A383" s="108" t="s">
        <v>136</v>
      </c>
      <c r="J383" s="108" t="str">
        <f t="shared" si="1"/>
        <v>2024</v>
      </c>
      <c r="K383" s="110">
        <f t="shared" si="2"/>
        <v>6</v>
      </c>
      <c r="L383" s="108" t="str">
        <f t="shared" si="3"/>
        <v>2024-Q2</v>
      </c>
      <c r="M383" s="111" t="str">
        <f t="shared" si="4"/>
        <v>2024-06</v>
      </c>
      <c r="N383" s="112" t="str">
        <f t="shared" si="5"/>
        <v>2024-H1</v>
      </c>
    </row>
    <row r="384">
      <c r="A384" s="108" t="s">
        <v>136</v>
      </c>
      <c r="J384" s="108" t="str">
        <f t="shared" si="1"/>
        <v>2024</v>
      </c>
      <c r="K384" s="110">
        <f t="shared" si="2"/>
        <v>7</v>
      </c>
      <c r="L384" s="108" t="str">
        <f t="shared" si="3"/>
        <v>2024-Q3</v>
      </c>
      <c r="M384" s="111" t="str">
        <f t="shared" si="4"/>
        <v>2024-07</v>
      </c>
      <c r="N384" s="112" t="str">
        <f t="shared" si="5"/>
        <v>2024-H2</v>
      </c>
    </row>
    <row r="385">
      <c r="A385" s="108" t="s">
        <v>136</v>
      </c>
      <c r="J385" s="108" t="str">
        <f t="shared" si="1"/>
        <v>2024</v>
      </c>
      <c r="K385" s="110">
        <f t="shared" si="2"/>
        <v>7</v>
      </c>
      <c r="L385" s="108" t="str">
        <f t="shared" si="3"/>
        <v>2024-Q3</v>
      </c>
      <c r="M385" s="111" t="str">
        <f t="shared" si="4"/>
        <v>2024-07</v>
      </c>
      <c r="N385" s="112" t="str">
        <f t="shared" si="5"/>
        <v>2024-H2</v>
      </c>
    </row>
    <row r="386">
      <c r="A386" s="108" t="s">
        <v>136</v>
      </c>
      <c r="J386" s="108" t="str">
        <f t="shared" si="1"/>
        <v>2024</v>
      </c>
      <c r="K386" s="110">
        <f t="shared" si="2"/>
        <v>7</v>
      </c>
      <c r="L386" s="108" t="str">
        <f t="shared" si="3"/>
        <v>2024-Q3</v>
      </c>
      <c r="M386" s="111" t="str">
        <f t="shared" si="4"/>
        <v>2024-07</v>
      </c>
      <c r="N386" s="112" t="str">
        <f t="shared" si="5"/>
        <v>2024-H2</v>
      </c>
    </row>
    <row r="387">
      <c r="A387" s="108" t="s">
        <v>136</v>
      </c>
      <c r="J387" s="108" t="str">
        <f t="shared" si="1"/>
        <v>2024</v>
      </c>
      <c r="K387" s="110">
        <f t="shared" si="2"/>
        <v>6</v>
      </c>
      <c r="L387" s="108" t="str">
        <f t="shared" si="3"/>
        <v>2024-Q2</v>
      </c>
      <c r="M387" s="111" t="str">
        <f t="shared" si="4"/>
        <v>2024-06</v>
      </c>
      <c r="N387" s="112" t="str">
        <f t="shared" si="5"/>
        <v>2024-H1</v>
      </c>
    </row>
    <row r="388">
      <c r="A388" s="108" t="s">
        <v>136</v>
      </c>
      <c r="J388" s="108" t="str">
        <f t="shared" si="1"/>
        <v>2024</v>
      </c>
      <c r="K388" s="110">
        <f t="shared" si="2"/>
        <v>6</v>
      </c>
      <c r="L388" s="108" t="str">
        <f t="shared" si="3"/>
        <v>2024-Q2</v>
      </c>
      <c r="M388" s="111" t="str">
        <f t="shared" si="4"/>
        <v>2024-06</v>
      </c>
      <c r="N388" s="112" t="str">
        <f t="shared" si="5"/>
        <v>2024-H1</v>
      </c>
    </row>
    <row r="389">
      <c r="A389" s="108" t="s">
        <v>136</v>
      </c>
      <c r="J389" s="108" t="str">
        <f t="shared" si="1"/>
        <v>2024</v>
      </c>
      <c r="K389" s="110">
        <f t="shared" si="2"/>
        <v>6</v>
      </c>
      <c r="L389" s="108" t="str">
        <f t="shared" si="3"/>
        <v>2024-Q2</v>
      </c>
      <c r="M389" s="111" t="str">
        <f t="shared" si="4"/>
        <v>2024-06</v>
      </c>
      <c r="N389" s="112" t="str">
        <f t="shared" si="5"/>
        <v>2024-H1</v>
      </c>
    </row>
    <row r="390">
      <c r="A390" s="108" t="s">
        <v>136</v>
      </c>
      <c r="J390" s="108" t="str">
        <f t="shared" si="1"/>
        <v>2024</v>
      </c>
      <c r="K390" s="110">
        <f t="shared" si="2"/>
        <v>7</v>
      </c>
      <c r="L390" s="108" t="str">
        <f t="shared" si="3"/>
        <v>2024-Q3</v>
      </c>
      <c r="M390" s="111" t="str">
        <f t="shared" si="4"/>
        <v>2024-07</v>
      </c>
      <c r="N390" s="112" t="str">
        <f t="shared" si="5"/>
        <v>2024-H2</v>
      </c>
    </row>
    <row r="391">
      <c r="A391" s="108" t="s">
        <v>136</v>
      </c>
      <c r="J391" s="108" t="str">
        <f t="shared" si="1"/>
        <v>2024</v>
      </c>
      <c r="K391" s="110">
        <f t="shared" si="2"/>
        <v>7</v>
      </c>
      <c r="L391" s="108" t="str">
        <f t="shared" si="3"/>
        <v>2024-Q3</v>
      </c>
      <c r="M391" s="111" t="str">
        <f t="shared" si="4"/>
        <v>2024-07</v>
      </c>
      <c r="N391" s="112" t="str">
        <f t="shared" si="5"/>
        <v>2024-H2</v>
      </c>
    </row>
    <row r="392">
      <c r="A392" s="108" t="s">
        <v>136</v>
      </c>
      <c r="J392" s="108" t="str">
        <f t="shared" si="1"/>
        <v>2024</v>
      </c>
      <c r="K392" s="110">
        <f t="shared" si="2"/>
        <v>6</v>
      </c>
      <c r="L392" s="108" t="str">
        <f t="shared" si="3"/>
        <v>2024-Q2</v>
      </c>
      <c r="M392" s="111" t="str">
        <f t="shared" si="4"/>
        <v>2024-06</v>
      </c>
      <c r="N392" s="112" t="str">
        <f t="shared" si="5"/>
        <v>2024-H1</v>
      </c>
    </row>
    <row r="393">
      <c r="A393" s="108" t="s">
        <v>136</v>
      </c>
      <c r="J393" s="108" t="str">
        <f t="shared" si="1"/>
        <v>2024</v>
      </c>
      <c r="K393" s="110">
        <f t="shared" si="2"/>
        <v>6</v>
      </c>
      <c r="L393" s="108" t="str">
        <f t="shared" si="3"/>
        <v>2024-Q2</v>
      </c>
      <c r="M393" s="111" t="str">
        <f t="shared" si="4"/>
        <v>2024-06</v>
      </c>
      <c r="N393" s="112" t="str">
        <f t="shared" si="5"/>
        <v>2024-H1</v>
      </c>
    </row>
    <row r="394">
      <c r="A394" s="108" t="s">
        <v>136</v>
      </c>
      <c r="J394" s="108" t="str">
        <f t="shared" si="1"/>
        <v>2024</v>
      </c>
      <c r="K394" s="110">
        <f t="shared" si="2"/>
        <v>6</v>
      </c>
      <c r="L394" s="108" t="str">
        <f t="shared" si="3"/>
        <v>2024-Q2</v>
      </c>
      <c r="M394" s="111" t="str">
        <f t="shared" si="4"/>
        <v>2024-06</v>
      </c>
      <c r="N394" s="112" t="str">
        <f t="shared" si="5"/>
        <v>2024-H1</v>
      </c>
    </row>
    <row r="395">
      <c r="A395" s="108" t="s">
        <v>136</v>
      </c>
      <c r="J395" s="108" t="str">
        <f t="shared" si="1"/>
        <v>2024</v>
      </c>
      <c r="K395" s="110">
        <f t="shared" si="2"/>
        <v>6</v>
      </c>
      <c r="L395" s="108" t="str">
        <f t="shared" si="3"/>
        <v>2024-Q2</v>
      </c>
      <c r="M395" s="111" t="str">
        <f t="shared" si="4"/>
        <v>2024-06</v>
      </c>
      <c r="N395" s="112" t="str">
        <f t="shared" si="5"/>
        <v>2024-H1</v>
      </c>
    </row>
    <row r="396">
      <c r="A396" s="108" t="s">
        <v>136</v>
      </c>
      <c r="J396" s="108" t="str">
        <f t="shared" si="1"/>
        <v>2024</v>
      </c>
      <c r="K396" s="110">
        <f t="shared" si="2"/>
        <v>6</v>
      </c>
      <c r="L396" s="108" t="str">
        <f t="shared" si="3"/>
        <v>2024-Q2</v>
      </c>
      <c r="M396" s="111" t="str">
        <f t="shared" si="4"/>
        <v>2024-06</v>
      </c>
      <c r="N396" s="112" t="str">
        <f t="shared" si="5"/>
        <v>2024-H1</v>
      </c>
    </row>
    <row r="397">
      <c r="A397" s="108" t="s">
        <v>136</v>
      </c>
      <c r="J397" s="108" t="str">
        <f t="shared" si="1"/>
        <v>2024</v>
      </c>
      <c r="K397" s="110">
        <f t="shared" si="2"/>
        <v>7</v>
      </c>
      <c r="L397" s="108" t="str">
        <f t="shared" si="3"/>
        <v>2024-Q3</v>
      </c>
      <c r="M397" s="111" t="str">
        <f t="shared" si="4"/>
        <v>2024-07</v>
      </c>
      <c r="N397" s="112" t="str">
        <f t="shared" si="5"/>
        <v>2024-H2</v>
      </c>
    </row>
    <row r="398">
      <c r="A398" s="108" t="s">
        <v>136</v>
      </c>
      <c r="J398" s="108" t="str">
        <f t="shared" si="1"/>
        <v>2024</v>
      </c>
      <c r="K398" s="110">
        <f t="shared" si="2"/>
        <v>7</v>
      </c>
      <c r="L398" s="108" t="str">
        <f t="shared" si="3"/>
        <v>2024-Q3</v>
      </c>
      <c r="M398" s="111" t="str">
        <f t="shared" si="4"/>
        <v>2024-07</v>
      </c>
      <c r="N398" s="112" t="str">
        <f t="shared" si="5"/>
        <v>2024-H2</v>
      </c>
    </row>
    <row r="399">
      <c r="A399" s="108" t="s">
        <v>136</v>
      </c>
      <c r="J399" s="108" t="str">
        <f t="shared" si="1"/>
        <v>2024</v>
      </c>
      <c r="K399" s="110">
        <f t="shared" si="2"/>
        <v>7</v>
      </c>
      <c r="L399" s="108" t="str">
        <f t="shared" si="3"/>
        <v>2024-Q3</v>
      </c>
      <c r="M399" s="111" t="str">
        <f t="shared" si="4"/>
        <v>2024-07</v>
      </c>
      <c r="N399" s="112" t="str">
        <f t="shared" si="5"/>
        <v>2024-H2</v>
      </c>
    </row>
    <row r="400">
      <c r="A400" s="108" t="s">
        <v>136</v>
      </c>
      <c r="J400" s="108" t="str">
        <f t="shared" si="1"/>
        <v>2024</v>
      </c>
      <c r="K400" s="110">
        <f t="shared" si="2"/>
        <v>7</v>
      </c>
      <c r="L400" s="108" t="str">
        <f t="shared" si="3"/>
        <v>2024-Q3</v>
      </c>
      <c r="M400" s="111" t="str">
        <f t="shared" si="4"/>
        <v>2024-07</v>
      </c>
      <c r="N400" s="112" t="str">
        <f t="shared" si="5"/>
        <v>2024-H2</v>
      </c>
    </row>
    <row r="401">
      <c r="A401" s="108" t="s">
        <v>136</v>
      </c>
      <c r="J401" s="108" t="str">
        <f t="shared" si="1"/>
        <v>2024</v>
      </c>
      <c r="K401" s="110">
        <f t="shared" si="2"/>
        <v>7</v>
      </c>
      <c r="L401" s="108" t="str">
        <f t="shared" si="3"/>
        <v>2024-Q3</v>
      </c>
      <c r="M401" s="111" t="str">
        <f t="shared" si="4"/>
        <v>2024-07</v>
      </c>
      <c r="N401" s="112" t="str">
        <f t="shared" si="5"/>
        <v>2024-H2</v>
      </c>
    </row>
    <row r="402">
      <c r="A402" s="108" t="s">
        <v>136</v>
      </c>
      <c r="J402" s="108" t="str">
        <f t="shared" si="1"/>
        <v>2024</v>
      </c>
      <c r="K402" s="110">
        <f t="shared" si="2"/>
        <v>6</v>
      </c>
      <c r="L402" s="108" t="str">
        <f t="shared" si="3"/>
        <v>2024-Q2</v>
      </c>
      <c r="M402" s="111" t="str">
        <f t="shared" si="4"/>
        <v>2024-06</v>
      </c>
      <c r="N402" s="112" t="str">
        <f t="shared" si="5"/>
        <v>2024-H1</v>
      </c>
    </row>
    <row r="403">
      <c r="A403" s="108" t="s">
        <v>136</v>
      </c>
      <c r="J403" s="108" t="str">
        <f t="shared" si="1"/>
        <v>2024</v>
      </c>
      <c r="K403" s="110">
        <f t="shared" si="2"/>
        <v>7</v>
      </c>
      <c r="L403" s="108" t="str">
        <f t="shared" si="3"/>
        <v>2024-Q3</v>
      </c>
      <c r="M403" s="111" t="str">
        <f t="shared" si="4"/>
        <v>2024-07</v>
      </c>
      <c r="N403" s="112" t="str">
        <f t="shared" si="5"/>
        <v>2024-H2</v>
      </c>
    </row>
    <row r="404">
      <c r="A404" s="108" t="s">
        <v>136</v>
      </c>
      <c r="J404" s="108" t="str">
        <f t="shared" si="1"/>
        <v>2024</v>
      </c>
      <c r="K404" s="110">
        <f t="shared" si="2"/>
        <v>7</v>
      </c>
      <c r="L404" s="108" t="str">
        <f t="shared" si="3"/>
        <v>2024-Q3</v>
      </c>
      <c r="M404" s="111" t="str">
        <f t="shared" si="4"/>
        <v>2024-07</v>
      </c>
      <c r="N404" s="112" t="str">
        <f t="shared" si="5"/>
        <v>2024-H2</v>
      </c>
    </row>
    <row r="405">
      <c r="A405" s="108" t="s">
        <v>136</v>
      </c>
      <c r="J405" s="108" t="str">
        <f t="shared" si="1"/>
        <v>2024</v>
      </c>
      <c r="K405" s="110">
        <f t="shared" si="2"/>
        <v>6</v>
      </c>
      <c r="L405" s="108" t="str">
        <f t="shared" si="3"/>
        <v>2024-Q2</v>
      </c>
      <c r="M405" s="111" t="str">
        <f t="shared" si="4"/>
        <v>2024-06</v>
      </c>
      <c r="N405" s="112" t="str">
        <f t="shared" si="5"/>
        <v>2024-H1</v>
      </c>
    </row>
    <row r="406">
      <c r="A406" s="108" t="s">
        <v>136</v>
      </c>
      <c r="J406" s="108" t="str">
        <f t="shared" si="1"/>
        <v>2024</v>
      </c>
      <c r="K406" s="110">
        <f t="shared" si="2"/>
        <v>7</v>
      </c>
      <c r="L406" s="108" t="str">
        <f t="shared" si="3"/>
        <v>2024-Q3</v>
      </c>
      <c r="M406" s="111" t="str">
        <f t="shared" si="4"/>
        <v>2024-07</v>
      </c>
      <c r="N406" s="112" t="str">
        <f t="shared" si="5"/>
        <v>2024-H2</v>
      </c>
    </row>
    <row r="407">
      <c r="A407" s="108" t="s">
        <v>136</v>
      </c>
      <c r="J407" s="108" t="str">
        <f t="shared" si="1"/>
        <v>2024</v>
      </c>
      <c r="K407" s="110">
        <f t="shared" si="2"/>
        <v>7</v>
      </c>
      <c r="L407" s="108" t="str">
        <f t="shared" si="3"/>
        <v>2024-Q3</v>
      </c>
      <c r="M407" s="111" t="str">
        <f t="shared" si="4"/>
        <v>2024-07</v>
      </c>
      <c r="N407" s="112" t="str">
        <f t="shared" si="5"/>
        <v>2024-H2</v>
      </c>
    </row>
    <row r="408">
      <c r="A408" s="108" t="s">
        <v>136</v>
      </c>
      <c r="J408" s="108" t="str">
        <f t="shared" si="1"/>
        <v>2024</v>
      </c>
      <c r="K408" s="110">
        <f t="shared" si="2"/>
        <v>7</v>
      </c>
      <c r="L408" s="108" t="str">
        <f t="shared" si="3"/>
        <v>2024-Q3</v>
      </c>
      <c r="M408" s="111" t="str">
        <f t="shared" si="4"/>
        <v>2024-07</v>
      </c>
      <c r="N408" s="112" t="str">
        <f t="shared" si="5"/>
        <v>2024-H2</v>
      </c>
    </row>
    <row r="409">
      <c r="A409" s="108" t="s">
        <v>136</v>
      </c>
      <c r="J409" s="108" t="str">
        <f t="shared" si="1"/>
        <v>2024</v>
      </c>
      <c r="K409" s="110">
        <f t="shared" si="2"/>
        <v>7</v>
      </c>
      <c r="L409" s="108" t="str">
        <f t="shared" si="3"/>
        <v>2024-Q3</v>
      </c>
      <c r="M409" s="111" t="str">
        <f t="shared" si="4"/>
        <v>2024-07</v>
      </c>
      <c r="N409" s="112" t="str">
        <f t="shared" si="5"/>
        <v>2024-H2</v>
      </c>
    </row>
    <row r="410">
      <c r="A410" s="108" t="s">
        <v>136</v>
      </c>
      <c r="J410" s="108" t="str">
        <f t="shared" si="1"/>
        <v>2024</v>
      </c>
      <c r="K410" s="110">
        <f t="shared" si="2"/>
        <v>8</v>
      </c>
      <c r="L410" s="108" t="str">
        <f t="shared" si="3"/>
        <v>2024-Q3</v>
      </c>
      <c r="M410" s="111" t="str">
        <f t="shared" si="4"/>
        <v>2024-08</v>
      </c>
      <c r="N410" s="112" t="str">
        <f t="shared" si="5"/>
        <v>2024-H2</v>
      </c>
    </row>
    <row r="411">
      <c r="A411" s="108" t="s">
        <v>136</v>
      </c>
      <c r="J411" s="108" t="str">
        <f t="shared" si="1"/>
        <v>2024</v>
      </c>
      <c r="K411" s="110">
        <f t="shared" si="2"/>
        <v>7</v>
      </c>
      <c r="L411" s="108" t="str">
        <f t="shared" si="3"/>
        <v>2024-Q3</v>
      </c>
      <c r="M411" s="111" t="str">
        <f t="shared" si="4"/>
        <v>2024-07</v>
      </c>
      <c r="N411" s="112" t="str">
        <f t="shared" si="5"/>
        <v>2024-H2</v>
      </c>
    </row>
    <row r="412">
      <c r="A412" s="108" t="s">
        <v>136</v>
      </c>
      <c r="J412" s="108" t="str">
        <f t="shared" si="1"/>
        <v>2024</v>
      </c>
      <c r="K412" s="110">
        <f t="shared" si="2"/>
        <v>8</v>
      </c>
      <c r="L412" s="108" t="str">
        <f t="shared" si="3"/>
        <v>2024-Q3</v>
      </c>
      <c r="M412" s="111" t="str">
        <f t="shared" si="4"/>
        <v>2024-08</v>
      </c>
      <c r="N412" s="112" t="str">
        <f t="shared" si="5"/>
        <v>2024-H2</v>
      </c>
    </row>
    <row r="413">
      <c r="A413" s="108" t="s">
        <v>136</v>
      </c>
      <c r="J413" s="108" t="str">
        <f t="shared" si="1"/>
        <v>2024</v>
      </c>
      <c r="K413" s="110">
        <f t="shared" si="2"/>
        <v>7</v>
      </c>
      <c r="L413" s="108" t="str">
        <f t="shared" si="3"/>
        <v>2024-Q3</v>
      </c>
      <c r="M413" s="111" t="str">
        <f t="shared" si="4"/>
        <v>2024-07</v>
      </c>
      <c r="N413" s="112" t="str">
        <f t="shared" si="5"/>
        <v>2024-H2</v>
      </c>
    </row>
    <row r="414">
      <c r="A414" s="108" t="s">
        <v>136</v>
      </c>
      <c r="J414" s="108" t="str">
        <f t="shared" si="1"/>
        <v>2024</v>
      </c>
      <c r="K414" s="110">
        <f t="shared" si="2"/>
        <v>8</v>
      </c>
      <c r="L414" s="108" t="str">
        <f t="shared" si="3"/>
        <v>2024-Q3</v>
      </c>
      <c r="M414" s="111" t="str">
        <f t="shared" si="4"/>
        <v>2024-08</v>
      </c>
      <c r="N414" s="112" t="str">
        <f t="shared" si="5"/>
        <v>2024-H2</v>
      </c>
    </row>
    <row r="415">
      <c r="A415" s="108" t="s">
        <v>136</v>
      </c>
      <c r="J415" s="108" t="str">
        <f t="shared" si="1"/>
        <v>2024</v>
      </c>
      <c r="K415" s="110">
        <f t="shared" si="2"/>
        <v>7</v>
      </c>
      <c r="L415" s="108" t="str">
        <f t="shared" si="3"/>
        <v>2024-Q3</v>
      </c>
      <c r="M415" s="111" t="str">
        <f t="shared" si="4"/>
        <v>2024-07</v>
      </c>
      <c r="N415" s="112" t="str">
        <f t="shared" si="5"/>
        <v>2024-H2</v>
      </c>
    </row>
    <row r="416">
      <c r="A416" s="108" t="s">
        <v>136</v>
      </c>
      <c r="J416" s="108" t="str">
        <f t="shared" si="1"/>
        <v>2024</v>
      </c>
      <c r="K416" s="110">
        <f t="shared" si="2"/>
        <v>7</v>
      </c>
      <c r="L416" s="108" t="str">
        <f t="shared" si="3"/>
        <v>2024-Q3</v>
      </c>
      <c r="M416" s="111" t="str">
        <f t="shared" si="4"/>
        <v>2024-07</v>
      </c>
      <c r="N416" s="112" t="str">
        <f t="shared" si="5"/>
        <v>2024-H2</v>
      </c>
    </row>
    <row r="417">
      <c r="A417" s="108" t="s">
        <v>136</v>
      </c>
      <c r="J417" s="108" t="str">
        <f t="shared" si="1"/>
        <v>2024</v>
      </c>
      <c r="K417" s="110">
        <f t="shared" si="2"/>
        <v>7</v>
      </c>
      <c r="L417" s="108" t="str">
        <f t="shared" si="3"/>
        <v>2024-Q3</v>
      </c>
      <c r="M417" s="111" t="str">
        <f t="shared" si="4"/>
        <v>2024-07</v>
      </c>
      <c r="N417" s="112" t="str">
        <f t="shared" si="5"/>
        <v>2024-H2</v>
      </c>
    </row>
    <row r="418">
      <c r="A418" s="108" t="s">
        <v>136</v>
      </c>
      <c r="J418" s="108" t="str">
        <f t="shared" si="1"/>
        <v>2024</v>
      </c>
      <c r="K418" s="110">
        <f t="shared" si="2"/>
        <v>7</v>
      </c>
      <c r="L418" s="108" t="str">
        <f t="shared" si="3"/>
        <v>2024-Q3</v>
      </c>
      <c r="M418" s="111" t="str">
        <f t="shared" si="4"/>
        <v>2024-07</v>
      </c>
      <c r="N418" s="112" t="str">
        <f t="shared" si="5"/>
        <v>2024-H2</v>
      </c>
    </row>
    <row r="419">
      <c r="A419" s="108" t="s">
        <v>136</v>
      </c>
      <c r="J419" s="108" t="str">
        <f t="shared" si="1"/>
        <v>2024</v>
      </c>
      <c r="K419" s="110">
        <f t="shared" si="2"/>
        <v>7</v>
      </c>
      <c r="L419" s="108" t="str">
        <f t="shared" si="3"/>
        <v>2024-Q3</v>
      </c>
      <c r="M419" s="111" t="str">
        <f t="shared" si="4"/>
        <v>2024-07</v>
      </c>
      <c r="N419" s="112" t="str">
        <f t="shared" si="5"/>
        <v>2024-H2</v>
      </c>
    </row>
    <row r="420">
      <c r="A420" s="108" t="s">
        <v>136</v>
      </c>
      <c r="J420" s="108" t="str">
        <f t="shared" si="1"/>
        <v>2024</v>
      </c>
      <c r="K420" s="110">
        <f t="shared" si="2"/>
        <v>8</v>
      </c>
      <c r="L420" s="108" t="str">
        <f t="shared" si="3"/>
        <v>2024-Q3</v>
      </c>
      <c r="M420" s="111" t="str">
        <f t="shared" si="4"/>
        <v>2024-08</v>
      </c>
      <c r="N420" s="112" t="str">
        <f t="shared" si="5"/>
        <v>2024-H2</v>
      </c>
    </row>
    <row r="421">
      <c r="A421" s="108" t="s">
        <v>136</v>
      </c>
      <c r="J421" s="108" t="str">
        <f t="shared" si="1"/>
        <v>2024</v>
      </c>
      <c r="K421" s="110">
        <f t="shared" si="2"/>
        <v>7</v>
      </c>
      <c r="L421" s="108" t="str">
        <f t="shared" si="3"/>
        <v>2024-Q3</v>
      </c>
      <c r="M421" s="111" t="str">
        <f t="shared" si="4"/>
        <v>2024-07</v>
      </c>
      <c r="N421" s="112" t="str">
        <f t="shared" si="5"/>
        <v>2024-H2</v>
      </c>
    </row>
    <row r="422">
      <c r="A422" s="108" t="s">
        <v>136</v>
      </c>
      <c r="J422" s="108" t="str">
        <f t="shared" si="1"/>
        <v>2024</v>
      </c>
      <c r="K422" s="110">
        <f t="shared" si="2"/>
        <v>7</v>
      </c>
      <c r="L422" s="108" t="str">
        <f t="shared" si="3"/>
        <v>2024-Q3</v>
      </c>
      <c r="M422" s="111" t="str">
        <f t="shared" si="4"/>
        <v>2024-07</v>
      </c>
      <c r="N422" s="112" t="str">
        <f t="shared" si="5"/>
        <v>2024-H2</v>
      </c>
    </row>
    <row r="423">
      <c r="A423" s="108" t="s">
        <v>136</v>
      </c>
      <c r="J423" s="108" t="str">
        <f t="shared" si="1"/>
        <v>2024</v>
      </c>
      <c r="K423" s="110">
        <f t="shared" si="2"/>
        <v>8</v>
      </c>
      <c r="L423" s="108" t="str">
        <f t="shared" si="3"/>
        <v>2024-Q3</v>
      </c>
      <c r="M423" s="111" t="str">
        <f t="shared" si="4"/>
        <v>2024-08</v>
      </c>
      <c r="N423" s="112" t="str">
        <f t="shared" si="5"/>
        <v>2024-H2</v>
      </c>
    </row>
    <row r="424">
      <c r="A424" s="108" t="s">
        <v>136</v>
      </c>
      <c r="J424" s="108" t="str">
        <f t="shared" si="1"/>
        <v>2024</v>
      </c>
      <c r="K424" s="110">
        <f t="shared" si="2"/>
        <v>7</v>
      </c>
      <c r="L424" s="108" t="str">
        <f t="shared" si="3"/>
        <v>2024-Q3</v>
      </c>
      <c r="M424" s="111" t="str">
        <f t="shared" si="4"/>
        <v>2024-07</v>
      </c>
      <c r="N424" s="112" t="str">
        <f t="shared" si="5"/>
        <v>2024-H2</v>
      </c>
    </row>
    <row r="425">
      <c r="A425" s="108" t="s">
        <v>136</v>
      </c>
      <c r="J425" s="108" t="str">
        <f t="shared" si="1"/>
        <v>2024</v>
      </c>
      <c r="K425" s="110">
        <f t="shared" si="2"/>
        <v>8</v>
      </c>
      <c r="L425" s="108" t="str">
        <f t="shared" si="3"/>
        <v>2024-Q3</v>
      </c>
      <c r="M425" s="111" t="str">
        <f t="shared" si="4"/>
        <v>2024-08</v>
      </c>
      <c r="N425" s="112" t="str">
        <f t="shared" si="5"/>
        <v>2024-H2</v>
      </c>
    </row>
    <row r="426">
      <c r="A426" s="108" t="s">
        <v>136</v>
      </c>
      <c r="J426" s="108" t="str">
        <f t="shared" si="1"/>
        <v>2024</v>
      </c>
      <c r="K426" s="110">
        <f t="shared" si="2"/>
        <v>8</v>
      </c>
      <c r="L426" s="108" t="str">
        <f t="shared" si="3"/>
        <v>2024-Q3</v>
      </c>
      <c r="M426" s="111" t="str">
        <f t="shared" si="4"/>
        <v>2024-08</v>
      </c>
      <c r="N426" s="112" t="str">
        <f t="shared" si="5"/>
        <v>2024-H2</v>
      </c>
    </row>
    <row r="427">
      <c r="A427" s="108" t="s">
        <v>136</v>
      </c>
      <c r="J427" s="108" t="str">
        <f t="shared" si="1"/>
        <v>2024</v>
      </c>
      <c r="K427" s="110">
        <f t="shared" si="2"/>
        <v>8</v>
      </c>
      <c r="L427" s="108" t="str">
        <f t="shared" si="3"/>
        <v>2024-Q3</v>
      </c>
      <c r="M427" s="111" t="str">
        <f t="shared" si="4"/>
        <v>2024-08</v>
      </c>
      <c r="N427" s="112" t="str">
        <f t="shared" si="5"/>
        <v>2024-H2</v>
      </c>
    </row>
    <row r="428">
      <c r="A428" s="108" t="s">
        <v>136</v>
      </c>
      <c r="J428" s="108" t="str">
        <f t="shared" si="1"/>
        <v>2024</v>
      </c>
      <c r="K428" s="110">
        <f t="shared" si="2"/>
        <v>7</v>
      </c>
      <c r="L428" s="108" t="str">
        <f t="shared" si="3"/>
        <v>2024-Q3</v>
      </c>
      <c r="M428" s="111" t="str">
        <f t="shared" si="4"/>
        <v>2024-07</v>
      </c>
      <c r="N428" s="112" t="str">
        <f t="shared" si="5"/>
        <v>2024-H2</v>
      </c>
    </row>
    <row r="429">
      <c r="A429" s="108" t="s">
        <v>136</v>
      </c>
      <c r="J429" s="108" t="str">
        <f t="shared" si="1"/>
        <v>2024</v>
      </c>
      <c r="K429" s="110">
        <f t="shared" si="2"/>
        <v>7</v>
      </c>
      <c r="L429" s="108" t="str">
        <f t="shared" si="3"/>
        <v>2024-Q3</v>
      </c>
      <c r="M429" s="111" t="str">
        <f t="shared" si="4"/>
        <v>2024-07</v>
      </c>
      <c r="N429" s="112" t="str">
        <f t="shared" si="5"/>
        <v>2024-H2</v>
      </c>
    </row>
    <row r="430">
      <c r="A430" s="108" t="s">
        <v>136</v>
      </c>
      <c r="J430" s="108" t="str">
        <f t="shared" si="1"/>
        <v>2024</v>
      </c>
      <c r="K430" s="110">
        <f t="shared" si="2"/>
        <v>7</v>
      </c>
      <c r="L430" s="108" t="str">
        <f t="shared" si="3"/>
        <v>2024-Q3</v>
      </c>
      <c r="M430" s="111" t="str">
        <f t="shared" si="4"/>
        <v>2024-07</v>
      </c>
      <c r="N430" s="112" t="str">
        <f t="shared" si="5"/>
        <v>2024-H2</v>
      </c>
    </row>
    <row r="431">
      <c r="A431" s="108" t="s">
        <v>136</v>
      </c>
      <c r="J431" s="108" t="str">
        <f t="shared" si="1"/>
        <v>2024</v>
      </c>
      <c r="K431" s="110">
        <f t="shared" si="2"/>
        <v>7</v>
      </c>
      <c r="L431" s="108" t="str">
        <f t="shared" si="3"/>
        <v>2024-Q3</v>
      </c>
      <c r="M431" s="111" t="str">
        <f t="shared" si="4"/>
        <v>2024-07</v>
      </c>
      <c r="N431" s="112" t="str">
        <f t="shared" si="5"/>
        <v>2024-H2</v>
      </c>
    </row>
    <row r="432">
      <c r="A432" s="108" t="s">
        <v>136</v>
      </c>
      <c r="J432" s="108" t="str">
        <f t="shared" si="1"/>
        <v>2024</v>
      </c>
      <c r="K432" s="110">
        <f t="shared" si="2"/>
        <v>8</v>
      </c>
      <c r="L432" s="108" t="str">
        <f t="shared" si="3"/>
        <v>2024-Q3</v>
      </c>
      <c r="M432" s="111" t="str">
        <f t="shared" si="4"/>
        <v>2024-08</v>
      </c>
      <c r="N432" s="112" t="str">
        <f t="shared" si="5"/>
        <v>2024-H2</v>
      </c>
    </row>
    <row r="433">
      <c r="A433" s="108" t="s">
        <v>136</v>
      </c>
      <c r="J433" s="108" t="str">
        <f t="shared" si="1"/>
        <v>2024</v>
      </c>
      <c r="K433" s="110">
        <f t="shared" si="2"/>
        <v>8</v>
      </c>
      <c r="L433" s="108" t="str">
        <f t="shared" si="3"/>
        <v>2024-Q3</v>
      </c>
      <c r="M433" s="111" t="str">
        <f t="shared" si="4"/>
        <v>2024-08</v>
      </c>
      <c r="N433" s="112" t="str">
        <f t="shared" si="5"/>
        <v>2024-H2</v>
      </c>
    </row>
    <row r="434">
      <c r="A434" s="108" t="s">
        <v>136</v>
      </c>
      <c r="J434" s="108" t="str">
        <f t="shared" si="1"/>
        <v>2024</v>
      </c>
      <c r="K434" s="110">
        <f t="shared" si="2"/>
        <v>8</v>
      </c>
      <c r="L434" s="108" t="str">
        <f t="shared" si="3"/>
        <v>2024-Q3</v>
      </c>
      <c r="M434" s="111" t="str">
        <f t="shared" si="4"/>
        <v>2024-08</v>
      </c>
      <c r="N434" s="112" t="str">
        <f t="shared" si="5"/>
        <v>2024-H2</v>
      </c>
    </row>
    <row r="435">
      <c r="A435" s="108" t="s">
        <v>136</v>
      </c>
      <c r="J435" s="108" t="str">
        <f t="shared" si="1"/>
        <v>2024</v>
      </c>
      <c r="K435" s="110">
        <f t="shared" si="2"/>
        <v>8</v>
      </c>
      <c r="L435" s="108" t="str">
        <f t="shared" si="3"/>
        <v>2024-Q3</v>
      </c>
      <c r="M435" s="111" t="str">
        <f t="shared" si="4"/>
        <v>2024-08</v>
      </c>
      <c r="N435" s="112" t="str">
        <f t="shared" si="5"/>
        <v>2024-H2</v>
      </c>
    </row>
    <row r="436">
      <c r="A436" s="108" t="s">
        <v>136</v>
      </c>
      <c r="J436" s="108" t="str">
        <f t="shared" si="1"/>
        <v>2024</v>
      </c>
      <c r="K436" s="110">
        <f t="shared" si="2"/>
        <v>8</v>
      </c>
      <c r="L436" s="108" t="str">
        <f t="shared" si="3"/>
        <v>2024-Q3</v>
      </c>
      <c r="M436" s="111" t="str">
        <f t="shared" si="4"/>
        <v>2024-08</v>
      </c>
      <c r="N436" s="112" t="str">
        <f t="shared" si="5"/>
        <v>2024-H2</v>
      </c>
    </row>
    <row r="437">
      <c r="A437" s="108" t="s">
        <v>136</v>
      </c>
      <c r="J437" s="108" t="str">
        <f t="shared" si="1"/>
        <v>2024</v>
      </c>
      <c r="K437" s="110">
        <f t="shared" si="2"/>
        <v>8</v>
      </c>
      <c r="L437" s="108" t="str">
        <f t="shared" si="3"/>
        <v>2024-Q3</v>
      </c>
      <c r="M437" s="111" t="str">
        <f t="shared" si="4"/>
        <v>2024-08</v>
      </c>
      <c r="N437" s="112" t="str">
        <f t="shared" si="5"/>
        <v>2024-H2</v>
      </c>
    </row>
    <row r="438">
      <c r="A438" s="108" t="s">
        <v>136</v>
      </c>
      <c r="J438" s="108" t="str">
        <f t="shared" si="1"/>
        <v>2024</v>
      </c>
      <c r="K438" s="110">
        <f t="shared" si="2"/>
        <v>8</v>
      </c>
      <c r="L438" s="108" t="str">
        <f t="shared" si="3"/>
        <v>2024-Q3</v>
      </c>
      <c r="M438" s="111" t="str">
        <f t="shared" si="4"/>
        <v>2024-08</v>
      </c>
      <c r="N438" s="112" t="str">
        <f t="shared" si="5"/>
        <v>2024-H2</v>
      </c>
    </row>
    <row r="439">
      <c r="A439" s="108" t="s">
        <v>136</v>
      </c>
      <c r="J439" s="108" t="str">
        <f t="shared" si="1"/>
        <v>2024</v>
      </c>
      <c r="K439" s="110">
        <f t="shared" si="2"/>
        <v>8</v>
      </c>
      <c r="L439" s="108" t="str">
        <f t="shared" si="3"/>
        <v>2024-Q3</v>
      </c>
      <c r="M439" s="111" t="str">
        <f t="shared" si="4"/>
        <v>2024-08</v>
      </c>
      <c r="N439" s="112" t="str">
        <f t="shared" si="5"/>
        <v>2024-H2</v>
      </c>
    </row>
    <row r="440">
      <c r="A440" s="108" t="s">
        <v>136</v>
      </c>
      <c r="J440" s="108" t="str">
        <f t="shared" si="1"/>
        <v>2024</v>
      </c>
      <c r="K440" s="110">
        <f t="shared" si="2"/>
        <v>8</v>
      </c>
      <c r="L440" s="108" t="str">
        <f t="shared" si="3"/>
        <v>2024-Q3</v>
      </c>
      <c r="M440" s="111" t="str">
        <f t="shared" si="4"/>
        <v>2024-08</v>
      </c>
      <c r="N440" s="112" t="str">
        <f t="shared" si="5"/>
        <v>2024-H2</v>
      </c>
    </row>
    <row r="441">
      <c r="A441" s="108" t="s">
        <v>136</v>
      </c>
      <c r="J441" s="108" t="str">
        <f t="shared" si="1"/>
        <v>2024</v>
      </c>
      <c r="K441" s="110">
        <f t="shared" si="2"/>
        <v>8</v>
      </c>
      <c r="L441" s="108" t="str">
        <f t="shared" si="3"/>
        <v>2024-Q3</v>
      </c>
      <c r="M441" s="111" t="str">
        <f t="shared" si="4"/>
        <v>2024-08</v>
      </c>
      <c r="N441" s="112" t="str">
        <f t="shared" si="5"/>
        <v>2024-H2</v>
      </c>
    </row>
    <row r="442">
      <c r="A442" s="108" t="s">
        <v>136</v>
      </c>
      <c r="J442" s="108" t="str">
        <f t="shared" si="1"/>
        <v>2024</v>
      </c>
      <c r="K442" s="110">
        <f t="shared" si="2"/>
        <v>8</v>
      </c>
      <c r="L442" s="108" t="str">
        <f t="shared" si="3"/>
        <v>2024-Q3</v>
      </c>
      <c r="M442" s="111" t="str">
        <f t="shared" si="4"/>
        <v>2024-08</v>
      </c>
      <c r="N442" s="112" t="str">
        <f t="shared" si="5"/>
        <v>2024-H2</v>
      </c>
    </row>
    <row r="443">
      <c r="A443" s="108" t="s">
        <v>136</v>
      </c>
      <c r="J443" s="108" t="str">
        <f t="shared" si="1"/>
        <v>2024</v>
      </c>
      <c r="K443" s="110">
        <f t="shared" si="2"/>
        <v>8</v>
      </c>
      <c r="L443" s="108" t="str">
        <f t="shared" si="3"/>
        <v>2024-Q3</v>
      </c>
      <c r="M443" s="111" t="str">
        <f t="shared" si="4"/>
        <v>2024-08</v>
      </c>
      <c r="N443" s="112" t="str">
        <f t="shared" si="5"/>
        <v>2024-H2</v>
      </c>
    </row>
    <row r="444">
      <c r="A444" s="108" t="s">
        <v>136</v>
      </c>
      <c r="J444" s="108" t="str">
        <f t="shared" si="1"/>
        <v>2024</v>
      </c>
      <c r="K444" s="110">
        <f t="shared" si="2"/>
        <v>8</v>
      </c>
      <c r="L444" s="108" t="str">
        <f t="shared" si="3"/>
        <v>2024-Q3</v>
      </c>
      <c r="M444" s="111" t="str">
        <f t="shared" si="4"/>
        <v>2024-08</v>
      </c>
      <c r="N444" s="112" t="str">
        <f t="shared" si="5"/>
        <v>2024-H2</v>
      </c>
    </row>
    <row r="445">
      <c r="A445" s="108" t="s">
        <v>136</v>
      </c>
      <c r="J445" s="108" t="str">
        <f t="shared" si="1"/>
        <v>2024</v>
      </c>
      <c r="K445" s="110">
        <f t="shared" si="2"/>
        <v>8</v>
      </c>
      <c r="L445" s="108" t="str">
        <f t="shared" si="3"/>
        <v>2024-Q3</v>
      </c>
      <c r="M445" s="111" t="str">
        <f t="shared" si="4"/>
        <v>2024-08</v>
      </c>
      <c r="N445" s="112" t="str">
        <f t="shared" si="5"/>
        <v>2024-H2</v>
      </c>
    </row>
    <row r="446">
      <c r="A446" s="108" t="s">
        <v>136</v>
      </c>
      <c r="J446" s="108" t="str">
        <f t="shared" si="1"/>
        <v>2024</v>
      </c>
      <c r="K446" s="110">
        <f t="shared" si="2"/>
        <v>8</v>
      </c>
      <c r="L446" s="108" t="str">
        <f t="shared" si="3"/>
        <v>2024-Q3</v>
      </c>
      <c r="M446" s="111" t="str">
        <f t="shared" si="4"/>
        <v>2024-08</v>
      </c>
      <c r="N446" s="112" t="str">
        <f t="shared" si="5"/>
        <v>2024-H2</v>
      </c>
    </row>
    <row r="447">
      <c r="A447" s="108" t="s">
        <v>136</v>
      </c>
      <c r="J447" s="108" t="str">
        <f t="shared" si="1"/>
        <v>2024</v>
      </c>
      <c r="K447" s="110">
        <f t="shared" si="2"/>
        <v>9</v>
      </c>
      <c r="L447" s="108" t="str">
        <f t="shared" si="3"/>
        <v>2024-Q3</v>
      </c>
      <c r="M447" s="111" t="str">
        <f t="shared" si="4"/>
        <v>2024-09</v>
      </c>
      <c r="N447" s="112" t="str">
        <f t="shared" si="5"/>
        <v>2024-H2</v>
      </c>
    </row>
    <row r="448">
      <c r="A448" s="108" t="s">
        <v>136</v>
      </c>
      <c r="J448" s="108" t="str">
        <f t="shared" si="1"/>
        <v>2024</v>
      </c>
      <c r="K448" s="110">
        <f t="shared" si="2"/>
        <v>8</v>
      </c>
      <c r="L448" s="108" t="str">
        <f t="shared" si="3"/>
        <v>2024-Q3</v>
      </c>
      <c r="M448" s="111" t="str">
        <f t="shared" si="4"/>
        <v>2024-08</v>
      </c>
      <c r="N448" s="112" t="str">
        <f t="shared" si="5"/>
        <v>2024-H2</v>
      </c>
    </row>
    <row r="449">
      <c r="A449" s="108" t="s">
        <v>136</v>
      </c>
      <c r="J449" s="108" t="str">
        <f t="shared" si="1"/>
        <v>2024</v>
      </c>
      <c r="K449" s="110">
        <f t="shared" si="2"/>
        <v>9</v>
      </c>
      <c r="L449" s="108" t="str">
        <f t="shared" si="3"/>
        <v>2024-Q3</v>
      </c>
      <c r="M449" s="111" t="str">
        <f t="shared" si="4"/>
        <v>2024-09</v>
      </c>
      <c r="N449" s="112" t="str">
        <f t="shared" si="5"/>
        <v>2024-H2</v>
      </c>
    </row>
    <row r="450">
      <c r="A450" s="108" t="s">
        <v>136</v>
      </c>
      <c r="J450" s="108" t="str">
        <f t="shared" si="1"/>
        <v>2024</v>
      </c>
      <c r="K450" s="110">
        <f t="shared" si="2"/>
        <v>8</v>
      </c>
      <c r="L450" s="108" t="str">
        <f t="shared" si="3"/>
        <v>2024-Q3</v>
      </c>
      <c r="M450" s="111" t="str">
        <f t="shared" si="4"/>
        <v>2024-08</v>
      </c>
      <c r="N450" s="112" t="str">
        <f t="shared" si="5"/>
        <v>2024-H2</v>
      </c>
    </row>
    <row r="451">
      <c r="A451" s="108" t="s">
        <v>136</v>
      </c>
      <c r="J451" s="108" t="str">
        <f t="shared" si="1"/>
        <v>2024</v>
      </c>
      <c r="K451" s="110">
        <f t="shared" si="2"/>
        <v>8</v>
      </c>
      <c r="L451" s="108" t="str">
        <f t="shared" si="3"/>
        <v>2024-Q3</v>
      </c>
      <c r="M451" s="111" t="str">
        <f t="shared" si="4"/>
        <v>2024-08</v>
      </c>
      <c r="N451" s="112" t="str">
        <f t="shared" si="5"/>
        <v>2024-H2</v>
      </c>
    </row>
    <row r="452">
      <c r="A452" s="108" t="s">
        <v>136</v>
      </c>
      <c r="J452" s="108" t="str">
        <f t="shared" si="1"/>
        <v>2024</v>
      </c>
      <c r="K452" s="110">
        <f t="shared" si="2"/>
        <v>9</v>
      </c>
      <c r="L452" s="108" t="str">
        <f t="shared" si="3"/>
        <v>2024-Q3</v>
      </c>
      <c r="M452" s="111" t="str">
        <f t="shared" si="4"/>
        <v>2024-09</v>
      </c>
      <c r="N452" s="112" t="str">
        <f t="shared" si="5"/>
        <v>2024-H2</v>
      </c>
    </row>
    <row r="453">
      <c r="A453" s="108" t="s">
        <v>136</v>
      </c>
      <c r="J453" s="108" t="str">
        <f t="shared" si="1"/>
        <v>2024</v>
      </c>
      <c r="K453" s="110">
        <f t="shared" si="2"/>
        <v>9</v>
      </c>
      <c r="L453" s="108" t="str">
        <f t="shared" si="3"/>
        <v>2024-Q3</v>
      </c>
      <c r="M453" s="111" t="str">
        <f t="shared" si="4"/>
        <v>2024-09</v>
      </c>
      <c r="N453" s="112" t="str">
        <f t="shared" si="5"/>
        <v>2024-H2</v>
      </c>
    </row>
    <row r="454">
      <c r="A454" s="108" t="s">
        <v>136</v>
      </c>
      <c r="J454" s="108" t="str">
        <f t="shared" si="1"/>
        <v>2024</v>
      </c>
      <c r="K454" s="110">
        <f t="shared" si="2"/>
        <v>9</v>
      </c>
      <c r="L454" s="108" t="str">
        <f t="shared" si="3"/>
        <v>2024-Q3</v>
      </c>
      <c r="M454" s="111" t="str">
        <f t="shared" si="4"/>
        <v>2024-09</v>
      </c>
      <c r="N454" s="112" t="str">
        <f t="shared" si="5"/>
        <v>2024-H2</v>
      </c>
    </row>
    <row r="455">
      <c r="A455" s="108" t="s">
        <v>136</v>
      </c>
      <c r="J455" s="108" t="str">
        <f t="shared" si="1"/>
        <v>2024</v>
      </c>
      <c r="K455" s="110">
        <f t="shared" si="2"/>
        <v>9</v>
      </c>
      <c r="L455" s="108" t="str">
        <f t="shared" si="3"/>
        <v>2024-Q3</v>
      </c>
      <c r="M455" s="111" t="str">
        <f t="shared" si="4"/>
        <v>2024-09</v>
      </c>
      <c r="N455" s="112" t="str">
        <f t="shared" si="5"/>
        <v>2024-H2</v>
      </c>
    </row>
    <row r="456">
      <c r="A456" s="108" t="s">
        <v>136</v>
      </c>
      <c r="J456" s="108" t="str">
        <f t="shared" si="1"/>
        <v>2024</v>
      </c>
      <c r="K456" s="110">
        <f t="shared" si="2"/>
        <v>9</v>
      </c>
      <c r="L456" s="108" t="str">
        <f t="shared" si="3"/>
        <v>2024-Q3</v>
      </c>
      <c r="M456" s="111" t="str">
        <f t="shared" si="4"/>
        <v>2024-09</v>
      </c>
      <c r="N456" s="112" t="str">
        <f t="shared" si="5"/>
        <v>2024-H2</v>
      </c>
    </row>
    <row r="457">
      <c r="A457" s="108" t="s">
        <v>136</v>
      </c>
      <c r="J457" s="108" t="str">
        <f t="shared" si="1"/>
        <v>2024</v>
      </c>
      <c r="K457" s="110">
        <f t="shared" si="2"/>
        <v>8</v>
      </c>
      <c r="L457" s="108" t="str">
        <f t="shared" si="3"/>
        <v>2024-Q3</v>
      </c>
      <c r="M457" s="111" t="str">
        <f t="shared" si="4"/>
        <v>2024-08</v>
      </c>
      <c r="N457" s="112" t="str">
        <f t="shared" si="5"/>
        <v>2024-H2</v>
      </c>
    </row>
    <row r="458">
      <c r="A458" s="108" t="s">
        <v>136</v>
      </c>
      <c r="J458" s="108" t="str">
        <f t="shared" si="1"/>
        <v>2024</v>
      </c>
      <c r="K458" s="110">
        <f t="shared" si="2"/>
        <v>9</v>
      </c>
      <c r="L458" s="108" t="str">
        <f t="shared" si="3"/>
        <v>2024-Q3</v>
      </c>
      <c r="M458" s="111" t="str">
        <f t="shared" si="4"/>
        <v>2024-09</v>
      </c>
      <c r="N458" s="112" t="str">
        <f t="shared" si="5"/>
        <v>2024-H2</v>
      </c>
    </row>
    <row r="459">
      <c r="A459" s="108" t="s">
        <v>136</v>
      </c>
      <c r="J459" s="108" t="str">
        <f t="shared" si="1"/>
        <v>2024</v>
      </c>
      <c r="K459" s="110">
        <f t="shared" si="2"/>
        <v>8</v>
      </c>
      <c r="L459" s="108" t="str">
        <f t="shared" si="3"/>
        <v>2024-Q3</v>
      </c>
      <c r="M459" s="111" t="str">
        <f t="shared" si="4"/>
        <v>2024-08</v>
      </c>
      <c r="N459" s="112" t="str">
        <f t="shared" si="5"/>
        <v>2024-H2</v>
      </c>
    </row>
    <row r="460">
      <c r="A460" s="108" t="s">
        <v>136</v>
      </c>
      <c r="J460" s="108" t="str">
        <f t="shared" si="1"/>
        <v>2024</v>
      </c>
      <c r="K460" s="110">
        <f t="shared" si="2"/>
        <v>9</v>
      </c>
      <c r="L460" s="108" t="str">
        <f t="shared" si="3"/>
        <v>2024-Q3</v>
      </c>
      <c r="M460" s="111" t="str">
        <f t="shared" si="4"/>
        <v>2024-09</v>
      </c>
      <c r="N460" s="112" t="str">
        <f t="shared" si="5"/>
        <v>2024-H2</v>
      </c>
    </row>
    <row r="461">
      <c r="A461" s="108" t="s">
        <v>136</v>
      </c>
      <c r="J461" s="108" t="str">
        <f t="shared" si="1"/>
        <v>2024</v>
      </c>
      <c r="K461" s="110">
        <f t="shared" si="2"/>
        <v>9</v>
      </c>
      <c r="L461" s="108" t="str">
        <f t="shared" si="3"/>
        <v>2024-Q3</v>
      </c>
      <c r="M461" s="111" t="str">
        <f t="shared" si="4"/>
        <v>2024-09</v>
      </c>
      <c r="N461" s="112" t="str">
        <f t="shared" si="5"/>
        <v>2024-H2</v>
      </c>
    </row>
    <row r="462">
      <c r="A462" s="108" t="s">
        <v>136</v>
      </c>
      <c r="J462" s="108" t="str">
        <f t="shared" si="1"/>
        <v>2024</v>
      </c>
      <c r="K462" s="110">
        <f t="shared" si="2"/>
        <v>9</v>
      </c>
      <c r="L462" s="108" t="str">
        <f t="shared" si="3"/>
        <v>2024-Q3</v>
      </c>
      <c r="M462" s="111" t="str">
        <f t="shared" si="4"/>
        <v>2024-09</v>
      </c>
      <c r="N462" s="112" t="str">
        <f t="shared" si="5"/>
        <v>2024-H2</v>
      </c>
    </row>
    <row r="463">
      <c r="A463" s="108" t="s">
        <v>136</v>
      </c>
      <c r="J463" s="108" t="str">
        <f t="shared" si="1"/>
        <v>2024</v>
      </c>
      <c r="K463" s="110">
        <f t="shared" si="2"/>
        <v>9</v>
      </c>
      <c r="L463" s="108" t="str">
        <f t="shared" si="3"/>
        <v>2024-Q3</v>
      </c>
      <c r="M463" s="111" t="str">
        <f t="shared" si="4"/>
        <v>2024-09</v>
      </c>
      <c r="N463" s="112" t="str">
        <f t="shared" si="5"/>
        <v>2024-H2</v>
      </c>
    </row>
    <row r="464">
      <c r="A464" s="108" t="s">
        <v>136</v>
      </c>
      <c r="J464" s="108" t="str">
        <f t="shared" si="1"/>
        <v>2024</v>
      </c>
      <c r="K464" s="110">
        <f t="shared" si="2"/>
        <v>9</v>
      </c>
      <c r="L464" s="108" t="str">
        <f t="shared" si="3"/>
        <v>2024-Q3</v>
      </c>
      <c r="M464" s="111" t="str">
        <f t="shared" si="4"/>
        <v>2024-09</v>
      </c>
      <c r="N464" s="112" t="str">
        <f t="shared" si="5"/>
        <v>2024-H2</v>
      </c>
    </row>
    <row r="465">
      <c r="A465" s="108" t="s">
        <v>136</v>
      </c>
      <c r="J465" s="108" t="str">
        <f t="shared" si="1"/>
        <v>2024</v>
      </c>
      <c r="K465" s="110">
        <f t="shared" si="2"/>
        <v>9</v>
      </c>
      <c r="L465" s="108" t="str">
        <f t="shared" si="3"/>
        <v>2024-Q3</v>
      </c>
      <c r="M465" s="111" t="str">
        <f t="shared" si="4"/>
        <v>2024-09</v>
      </c>
      <c r="N465" s="112" t="str">
        <f t="shared" si="5"/>
        <v>2024-H2</v>
      </c>
    </row>
    <row r="466">
      <c r="A466" s="108" t="s">
        <v>136</v>
      </c>
      <c r="J466" s="108" t="str">
        <f t="shared" si="1"/>
        <v>2024</v>
      </c>
      <c r="K466" s="110">
        <f t="shared" si="2"/>
        <v>9</v>
      </c>
      <c r="L466" s="108" t="str">
        <f t="shared" si="3"/>
        <v>2024-Q3</v>
      </c>
      <c r="M466" s="111" t="str">
        <f t="shared" si="4"/>
        <v>2024-09</v>
      </c>
      <c r="N466" s="112" t="str">
        <f t="shared" si="5"/>
        <v>2024-H2</v>
      </c>
    </row>
    <row r="467">
      <c r="A467" s="108" t="s">
        <v>136</v>
      </c>
      <c r="J467" s="108" t="str">
        <f t="shared" si="1"/>
        <v>2024</v>
      </c>
      <c r="K467" s="110">
        <f t="shared" si="2"/>
        <v>9</v>
      </c>
      <c r="L467" s="108" t="str">
        <f t="shared" si="3"/>
        <v>2024-Q3</v>
      </c>
      <c r="M467" s="111" t="str">
        <f t="shared" si="4"/>
        <v>2024-09</v>
      </c>
      <c r="N467" s="112" t="str">
        <f t="shared" si="5"/>
        <v>2024-H2</v>
      </c>
    </row>
    <row r="468">
      <c r="A468" s="108" t="s">
        <v>136</v>
      </c>
      <c r="J468" s="108" t="str">
        <f t="shared" si="1"/>
        <v>2024</v>
      </c>
      <c r="K468" s="110">
        <f t="shared" si="2"/>
        <v>9</v>
      </c>
      <c r="L468" s="108" t="str">
        <f t="shared" si="3"/>
        <v>2024-Q3</v>
      </c>
      <c r="M468" s="111" t="str">
        <f t="shared" si="4"/>
        <v>2024-09</v>
      </c>
      <c r="N468" s="112" t="str">
        <f t="shared" si="5"/>
        <v>2024-H2</v>
      </c>
    </row>
    <row r="469">
      <c r="A469" s="108" t="s">
        <v>136</v>
      </c>
      <c r="J469" s="108" t="str">
        <f t="shared" si="1"/>
        <v/>
      </c>
      <c r="K469" s="110">
        <f t="shared" si="2"/>
        <v>0</v>
      </c>
      <c r="L469" s="108" t="str">
        <f t="shared" si="3"/>
        <v>#NUM!</v>
      </c>
      <c r="M469" s="111" t="str">
        <f t="shared" si="4"/>
        <v>-00</v>
      </c>
      <c r="N469" s="112" t="str">
        <f t="shared" si="5"/>
        <v>#NUM!</v>
      </c>
    </row>
    <row r="745">
      <c r="B745" s="27" t="s">
        <v>603</v>
      </c>
    </row>
    <row r="746"/>
    <row r="747">
      <c r="A747" s="113" t="s">
        <v>610</v>
      </c>
      <c r="J747" s="108" t="str">
        <f t="shared" ref="J747:J2911" si="6">LEFT(C747,4)</f>
        <v>2022</v>
      </c>
      <c r="K747" s="110">
        <f t="shared" ref="K747:K2810" si="7">VALUE(RIGHT(LEFT(C747,7),2))</f>
        <v>5</v>
      </c>
      <c r="L747" s="108" t="str">
        <f t="shared" ref="L747:L2810" si="8">J747 &amp; "-Q" &amp; CHOOSE(CEILING(K747/3, 1), "1", "2", "3", "4")</f>
        <v>2022-Q2</v>
      </c>
      <c r="M747" s="111" t="str">
        <f t="shared" ref="M747:M2810" si="9">J747&amp;"-"&amp;TEXT(K747, "00")</f>
        <v>2022-05</v>
      </c>
      <c r="N747" s="112" t="str">
        <f t="shared" ref="N747:N2810" si="10">J747 &amp; "-H" &amp; CHOOSE(CEILING(K747/6, 1), "1", "2")</f>
        <v>2022-H1</v>
      </c>
    </row>
    <row r="748">
      <c r="A748" s="113" t="s">
        <v>610</v>
      </c>
      <c r="J748" s="108" t="str">
        <f t="shared" si="6"/>
        <v>2022</v>
      </c>
      <c r="K748" s="110">
        <f t="shared" si="7"/>
        <v>5</v>
      </c>
      <c r="L748" s="108" t="str">
        <f t="shared" si="8"/>
        <v>2022-Q2</v>
      </c>
      <c r="M748" s="111" t="str">
        <f t="shared" si="9"/>
        <v>2022-05</v>
      </c>
      <c r="N748" s="112" t="str">
        <f t="shared" si="10"/>
        <v>2022-H1</v>
      </c>
    </row>
    <row r="749">
      <c r="A749" s="113" t="s">
        <v>610</v>
      </c>
      <c r="J749" s="108" t="str">
        <f t="shared" si="6"/>
        <v>2022</v>
      </c>
      <c r="K749" s="110">
        <f t="shared" si="7"/>
        <v>5</v>
      </c>
      <c r="L749" s="108" t="str">
        <f t="shared" si="8"/>
        <v>2022-Q2</v>
      </c>
      <c r="M749" s="111" t="str">
        <f t="shared" si="9"/>
        <v>2022-05</v>
      </c>
      <c r="N749" s="112" t="str">
        <f t="shared" si="10"/>
        <v>2022-H1</v>
      </c>
    </row>
    <row r="750">
      <c r="A750" s="113" t="s">
        <v>610</v>
      </c>
      <c r="J750" s="108" t="str">
        <f t="shared" si="6"/>
        <v>2022</v>
      </c>
      <c r="K750" s="110">
        <f t="shared" si="7"/>
        <v>5</v>
      </c>
      <c r="L750" s="108" t="str">
        <f t="shared" si="8"/>
        <v>2022-Q2</v>
      </c>
      <c r="M750" s="111" t="str">
        <f t="shared" si="9"/>
        <v>2022-05</v>
      </c>
      <c r="N750" s="112" t="str">
        <f t="shared" si="10"/>
        <v>2022-H1</v>
      </c>
    </row>
    <row r="751">
      <c r="A751" s="113" t="s">
        <v>610</v>
      </c>
      <c r="J751" s="108" t="str">
        <f t="shared" si="6"/>
        <v>2022</v>
      </c>
      <c r="K751" s="110">
        <f t="shared" si="7"/>
        <v>5</v>
      </c>
      <c r="L751" s="108" t="str">
        <f t="shared" si="8"/>
        <v>2022-Q2</v>
      </c>
      <c r="M751" s="111" t="str">
        <f t="shared" si="9"/>
        <v>2022-05</v>
      </c>
      <c r="N751" s="112" t="str">
        <f t="shared" si="10"/>
        <v>2022-H1</v>
      </c>
    </row>
    <row r="752">
      <c r="A752" s="113" t="s">
        <v>610</v>
      </c>
      <c r="J752" s="108" t="str">
        <f t="shared" si="6"/>
        <v>2022</v>
      </c>
      <c r="K752" s="110">
        <f t="shared" si="7"/>
        <v>5</v>
      </c>
      <c r="L752" s="108" t="str">
        <f t="shared" si="8"/>
        <v>2022-Q2</v>
      </c>
      <c r="M752" s="111" t="str">
        <f t="shared" si="9"/>
        <v>2022-05</v>
      </c>
      <c r="N752" s="112" t="str">
        <f t="shared" si="10"/>
        <v>2022-H1</v>
      </c>
    </row>
    <row r="753">
      <c r="A753" s="113" t="s">
        <v>610</v>
      </c>
      <c r="J753" s="108" t="str">
        <f t="shared" si="6"/>
        <v>2022</v>
      </c>
      <c r="K753" s="110">
        <f t="shared" si="7"/>
        <v>5</v>
      </c>
      <c r="L753" s="108" t="str">
        <f t="shared" si="8"/>
        <v>2022-Q2</v>
      </c>
      <c r="M753" s="111" t="str">
        <f t="shared" si="9"/>
        <v>2022-05</v>
      </c>
      <c r="N753" s="112" t="str">
        <f t="shared" si="10"/>
        <v>2022-H1</v>
      </c>
    </row>
    <row r="754">
      <c r="A754" s="113" t="s">
        <v>610</v>
      </c>
      <c r="J754" s="108" t="str">
        <f t="shared" si="6"/>
        <v>2022</v>
      </c>
      <c r="K754" s="110">
        <f t="shared" si="7"/>
        <v>5</v>
      </c>
      <c r="L754" s="108" t="str">
        <f t="shared" si="8"/>
        <v>2022-Q2</v>
      </c>
      <c r="M754" s="111" t="str">
        <f t="shared" si="9"/>
        <v>2022-05</v>
      </c>
      <c r="N754" s="112" t="str">
        <f t="shared" si="10"/>
        <v>2022-H1</v>
      </c>
    </row>
    <row r="755">
      <c r="A755" s="113" t="s">
        <v>610</v>
      </c>
      <c r="J755" s="108" t="str">
        <f t="shared" si="6"/>
        <v>2022</v>
      </c>
      <c r="K755" s="110">
        <f t="shared" si="7"/>
        <v>5</v>
      </c>
      <c r="L755" s="108" t="str">
        <f t="shared" si="8"/>
        <v>2022-Q2</v>
      </c>
      <c r="M755" s="111" t="str">
        <f t="shared" si="9"/>
        <v>2022-05</v>
      </c>
      <c r="N755" s="112" t="str">
        <f t="shared" si="10"/>
        <v>2022-H1</v>
      </c>
    </row>
    <row r="756">
      <c r="A756" s="113" t="s">
        <v>610</v>
      </c>
      <c r="J756" s="108" t="str">
        <f t="shared" si="6"/>
        <v>2023</v>
      </c>
      <c r="K756" s="110">
        <f t="shared" si="7"/>
        <v>3</v>
      </c>
      <c r="L756" s="108" t="str">
        <f t="shared" si="8"/>
        <v>2023-Q1</v>
      </c>
      <c r="M756" s="111" t="str">
        <f t="shared" si="9"/>
        <v>2023-03</v>
      </c>
      <c r="N756" s="112" t="str">
        <f t="shared" si="10"/>
        <v>2023-H1</v>
      </c>
    </row>
    <row r="757">
      <c r="A757" s="113" t="s">
        <v>610</v>
      </c>
      <c r="J757" s="108" t="str">
        <f t="shared" si="6"/>
        <v>2022</v>
      </c>
      <c r="K757" s="110">
        <f t="shared" si="7"/>
        <v>6</v>
      </c>
      <c r="L757" s="108" t="str">
        <f t="shared" si="8"/>
        <v>2022-Q2</v>
      </c>
      <c r="M757" s="111" t="str">
        <f t="shared" si="9"/>
        <v>2022-06</v>
      </c>
      <c r="N757" s="112" t="str">
        <f t="shared" si="10"/>
        <v>2022-H1</v>
      </c>
    </row>
    <row r="758">
      <c r="A758" s="113" t="s">
        <v>610</v>
      </c>
      <c r="J758" s="108" t="str">
        <f t="shared" si="6"/>
        <v>2022</v>
      </c>
      <c r="K758" s="110">
        <f t="shared" si="7"/>
        <v>5</v>
      </c>
      <c r="L758" s="108" t="str">
        <f t="shared" si="8"/>
        <v>2022-Q2</v>
      </c>
      <c r="M758" s="111" t="str">
        <f t="shared" si="9"/>
        <v>2022-05</v>
      </c>
      <c r="N758" s="112" t="str">
        <f t="shared" si="10"/>
        <v>2022-H1</v>
      </c>
    </row>
    <row r="759">
      <c r="A759" s="113" t="s">
        <v>610</v>
      </c>
      <c r="J759" s="108" t="str">
        <f t="shared" si="6"/>
        <v>2022</v>
      </c>
      <c r="K759" s="110">
        <f t="shared" si="7"/>
        <v>6</v>
      </c>
      <c r="L759" s="108" t="str">
        <f t="shared" si="8"/>
        <v>2022-Q2</v>
      </c>
      <c r="M759" s="111" t="str">
        <f t="shared" si="9"/>
        <v>2022-06</v>
      </c>
      <c r="N759" s="112" t="str">
        <f t="shared" si="10"/>
        <v>2022-H1</v>
      </c>
    </row>
    <row r="760">
      <c r="A760" s="113" t="s">
        <v>610</v>
      </c>
      <c r="J760" s="108" t="str">
        <f t="shared" si="6"/>
        <v>2022</v>
      </c>
      <c r="K760" s="110">
        <f t="shared" si="7"/>
        <v>6</v>
      </c>
      <c r="L760" s="108" t="str">
        <f t="shared" si="8"/>
        <v>2022-Q2</v>
      </c>
      <c r="M760" s="111" t="str">
        <f t="shared" si="9"/>
        <v>2022-06</v>
      </c>
      <c r="N760" s="112" t="str">
        <f t="shared" si="10"/>
        <v>2022-H1</v>
      </c>
    </row>
    <row r="761">
      <c r="A761" s="113" t="s">
        <v>610</v>
      </c>
      <c r="J761" s="108" t="str">
        <f t="shared" si="6"/>
        <v>2022</v>
      </c>
      <c r="K761" s="110">
        <f t="shared" si="7"/>
        <v>6</v>
      </c>
      <c r="L761" s="108" t="str">
        <f t="shared" si="8"/>
        <v>2022-Q2</v>
      </c>
      <c r="M761" s="111" t="str">
        <f t="shared" si="9"/>
        <v>2022-06</v>
      </c>
      <c r="N761" s="112" t="str">
        <f t="shared" si="10"/>
        <v>2022-H1</v>
      </c>
    </row>
    <row r="762">
      <c r="A762" s="113" t="s">
        <v>610</v>
      </c>
      <c r="J762" s="108" t="str">
        <f t="shared" si="6"/>
        <v>2022</v>
      </c>
      <c r="K762" s="110">
        <f t="shared" si="7"/>
        <v>6</v>
      </c>
      <c r="L762" s="108" t="str">
        <f t="shared" si="8"/>
        <v>2022-Q2</v>
      </c>
      <c r="M762" s="111" t="str">
        <f t="shared" si="9"/>
        <v>2022-06</v>
      </c>
      <c r="N762" s="112" t="str">
        <f t="shared" si="10"/>
        <v>2022-H1</v>
      </c>
    </row>
    <row r="763">
      <c r="A763" s="113" t="s">
        <v>610</v>
      </c>
      <c r="J763" s="108" t="str">
        <f t="shared" si="6"/>
        <v>2022</v>
      </c>
      <c r="K763" s="110">
        <f t="shared" si="7"/>
        <v>6</v>
      </c>
      <c r="L763" s="108" t="str">
        <f t="shared" si="8"/>
        <v>2022-Q2</v>
      </c>
      <c r="M763" s="111" t="str">
        <f t="shared" si="9"/>
        <v>2022-06</v>
      </c>
      <c r="N763" s="112" t="str">
        <f t="shared" si="10"/>
        <v>2022-H1</v>
      </c>
    </row>
    <row r="764">
      <c r="A764" s="113" t="s">
        <v>610</v>
      </c>
      <c r="J764" s="108" t="str">
        <f t="shared" si="6"/>
        <v>2022</v>
      </c>
      <c r="K764" s="110">
        <f t="shared" si="7"/>
        <v>6</v>
      </c>
      <c r="L764" s="108" t="str">
        <f t="shared" si="8"/>
        <v>2022-Q2</v>
      </c>
      <c r="M764" s="111" t="str">
        <f t="shared" si="9"/>
        <v>2022-06</v>
      </c>
      <c r="N764" s="112" t="str">
        <f t="shared" si="10"/>
        <v>2022-H1</v>
      </c>
    </row>
    <row r="765">
      <c r="A765" s="113" t="s">
        <v>610</v>
      </c>
      <c r="J765" s="108" t="str">
        <f t="shared" si="6"/>
        <v>2022</v>
      </c>
      <c r="K765" s="110">
        <f t="shared" si="7"/>
        <v>6</v>
      </c>
      <c r="L765" s="108" t="str">
        <f t="shared" si="8"/>
        <v>2022-Q2</v>
      </c>
      <c r="M765" s="111" t="str">
        <f t="shared" si="9"/>
        <v>2022-06</v>
      </c>
      <c r="N765" s="112" t="str">
        <f t="shared" si="10"/>
        <v>2022-H1</v>
      </c>
    </row>
    <row r="766">
      <c r="A766" s="113" t="s">
        <v>610</v>
      </c>
      <c r="J766" s="108" t="str">
        <f t="shared" si="6"/>
        <v>2022</v>
      </c>
      <c r="K766" s="110">
        <f t="shared" si="7"/>
        <v>7</v>
      </c>
      <c r="L766" s="108" t="str">
        <f t="shared" si="8"/>
        <v>2022-Q3</v>
      </c>
      <c r="M766" s="111" t="str">
        <f t="shared" si="9"/>
        <v>2022-07</v>
      </c>
      <c r="N766" s="112" t="str">
        <f t="shared" si="10"/>
        <v>2022-H2</v>
      </c>
    </row>
    <row r="767">
      <c r="A767" s="113" t="s">
        <v>610</v>
      </c>
      <c r="J767" s="108" t="str">
        <f t="shared" si="6"/>
        <v>2022</v>
      </c>
      <c r="K767" s="110">
        <f t="shared" si="7"/>
        <v>8</v>
      </c>
      <c r="L767" s="108" t="str">
        <f t="shared" si="8"/>
        <v>2022-Q3</v>
      </c>
      <c r="M767" s="111" t="str">
        <f t="shared" si="9"/>
        <v>2022-08</v>
      </c>
      <c r="N767" s="112" t="str">
        <f t="shared" si="10"/>
        <v>2022-H2</v>
      </c>
    </row>
    <row r="768">
      <c r="A768" s="113" t="s">
        <v>610</v>
      </c>
      <c r="J768" s="108" t="str">
        <f t="shared" si="6"/>
        <v>2022</v>
      </c>
      <c r="K768" s="110">
        <f t="shared" si="7"/>
        <v>7</v>
      </c>
      <c r="L768" s="108" t="str">
        <f t="shared" si="8"/>
        <v>2022-Q3</v>
      </c>
      <c r="M768" s="111" t="str">
        <f t="shared" si="9"/>
        <v>2022-07</v>
      </c>
      <c r="N768" s="112" t="str">
        <f t="shared" si="10"/>
        <v>2022-H2</v>
      </c>
    </row>
    <row r="769">
      <c r="A769" s="113" t="s">
        <v>610</v>
      </c>
      <c r="J769" s="108" t="str">
        <f t="shared" si="6"/>
        <v>2022</v>
      </c>
      <c r="K769" s="110">
        <f t="shared" si="7"/>
        <v>7</v>
      </c>
      <c r="L769" s="108" t="str">
        <f t="shared" si="8"/>
        <v>2022-Q3</v>
      </c>
      <c r="M769" s="111" t="str">
        <f t="shared" si="9"/>
        <v>2022-07</v>
      </c>
      <c r="N769" s="112" t="str">
        <f t="shared" si="10"/>
        <v>2022-H2</v>
      </c>
    </row>
    <row r="770">
      <c r="A770" s="113" t="s">
        <v>610</v>
      </c>
      <c r="J770" s="108" t="str">
        <f t="shared" si="6"/>
        <v>2022</v>
      </c>
      <c r="K770" s="110">
        <f t="shared" si="7"/>
        <v>7</v>
      </c>
      <c r="L770" s="108" t="str">
        <f t="shared" si="8"/>
        <v>2022-Q3</v>
      </c>
      <c r="M770" s="111" t="str">
        <f t="shared" si="9"/>
        <v>2022-07</v>
      </c>
      <c r="N770" s="112" t="str">
        <f t="shared" si="10"/>
        <v>2022-H2</v>
      </c>
    </row>
    <row r="771">
      <c r="A771" s="113" t="s">
        <v>610</v>
      </c>
      <c r="J771" s="108" t="str">
        <f t="shared" si="6"/>
        <v>2022</v>
      </c>
      <c r="K771" s="110">
        <f t="shared" si="7"/>
        <v>7</v>
      </c>
      <c r="L771" s="108" t="str">
        <f t="shared" si="8"/>
        <v>2022-Q3</v>
      </c>
      <c r="M771" s="111" t="str">
        <f t="shared" si="9"/>
        <v>2022-07</v>
      </c>
      <c r="N771" s="112" t="str">
        <f t="shared" si="10"/>
        <v>2022-H2</v>
      </c>
    </row>
    <row r="772">
      <c r="A772" s="113" t="s">
        <v>610</v>
      </c>
      <c r="J772" s="108" t="str">
        <f t="shared" si="6"/>
        <v>2022</v>
      </c>
      <c r="K772" s="110">
        <f t="shared" si="7"/>
        <v>7</v>
      </c>
      <c r="L772" s="108" t="str">
        <f t="shared" si="8"/>
        <v>2022-Q3</v>
      </c>
      <c r="M772" s="111" t="str">
        <f t="shared" si="9"/>
        <v>2022-07</v>
      </c>
      <c r="N772" s="112" t="str">
        <f t="shared" si="10"/>
        <v>2022-H2</v>
      </c>
    </row>
    <row r="773">
      <c r="A773" s="113" t="s">
        <v>610</v>
      </c>
      <c r="J773" s="108" t="str">
        <f t="shared" si="6"/>
        <v>2022</v>
      </c>
      <c r="K773" s="110">
        <f t="shared" si="7"/>
        <v>7</v>
      </c>
      <c r="L773" s="108" t="str">
        <f t="shared" si="8"/>
        <v>2022-Q3</v>
      </c>
      <c r="M773" s="111" t="str">
        <f t="shared" si="9"/>
        <v>2022-07</v>
      </c>
      <c r="N773" s="112" t="str">
        <f t="shared" si="10"/>
        <v>2022-H2</v>
      </c>
    </row>
    <row r="774">
      <c r="A774" s="113" t="s">
        <v>610</v>
      </c>
      <c r="J774" s="108" t="str">
        <f t="shared" si="6"/>
        <v>2022</v>
      </c>
      <c r="K774" s="110">
        <f t="shared" si="7"/>
        <v>8</v>
      </c>
      <c r="L774" s="108" t="str">
        <f t="shared" si="8"/>
        <v>2022-Q3</v>
      </c>
      <c r="M774" s="111" t="str">
        <f t="shared" si="9"/>
        <v>2022-08</v>
      </c>
      <c r="N774" s="112" t="str">
        <f t="shared" si="10"/>
        <v>2022-H2</v>
      </c>
    </row>
    <row r="775">
      <c r="A775" s="113" t="s">
        <v>610</v>
      </c>
      <c r="J775" s="108" t="str">
        <f t="shared" si="6"/>
        <v>2022</v>
      </c>
      <c r="K775" s="110">
        <f t="shared" si="7"/>
        <v>8</v>
      </c>
      <c r="L775" s="108" t="str">
        <f t="shared" si="8"/>
        <v>2022-Q3</v>
      </c>
      <c r="M775" s="111" t="str">
        <f t="shared" si="9"/>
        <v>2022-08</v>
      </c>
      <c r="N775" s="112" t="str">
        <f t="shared" si="10"/>
        <v>2022-H2</v>
      </c>
    </row>
    <row r="776">
      <c r="A776" s="113" t="s">
        <v>610</v>
      </c>
      <c r="J776" s="108" t="str">
        <f t="shared" si="6"/>
        <v>2022</v>
      </c>
      <c r="K776" s="110">
        <f t="shared" si="7"/>
        <v>8</v>
      </c>
      <c r="L776" s="108" t="str">
        <f t="shared" si="8"/>
        <v>2022-Q3</v>
      </c>
      <c r="M776" s="111" t="str">
        <f t="shared" si="9"/>
        <v>2022-08</v>
      </c>
      <c r="N776" s="112" t="str">
        <f t="shared" si="10"/>
        <v>2022-H2</v>
      </c>
    </row>
    <row r="777">
      <c r="A777" s="113" t="s">
        <v>610</v>
      </c>
      <c r="J777" s="108" t="str">
        <f t="shared" si="6"/>
        <v>2022</v>
      </c>
      <c r="K777" s="110">
        <f t="shared" si="7"/>
        <v>8</v>
      </c>
      <c r="L777" s="108" t="str">
        <f t="shared" si="8"/>
        <v>2022-Q3</v>
      </c>
      <c r="M777" s="111" t="str">
        <f t="shared" si="9"/>
        <v>2022-08</v>
      </c>
      <c r="N777" s="112" t="str">
        <f t="shared" si="10"/>
        <v>2022-H2</v>
      </c>
    </row>
    <row r="778">
      <c r="A778" s="113" t="s">
        <v>610</v>
      </c>
      <c r="J778" s="108" t="str">
        <f t="shared" si="6"/>
        <v>2022</v>
      </c>
      <c r="K778" s="110">
        <f t="shared" si="7"/>
        <v>8</v>
      </c>
      <c r="L778" s="108" t="str">
        <f t="shared" si="8"/>
        <v>2022-Q3</v>
      </c>
      <c r="M778" s="111" t="str">
        <f t="shared" si="9"/>
        <v>2022-08</v>
      </c>
      <c r="N778" s="112" t="str">
        <f t="shared" si="10"/>
        <v>2022-H2</v>
      </c>
    </row>
    <row r="779">
      <c r="A779" s="113" t="s">
        <v>610</v>
      </c>
      <c r="J779" s="108" t="str">
        <f t="shared" si="6"/>
        <v>2022</v>
      </c>
      <c r="K779" s="110">
        <f t="shared" si="7"/>
        <v>8</v>
      </c>
      <c r="L779" s="108" t="str">
        <f t="shared" si="8"/>
        <v>2022-Q3</v>
      </c>
      <c r="M779" s="111" t="str">
        <f t="shared" si="9"/>
        <v>2022-08</v>
      </c>
      <c r="N779" s="112" t="str">
        <f t="shared" si="10"/>
        <v>2022-H2</v>
      </c>
    </row>
    <row r="780">
      <c r="A780" s="113" t="s">
        <v>610</v>
      </c>
      <c r="J780" s="108" t="str">
        <f t="shared" si="6"/>
        <v>2022</v>
      </c>
      <c r="K780" s="110">
        <f t="shared" si="7"/>
        <v>8</v>
      </c>
      <c r="L780" s="108" t="str">
        <f t="shared" si="8"/>
        <v>2022-Q3</v>
      </c>
      <c r="M780" s="111" t="str">
        <f t="shared" si="9"/>
        <v>2022-08</v>
      </c>
      <c r="N780" s="112" t="str">
        <f t="shared" si="10"/>
        <v>2022-H2</v>
      </c>
    </row>
    <row r="781">
      <c r="A781" s="113" t="s">
        <v>610</v>
      </c>
      <c r="J781" s="108" t="str">
        <f t="shared" si="6"/>
        <v>2022</v>
      </c>
      <c r="K781" s="110">
        <f t="shared" si="7"/>
        <v>9</v>
      </c>
      <c r="L781" s="108" t="str">
        <f t="shared" si="8"/>
        <v>2022-Q3</v>
      </c>
      <c r="M781" s="111" t="str">
        <f t="shared" si="9"/>
        <v>2022-09</v>
      </c>
      <c r="N781" s="112" t="str">
        <f t="shared" si="10"/>
        <v>2022-H2</v>
      </c>
    </row>
    <row r="782">
      <c r="A782" s="113" t="s">
        <v>610</v>
      </c>
      <c r="J782" s="108" t="str">
        <f t="shared" si="6"/>
        <v>2022</v>
      </c>
      <c r="K782" s="110">
        <f t="shared" si="7"/>
        <v>9</v>
      </c>
      <c r="L782" s="108" t="str">
        <f t="shared" si="8"/>
        <v>2022-Q3</v>
      </c>
      <c r="M782" s="111" t="str">
        <f t="shared" si="9"/>
        <v>2022-09</v>
      </c>
      <c r="N782" s="112" t="str">
        <f t="shared" si="10"/>
        <v>2022-H2</v>
      </c>
    </row>
    <row r="783">
      <c r="A783" s="113" t="s">
        <v>610</v>
      </c>
      <c r="J783" s="108" t="str">
        <f t="shared" si="6"/>
        <v>2022</v>
      </c>
      <c r="K783" s="110">
        <f t="shared" si="7"/>
        <v>9</v>
      </c>
      <c r="L783" s="108" t="str">
        <f t="shared" si="8"/>
        <v>2022-Q3</v>
      </c>
      <c r="M783" s="111" t="str">
        <f t="shared" si="9"/>
        <v>2022-09</v>
      </c>
      <c r="N783" s="112" t="str">
        <f t="shared" si="10"/>
        <v>2022-H2</v>
      </c>
    </row>
    <row r="784">
      <c r="A784" s="113" t="s">
        <v>610</v>
      </c>
      <c r="J784" s="108" t="str">
        <f t="shared" si="6"/>
        <v>2022</v>
      </c>
      <c r="K784" s="110">
        <f t="shared" si="7"/>
        <v>9</v>
      </c>
      <c r="L784" s="108" t="str">
        <f t="shared" si="8"/>
        <v>2022-Q3</v>
      </c>
      <c r="M784" s="111" t="str">
        <f t="shared" si="9"/>
        <v>2022-09</v>
      </c>
      <c r="N784" s="112" t="str">
        <f t="shared" si="10"/>
        <v>2022-H2</v>
      </c>
    </row>
    <row r="785">
      <c r="A785" s="113" t="s">
        <v>610</v>
      </c>
      <c r="J785" s="108" t="str">
        <f t="shared" si="6"/>
        <v>2022</v>
      </c>
      <c r="K785" s="110">
        <f t="shared" si="7"/>
        <v>9</v>
      </c>
      <c r="L785" s="108" t="str">
        <f t="shared" si="8"/>
        <v>2022-Q3</v>
      </c>
      <c r="M785" s="111" t="str">
        <f t="shared" si="9"/>
        <v>2022-09</v>
      </c>
      <c r="N785" s="112" t="str">
        <f t="shared" si="10"/>
        <v>2022-H2</v>
      </c>
    </row>
    <row r="786">
      <c r="A786" s="113" t="s">
        <v>610</v>
      </c>
      <c r="J786" s="108" t="str">
        <f t="shared" si="6"/>
        <v>2022</v>
      </c>
      <c r="K786" s="110">
        <f t="shared" si="7"/>
        <v>9</v>
      </c>
      <c r="L786" s="108" t="str">
        <f t="shared" si="8"/>
        <v>2022-Q3</v>
      </c>
      <c r="M786" s="111" t="str">
        <f t="shared" si="9"/>
        <v>2022-09</v>
      </c>
      <c r="N786" s="112" t="str">
        <f t="shared" si="10"/>
        <v>2022-H2</v>
      </c>
    </row>
    <row r="787">
      <c r="A787" s="113" t="s">
        <v>610</v>
      </c>
      <c r="J787" s="108" t="str">
        <f t="shared" si="6"/>
        <v>2022</v>
      </c>
      <c r="K787" s="110">
        <f t="shared" si="7"/>
        <v>9</v>
      </c>
      <c r="L787" s="108" t="str">
        <f t="shared" si="8"/>
        <v>2022-Q3</v>
      </c>
      <c r="M787" s="111" t="str">
        <f t="shared" si="9"/>
        <v>2022-09</v>
      </c>
      <c r="N787" s="112" t="str">
        <f t="shared" si="10"/>
        <v>2022-H2</v>
      </c>
    </row>
    <row r="788">
      <c r="A788" s="113" t="s">
        <v>610</v>
      </c>
      <c r="J788" s="108" t="str">
        <f t="shared" si="6"/>
        <v>2022</v>
      </c>
      <c r="K788" s="110">
        <f t="shared" si="7"/>
        <v>9</v>
      </c>
      <c r="L788" s="108" t="str">
        <f t="shared" si="8"/>
        <v>2022-Q3</v>
      </c>
      <c r="M788" s="111" t="str">
        <f t="shared" si="9"/>
        <v>2022-09</v>
      </c>
      <c r="N788" s="112" t="str">
        <f t="shared" si="10"/>
        <v>2022-H2</v>
      </c>
    </row>
    <row r="789">
      <c r="A789" s="113" t="s">
        <v>610</v>
      </c>
      <c r="J789" s="108" t="str">
        <f t="shared" si="6"/>
        <v>2022</v>
      </c>
      <c r="K789" s="110">
        <f t="shared" si="7"/>
        <v>9</v>
      </c>
      <c r="L789" s="108" t="str">
        <f t="shared" si="8"/>
        <v>2022-Q3</v>
      </c>
      <c r="M789" s="111" t="str">
        <f t="shared" si="9"/>
        <v>2022-09</v>
      </c>
      <c r="N789" s="112" t="str">
        <f t="shared" si="10"/>
        <v>2022-H2</v>
      </c>
    </row>
    <row r="790">
      <c r="A790" s="113" t="s">
        <v>610</v>
      </c>
      <c r="J790" s="108" t="str">
        <f t="shared" si="6"/>
        <v>2022</v>
      </c>
      <c r="K790" s="110">
        <f t="shared" si="7"/>
        <v>9</v>
      </c>
      <c r="L790" s="108" t="str">
        <f t="shared" si="8"/>
        <v>2022-Q3</v>
      </c>
      <c r="M790" s="111" t="str">
        <f t="shared" si="9"/>
        <v>2022-09</v>
      </c>
      <c r="N790" s="112" t="str">
        <f t="shared" si="10"/>
        <v>2022-H2</v>
      </c>
    </row>
    <row r="791">
      <c r="A791" s="113" t="s">
        <v>610</v>
      </c>
      <c r="J791" s="108" t="str">
        <f t="shared" si="6"/>
        <v>2022</v>
      </c>
      <c r="K791" s="110">
        <f t="shared" si="7"/>
        <v>9</v>
      </c>
      <c r="L791" s="108" t="str">
        <f t="shared" si="8"/>
        <v>2022-Q3</v>
      </c>
      <c r="M791" s="111" t="str">
        <f t="shared" si="9"/>
        <v>2022-09</v>
      </c>
      <c r="N791" s="112" t="str">
        <f t="shared" si="10"/>
        <v>2022-H2</v>
      </c>
    </row>
    <row r="792">
      <c r="A792" s="113" t="s">
        <v>610</v>
      </c>
      <c r="J792" s="108" t="str">
        <f t="shared" si="6"/>
        <v>2022</v>
      </c>
      <c r="K792" s="110">
        <f t="shared" si="7"/>
        <v>9</v>
      </c>
      <c r="L792" s="108" t="str">
        <f t="shared" si="8"/>
        <v>2022-Q3</v>
      </c>
      <c r="M792" s="111" t="str">
        <f t="shared" si="9"/>
        <v>2022-09</v>
      </c>
      <c r="N792" s="112" t="str">
        <f t="shared" si="10"/>
        <v>2022-H2</v>
      </c>
    </row>
    <row r="793">
      <c r="A793" s="113" t="s">
        <v>610</v>
      </c>
      <c r="J793" s="108" t="str">
        <f t="shared" si="6"/>
        <v>2022</v>
      </c>
      <c r="K793" s="110">
        <f t="shared" si="7"/>
        <v>9</v>
      </c>
      <c r="L793" s="108" t="str">
        <f t="shared" si="8"/>
        <v>2022-Q3</v>
      </c>
      <c r="M793" s="111" t="str">
        <f t="shared" si="9"/>
        <v>2022-09</v>
      </c>
      <c r="N793" s="112" t="str">
        <f t="shared" si="10"/>
        <v>2022-H2</v>
      </c>
    </row>
    <row r="794">
      <c r="A794" s="113" t="s">
        <v>610</v>
      </c>
      <c r="J794" s="108" t="str">
        <f t="shared" si="6"/>
        <v>2022</v>
      </c>
      <c r="K794" s="110">
        <f t="shared" si="7"/>
        <v>10</v>
      </c>
      <c r="L794" s="108" t="str">
        <f t="shared" si="8"/>
        <v>2022-Q4</v>
      </c>
      <c r="M794" s="111" t="str">
        <f t="shared" si="9"/>
        <v>2022-10</v>
      </c>
      <c r="N794" s="112" t="str">
        <f t="shared" si="10"/>
        <v>2022-H2</v>
      </c>
    </row>
    <row r="795">
      <c r="A795" s="113" t="s">
        <v>610</v>
      </c>
      <c r="J795" s="108" t="str">
        <f t="shared" si="6"/>
        <v>2022</v>
      </c>
      <c r="K795" s="110">
        <f t="shared" si="7"/>
        <v>10</v>
      </c>
      <c r="L795" s="108" t="str">
        <f t="shared" si="8"/>
        <v>2022-Q4</v>
      </c>
      <c r="M795" s="111" t="str">
        <f t="shared" si="9"/>
        <v>2022-10</v>
      </c>
      <c r="N795" s="112" t="str">
        <f t="shared" si="10"/>
        <v>2022-H2</v>
      </c>
    </row>
    <row r="796">
      <c r="A796" s="113" t="s">
        <v>610</v>
      </c>
      <c r="J796" s="108" t="str">
        <f t="shared" si="6"/>
        <v>2022</v>
      </c>
      <c r="K796" s="110">
        <f t="shared" si="7"/>
        <v>10</v>
      </c>
      <c r="L796" s="108" t="str">
        <f t="shared" si="8"/>
        <v>2022-Q4</v>
      </c>
      <c r="M796" s="111" t="str">
        <f t="shared" si="9"/>
        <v>2022-10</v>
      </c>
      <c r="N796" s="112" t="str">
        <f t="shared" si="10"/>
        <v>2022-H2</v>
      </c>
    </row>
    <row r="797">
      <c r="A797" s="113" t="s">
        <v>610</v>
      </c>
      <c r="J797" s="108" t="str">
        <f t="shared" si="6"/>
        <v>2022</v>
      </c>
      <c r="K797" s="110">
        <f t="shared" si="7"/>
        <v>10</v>
      </c>
      <c r="L797" s="108" t="str">
        <f t="shared" si="8"/>
        <v>2022-Q4</v>
      </c>
      <c r="M797" s="111" t="str">
        <f t="shared" si="9"/>
        <v>2022-10</v>
      </c>
      <c r="N797" s="112" t="str">
        <f t="shared" si="10"/>
        <v>2022-H2</v>
      </c>
    </row>
    <row r="798">
      <c r="A798" s="113" t="s">
        <v>610</v>
      </c>
      <c r="J798" s="108" t="str">
        <f t="shared" si="6"/>
        <v>2022</v>
      </c>
      <c r="K798" s="110">
        <f t="shared" si="7"/>
        <v>10</v>
      </c>
      <c r="L798" s="108" t="str">
        <f t="shared" si="8"/>
        <v>2022-Q4</v>
      </c>
      <c r="M798" s="111" t="str">
        <f t="shared" si="9"/>
        <v>2022-10</v>
      </c>
      <c r="N798" s="112" t="str">
        <f t="shared" si="10"/>
        <v>2022-H2</v>
      </c>
    </row>
    <row r="799">
      <c r="A799" s="113" t="s">
        <v>610</v>
      </c>
      <c r="J799" s="108" t="str">
        <f t="shared" si="6"/>
        <v>2022</v>
      </c>
      <c r="K799" s="110">
        <f t="shared" si="7"/>
        <v>10</v>
      </c>
      <c r="L799" s="108" t="str">
        <f t="shared" si="8"/>
        <v>2022-Q4</v>
      </c>
      <c r="M799" s="111" t="str">
        <f t="shared" si="9"/>
        <v>2022-10</v>
      </c>
      <c r="N799" s="112" t="str">
        <f t="shared" si="10"/>
        <v>2022-H2</v>
      </c>
    </row>
    <row r="800">
      <c r="A800" s="113" t="s">
        <v>610</v>
      </c>
      <c r="J800" s="108" t="str">
        <f t="shared" si="6"/>
        <v>2022</v>
      </c>
      <c r="K800" s="110">
        <f t="shared" si="7"/>
        <v>10</v>
      </c>
      <c r="L800" s="108" t="str">
        <f t="shared" si="8"/>
        <v>2022-Q4</v>
      </c>
      <c r="M800" s="111" t="str">
        <f t="shared" si="9"/>
        <v>2022-10</v>
      </c>
      <c r="N800" s="112" t="str">
        <f t="shared" si="10"/>
        <v>2022-H2</v>
      </c>
    </row>
    <row r="801">
      <c r="A801" s="113" t="s">
        <v>610</v>
      </c>
      <c r="J801" s="108" t="str">
        <f t="shared" si="6"/>
        <v>2022</v>
      </c>
      <c r="K801" s="110">
        <f t="shared" si="7"/>
        <v>10</v>
      </c>
      <c r="L801" s="108" t="str">
        <f t="shared" si="8"/>
        <v>2022-Q4</v>
      </c>
      <c r="M801" s="111" t="str">
        <f t="shared" si="9"/>
        <v>2022-10</v>
      </c>
      <c r="N801" s="112" t="str">
        <f t="shared" si="10"/>
        <v>2022-H2</v>
      </c>
    </row>
    <row r="802">
      <c r="A802" s="113" t="s">
        <v>610</v>
      </c>
      <c r="J802" s="108" t="str">
        <f t="shared" si="6"/>
        <v>2022</v>
      </c>
      <c r="K802" s="110">
        <f t="shared" si="7"/>
        <v>10</v>
      </c>
      <c r="L802" s="108" t="str">
        <f t="shared" si="8"/>
        <v>2022-Q4</v>
      </c>
      <c r="M802" s="111" t="str">
        <f t="shared" si="9"/>
        <v>2022-10</v>
      </c>
      <c r="N802" s="112" t="str">
        <f t="shared" si="10"/>
        <v>2022-H2</v>
      </c>
    </row>
    <row r="803">
      <c r="A803" s="113" t="s">
        <v>610</v>
      </c>
      <c r="J803" s="108" t="str">
        <f t="shared" si="6"/>
        <v>2022</v>
      </c>
      <c r="K803" s="110">
        <f t="shared" si="7"/>
        <v>10</v>
      </c>
      <c r="L803" s="108" t="str">
        <f t="shared" si="8"/>
        <v>2022-Q4</v>
      </c>
      <c r="M803" s="111" t="str">
        <f t="shared" si="9"/>
        <v>2022-10</v>
      </c>
      <c r="N803" s="112" t="str">
        <f t="shared" si="10"/>
        <v>2022-H2</v>
      </c>
    </row>
    <row r="804">
      <c r="A804" s="113" t="s">
        <v>610</v>
      </c>
      <c r="J804" s="108" t="str">
        <f t="shared" si="6"/>
        <v>2022</v>
      </c>
      <c r="K804" s="110">
        <f t="shared" si="7"/>
        <v>10</v>
      </c>
      <c r="L804" s="108" t="str">
        <f t="shared" si="8"/>
        <v>2022-Q4</v>
      </c>
      <c r="M804" s="111" t="str">
        <f t="shared" si="9"/>
        <v>2022-10</v>
      </c>
      <c r="N804" s="112" t="str">
        <f t="shared" si="10"/>
        <v>2022-H2</v>
      </c>
    </row>
    <row r="805">
      <c r="A805" s="113" t="s">
        <v>610</v>
      </c>
      <c r="J805" s="108" t="str">
        <f t="shared" si="6"/>
        <v>2022</v>
      </c>
      <c r="K805" s="110">
        <f t="shared" si="7"/>
        <v>10</v>
      </c>
      <c r="L805" s="108" t="str">
        <f t="shared" si="8"/>
        <v>2022-Q4</v>
      </c>
      <c r="M805" s="111" t="str">
        <f t="shared" si="9"/>
        <v>2022-10</v>
      </c>
      <c r="N805" s="112" t="str">
        <f t="shared" si="10"/>
        <v>2022-H2</v>
      </c>
    </row>
    <row r="806">
      <c r="A806" s="113" t="s">
        <v>610</v>
      </c>
      <c r="J806" s="108" t="str">
        <f t="shared" si="6"/>
        <v>2022</v>
      </c>
      <c r="K806" s="110">
        <f t="shared" si="7"/>
        <v>10</v>
      </c>
      <c r="L806" s="108" t="str">
        <f t="shared" si="8"/>
        <v>2022-Q4</v>
      </c>
      <c r="M806" s="111" t="str">
        <f t="shared" si="9"/>
        <v>2022-10</v>
      </c>
      <c r="N806" s="112" t="str">
        <f t="shared" si="10"/>
        <v>2022-H2</v>
      </c>
    </row>
    <row r="807">
      <c r="A807" s="113" t="s">
        <v>610</v>
      </c>
      <c r="J807" s="108" t="str">
        <f t="shared" si="6"/>
        <v>2022</v>
      </c>
      <c r="K807" s="110">
        <f t="shared" si="7"/>
        <v>10</v>
      </c>
      <c r="L807" s="108" t="str">
        <f t="shared" si="8"/>
        <v>2022-Q4</v>
      </c>
      <c r="M807" s="111" t="str">
        <f t="shared" si="9"/>
        <v>2022-10</v>
      </c>
      <c r="N807" s="112" t="str">
        <f t="shared" si="10"/>
        <v>2022-H2</v>
      </c>
    </row>
    <row r="808">
      <c r="A808" s="113" t="s">
        <v>610</v>
      </c>
      <c r="J808" s="108" t="str">
        <f t="shared" si="6"/>
        <v>2022</v>
      </c>
      <c r="K808" s="110">
        <f t="shared" si="7"/>
        <v>10</v>
      </c>
      <c r="L808" s="108" t="str">
        <f t="shared" si="8"/>
        <v>2022-Q4</v>
      </c>
      <c r="M808" s="111" t="str">
        <f t="shared" si="9"/>
        <v>2022-10</v>
      </c>
      <c r="N808" s="112" t="str">
        <f t="shared" si="10"/>
        <v>2022-H2</v>
      </c>
    </row>
    <row r="809">
      <c r="A809" s="113" t="s">
        <v>610</v>
      </c>
      <c r="J809" s="108" t="str">
        <f t="shared" si="6"/>
        <v>2022</v>
      </c>
      <c r="K809" s="110">
        <f t="shared" si="7"/>
        <v>11</v>
      </c>
      <c r="L809" s="108" t="str">
        <f t="shared" si="8"/>
        <v>2022-Q4</v>
      </c>
      <c r="M809" s="111" t="str">
        <f t="shared" si="9"/>
        <v>2022-11</v>
      </c>
      <c r="N809" s="112" t="str">
        <f t="shared" si="10"/>
        <v>2022-H2</v>
      </c>
    </row>
    <row r="810">
      <c r="A810" s="113" t="s">
        <v>610</v>
      </c>
      <c r="J810" s="108" t="str">
        <f t="shared" si="6"/>
        <v>2022</v>
      </c>
      <c r="K810" s="110">
        <f t="shared" si="7"/>
        <v>10</v>
      </c>
      <c r="L810" s="108" t="str">
        <f t="shared" si="8"/>
        <v>2022-Q4</v>
      </c>
      <c r="M810" s="111" t="str">
        <f t="shared" si="9"/>
        <v>2022-10</v>
      </c>
      <c r="N810" s="112" t="str">
        <f t="shared" si="10"/>
        <v>2022-H2</v>
      </c>
    </row>
    <row r="811">
      <c r="A811" s="113" t="s">
        <v>610</v>
      </c>
      <c r="J811" s="108" t="str">
        <f t="shared" si="6"/>
        <v>2022</v>
      </c>
      <c r="K811" s="110">
        <f t="shared" si="7"/>
        <v>11</v>
      </c>
      <c r="L811" s="108" t="str">
        <f t="shared" si="8"/>
        <v>2022-Q4</v>
      </c>
      <c r="M811" s="111" t="str">
        <f t="shared" si="9"/>
        <v>2022-11</v>
      </c>
      <c r="N811" s="112" t="str">
        <f t="shared" si="10"/>
        <v>2022-H2</v>
      </c>
    </row>
    <row r="812">
      <c r="A812" s="113" t="s">
        <v>610</v>
      </c>
      <c r="J812" s="108" t="str">
        <f t="shared" si="6"/>
        <v>2022</v>
      </c>
      <c r="K812" s="110">
        <f t="shared" si="7"/>
        <v>11</v>
      </c>
      <c r="L812" s="108" t="str">
        <f t="shared" si="8"/>
        <v>2022-Q4</v>
      </c>
      <c r="M812" s="111" t="str">
        <f t="shared" si="9"/>
        <v>2022-11</v>
      </c>
      <c r="N812" s="112" t="str">
        <f t="shared" si="10"/>
        <v>2022-H2</v>
      </c>
    </row>
    <row r="813">
      <c r="A813" s="113" t="s">
        <v>610</v>
      </c>
      <c r="J813" s="108" t="str">
        <f t="shared" si="6"/>
        <v>2022</v>
      </c>
      <c r="K813" s="110">
        <f t="shared" si="7"/>
        <v>11</v>
      </c>
      <c r="L813" s="108" t="str">
        <f t="shared" si="8"/>
        <v>2022-Q4</v>
      </c>
      <c r="M813" s="111" t="str">
        <f t="shared" si="9"/>
        <v>2022-11</v>
      </c>
      <c r="N813" s="112" t="str">
        <f t="shared" si="10"/>
        <v>2022-H2</v>
      </c>
    </row>
    <row r="814">
      <c r="A814" s="113" t="s">
        <v>610</v>
      </c>
      <c r="J814" s="108" t="str">
        <f t="shared" si="6"/>
        <v>2022</v>
      </c>
      <c r="K814" s="110">
        <f t="shared" si="7"/>
        <v>11</v>
      </c>
      <c r="L814" s="108" t="str">
        <f t="shared" si="8"/>
        <v>2022-Q4</v>
      </c>
      <c r="M814" s="111" t="str">
        <f t="shared" si="9"/>
        <v>2022-11</v>
      </c>
      <c r="N814" s="112" t="str">
        <f t="shared" si="10"/>
        <v>2022-H2</v>
      </c>
    </row>
    <row r="815">
      <c r="A815" s="113" t="s">
        <v>610</v>
      </c>
      <c r="J815" s="108" t="str">
        <f t="shared" si="6"/>
        <v>2022</v>
      </c>
      <c r="K815" s="110">
        <f t="shared" si="7"/>
        <v>11</v>
      </c>
      <c r="L815" s="108" t="str">
        <f t="shared" si="8"/>
        <v>2022-Q4</v>
      </c>
      <c r="M815" s="111" t="str">
        <f t="shared" si="9"/>
        <v>2022-11</v>
      </c>
      <c r="N815" s="112" t="str">
        <f t="shared" si="10"/>
        <v>2022-H2</v>
      </c>
    </row>
    <row r="816">
      <c r="A816" s="113" t="s">
        <v>610</v>
      </c>
      <c r="J816" s="108" t="str">
        <f t="shared" si="6"/>
        <v>2022</v>
      </c>
      <c r="K816" s="110">
        <f t="shared" si="7"/>
        <v>11</v>
      </c>
      <c r="L816" s="108" t="str">
        <f t="shared" si="8"/>
        <v>2022-Q4</v>
      </c>
      <c r="M816" s="111" t="str">
        <f t="shared" si="9"/>
        <v>2022-11</v>
      </c>
      <c r="N816" s="112" t="str">
        <f t="shared" si="10"/>
        <v>2022-H2</v>
      </c>
    </row>
    <row r="817">
      <c r="A817" s="113" t="s">
        <v>610</v>
      </c>
      <c r="J817" s="108" t="str">
        <f t="shared" si="6"/>
        <v>2022</v>
      </c>
      <c r="K817" s="110">
        <f t="shared" si="7"/>
        <v>11</v>
      </c>
      <c r="L817" s="108" t="str">
        <f t="shared" si="8"/>
        <v>2022-Q4</v>
      </c>
      <c r="M817" s="111" t="str">
        <f t="shared" si="9"/>
        <v>2022-11</v>
      </c>
      <c r="N817" s="112" t="str">
        <f t="shared" si="10"/>
        <v>2022-H2</v>
      </c>
    </row>
    <row r="818">
      <c r="A818" s="113" t="s">
        <v>610</v>
      </c>
      <c r="J818" s="108" t="str">
        <f t="shared" si="6"/>
        <v>2022</v>
      </c>
      <c r="K818" s="110">
        <f t="shared" si="7"/>
        <v>11</v>
      </c>
      <c r="L818" s="108" t="str">
        <f t="shared" si="8"/>
        <v>2022-Q4</v>
      </c>
      <c r="M818" s="111" t="str">
        <f t="shared" si="9"/>
        <v>2022-11</v>
      </c>
      <c r="N818" s="112" t="str">
        <f t="shared" si="10"/>
        <v>2022-H2</v>
      </c>
    </row>
    <row r="819">
      <c r="A819" s="113" t="s">
        <v>610</v>
      </c>
      <c r="J819" s="108" t="str">
        <f t="shared" si="6"/>
        <v>2022</v>
      </c>
      <c r="K819" s="110">
        <f t="shared" si="7"/>
        <v>11</v>
      </c>
      <c r="L819" s="108" t="str">
        <f t="shared" si="8"/>
        <v>2022-Q4</v>
      </c>
      <c r="M819" s="111" t="str">
        <f t="shared" si="9"/>
        <v>2022-11</v>
      </c>
      <c r="N819" s="112" t="str">
        <f t="shared" si="10"/>
        <v>2022-H2</v>
      </c>
    </row>
    <row r="820">
      <c r="A820" s="113" t="s">
        <v>610</v>
      </c>
      <c r="J820" s="108" t="str">
        <f t="shared" si="6"/>
        <v>2022</v>
      </c>
      <c r="K820" s="110">
        <f t="shared" si="7"/>
        <v>11</v>
      </c>
      <c r="L820" s="108" t="str">
        <f t="shared" si="8"/>
        <v>2022-Q4</v>
      </c>
      <c r="M820" s="111" t="str">
        <f t="shared" si="9"/>
        <v>2022-11</v>
      </c>
      <c r="N820" s="112" t="str">
        <f t="shared" si="10"/>
        <v>2022-H2</v>
      </c>
    </row>
    <row r="821">
      <c r="A821" s="113" t="s">
        <v>610</v>
      </c>
      <c r="J821" s="108" t="str">
        <f t="shared" si="6"/>
        <v>2022</v>
      </c>
      <c r="K821" s="110">
        <f t="shared" si="7"/>
        <v>11</v>
      </c>
      <c r="L821" s="108" t="str">
        <f t="shared" si="8"/>
        <v>2022-Q4</v>
      </c>
      <c r="M821" s="111" t="str">
        <f t="shared" si="9"/>
        <v>2022-11</v>
      </c>
      <c r="N821" s="112" t="str">
        <f t="shared" si="10"/>
        <v>2022-H2</v>
      </c>
    </row>
    <row r="822">
      <c r="A822" s="113" t="s">
        <v>610</v>
      </c>
      <c r="J822" s="108" t="str">
        <f t="shared" si="6"/>
        <v>2022</v>
      </c>
      <c r="K822" s="110">
        <f t="shared" si="7"/>
        <v>11</v>
      </c>
      <c r="L822" s="108" t="str">
        <f t="shared" si="8"/>
        <v>2022-Q4</v>
      </c>
      <c r="M822" s="111" t="str">
        <f t="shared" si="9"/>
        <v>2022-11</v>
      </c>
      <c r="N822" s="112" t="str">
        <f t="shared" si="10"/>
        <v>2022-H2</v>
      </c>
    </row>
    <row r="823">
      <c r="A823" s="113" t="s">
        <v>610</v>
      </c>
      <c r="J823" s="108" t="str">
        <f t="shared" si="6"/>
        <v>2022</v>
      </c>
      <c r="K823" s="110">
        <f t="shared" si="7"/>
        <v>11</v>
      </c>
      <c r="L823" s="108" t="str">
        <f t="shared" si="8"/>
        <v>2022-Q4</v>
      </c>
      <c r="M823" s="111" t="str">
        <f t="shared" si="9"/>
        <v>2022-11</v>
      </c>
      <c r="N823" s="112" t="str">
        <f t="shared" si="10"/>
        <v>2022-H2</v>
      </c>
    </row>
    <row r="824">
      <c r="A824" s="113" t="s">
        <v>610</v>
      </c>
      <c r="J824" s="108" t="str">
        <f t="shared" si="6"/>
        <v>2022</v>
      </c>
      <c r="K824" s="110">
        <f t="shared" si="7"/>
        <v>11</v>
      </c>
      <c r="L824" s="108" t="str">
        <f t="shared" si="8"/>
        <v>2022-Q4</v>
      </c>
      <c r="M824" s="111" t="str">
        <f t="shared" si="9"/>
        <v>2022-11</v>
      </c>
      <c r="N824" s="112" t="str">
        <f t="shared" si="10"/>
        <v>2022-H2</v>
      </c>
    </row>
    <row r="825">
      <c r="A825" s="113" t="s">
        <v>610</v>
      </c>
      <c r="J825" s="108" t="str">
        <f t="shared" si="6"/>
        <v>2022</v>
      </c>
      <c r="K825" s="110">
        <f t="shared" si="7"/>
        <v>11</v>
      </c>
      <c r="L825" s="108" t="str">
        <f t="shared" si="8"/>
        <v>2022-Q4</v>
      </c>
      <c r="M825" s="111" t="str">
        <f t="shared" si="9"/>
        <v>2022-11</v>
      </c>
      <c r="N825" s="112" t="str">
        <f t="shared" si="10"/>
        <v>2022-H2</v>
      </c>
    </row>
    <row r="826">
      <c r="A826" s="113" t="s">
        <v>610</v>
      </c>
      <c r="J826" s="108" t="str">
        <f t="shared" si="6"/>
        <v>2022</v>
      </c>
      <c r="K826" s="110">
        <f t="shared" si="7"/>
        <v>11</v>
      </c>
      <c r="L826" s="108" t="str">
        <f t="shared" si="8"/>
        <v>2022-Q4</v>
      </c>
      <c r="M826" s="111" t="str">
        <f t="shared" si="9"/>
        <v>2022-11</v>
      </c>
      <c r="N826" s="112" t="str">
        <f t="shared" si="10"/>
        <v>2022-H2</v>
      </c>
    </row>
    <row r="827">
      <c r="A827" s="113" t="s">
        <v>610</v>
      </c>
      <c r="J827" s="108" t="str">
        <f t="shared" si="6"/>
        <v>2022</v>
      </c>
      <c r="K827" s="110">
        <f t="shared" si="7"/>
        <v>11</v>
      </c>
      <c r="L827" s="108" t="str">
        <f t="shared" si="8"/>
        <v>2022-Q4</v>
      </c>
      <c r="M827" s="111" t="str">
        <f t="shared" si="9"/>
        <v>2022-11</v>
      </c>
      <c r="N827" s="112" t="str">
        <f t="shared" si="10"/>
        <v>2022-H2</v>
      </c>
    </row>
    <row r="828">
      <c r="A828" s="113" t="s">
        <v>610</v>
      </c>
      <c r="J828" s="108" t="str">
        <f t="shared" si="6"/>
        <v>2022</v>
      </c>
      <c r="K828" s="110">
        <f t="shared" si="7"/>
        <v>12</v>
      </c>
      <c r="L828" s="108" t="str">
        <f t="shared" si="8"/>
        <v>2022-Q4</v>
      </c>
      <c r="M828" s="111" t="str">
        <f t="shared" si="9"/>
        <v>2022-12</v>
      </c>
      <c r="N828" s="112" t="str">
        <f t="shared" si="10"/>
        <v>2022-H2</v>
      </c>
    </row>
    <row r="829">
      <c r="A829" s="113" t="s">
        <v>610</v>
      </c>
      <c r="J829" s="108" t="str">
        <f t="shared" si="6"/>
        <v>2022</v>
      </c>
      <c r="K829" s="110">
        <f t="shared" si="7"/>
        <v>12</v>
      </c>
      <c r="L829" s="108" t="str">
        <f t="shared" si="8"/>
        <v>2022-Q4</v>
      </c>
      <c r="M829" s="111" t="str">
        <f t="shared" si="9"/>
        <v>2022-12</v>
      </c>
      <c r="N829" s="112" t="str">
        <f t="shared" si="10"/>
        <v>2022-H2</v>
      </c>
    </row>
    <row r="830">
      <c r="A830" s="113" t="s">
        <v>610</v>
      </c>
      <c r="J830" s="108" t="str">
        <f t="shared" si="6"/>
        <v>2022</v>
      </c>
      <c r="K830" s="110">
        <f t="shared" si="7"/>
        <v>11</v>
      </c>
      <c r="L830" s="108" t="str">
        <f t="shared" si="8"/>
        <v>2022-Q4</v>
      </c>
      <c r="M830" s="111" t="str">
        <f t="shared" si="9"/>
        <v>2022-11</v>
      </c>
      <c r="N830" s="112" t="str">
        <f t="shared" si="10"/>
        <v>2022-H2</v>
      </c>
    </row>
    <row r="831">
      <c r="A831" s="113" t="s">
        <v>610</v>
      </c>
      <c r="J831" s="108" t="str">
        <f t="shared" si="6"/>
        <v>2022</v>
      </c>
      <c r="K831" s="110">
        <f t="shared" si="7"/>
        <v>12</v>
      </c>
      <c r="L831" s="108" t="str">
        <f t="shared" si="8"/>
        <v>2022-Q4</v>
      </c>
      <c r="M831" s="111" t="str">
        <f t="shared" si="9"/>
        <v>2022-12</v>
      </c>
      <c r="N831" s="112" t="str">
        <f t="shared" si="10"/>
        <v>2022-H2</v>
      </c>
    </row>
    <row r="832">
      <c r="A832" s="113" t="s">
        <v>610</v>
      </c>
      <c r="J832" s="108" t="str">
        <f t="shared" si="6"/>
        <v>2023</v>
      </c>
      <c r="K832" s="110">
        <f t="shared" si="7"/>
        <v>1</v>
      </c>
      <c r="L832" s="108" t="str">
        <f t="shared" si="8"/>
        <v>2023-Q1</v>
      </c>
      <c r="M832" s="111" t="str">
        <f t="shared" si="9"/>
        <v>2023-01</v>
      </c>
      <c r="N832" s="112" t="str">
        <f t="shared" si="10"/>
        <v>2023-H1</v>
      </c>
    </row>
    <row r="833">
      <c r="A833" s="113" t="s">
        <v>610</v>
      </c>
      <c r="J833" s="108" t="str">
        <f t="shared" si="6"/>
        <v>2022</v>
      </c>
      <c r="K833" s="110">
        <f t="shared" si="7"/>
        <v>12</v>
      </c>
      <c r="L833" s="108" t="str">
        <f t="shared" si="8"/>
        <v>2022-Q4</v>
      </c>
      <c r="M833" s="111" t="str">
        <f t="shared" si="9"/>
        <v>2022-12</v>
      </c>
      <c r="N833" s="112" t="str">
        <f t="shared" si="10"/>
        <v>2022-H2</v>
      </c>
    </row>
    <row r="834">
      <c r="A834" s="113" t="s">
        <v>610</v>
      </c>
      <c r="J834" s="108" t="str">
        <f t="shared" si="6"/>
        <v>2023</v>
      </c>
      <c r="K834" s="110">
        <f t="shared" si="7"/>
        <v>8</v>
      </c>
      <c r="L834" s="108" t="str">
        <f t="shared" si="8"/>
        <v>2023-Q3</v>
      </c>
      <c r="M834" s="111" t="str">
        <f t="shared" si="9"/>
        <v>2023-08</v>
      </c>
      <c r="N834" s="112" t="str">
        <f t="shared" si="10"/>
        <v>2023-H2</v>
      </c>
    </row>
    <row r="835">
      <c r="A835" s="113" t="s">
        <v>610</v>
      </c>
      <c r="J835" s="108" t="str">
        <f t="shared" si="6"/>
        <v>2023</v>
      </c>
      <c r="K835" s="110">
        <f t="shared" si="7"/>
        <v>1</v>
      </c>
      <c r="L835" s="108" t="str">
        <f t="shared" si="8"/>
        <v>2023-Q1</v>
      </c>
      <c r="M835" s="111" t="str">
        <f t="shared" si="9"/>
        <v>2023-01</v>
      </c>
      <c r="N835" s="112" t="str">
        <f t="shared" si="10"/>
        <v>2023-H1</v>
      </c>
    </row>
    <row r="836">
      <c r="A836" s="113" t="s">
        <v>610</v>
      </c>
      <c r="J836" s="108" t="str">
        <f t="shared" si="6"/>
        <v>2022</v>
      </c>
      <c r="K836" s="110">
        <f t="shared" si="7"/>
        <v>12</v>
      </c>
      <c r="L836" s="108" t="str">
        <f t="shared" si="8"/>
        <v>2022-Q4</v>
      </c>
      <c r="M836" s="111" t="str">
        <f t="shared" si="9"/>
        <v>2022-12</v>
      </c>
      <c r="N836" s="112" t="str">
        <f t="shared" si="10"/>
        <v>2022-H2</v>
      </c>
    </row>
    <row r="837">
      <c r="A837" s="113" t="s">
        <v>610</v>
      </c>
      <c r="J837" s="108" t="str">
        <f t="shared" si="6"/>
        <v>2022</v>
      </c>
      <c r="K837" s="110">
        <f t="shared" si="7"/>
        <v>12</v>
      </c>
      <c r="L837" s="108" t="str">
        <f t="shared" si="8"/>
        <v>2022-Q4</v>
      </c>
      <c r="M837" s="111" t="str">
        <f t="shared" si="9"/>
        <v>2022-12</v>
      </c>
      <c r="N837" s="112" t="str">
        <f t="shared" si="10"/>
        <v>2022-H2</v>
      </c>
    </row>
    <row r="838">
      <c r="A838" s="113" t="s">
        <v>610</v>
      </c>
      <c r="J838" s="108" t="str">
        <f t="shared" si="6"/>
        <v>2022</v>
      </c>
      <c r="K838" s="110">
        <f t="shared" si="7"/>
        <v>11</v>
      </c>
      <c r="L838" s="108" t="str">
        <f t="shared" si="8"/>
        <v>2022-Q4</v>
      </c>
      <c r="M838" s="111" t="str">
        <f t="shared" si="9"/>
        <v>2022-11</v>
      </c>
      <c r="N838" s="112" t="str">
        <f t="shared" si="10"/>
        <v>2022-H2</v>
      </c>
    </row>
    <row r="839">
      <c r="A839" s="113" t="s">
        <v>610</v>
      </c>
      <c r="J839" s="108" t="str">
        <f t="shared" si="6"/>
        <v>2022</v>
      </c>
      <c r="K839" s="110">
        <f t="shared" si="7"/>
        <v>11</v>
      </c>
      <c r="L839" s="108" t="str">
        <f t="shared" si="8"/>
        <v>2022-Q4</v>
      </c>
      <c r="M839" s="111" t="str">
        <f t="shared" si="9"/>
        <v>2022-11</v>
      </c>
      <c r="N839" s="112" t="str">
        <f t="shared" si="10"/>
        <v>2022-H2</v>
      </c>
    </row>
    <row r="840">
      <c r="A840" s="113" t="s">
        <v>610</v>
      </c>
      <c r="J840" s="108" t="str">
        <f t="shared" si="6"/>
        <v>2022</v>
      </c>
      <c r="K840" s="110">
        <f t="shared" si="7"/>
        <v>12</v>
      </c>
      <c r="L840" s="108" t="str">
        <f t="shared" si="8"/>
        <v>2022-Q4</v>
      </c>
      <c r="M840" s="111" t="str">
        <f t="shared" si="9"/>
        <v>2022-12</v>
      </c>
      <c r="N840" s="112" t="str">
        <f t="shared" si="10"/>
        <v>2022-H2</v>
      </c>
    </row>
    <row r="841">
      <c r="A841" s="113" t="s">
        <v>610</v>
      </c>
      <c r="J841" s="108" t="str">
        <f t="shared" si="6"/>
        <v>2022</v>
      </c>
      <c r="K841" s="110">
        <f t="shared" si="7"/>
        <v>12</v>
      </c>
      <c r="L841" s="108" t="str">
        <f t="shared" si="8"/>
        <v>2022-Q4</v>
      </c>
      <c r="M841" s="111" t="str">
        <f t="shared" si="9"/>
        <v>2022-12</v>
      </c>
      <c r="N841" s="112" t="str">
        <f t="shared" si="10"/>
        <v>2022-H2</v>
      </c>
    </row>
    <row r="842">
      <c r="A842" s="113" t="s">
        <v>610</v>
      </c>
      <c r="J842" s="108" t="str">
        <f t="shared" si="6"/>
        <v>2022</v>
      </c>
      <c r="K842" s="110">
        <f t="shared" si="7"/>
        <v>12</v>
      </c>
      <c r="L842" s="108" t="str">
        <f t="shared" si="8"/>
        <v>2022-Q4</v>
      </c>
      <c r="M842" s="111" t="str">
        <f t="shared" si="9"/>
        <v>2022-12</v>
      </c>
      <c r="N842" s="112" t="str">
        <f t="shared" si="10"/>
        <v>2022-H2</v>
      </c>
    </row>
    <row r="843">
      <c r="A843" s="113" t="s">
        <v>610</v>
      </c>
      <c r="J843" s="108" t="str">
        <f t="shared" si="6"/>
        <v>2022</v>
      </c>
      <c r="K843" s="110">
        <f t="shared" si="7"/>
        <v>12</v>
      </c>
      <c r="L843" s="108" t="str">
        <f t="shared" si="8"/>
        <v>2022-Q4</v>
      </c>
      <c r="M843" s="111" t="str">
        <f t="shared" si="9"/>
        <v>2022-12</v>
      </c>
      <c r="N843" s="112" t="str">
        <f t="shared" si="10"/>
        <v>2022-H2</v>
      </c>
    </row>
    <row r="844">
      <c r="A844" s="113" t="s">
        <v>610</v>
      </c>
      <c r="J844" s="108" t="str">
        <f t="shared" si="6"/>
        <v>2022</v>
      </c>
      <c r="K844" s="110">
        <f t="shared" si="7"/>
        <v>12</v>
      </c>
      <c r="L844" s="108" t="str">
        <f t="shared" si="8"/>
        <v>2022-Q4</v>
      </c>
      <c r="M844" s="111" t="str">
        <f t="shared" si="9"/>
        <v>2022-12</v>
      </c>
      <c r="N844" s="112" t="str">
        <f t="shared" si="10"/>
        <v>2022-H2</v>
      </c>
    </row>
    <row r="845">
      <c r="A845" s="113" t="s">
        <v>610</v>
      </c>
      <c r="J845" s="108" t="str">
        <f t="shared" si="6"/>
        <v>2022</v>
      </c>
      <c r="K845" s="110">
        <f t="shared" si="7"/>
        <v>12</v>
      </c>
      <c r="L845" s="108" t="str">
        <f t="shared" si="8"/>
        <v>2022-Q4</v>
      </c>
      <c r="M845" s="111" t="str">
        <f t="shared" si="9"/>
        <v>2022-12</v>
      </c>
      <c r="N845" s="112" t="str">
        <f t="shared" si="10"/>
        <v>2022-H2</v>
      </c>
    </row>
    <row r="846">
      <c r="A846" s="113" t="s">
        <v>610</v>
      </c>
      <c r="J846" s="108" t="str">
        <f t="shared" si="6"/>
        <v>2022</v>
      </c>
      <c r="K846" s="110">
        <f t="shared" si="7"/>
        <v>12</v>
      </c>
      <c r="L846" s="108" t="str">
        <f t="shared" si="8"/>
        <v>2022-Q4</v>
      </c>
      <c r="M846" s="111" t="str">
        <f t="shared" si="9"/>
        <v>2022-12</v>
      </c>
      <c r="N846" s="112" t="str">
        <f t="shared" si="10"/>
        <v>2022-H2</v>
      </c>
    </row>
    <row r="847">
      <c r="A847" s="113" t="s">
        <v>610</v>
      </c>
      <c r="J847" s="108" t="str">
        <f t="shared" si="6"/>
        <v>2022</v>
      </c>
      <c r="K847" s="110">
        <f t="shared" si="7"/>
        <v>12</v>
      </c>
      <c r="L847" s="108" t="str">
        <f t="shared" si="8"/>
        <v>2022-Q4</v>
      </c>
      <c r="M847" s="111" t="str">
        <f t="shared" si="9"/>
        <v>2022-12</v>
      </c>
      <c r="N847" s="112" t="str">
        <f t="shared" si="10"/>
        <v>2022-H2</v>
      </c>
    </row>
    <row r="848">
      <c r="A848" s="113" t="s">
        <v>610</v>
      </c>
      <c r="J848" s="108" t="str">
        <f t="shared" si="6"/>
        <v>2022</v>
      </c>
      <c r="K848" s="110">
        <f t="shared" si="7"/>
        <v>12</v>
      </c>
      <c r="L848" s="108" t="str">
        <f t="shared" si="8"/>
        <v>2022-Q4</v>
      </c>
      <c r="M848" s="111" t="str">
        <f t="shared" si="9"/>
        <v>2022-12</v>
      </c>
      <c r="N848" s="112" t="str">
        <f t="shared" si="10"/>
        <v>2022-H2</v>
      </c>
    </row>
    <row r="849">
      <c r="A849" s="113" t="s">
        <v>610</v>
      </c>
      <c r="J849" s="108" t="str">
        <f t="shared" si="6"/>
        <v>2022</v>
      </c>
      <c r="K849" s="110">
        <f t="shared" si="7"/>
        <v>12</v>
      </c>
      <c r="L849" s="108" t="str">
        <f t="shared" si="8"/>
        <v>2022-Q4</v>
      </c>
      <c r="M849" s="111" t="str">
        <f t="shared" si="9"/>
        <v>2022-12</v>
      </c>
      <c r="N849" s="112" t="str">
        <f t="shared" si="10"/>
        <v>2022-H2</v>
      </c>
    </row>
    <row r="850">
      <c r="A850" s="113" t="s">
        <v>610</v>
      </c>
      <c r="J850" s="108" t="str">
        <f t="shared" si="6"/>
        <v>2022</v>
      </c>
      <c r="K850" s="110">
        <f t="shared" si="7"/>
        <v>12</v>
      </c>
      <c r="L850" s="108" t="str">
        <f t="shared" si="8"/>
        <v>2022-Q4</v>
      </c>
      <c r="M850" s="111" t="str">
        <f t="shared" si="9"/>
        <v>2022-12</v>
      </c>
      <c r="N850" s="112" t="str">
        <f t="shared" si="10"/>
        <v>2022-H2</v>
      </c>
    </row>
    <row r="851">
      <c r="A851" s="113" t="s">
        <v>610</v>
      </c>
      <c r="J851" s="108" t="str">
        <f t="shared" si="6"/>
        <v>2022</v>
      </c>
      <c r="K851" s="110">
        <f t="shared" si="7"/>
        <v>12</v>
      </c>
      <c r="L851" s="108" t="str">
        <f t="shared" si="8"/>
        <v>2022-Q4</v>
      </c>
      <c r="M851" s="111" t="str">
        <f t="shared" si="9"/>
        <v>2022-12</v>
      </c>
      <c r="N851" s="112" t="str">
        <f t="shared" si="10"/>
        <v>2022-H2</v>
      </c>
    </row>
    <row r="852">
      <c r="A852" s="113" t="s">
        <v>610</v>
      </c>
      <c r="J852" s="108" t="str">
        <f t="shared" si="6"/>
        <v>2022</v>
      </c>
      <c r="K852" s="110">
        <f t="shared" si="7"/>
        <v>12</v>
      </c>
      <c r="L852" s="108" t="str">
        <f t="shared" si="8"/>
        <v>2022-Q4</v>
      </c>
      <c r="M852" s="111" t="str">
        <f t="shared" si="9"/>
        <v>2022-12</v>
      </c>
      <c r="N852" s="112" t="str">
        <f t="shared" si="10"/>
        <v>2022-H2</v>
      </c>
    </row>
    <row r="853">
      <c r="A853" s="113" t="s">
        <v>610</v>
      </c>
      <c r="J853" s="108" t="str">
        <f t="shared" si="6"/>
        <v>2022</v>
      </c>
      <c r="K853" s="110">
        <f t="shared" si="7"/>
        <v>12</v>
      </c>
      <c r="L853" s="108" t="str">
        <f t="shared" si="8"/>
        <v>2022-Q4</v>
      </c>
      <c r="M853" s="111" t="str">
        <f t="shared" si="9"/>
        <v>2022-12</v>
      </c>
      <c r="N853" s="112" t="str">
        <f t="shared" si="10"/>
        <v>2022-H2</v>
      </c>
    </row>
    <row r="854">
      <c r="A854" s="113" t="s">
        <v>610</v>
      </c>
      <c r="J854" s="108" t="str">
        <f t="shared" si="6"/>
        <v>2022</v>
      </c>
      <c r="K854" s="110">
        <f t="shared" si="7"/>
        <v>12</v>
      </c>
      <c r="L854" s="108" t="str">
        <f t="shared" si="8"/>
        <v>2022-Q4</v>
      </c>
      <c r="M854" s="111" t="str">
        <f t="shared" si="9"/>
        <v>2022-12</v>
      </c>
      <c r="N854" s="112" t="str">
        <f t="shared" si="10"/>
        <v>2022-H2</v>
      </c>
    </row>
    <row r="855">
      <c r="A855" s="113" t="s">
        <v>610</v>
      </c>
      <c r="J855" s="108" t="str">
        <f t="shared" si="6"/>
        <v>2022</v>
      </c>
      <c r="K855" s="110">
        <f t="shared" si="7"/>
        <v>12</v>
      </c>
      <c r="L855" s="108" t="str">
        <f t="shared" si="8"/>
        <v>2022-Q4</v>
      </c>
      <c r="M855" s="111" t="str">
        <f t="shared" si="9"/>
        <v>2022-12</v>
      </c>
      <c r="N855" s="112" t="str">
        <f t="shared" si="10"/>
        <v>2022-H2</v>
      </c>
    </row>
    <row r="856">
      <c r="A856" s="113" t="s">
        <v>610</v>
      </c>
      <c r="J856" s="108" t="str">
        <f t="shared" si="6"/>
        <v>2023</v>
      </c>
      <c r="K856" s="110">
        <f t="shared" si="7"/>
        <v>1</v>
      </c>
      <c r="L856" s="108" t="str">
        <f t="shared" si="8"/>
        <v>2023-Q1</v>
      </c>
      <c r="M856" s="111" t="str">
        <f t="shared" si="9"/>
        <v>2023-01</v>
      </c>
      <c r="N856" s="112" t="str">
        <f t="shared" si="10"/>
        <v>2023-H1</v>
      </c>
    </row>
    <row r="857">
      <c r="A857" s="113" t="s">
        <v>610</v>
      </c>
      <c r="J857" s="108" t="str">
        <f t="shared" si="6"/>
        <v>2023</v>
      </c>
      <c r="K857" s="110">
        <f t="shared" si="7"/>
        <v>1</v>
      </c>
      <c r="L857" s="108" t="str">
        <f t="shared" si="8"/>
        <v>2023-Q1</v>
      </c>
      <c r="M857" s="111" t="str">
        <f t="shared" si="9"/>
        <v>2023-01</v>
      </c>
      <c r="N857" s="112" t="str">
        <f t="shared" si="10"/>
        <v>2023-H1</v>
      </c>
    </row>
    <row r="858">
      <c r="A858" s="113" t="s">
        <v>610</v>
      </c>
      <c r="J858" s="108" t="str">
        <f t="shared" si="6"/>
        <v>2022</v>
      </c>
      <c r="K858" s="110">
        <f t="shared" si="7"/>
        <v>12</v>
      </c>
      <c r="L858" s="108" t="str">
        <f t="shared" si="8"/>
        <v>2022-Q4</v>
      </c>
      <c r="M858" s="111" t="str">
        <f t="shared" si="9"/>
        <v>2022-12</v>
      </c>
      <c r="N858" s="112" t="str">
        <f t="shared" si="10"/>
        <v>2022-H2</v>
      </c>
    </row>
    <row r="859">
      <c r="A859" s="113" t="s">
        <v>610</v>
      </c>
      <c r="J859" s="108" t="str">
        <f t="shared" si="6"/>
        <v>2023</v>
      </c>
      <c r="K859" s="110">
        <f t="shared" si="7"/>
        <v>1</v>
      </c>
      <c r="L859" s="108" t="str">
        <f t="shared" si="8"/>
        <v>2023-Q1</v>
      </c>
      <c r="M859" s="111" t="str">
        <f t="shared" si="9"/>
        <v>2023-01</v>
      </c>
      <c r="N859" s="112" t="str">
        <f t="shared" si="10"/>
        <v>2023-H1</v>
      </c>
    </row>
    <row r="860">
      <c r="A860" s="113" t="s">
        <v>610</v>
      </c>
      <c r="J860" s="108" t="str">
        <f t="shared" si="6"/>
        <v>2023</v>
      </c>
      <c r="K860" s="110">
        <f t="shared" si="7"/>
        <v>1</v>
      </c>
      <c r="L860" s="108" t="str">
        <f t="shared" si="8"/>
        <v>2023-Q1</v>
      </c>
      <c r="M860" s="111" t="str">
        <f t="shared" si="9"/>
        <v>2023-01</v>
      </c>
      <c r="N860" s="112" t="str">
        <f t="shared" si="10"/>
        <v>2023-H1</v>
      </c>
    </row>
    <row r="861">
      <c r="A861" s="113" t="s">
        <v>610</v>
      </c>
      <c r="J861" s="108" t="str">
        <f t="shared" si="6"/>
        <v>2023</v>
      </c>
      <c r="K861" s="110">
        <f t="shared" si="7"/>
        <v>1</v>
      </c>
      <c r="L861" s="108" t="str">
        <f t="shared" si="8"/>
        <v>2023-Q1</v>
      </c>
      <c r="M861" s="111" t="str">
        <f t="shared" si="9"/>
        <v>2023-01</v>
      </c>
      <c r="N861" s="112" t="str">
        <f t="shared" si="10"/>
        <v>2023-H1</v>
      </c>
    </row>
    <row r="862">
      <c r="A862" s="113" t="s">
        <v>610</v>
      </c>
      <c r="J862" s="108" t="str">
        <f t="shared" si="6"/>
        <v>2023</v>
      </c>
      <c r="K862" s="110">
        <f t="shared" si="7"/>
        <v>1</v>
      </c>
      <c r="L862" s="108" t="str">
        <f t="shared" si="8"/>
        <v>2023-Q1</v>
      </c>
      <c r="M862" s="111" t="str">
        <f t="shared" si="9"/>
        <v>2023-01</v>
      </c>
      <c r="N862" s="112" t="str">
        <f t="shared" si="10"/>
        <v>2023-H1</v>
      </c>
    </row>
    <row r="863">
      <c r="A863" s="113" t="s">
        <v>610</v>
      </c>
      <c r="J863" s="108" t="str">
        <f t="shared" si="6"/>
        <v>2023</v>
      </c>
      <c r="K863" s="110">
        <f t="shared" si="7"/>
        <v>1</v>
      </c>
      <c r="L863" s="108" t="str">
        <f t="shared" si="8"/>
        <v>2023-Q1</v>
      </c>
      <c r="M863" s="111" t="str">
        <f t="shared" si="9"/>
        <v>2023-01</v>
      </c>
      <c r="N863" s="112" t="str">
        <f t="shared" si="10"/>
        <v>2023-H1</v>
      </c>
    </row>
    <row r="864">
      <c r="A864" s="113" t="s">
        <v>610</v>
      </c>
      <c r="J864" s="108" t="str">
        <f t="shared" si="6"/>
        <v>2023</v>
      </c>
      <c r="K864" s="110">
        <f t="shared" si="7"/>
        <v>1</v>
      </c>
      <c r="L864" s="108" t="str">
        <f t="shared" si="8"/>
        <v>2023-Q1</v>
      </c>
      <c r="M864" s="111" t="str">
        <f t="shared" si="9"/>
        <v>2023-01</v>
      </c>
      <c r="N864" s="112" t="str">
        <f t="shared" si="10"/>
        <v>2023-H1</v>
      </c>
    </row>
    <row r="865">
      <c r="A865" s="113" t="s">
        <v>610</v>
      </c>
      <c r="J865" s="108" t="str">
        <f t="shared" si="6"/>
        <v>2023</v>
      </c>
      <c r="K865" s="110">
        <f t="shared" si="7"/>
        <v>1</v>
      </c>
      <c r="L865" s="108" t="str">
        <f t="shared" si="8"/>
        <v>2023-Q1</v>
      </c>
      <c r="M865" s="111" t="str">
        <f t="shared" si="9"/>
        <v>2023-01</v>
      </c>
      <c r="N865" s="112" t="str">
        <f t="shared" si="10"/>
        <v>2023-H1</v>
      </c>
    </row>
    <row r="866">
      <c r="A866" s="113" t="s">
        <v>610</v>
      </c>
      <c r="J866" s="108" t="str">
        <f t="shared" si="6"/>
        <v>2023</v>
      </c>
      <c r="K866" s="110">
        <f t="shared" si="7"/>
        <v>1</v>
      </c>
      <c r="L866" s="108" t="str">
        <f t="shared" si="8"/>
        <v>2023-Q1</v>
      </c>
      <c r="M866" s="111" t="str">
        <f t="shared" si="9"/>
        <v>2023-01</v>
      </c>
      <c r="N866" s="112" t="str">
        <f t="shared" si="10"/>
        <v>2023-H1</v>
      </c>
    </row>
    <row r="867">
      <c r="A867" s="113" t="s">
        <v>610</v>
      </c>
      <c r="J867" s="108" t="str">
        <f t="shared" si="6"/>
        <v>2023</v>
      </c>
      <c r="K867" s="110">
        <f t="shared" si="7"/>
        <v>1</v>
      </c>
      <c r="L867" s="108" t="str">
        <f t="shared" si="8"/>
        <v>2023-Q1</v>
      </c>
      <c r="M867" s="111" t="str">
        <f t="shared" si="9"/>
        <v>2023-01</v>
      </c>
      <c r="N867" s="112" t="str">
        <f t="shared" si="10"/>
        <v>2023-H1</v>
      </c>
    </row>
    <row r="868">
      <c r="A868" s="113" t="s">
        <v>610</v>
      </c>
      <c r="J868" s="108" t="str">
        <f t="shared" si="6"/>
        <v>2023</v>
      </c>
      <c r="K868" s="110">
        <f t="shared" si="7"/>
        <v>2</v>
      </c>
      <c r="L868" s="108" t="str">
        <f t="shared" si="8"/>
        <v>2023-Q1</v>
      </c>
      <c r="M868" s="111" t="str">
        <f t="shared" si="9"/>
        <v>2023-02</v>
      </c>
      <c r="N868" s="112" t="str">
        <f t="shared" si="10"/>
        <v>2023-H1</v>
      </c>
    </row>
    <row r="869">
      <c r="A869" s="113" t="s">
        <v>610</v>
      </c>
      <c r="J869" s="108" t="str">
        <f t="shared" si="6"/>
        <v>2023</v>
      </c>
      <c r="K869" s="110">
        <f t="shared" si="7"/>
        <v>2</v>
      </c>
      <c r="L869" s="108" t="str">
        <f t="shared" si="8"/>
        <v>2023-Q1</v>
      </c>
      <c r="M869" s="111" t="str">
        <f t="shared" si="9"/>
        <v>2023-02</v>
      </c>
      <c r="N869" s="112" t="str">
        <f t="shared" si="10"/>
        <v>2023-H1</v>
      </c>
    </row>
    <row r="870">
      <c r="A870" s="113" t="s">
        <v>610</v>
      </c>
      <c r="J870" s="108" t="str">
        <f t="shared" si="6"/>
        <v>2023</v>
      </c>
      <c r="K870" s="110">
        <f t="shared" si="7"/>
        <v>2</v>
      </c>
      <c r="L870" s="108" t="str">
        <f t="shared" si="8"/>
        <v>2023-Q1</v>
      </c>
      <c r="M870" s="111" t="str">
        <f t="shared" si="9"/>
        <v>2023-02</v>
      </c>
      <c r="N870" s="112" t="str">
        <f t="shared" si="10"/>
        <v>2023-H1</v>
      </c>
    </row>
    <row r="871">
      <c r="A871" s="113" t="s">
        <v>610</v>
      </c>
      <c r="J871" s="108" t="str">
        <f t="shared" si="6"/>
        <v>2023</v>
      </c>
      <c r="K871" s="110">
        <f t="shared" si="7"/>
        <v>2</v>
      </c>
      <c r="L871" s="108" t="str">
        <f t="shared" si="8"/>
        <v>2023-Q1</v>
      </c>
      <c r="M871" s="111" t="str">
        <f t="shared" si="9"/>
        <v>2023-02</v>
      </c>
      <c r="N871" s="112" t="str">
        <f t="shared" si="10"/>
        <v>2023-H1</v>
      </c>
    </row>
    <row r="872">
      <c r="A872" s="113" t="s">
        <v>610</v>
      </c>
      <c r="J872" s="108" t="str">
        <f t="shared" si="6"/>
        <v>2023</v>
      </c>
      <c r="K872" s="110">
        <f t="shared" si="7"/>
        <v>2</v>
      </c>
      <c r="L872" s="108" t="str">
        <f t="shared" si="8"/>
        <v>2023-Q1</v>
      </c>
      <c r="M872" s="111" t="str">
        <f t="shared" si="9"/>
        <v>2023-02</v>
      </c>
      <c r="N872" s="112" t="str">
        <f t="shared" si="10"/>
        <v>2023-H1</v>
      </c>
    </row>
    <row r="873">
      <c r="A873" s="113" t="s">
        <v>610</v>
      </c>
      <c r="J873" s="108" t="str">
        <f t="shared" si="6"/>
        <v>2023</v>
      </c>
      <c r="K873" s="110">
        <f t="shared" si="7"/>
        <v>2</v>
      </c>
      <c r="L873" s="108" t="str">
        <f t="shared" si="8"/>
        <v>2023-Q1</v>
      </c>
      <c r="M873" s="111" t="str">
        <f t="shared" si="9"/>
        <v>2023-02</v>
      </c>
      <c r="N873" s="112" t="str">
        <f t="shared" si="10"/>
        <v>2023-H1</v>
      </c>
    </row>
    <row r="874">
      <c r="A874" s="113" t="s">
        <v>610</v>
      </c>
      <c r="J874" s="108" t="str">
        <f t="shared" si="6"/>
        <v>2023</v>
      </c>
      <c r="K874" s="110">
        <f t="shared" si="7"/>
        <v>2</v>
      </c>
      <c r="L874" s="108" t="str">
        <f t="shared" si="8"/>
        <v>2023-Q1</v>
      </c>
      <c r="M874" s="111" t="str">
        <f t="shared" si="9"/>
        <v>2023-02</v>
      </c>
      <c r="N874" s="112" t="str">
        <f t="shared" si="10"/>
        <v>2023-H1</v>
      </c>
    </row>
    <row r="875">
      <c r="A875" s="113" t="s">
        <v>610</v>
      </c>
      <c r="J875" s="108" t="str">
        <f t="shared" si="6"/>
        <v>2023</v>
      </c>
      <c r="K875" s="110">
        <f t="shared" si="7"/>
        <v>3</v>
      </c>
      <c r="L875" s="108" t="str">
        <f t="shared" si="8"/>
        <v>2023-Q1</v>
      </c>
      <c r="M875" s="111" t="str">
        <f t="shared" si="9"/>
        <v>2023-03</v>
      </c>
      <c r="N875" s="112" t="str">
        <f t="shared" si="10"/>
        <v>2023-H1</v>
      </c>
    </row>
    <row r="876">
      <c r="A876" s="113" t="s">
        <v>610</v>
      </c>
      <c r="J876" s="108" t="str">
        <f t="shared" si="6"/>
        <v>2023</v>
      </c>
      <c r="K876" s="110">
        <f t="shared" si="7"/>
        <v>2</v>
      </c>
      <c r="L876" s="108" t="str">
        <f t="shared" si="8"/>
        <v>2023-Q1</v>
      </c>
      <c r="M876" s="111" t="str">
        <f t="shared" si="9"/>
        <v>2023-02</v>
      </c>
      <c r="N876" s="112" t="str">
        <f t="shared" si="10"/>
        <v>2023-H1</v>
      </c>
    </row>
    <row r="877">
      <c r="A877" s="113" t="s">
        <v>610</v>
      </c>
      <c r="J877" s="108" t="str">
        <f t="shared" si="6"/>
        <v>2023</v>
      </c>
      <c r="K877" s="110">
        <f t="shared" si="7"/>
        <v>2</v>
      </c>
      <c r="L877" s="108" t="str">
        <f t="shared" si="8"/>
        <v>2023-Q1</v>
      </c>
      <c r="M877" s="111" t="str">
        <f t="shared" si="9"/>
        <v>2023-02</v>
      </c>
      <c r="N877" s="112" t="str">
        <f t="shared" si="10"/>
        <v>2023-H1</v>
      </c>
    </row>
    <row r="878">
      <c r="A878" s="113" t="s">
        <v>610</v>
      </c>
      <c r="J878" s="108" t="str">
        <f t="shared" si="6"/>
        <v>2023</v>
      </c>
      <c r="K878" s="110">
        <f t="shared" si="7"/>
        <v>3</v>
      </c>
      <c r="L878" s="108" t="str">
        <f t="shared" si="8"/>
        <v>2023-Q1</v>
      </c>
      <c r="M878" s="111" t="str">
        <f t="shared" si="9"/>
        <v>2023-03</v>
      </c>
      <c r="N878" s="112" t="str">
        <f t="shared" si="10"/>
        <v>2023-H1</v>
      </c>
    </row>
    <row r="879">
      <c r="A879" s="113" t="s">
        <v>610</v>
      </c>
      <c r="J879" s="108" t="str">
        <f t="shared" si="6"/>
        <v>2023</v>
      </c>
      <c r="K879" s="110">
        <f t="shared" si="7"/>
        <v>3</v>
      </c>
      <c r="L879" s="108" t="str">
        <f t="shared" si="8"/>
        <v>2023-Q1</v>
      </c>
      <c r="M879" s="111" t="str">
        <f t="shared" si="9"/>
        <v>2023-03</v>
      </c>
      <c r="N879" s="112" t="str">
        <f t="shared" si="10"/>
        <v>2023-H1</v>
      </c>
    </row>
    <row r="880">
      <c r="A880" s="113" t="s">
        <v>610</v>
      </c>
      <c r="J880" s="108" t="str">
        <f t="shared" si="6"/>
        <v>2023</v>
      </c>
      <c r="K880" s="110">
        <f t="shared" si="7"/>
        <v>3</v>
      </c>
      <c r="L880" s="108" t="str">
        <f t="shared" si="8"/>
        <v>2023-Q1</v>
      </c>
      <c r="M880" s="111" t="str">
        <f t="shared" si="9"/>
        <v>2023-03</v>
      </c>
      <c r="N880" s="112" t="str">
        <f t="shared" si="10"/>
        <v>2023-H1</v>
      </c>
    </row>
    <row r="881">
      <c r="A881" s="113" t="s">
        <v>610</v>
      </c>
      <c r="J881" s="108" t="str">
        <f t="shared" si="6"/>
        <v>2023</v>
      </c>
      <c r="K881" s="110">
        <f t="shared" si="7"/>
        <v>4</v>
      </c>
      <c r="L881" s="108" t="str">
        <f t="shared" si="8"/>
        <v>2023-Q2</v>
      </c>
      <c r="M881" s="111" t="str">
        <f t="shared" si="9"/>
        <v>2023-04</v>
      </c>
      <c r="N881" s="112" t="str">
        <f t="shared" si="10"/>
        <v>2023-H1</v>
      </c>
    </row>
    <row r="882">
      <c r="A882" s="113" t="s">
        <v>610</v>
      </c>
      <c r="J882" s="108" t="str">
        <f t="shared" si="6"/>
        <v>2023</v>
      </c>
      <c r="K882" s="110">
        <f t="shared" si="7"/>
        <v>3</v>
      </c>
      <c r="L882" s="108" t="str">
        <f t="shared" si="8"/>
        <v>2023-Q1</v>
      </c>
      <c r="M882" s="111" t="str">
        <f t="shared" si="9"/>
        <v>2023-03</v>
      </c>
      <c r="N882" s="112" t="str">
        <f t="shared" si="10"/>
        <v>2023-H1</v>
      </c>
    </row>
    <row r="883">
      <c r="A883" s="113" t="s">
        <v>610</v>
      </c>
      <c r="J883" s="108" t="str">
        <f t="shared" si="6"/>
        <v>2023</v>
      </c>
      <c r="K883" s="110">
        <f t="shared" si="7"/>
        <v>3</v>
      </c>
      <c r="L883" s="108" t="str">
        <f t="shared" si="8"/>
        <v>2023-Q1</v>
      </c>
      <c r="M883" s="111" t="str">
        <f t="shared" si="9"/>
        <v>2023-03</v>
      </c>
      <c r="N883" s="112" t="str">
        <f t="shared" si="10"/>
        <v>2023-H1</v>
      </c>
    </row>
    <row r="884">
      <c r="A884" s="113" t="s">
        <v>610</v>
      </c>
      <c r="J884" s="108" t="str">
        <f t="shared" si="6"/>
        <v>2023</v>
      </c>
      <c r="K884" s="110">
        <f t="shared" si="7"/>
        <v>3</v>
      </c>
      <c r="L884" s="108" t="str">
        <f t="shared" si="8"/>
        <v>2023-Q1</v>
      </c>
      <c r="M884" s="111" t="str">
        <f t="shared" si="9"/>
        <v>2023-03</v>
      </c>
      <c r="N884" s="112" t="str">
        <f t="shared" si="10"/>
        <v>2023-H1</v>
      </c>
    </row>
    <row r="885">
      <c r="A885" s="113" t="s">
        <v>610</v>
      </c>
      <c r="J885" s="108" t="str">
        <f t="shared" si="6"/>
        <v>2023</v>
      </c>
      <c r="K885" s="110">
        <f t="shared" si="7"/>
        <v>3</v>
      </c>
      <c r="L885" s="108" t="str">
        <f t="shared" si="8"/>
        <v>2023-Q1</v>
      </c>
      <c r="M885" s="111" t="str">
        <f t="shared" si="9"/>
        <v>2023-03</v>
      </c>
      <c r="N885" s="112" t="str">
        <f t="shared" si="10"/>
        <v>2023-H1</v>
      </c>
    </row>
    <row r="886">
      <c r="A886" s="113" t="s">
        <v>610</v>
      </c>
      <c r="J886" s="108" t="str">
        <f t="shared" si="6"/>
        <v>2023</v>
      </c>
      <c r="K886" s="110">
        <f t="shared" si="7"/>
        <v>3</v>
      </c>
      <c r="L886" s="108" t="str">
        <f t="shared" si="8"/>
        <v>2023-Q1</v>
      </c>
      <c r="M886" s="111" t="str">
        <f t="shared" si="9"/>
        <v>2023-03</v>
      </c>
      <c r="N886" s="112" t="str">
        <f t="shared" si="10"/>
        <v>2023-H1</v>
      </c>
    </row>
    <row r="887">
      <c r="A887" s="113" t="s">
        <v>610</v>
      </c>
      <c r="J887" s="108" t="str">
        <f t="shared" si="6"/>
        <v>2023</v>
      </c>
      <c r="K887" s="110">
        <f t="shared" si="7"/>
        <v>3</v>
      </c>
      <c r="L887" s="108" t="str">
        <f t="shared" si="8"/>
        <v>2023-Q1</v>
      </c>
      <c r="M887" s="111" t="str">
        <f t="shared" si="9"/>
        <v>2023-03</v>
      </c>
      <c r="N887" s="112" t="str">
        <f t="shared" si="10"/>
        <v>2023-H1</v>
      </c>
    </row>
    <row r="888">
      <c r="A888" s="113" t="s">
        <v>610</v>
      </c>
      <c r="J888" s="108" t="str">
        <f t="shared" si="6"/>
        <v>2023</v>
      </c>
      <c r="K888" s="110">
        <f t="shared" si="7"/>
        <v>3</v>
      </c>
      <c r="L888" s="108" t="str">
        <f t="shared" si="8"/>
        <v>2023-Q1</v>
      </c>
      <c r="M888" s="111" t="str">
        <f t="shared" si="9"/>
        <v>2023-03</v>
      </c>
      <c r="N888" s="112" t="str">
        <f t="shared" si="10"/>
        <v>2023-H1</v>
      </c>
    </row>
    <row r="889">
      <c r="A889" s="113" t="s">
        <v>610</v>
      </c>
      <c r="J889" s="108" t="str">
        <f t="shared" si="6"/>
        <v>2023</v>
      </c>
      <c r="K889" s="110">
        <f t="shared" si="7"/>
        <v>3</v>
      </c>
      <c r="L889" s="108" t="str">
        <f t="shared" si="8"/>
        <v>2023-Q1</v>
      </c>
      <c r="M889" s="111" t="str">
        <f t="shared" si="9"/>
        <v>2023-03</v>
      </c>
      <c r="N889" s="112" t="str">
        <f t="shared" si="10"/>
        <v>2023-H1</v>
      </c>
    </row>
    <row r="890">
      <c r="A890" s="113" t="s">
        <v>610</v>
      </c>
      <c r="J890" s="108" t="str">
        <f t="shared" si="6"/>
        <v>2023</v>
      </c>
      <c r="K890" s="110">
        <f t="shared" si="7"/>
        <v>3</v>
      </c>
      <c r="L890" s="108" t="str">
        <f t="shared" si="8"/>
        <v>2023-Q1</v>
      </c>
      <c r="M890" s="111" t="str">
        <f t="shared" si="9"/>
        <v>2023-03</v>
      </c>
      <c r="N890" s="112" t="str">
        <f t="shared" si="10"/>
        <v>2023-H1</v>
      </c>
    </row>
    <row r="891">
      <c r="A891" s="113" t="s">
        <v>610</v>
      </c>
      <c r="J891" s="108" t="str">
        <f t="shared" si="6"/>
        <v>2023</v>
      </c>
      <c r="K891" s="110">
        <f t="shared" si="7"/>
        <v>3</v>
      </c>
      <c r="L891" s="108" t="str">
        <f t="shared" si="8"/>
        <v>2023-Q1</v>
      </c>
      <c r="M891" s="111" t="str">
        <f t="shared" si="9"/>
        <v>2023-03</v>
      </c>
      <c r="N891" s="112" t="str">
        <f t="shared" si="10"/>
        <v>2023-H1</v>
      </c>
    </row>
    <row r="892">
      <c r="A892" s="113" t="s">
        <v>610</v>
      </c>
      <c r="J892" s="108" t="str">
        <f t="shared" si="6"/>
        <v>2023</v>
      </c>
      <c r="K892" s="110">
        <f t="shared" si="7"/>
        <v>3</v>
      </c>
      <c r="L892" s="108" t="str">
        <f t="shared" si="8"/>
        <v>2023-Q1</v>
      </c>
      <c r="M892" s="111" t="str">
        <f t="shared" si="9"/>
        <v>2023-03</v>
      </c>
      <c r="N892" s="112" t="str">
        <f t="shared" si="10"/>
        <v>2023-H1</v>
      </c>
    </row>
    <row r="893">
      <c r="A893" s="113" t="s">
        <v>610</v>
      </c>
      <c r="J893" s="108" t="str">
        <f t="shared" si="6"/>
        <v>2023</v>
      </c>
      <c r="K893" s="110">
        <f t="shared" si="7"/>
        <v>3</v>
      </c>
      <c r="L893" s="108" t="str">
        <f t="shared" si="8"/>
        <v>2023-Q1</v>
      </c>
      <c r="M893" s="111" t="str">
        <f t="shared" si="9"/>
        <v>2023-03</v>
      </c>
      <c r="N893" s="112" t="str">
        <f t="shared" si="10"/>
        <v>2023-H1</v>
      </c>
    </row>
    <row r="894">
      <c r="A894" s="113" t="s">
        <v>610</v>
      </c>
      <c r="J894" s="108" t="str">
        <f t="shared" si="6"/>
        <v>2023</v>
      </c>
      <c r="K894" s="110">
        <f t="shared" si="7"/>
        <v>3</v>
      </c>
      <c r="L894" s="108" t="str">
        <f t="shared" si="8"/>
        <v>2023-Q1</v>
      </c>
      <c r="M894" s="111" t="str">
        <f t="shared" si="9"/>
        <v>2023-03</v>
      </c>
      <c r="N894" s="112" t="str">
        <f t="shared" si="10"/>
        <v>2023-H1</v>
      </c>
    </row>
    <row r="895">
      <c r="A895" s="113" t="s">
        <v>610</v>
      </c>
      <c r="J895" s="108" t="str">
        <f t="shared" si="6"/>
        <v>2023</v>
      </c>
      <c r="K895" s="110">
        <f t="shared" si="7"/>
        <v>3</v>
      </c>
      <c r="L895" s="108" t="str">
        <f t="shared" si="8"/>
        <v>2023-Q1</v>
      </c>
      <c r="M895" s="111" t="str">
        <f t="shared" si="9"/>
        <v>2023-03</v>
      </c>
      <c r="N895" s="112" t="str">
        <f t="shared" si="10"/>
        <v>2023-H1</v>
      </c>
    </row>
    <row r="896">
      <c r="A896" s="113" t="s">
        <v>610</v>
      </c>
      <c r="J896" s="108" t="str">
        <f t="shared" si="6"/>
        <v>2023</v>
      </c>
      <c r="K896" s="110">
        <f t="shared" si="7"/>
        <v>3</v>
      </c>
      <c r="L896" s="108" t="str">
        <f t="shared" si="8"/>
        <v>2023-Q1</v>
      </c>
      <c r="M896" s="111" t="str">
        <f t="shared" si="9"/>
        <v>2023-03</v>
      </c>
      <c r="N896" s="112" t="str">
        <f t="shared" si="10"/>
        <v>2023-H1</v>
      </c>
    </row>
    <row r="897">
      <c r="A897" s="113" t="s">
        <v>610</v>
      </c>
      <c r="J897" s="108" t="str">
        <f t="shared" si="6"/>
        <v>2023</v>
      </c>
      <c r="K897" s="110">
        <f t="shared" si="7"/>
        <v>3</v>
      </c>
      <c r="L897" s="108" t="str">
        <f t="shared" si="8"/>
        <v>2023-Q1</v>
      </c>
      <c r="M897" s="111" t="str">
        <f t="shared" si="9"/>
        <v>2023-03</v>
      </c>
      <c r="N897" s="112" t="str">
        <f t="shared" si="10"/>
        <v>2023-H1</v>
      </c>
    </row>
    <row r="898">
      <c r="A898" s="113" t="s">
        <v>610</v>
      </c>
      <c r="J898" s="108" t="str">
        <f t="shared" si="6"/>
        <v>2023</v>
      </c>
      <c r="K898" s="110">
        <f t="shared" si="7"/>
        <v>3</v>
      </c>
      <c r="L898" s="108" t="str">
        <f t="shared" si="8"/>
        <v>2023-Q1</v>
      </c>
      <c r="M898" s="111" t="str">
        <f t="shared" si="9"/>
        <v>2023-03</v>
      </c>
      <c r="N898" s="112" t="str">
        <f t="shared" si="10"/>
        <v>2023-H1</v>
      </c>
    </row>
    <row r="899">
      <c r="A899" s="113" t="s">
        <v>610</v>
      </c>
      <c r="J899" s="108" t="str">
        <f t="shared" si="6"/>
        <v>2023</v>
      </c>
      <c r="K899" s="110">
        <f t="shared" si="7"/>
        <v>3</v>
      </c>
      <c r="L899" s="108" t="str">
        <f t="shared" si="8"/>
        <v>2023-Q1</v>
      </c>
      <c r="M899" s="111" t="str">
        <f t="shared" si="9"/>
        <v>2023-03</v>
      </c>
      <c r="N899" s="112" t="str">
        <f t="shared" si="10"/>
        <v>2023-H1</v>
      </c>
    </row>
    <row r="900">
      <c r="A900" s="113" t="s">
        <v>610</v>
      </c>
      <c r="J900" s="108" t="str">
        <f t="shared" si="6"/>
        <v>2023</v>
      </c>
      <c r="K900" s="110">
        <f t="shared" si="7"/>
        <v>3</v>
      </c>
      <c r="L900" s="108" t="str">
        <f t="shared" si="8"/>
        <v>2023-Q1</v>
      </c>
      <c r="M900" s="111" t="str">
        <f t="shared" si="9"/>
        <v>2023-03</v>
      </c>
      <c r="N900" s="112" t="str">
        <f t="shared" si="10"/>
        <v>2023-H1</v>
      </c>
    </row>
    <row r="901">
      <c r="A901" s="113" t="s">
        <v>610</v>
      </c>
      <c r="J901" s="108" t="str">
        <f t="shared" si="6"/>
        <v>2023</v>
      </c>
      <c r="K901" s="110">
        <f t="shared" si="7"/>
        <v>4</v>
      </c>
      <c r="L901" s="108" t="str">
        <f t="shared" si="8"/>
        <v>2023-Q2</v>
      </c>
      <c r="M901" s="111" t="str">
        <f t="shared" si="9"/>
        <v>2023-04</v>
      </c>
      <c r="N901" s="112" t="str">
        <f t="shared" si="10"/>
        <v>2023-H1</v>
      </c>
    </row>
    <row r="902">
      <c r="A902" s="113" t="s">
        <v>610</v>
      </c>
      <c r="J902" s="108" t="str">
        <f t="shared" si="6"/>
        <v>2023</v>
      </c>
      <c r="K902" s="110">
        <f t="shared" si="7"/>
        <v>3</v>
      </c>
      <c r="L902" s="108" t="str">
        <f t="shared" si="8"/>
        <v>2023-Q1</v>
      </c>
      <c r="M902" s="111" t="str">
        <f t="shared" si="9"/>
        <v>2023-03</v>
      </c>
      <c r="N902" s="112" t="str">
        <f t="shared" si="10"/>
        <v>2023-H1</v>
      </c>
    </row>
    <row r="903">
      <c r="A903" s="113" t="s">
        <v>610</v>
      </c>
      <c r="J903" s="108" t="str">
        <f t="shared" si="6"/>
        <v>2023</v>
      </c>
      <c r="K903" s="110">
        <f t="shared" si="7"/>
        <v>3</v>
      </c>
      <c r="L903" s="108" t="str">
        <f t="shared" si="8"/>
        <v>2023-Q1</v>
      </c>
      <c r="M903" s="111" t="str">
        <f t="shared" si="9"/>
        <v>2023-03</v>
      </c>
      <c r="N903" s="112" t="str">
        <f t="shared" si="10"/>
        <v>2023-H1</v>
      </c>
    </row>
    <row r="904">
      <c r="A904" s="113" t="s">
        <v>610</v>
      </c>
      <c r="J904" s="108" t="str">
        <f t="shared" si="6"/>
        <v>2023</v>
      </c>
      <c r="K904" s="110">
        <f t="shared" si="7"/>
        <v>3</v>
      </c>
      <c r="L904" s="108" t="str">
        <f t="shared" si="8"/>
        <v>2023-Q1</v>
      </c>
      <c r="M904" s="111" t="str">
        <f t="shared" si="9"/>
        <v>2023-03</v>
      </c>
      <c r="N904" s="112" t="str">
        <f t="shared" si="10"/>
        <v>2023-H1</v>
      </c>
    </row>
    <row r="905">
      <c r="A905" s="113" t="s">
        <v>610</v>
      </c>
      <c r="J905" s="108" t="str">
        <f t="shared" si="6"/>
        <v>2023</v>
      </c>
      <c r="K905" s="110">
        <f t="shared" si="7"/>
        <v>3</v>
      </c>
      <c r="L905" s="108" t="str">
        <f t="shared" si="8"/>
        <v>2023-Q1</v>
      </c>
      <c r="M905" s="111" t="str">
        <f t="shared" si="9"/>
        <v>2023-03</v>
      </c>
      <c r="N905" s="112" t="str">
        <f t="shared" si="10"/>
        <v>2023-H1</v>
      </c>
    </row>
    <row r="906">
      <c r="A906" s="113" t="s">
        <v>610</v>
      </c>
      <c r="J906" s="108" t="str">
        <f t="shared" si="6"/>
        <v>2023</v>
      </c>
      <c r="K906" s="110">
        <f t="shared" si="7"/>
        <v>3</v>
      </c>
      <c r="L906" s="108" t="str">
        <f t="shared" si="8"/>
        <v>2023-Q1</v>
      </c>
      <c r="M906" s="111" t="str">
        <f t="shared" si="9"/>
        <v>2023-03</v>
      </c>
      <c r="N906" s="112" t="str">
        <f t="shared" si="10"/>
        <v>2023-H1</v>
      </c>
    </row>
    <row r="907">
      <c r="A907" s="113" t="s">
        <v>610</v>
      </c>
      <c r="J907" s="108" t="str">
        <f t="shared" si="6"/>
        <v>2023</v>
      </c>
      <c r="K907" s="110">
        <f t="shared" si="7"/>
        <v>3</v>
      </c>
      <c r="L907" s="108" t="str">
        <f t="shared" si="8"/>
        <v>2023-Q1</v>
      </c>
      <c r="M907" s="111" t="str">
        <f t="shared" si="9"/>
        <v>2023-03</v>
      </c>
      <c r="N907" s="112" t="str">
        <f t="shared" si="10"/>
        <v>2023-H1</v>
      </c>
    </row>
    <row r="908">
      <c r="A908" s="113" t="s">
        <v>610</v>
      </c>
      <c r="J908" s="108" t="str">
        <f t="shared" si="6"/>
        <v>2023</v>
      </c>
      <c r="K908" s="110">
        <f t="shared" si="7"/>
        <v>3</v>
      </c>
      <c r="L908" s="108" t="str">
        <f t="shared" si="8"/>
        <v>2023-Q1</v>
      </c>
      <c r="M908" s="111" t="str">
        <f t="shared" si="9"/>
        <v>2023-03</v>
      </c>
      <c r="N908" s="112" t="str">
        <f t="shared" si="10"/>
        <v>2023-H1</v>
      </c>
    </row>
    <row r="909">
      <c r="A909" s="113" t="s">
        <v>610</v>
      </c>
      <c r="J909" s="108" t="str">
        <f t="shared" si="6"/>
        <v>2023</v>
      </c>
      <c r="K909" s="110">
        <f t="shared" si="7"/>
        <v>4</v>
      </c>
      <c r="L909" s="108" t="str">
        <f t="shared" si="8"/>
        <v>2023-Q2</v>
      </c>
      <c r="M909" s="111" t="str">
        <f t="shared" si="9"/>
        <v>2023-04</v>
      </c>
      <c r="N909" s="112" t="str">
        <f t="shared" si="10"/>
        <v>2023-H1</v>
      </c>
    </row>
    <row r="910">
      <c r="A910" s="113" t="s">
        <v>610</v>
      </c>
      <c r="J910" s="108" t="str">
        <f t="shared" si="6"/>
        <v>2023</v>
      </c>
      <c r="K910" s="110">
        <f t="shared" si="7"/>
        <v>4</v>
      </c>
      <c r="L910" s="108" t="str">
        <f t="shared" si="8"/>
        <v>2023-Q2</v>
      </c>
      <c r="M910" s="111" t="str">
        <f t="shared" si="9"/>
        <v>2023-04</v>
      </c>
      <c r="N910" s="112" t="str">
        <f t="shared" si="10"/>
        <v>2023-H1</v>
      </c>
    </row>
    <row r="911">
      <c r="A911" s="113" t="s">
        <v>610</v>
      </c>
      <c r="J911" s="108" t="str">
        <f t="shared" si="6"/>
        <v>2023</v>
      </c>
      <c r="K911" s="110">
        <f t="shared" si="7"/>
        <v>4</v>
      </c>
      <c r="L911" s="108" t="str">
        <f t="shared" si="8"/>
        <v>2023-Q2</v>
      </c>
      <c r="M911" s="111" t="str">
        <f t="shared" si="9"/>
        <v>2023-04</v>
      </c>
      <c r="N911" s="112" t="str">
        <f t="shared" si="10"/>
        <v>2023-H1</v>
      </c>
    </row>
    <row r="912">
      <c r="A912" s="113" t="s">
        <v>610</v>
      </c>
      <c r="J912" s="108" t="str">
        <f t="shared" si="6"/>
        <v>2023</v>
      </c>
      <c r="K912" s="110">
        <f t="shared" si="7"/>
        <v>4</v>
      </c>
      <c r="L912" s="108" t="str">
        <f t="shared" si="8"/>
        <v>2023-Q2</v>
      </c>
      <c r="M912" s="111" t="str">
        <f t="shared" si="9"/>
        <v>2023-04</v>
      </c>
      <c r="N912" s="112" t="str">
        <f t="shared" si="10"/>
        <v>2023-H1</v>
      </c>
    </row>
    <row r="913">
      <c r="A913" s="113" t="s">
        <v>610</v>
      </c>
      <c r="J913" s="108" t="str">
        <f t="shared" si="6"/>
        <v>2023</v>
      </c>
      <c r="K913" s="110">
        <f t="shared" si="7"/>
        <v>4</v>
      </c>
      <c r="L913" s="108" t="str">
        <f t="shared" si="8"/>
        <v>2023-Q2</v>
      </c>
      <c r="M913" s="111" t="str">
        <f t="shared" si="9"/>
        <v>2023-04</v>
      </c>
      <c r="N913" s="112" t="str">
        <f t="shared" si="10"/>
        <v>2023-H1</v>
      </c>
    </row>
    <row r="914">
      <c r="A914" s="113" t="s">
        <v>610</v>
      </c>
      <c r="J914" s="108" t="str">
        <f t="shared" si="6"/>
        <v>2023</v>
      </c>
      <c r="K914" s="110">
        <f t="shared" si="7"/>
        <v>4</v>
      </c>
      <c r="L914" s="108" t="str">
        <f t="shared" si="8"/>
        <v>2023-Q2</v>
      </c>
      <c r="M914" s="111" t="str">
        <f t="shared" si="9"/>
        <v>2023-04</v>
      </c>
      <c r="N914" s="112" t="str">
        <f t="shared" si="10"/>
        <v>2023-H1</v>
      </c>
    </row>
    <row r="915">
      <c r="A915" s="113" t="s">
        <v>610</v>
      </c>
      <c r="J915" s="108" t="str">
        <f t="shared" si="6"/>
        <v>2023</v>
      </c>
      <c r="K915" s="110">
        <f t="shared" si="7"/>
        <v>5</v>
      </c>
      <c r="L915" s="108" t="str">
        <f t="shared" si="8"/>
        <v>2023-Q2</v>
      </c>
      <c r="M915" s="111" t="str">
        <f t="shared" si="9"/>
        <v>2023-05</v>
      </c>
      <c r="N915" s="112" t="str">
        <f t="shared" si="10"/>
        <v>2023-H1</v>
      </c>
    </row>
    <row r="916">
      <c r="A916" s="113" t="s">
        <v>610</v>
      </c>
      <c r="J916" s="108" t="str">
        <f t="shared" si="6"/>
        <v>2023</v>
      </c>
      <c r="K916" s="110">
        <f t="shared" si="7"/>
        <v>5</v>
      </c>
      <c r="L916" s="108" t="str">
        <f t="shared" si="8"/>
        <v>2023-Q2</v>
      </c>
      <c r="M916" s="111" t="str">
        <f t="shared" si="9"/>
        <v>2023-05</v>
      </c>
      <c r="N916" s="112" t="str">
        <f t="shared" si="10"/>
        <v>2023-H1</v>
      </c>
    </row>
    <row r="917">
      <c r="A917" s="113" t="s">
        <v>610</v>
      </c>
      <c r="J917" s="108" t="str">
        <f t="shared" si="6"/>
        <v>2023</v>
      </c>
      <c r="K917" s="110">
        <f t="shared" si="7"/>
        <v>7</v>
      </c>
      <c r="L917" s="108" t="str">
        <f t="shared" si="8"/>
        <v>2023-Q3</v>
      </c>
      <c r="M917" s="111" t="str">
        <f t="shared" si="9"/>
        <v>2023-07</v>
      </c>
      <c r="N917" s="112" t="str">
        <f t="shared" si="10"/>
        <v>2023-H2</v>
      </c>
    </row>
    <row r="918">
      <c r="A918" s="113" t="s">
        <v>610</v>
      </c>
      <c r="J918" s="108" t="str">
        <f t="shared" si="6"/>
        <v>2023</v>
      </c>
      <c r="K918" s="110">
        <f t="shared" si="7"/>
        <v>4</v>
      </c>
      <c r="L918" s="108" t="str">
        <f t="shared" si="8"/>
        <v>2023-Q2</v>
      </c>
      <c r="M918" s="111" t="str">
        <f t="shared" si="9"/>
        <v>2023-04</v>
      </c>
      <c r="N918" s="112" t="str">
        <f t="shared" si="10"/>
        <v>2023-H1</v>
      </c>
    </row>
    <row r="919">
      <c r="A919" s="113" t="s">
        <v>610</v>
      </c>
      <c r="J919" s="108" t="str">
        <f t="shared" si="6"/>
        <v>2023</v>
      </c>
      <c r="K919" s="110">
        <f t="shared" si="7"/>
        <v>4</v>
      </c>
      <c r="L919" s="108" t="str">
        <f t="shared" si="8"/>
        <v>2023-Q2</v>
      </c>
      <c r="M919" s="111" t="str">
        <f t="shared" si="9"/>
        <v>2023-04</v>
      </c>
      <c r="N919" s="112" t="str">
        <f t="shared" si="10"/>
        <v>2023-H1</v>
      </c>
    </row>
    <row r="920">
      <c r="A920" s="113" t="s">
        <v>610</v>
      </c>
      <c r="J920" s="108" t="str">
        <f t="shared" si="6"/>
        <v>2023</v>
      </c>
      <c r="K920" s="110">
        <f t="shared" si="7"/>
        <v>4</v>
      </c>
      <c r="L920" s="108" t="str">
        <f t="shared" si="8"/>
        <v>2023-Q2</v>
      </c>
      <c r="M920" s="111" t="str">
        <f t="shared" si="9"/>
        <v>2023-04</v>
      </c>
      <c r="N920" s="112" t="str">
        <f t="shared" si="10"/>
        <v>2023-H1</v>
      </c>
    </row>
    <row r="921">
      <c r="A921" s="113" t="s">
        <v>610</v>
      </c>
      <c r="J921" s="108" t="str">
        <f t="shared" si="6"/>
        <v>2023</v>
      </c>
      <c r="K921" s="110">
        <f t="shared" si="7"/>
        <v>4</v>
      </c>
      <c r="L921" s="108" t="str">
        <f t="shared" si="8"/>
        <v>2023-Q2</v>
      </c>
      <c r="M921" s="111" t="str">
        <f t="shared" si="9"/>
        <v>2023-04</v>
      </c>
      <c r="N921" s="112" t="str">
        <f t="shared" si="10"/>
        <v>2023-H1</v>
      </c>
    </row>
    <row r="922">
      <c r="A922" s="113" t="s">
        <v>610</v>
      </c>
      <c r="J922" s="108" t="str">
        <f t="shared" si="6"/>
        <v>2023</v>
      </c>
      <c r="K922" s="110">
        <f t="shared" si="7"/>
        <v>4</v>
      </c>
      <c r="L922" s="108" t="str">
        <f t="shared" si="8"/>
        <v>2023-Q2</v>
      </c>
      <c r="M922" s="111" t="str">
        <f t="shared" si="9"/>
        <v>2023-04</v>
      </c>
      <c r="N922" s="112" t="str">
        <f t="shared" si="10"/>
        <v>2023-H1</v>
      </c>
    </row>
    <row r="923">
      <c r="A923" s="113" t="s">
        <v>610</v>
      </c>
      <c r="J923" s="108" t="str">
        <f t="shared" si="6"/>
        <v>2023</v>
      </c>
      <c r="K923" s="110">
        <f t="shared" si="7"/>
        <v>4</v>
      </c>
      <c r="L923" s="108" t="str">
        <f t="shared" si="8"/>
        <v>2023-Q2</v>
      </c>
      <c r="M923" s="111" t="str">
        <f t="shared" si="9"/>
        <v>2023-04</v>
      </c>
      <c r="N923" s="112" t="str">
        <f t="shared" si="10"/>
        <v>2023-H1</v>
      </c>
    </row>
    <row r="924">
      <c r="A924" s="113" t="s">
        <v>610</v>
      </c>
      <c r="J924" s="108" t="str">
        <f t="shared" si="6"/>
        <v>2023</v>
      </c>
      <c r="K924" s="110">
        <f t="shared" si="7"/>
        <v>4</v>
      </c>
      <c r="L924" s="108" t="str">
        <f t="shared" si="8"/>
        <v>2023-Q2</v>
      </c>
      <c r="M924" s="111" t="str">
        <f t="shared" si="9"/>
        <v>2023-04</v>
      </c>
      <c r="N924" s="112" t="str">
        <f t="shared" si="10"/>
        <v>2023-H1</v>
      </c>
    </row>
    <row r="925">
      <c r="A925" s="113" t="s">
        <v>610</v>
      </c>
      <c r="J925" s="108" t="str">
        <f t="shared" si="6"/>
        <v>2023</v>
      </c>
      <c r="K925" s="110">
        <f t="shared" si="7"/>
        <v>4</v>
      </c>
      <c r="L925" s="108" t="str">
        <f t="shared" si="8"/>
        <v>2023-Q2</v>
      </c>
      <c r="M925" s="111" t="str">
        <f t="shared" si="9"/>
        <v>2023-04</v>
      </c>
      <c r="N925" s="112" t="str">
        <f t="shared" si="10"/>
        <v>2023-H1</v>
      </c>
    </row>
    <row r="926">
      <c r="A926" s="113" t="s">
        <v>610</v>
      </c>
      <c r="J926" s="108" t="str">
        <f t="shared" si="6"/>
        <v>2023</v>
      </c>
      <c r="K926" s="110">
        <f t="shared" si="7"/>
        <v>4</v>
      </c>
      <c r="L926" s="108" t="str">
        <f t="shared" si="8"/>
        <v>2023-Q2</v>
      </c>
      <c r="M926" s="111" t="str">
        <f t="shared" si="9"/>
        <v>2023-04</v>
      </c>
      <c r="N926" s="112" t="str">
        <f t="shared" si="10"/>
        <v>2023-H1</v>
      </c>
    </row>
    <row r="927">
      <c r="A927" s="113" t="s">
        <v>610</v>
      </c>
      <c r="J927" s="108" t="str">
        <f t="shared" si="6"/>
        <v>2023</v>
      </c>
      <c r="K927" s="110">
        <f t="shared" si="7"/>
        <v>4</v>
      </c>
      <c r="L927" s="108" t="str">
        <f t="shared" si="8"/>
        <v>2023-Q2</v>
      </c>
      <c r="M927" s="111" t="str">
        <f t="shared" si="9"/>
        <v>2023-04</v>
      </c>
      <c r="N927" s="112" t="str">
        <f t="shared" si="10"/>
        <v>2023-H1</v>
      </c>
    </row>
    <row r="928">
      <c r="A928" s="113" t="s">
        <v>610</v>
      </c>
      <c r="J928" s="108" t="str">
        <f t="shared" si="6"/>
        <v>2023</v>
      </c>
      <c r="K928" s="110">
        <f t="shared" si="7"/>
        <v>6</v>
      </c>
      <c r="L928" s="108" t="str">
        <f t="shared" si="8"/>
        <v>2023-Q2</v>
      </c>
      <c r="M928" s="111" t="str">
        <f t="shared" si="9"/>
        <v>2023-06</v>
      </c>
      <c r="N928" s="112" t="str">
        <f t="shared" si="10"/>
        <v>2023-H1</v>
      </c>
    </row>
    <row r="929">
      <c r="A929" s="113" t="s">
        <v>610</v>
      </c>
      <c r="J929" s="108" t="str">
        <f t="shared" si="6"/>
        <v>2023</v>
      </c>
      <c r="K929" s="110">
        <f t="shared" si="7"/>
        <v>4</v>
      </c>
      <c r="L929" s="108" t="str">
        <f t="shared" si="8"/>
        <v>2023-Q2</v>
      </c>
      <c r="M929" s="111" t="str">
        <f t="shared" si="9"/>
        <v>2023-04</v>
      </c>
      <c r="N929" s="112" t="str">
        <f t="shared" si="10"/>
        <v>2023-H1</v>
      </c>
    </row>
    <row r="930">
      <c r="A930" s="113" t="s">
        <v>610</v>
      </c>
      <c r="J930" s="108" t="str">
        <f t="shared" si="6"/>
        <v>2023</v>
      </c>
      <c r="K930" s="110">
        <f t="shared" si="7"/>
        <v>4</v>
      </c>
      <c r="L930" s="108" t="str">
        <f t="shared" si="8"/>
        <v>2023-Q2</v>
      </c>
      <c r="M930" s="111" t="str">
        <f t="shared" si="9"/>
        <v>2023-04</v>
      </c>
      <c r="N930" s="112" t="str">
        <f t="shared" si="10"/>
        <v>2023-H1</v>
      </c>
    </row>
    <row r="931">
      <c r="A931" s="113" t="s">
        <v>610</v>
      </c>
      <c r="J931" s="108" t="str">
        <f t="shared" si="6"/>
        <v>2023</v>
      </c>
      <c r="K931" s="110">
        <f t="shared" si="7"/>
        <v>4</v>
      </c>
      <c r="L931" s="108" t="str">
        <f t="shared" si="8"/>
        <v>2023-Q2</v>
      </c>
      <c r="M931" s="111" t="str">
        <f t="shared" si="9"/>
        <v>2023-04</v>
      </c>
      <c r="N931" s="112" t="str">
        <f t="shared" si="10"/>
        <v>2023-H1</v>
      </c>
    </row>
    <row r="932">
      <c r="A932" s="113" t="s">
        <v>610</v>
      </c>
      <c r="J932" s="108" t="str">
        <f t="shared" si="6"/>
        <v>2023</v>
      </c>
      <c r="K932" s="110">
        <f t="shared" si="7"/>
        <v>4</v>
      </c>
      <c r="L932" s="108" t="str">
        <f t="shared" si="8"/>
        <v>2023-Q2</v>
      </c>
      <c r="M932" s="111" t="str">
        <f t="shared" si="9"/>
        <v>2023-04</v>
      </c>
      <c r="N932" s="112" t="str">
        <f t="shared" si="10"/>
        <v>2023-H1</v>
      </c>
    </row>
    <row r="933">
      <c r="A933" s="113" t="s">
        <v>610</v>
      </c>
      <c r="J933" s="108" t="str">
        <f t="shared" si="6"/>
        <v>2023</v>
      </c>
      <c r="K933" s="110">
        <f t="shared" si="7"/>
        <v>4</v>
      </c>
      <c r="L933" s="108" t="str">
        <f t="shared" si="8"/>
        <v>2023-Q2</v>
      </c>
      <c r="M933" s="111" t="str">
        <f t="shared" si="9"/>
        <v>2023-04</v>
      </c>
      <c r="N933" s="112" t="str">
        <f t="shared" si="10"/>
        <v>2023-H1</v>
      </c>
    </row>
    <row r="934">
      <c r="A934" s="113" t="s">
        <v>610</v>
      </c>
      <c r="J934" s="108" t="str">
        <f t="shared" si="6"/>
        <v>2023</v>
      </c>
      <c r="K934" s="110">
        <f t="shared" si="7"/>
        <v>4</v>
      </c>
      <c r="L934" s="108" t="str">
        <f t="shared" si="8"/>
        <v>2023-Q2</v>
      </c>
      <c r="M934" s="111" t="str">
        <f t="shared" si="9"/>
        <v>2023-04</v>
      </c>
      <c r="N934" s="112" t="str">
        <f t="shared" si="10"/>
        <v>2023-H1</v>
      </c>
    </row>
    <row r="935">
      <c r="A935" s="113" t="s">
        <v>610</v>
      </c>
      <c r="J935" s="108" t="str">
        <f t="shared" si="6"/>
        <v>2023</v>
      </c>
      <c r="K935" s="110">
        <f t="shared" si="7"/>
        <v>4</v>
      </c>
      <c r="L935" s="108" t="str">
        <f t="shared" si="8"/>
        <v>2023-Q2</v>
      </c>
      <c r="M935" s="111" t="str">
        <f t="shared" si="9"/>
        <v>2023-04</v>
      </c>
      <c r="N935" s="112" t="str">
        <f t="shared" si="10"/>
        <v>2023-H1</v>
      </c>
    </row>
    <row r="936">
      <c r="A936" s="113" t="s">
        <v>610</v>
      </c>
      <c r="J936" s="108" t="str">
        <f t="shared" si="6"/>
        <v>2023</v>
      </c>
      <c r="K936" s="110">
        <f t="shared" si="7"/>
        <v>4</v>
      </c>
      <c r="L936" s="108" t="str">
        <f t="shared" si="8"/>
        <v>2023-Q2</v>
      </c>
      <c r="M936" s="111" t="str">
        <f t="shared" si="9"/>
        <v>2023-04</v>
      </c>
      <c r="N936" s="112" t="str">
        <f t="shared" si="10"/>
        <v>2023-H1</v>
      </c>
    </row>
    <row r="937">
      <c r="A937" s="113" t="s">
        <v>610</v>
      </c>
      <c r="J937" s="108" t="str">
        <f t="shared" si="6"/>
        <v>2023</v>
      </c>
      <c r="K937" s="110">
        <f t="shared" si="7"/>
        <v>4</v>
      </c>
      <c r="L937" s="108" t="str">
        <f t="shared" si="8"/>
        <v>2023-Q2</v>
      </c>
      <c r="M937" s="111" t="str">
        <f t="shared" si="9"/>
        <v>2023-04</v>
      </c>
      <c r="N937" s="112" t="str">
        <f t="shared" si="10"/>
        <v>2023-H1</v>
      </c>
    </row>
    <row r="938">
      <c r="A938" s="113" t="s">
        <v>610</v>
      </c>
      <c r="J938" s="108" t="str">
        <f t="shared" si="6"/>
        <v>2023</v>
      </c>
      <c r="K938" s="110">
        <f t="shared" si="7"/>
        <v>4</v>
      </c>
      <c r="L938" s="108" t="str">
        <f t="shared" si="8"/>
        <v>2023-Q2</v>
      </c>
      <c r="M938" s="111" t="str">
        <f t="shared" si="9"/>
        <v>2023-04</v>
      </c>
      <c r="N938" s="112" t="str">
        <f t="shared" si="10"/>
        <v>2023-H1</v>
      </c>
    </row>
    <row r="939">
      <c r="A939" s="113" t="s">
        <v>610</v>
      </c>
      <c r="J939" s="108" t="str">
        <f t="shared" si="6"/>
        <v>2023</v>
      </c>
      <c r="K939" s="110">
        <f t="shared" si="7"/>
        <v>11</v>
      </c>
      <c r="L939" s="108" t="str">
        <f t="shared" si="8"/>
        <v>2023-Q4</v>
      </c>
      <c r="M939" s="111" t="str">
        <f t="shared" si="9"/>
        <v>2023-11</v>
      </c>
      <c r="N939" s="112" t="str">
        <f t="shared" si="10"/>
        <v>2023-H2</v>
      </c>
    </row>
    <row r="940">
      <c r="A940" s="113" t="s">
        <v>610</v>
      </c>
      <c r="J940" s="108" t="str">
        <f t="shared" si="6"/>
        <v>2023</v>
      </c>
      <c r="K940" s="110">
        <f t="shared" si="7"/>
        <v>4</v>
      </c>
      <c r="L940" s="108" t="str">
        <f t="shared" si="8"/>
        <v>2023-Q2</v>
      </c>
      <c r="M940" s="111" t="str">
        <f t="shared" si="9"/>
        <v>2023-04</v>
      </c>
      <c r="N940" s="112" t="str">
        <f t="shared" si="10"/>
        <v>2023-H1</v>
      </c>
    </row>
    <row r="941">
      <c r="A941" s="113" t="s">
        <v>610</v>
      </c>
      <c r="J941" s="108" t="str">
        <f t="shared" si="6"/>
        <v>2023</v>
      </c>
      <c r="K941" s="110">
        <f t="shared" si="7"/>
        <v>4</v>
      </c>
      <c r="L941" s="108" t="str">
        <f t="shared" si="8"/>
        <v>2023-Q2</v>
      </c>
      <c r="M941" s="111" t="str">
        <f t="shared" si="9"/>
        <v>2023-04</v>
      </c>
      <c r="N941" s="112" t="str">
        <f t="shared" si="10"/>
        <v>2023-H1</v>
      </c>
    </row>
    <row r="942">
      <c r="A942" s="113" t="s">
        <v>610</v>
      </c>
      <c r="J942" s="108" t="str">
        <f t="shared" si="6"/>
        <v>2023</v>
      </c>
      <c r="K942" s="110">
        <f t="shared" si="7"/>
        <v>4</v>
      </c>
      <c r="L942" s="108" t="str">
        <f t="shared" si="8"/>
        <v>2023-Q2</v>
      </c>
      <c r="M942" s="111" t="str">
        <f t="shared" si="9"/>
        <v>2023-04</v>
      </c>
      <c r="N942" s="112" t="str">
        <f t="shared" si="10"/>
        <v>2023-H1</v>
      </c>
    </row>
    <row r="943">
      <c r="A943" s="113" t="s">
        <v>610</v>
      </c>
      <c r="J943" s="108" t="str">
        <f t="shared" si="6"/>
        <v>2023</v>
      </c>
      <c r="K943" s="110">
        <f t="shared" si="7"/>
        <v>4</v>
      </c>
      <c r="L943" s="108" t="str">
        <f t="shared" si="8"/>
        <v>2023-Q2</v>
      </c>
      <c r="M943" s="111" t="str">
        <f t="shared" si="9"/>
        <v>2023-04</v>
      </c>
      <c r="N943" s="112" t="str">
        <f t="shared" si="10"/>
        <v>2023-H1</v>
      </c>
    </row>
    <row r="944">
      <c r="A944" s="113" t="s">
        <v>610</v>
      </c>
      <c r="J944" s="108" t="str">
        <f t="shared" si="6"/>
        <v>2023</v>
      </c>
      <c r="K944" s="110">
        <f t="shared" si="7"/>
        <v>5</v>
      </c>
      <c r="L944" s="108" t="str">
        <f t="shared" si="8"/>
        <v>2023-Q2</v>
      </c>
      <c r="M944" s="111" t="str">
        <f t="shared" si="9"/>
        <v>2023-05</v>
      </c>
      <c r="N944" s="112" t="str">
        <f t="shared" si="10"/>
        <v>2023-H1</v>
      </c>
    </row>
    <row r="945">
      <c r="A945" s="113" t="s">
        <v>610</v>
      </c>
      <c r="J945" s="108" t="str">
        <f t="shared" si="6"/>
        <v>2023</v>
      </c>
      <c r="K945" s="110">
        <f t="shared" si="7"/>
        <v>5</v>
      </c>
      <c r="L945" s="108" t="str">
        <f t="shared" si="8"/>
        <v>2023-Q2</v>
      </c>
      <c r="M945" s="111" t="str">
        <f t="shared" si="9"/>
        <v>2023-05</v>
      </c>
      <c r="N945" s="112" t="str">
        <f t="shared" si="10"/>
        <v>2023-H1</v>
      </c>
    </row>
    <row r="946">
      <c r="A946" s="113" t="s">
        <v>610</v>
      </c>
      <c r="J946" s="108" t="str">
        <f t="shared" si="6"/>
        <v>2023</v>
      </c>
      <c r="K946" s="110">
        <f t="shared" si="7"/>
        <v>5</v>
      </c>
      <c r="L946" s="108" t="str">
        <f t="shared" si="8"/>
        <v>2023-Q2</v>
      </c>
      <c r="M946" s="111" t="str">
        <f t="shared" si="9"/>
        <v>2023-05</v>
      </c>
      <c r="N946" s="112" t="str">
        <f t="shared" si="10"/>
        <v>2023-H1</v>
      </c>
    </row>
    <row r="947">
      <c r="A947" s="113" t="s">
        <v>610</v>
      </c>
      <c r="J947" s="108" t="str">
        <f t="shared" si="6"/>
        <v>2023</v>
      </c>
      <c r="K947" s="110">
        <f t="shared" si="7"/>
        <v>5</v>
      </c>
      <c r="L947" s="108" t="str">
        <f t="shared" si="8"/>
        <v>2023-Q2</v>
      </c>
      <c r="M947" s="111" t="str">
        <f t="shared" si="9"/>
        <v>2023-05</v>
      </c>
      <c r="N947" s="112" t="str">
        <f t="shared" si="10"/>
        <v>2023-H1</v>
      </c>
    </row>
    <row r="948">
      <c r="A948" s="113" t="s">
        <v>610</v>
      </c>
      <c r="J948" s="108" t="str">
        <f t="shared" si="6"/>
        <v>2023</v>
      </c>
      <c r="K948" s="110">
        <f t="shared" si="7"/>
        <v>5</v>
      </c>
      <c r="L948" s="108" t="str">
        <f t="shared" si="8"/>
        <v>2023-Q2</v>
      </c>
      <c r="M948" s="111" t="str">
        <f t="shared" si="9"/>
        <v>2023-05</v>
      </c>
      <c r="N948" s="112" t="str">
        <f t="shared" si="10"/>
        <v>2023-H1</v>
      </c>
    </row>
    <row r="949">
      <c r="A949" s="113" t="s">
        <v>610</v>
      </c>
      <c r="J949" s="108" t="str">
        <f t="shared" si="6"/>
        <v>2023</v>
      </c>
      <c r="K949" s="110">
        <f t="shared" si="7"/>
        <v>5</v>
      </c>
      <c r="L949" s="108" t="str">
        <f t="shared" si="8"/>
        <v>2023-Q2</v>
      </c>
      <c r="M949" s="111" t="str">
        <f t="shared" si="9"/>
        <v>2023-05</v>
      </c>
      <c r="N949" s="112" t="str">
        <f t="shared" si="10"/>
        <v>2023-H1</v>
      </c>
    </row>
    <row r="950">
      <c r="A950" s="113" t="s">
        <v>610</v>
      </c>
      <c r="J950" s="108" t="str">
        <f t="shared" si="6"/>
        <v>2023</v>
      </c>
      <c r="K950" s="110">
        <f t="shared" si="7"/>
        <v>5</v>
      </c>
      <c r="L950" s="108" t="str">
        <f t="shared" si="8"/>
        <v>2023-Q2</v>
      </c>
      <c r="M950" s="111" t="str">
        <f t="shared" si="9"/>
        <v>2023-05</v>
      </c>
      <c r="N950" s="112" t="str">
        <f t="shared" si="10"/>
        <v>2023-H1</v>
      </c>
    </row>
    <row r="951">
      <c r="A951" s="113" t="s">
        <v>610</v>
      </c>
      <c r="J951" s="108" t="str">
        <f t="shared" si="6"/>
        <v>2023</v>
      </c>
      <c r="K951" s="110">
        <f t="shared" si="7"/>
        <v>5</v>
      </c>
      <c r="L951" s="108" t="str">
        <f t="shared" si="8"/>
        <v>2023-Q2</v>
      </c>
      <c r="M951" s="111" t="str">
        <f t="shared" si="9"/>
        <v>2023-05</v>
      </c>
      <c r="N951" s="112" t="str">
        <f t="shared" si="10"/>
        <v>2023-H1</v>
      </c>
    </row>
    <row r="952">
      <c r="A952" s="113" t="s">
        <v>610</v>
      </c>
      <c r="J952" s="108" t="str">
        <f t="shared" si="6"/>
        <v>2023</v>
      </c>
      <c r="K952" s="110">
        <f t="shared" si="7"/>
        <v>5</v>
      </c>
      <c r="L952" s="108" t="str">
        <f t="shared" si="8"/>
        <v>2023-Q2</v>
      </c>
      <c r="M952" s="111" t="str">
        <f t="shared" si="9"/>
        <v>2023-05</v>
      </c>
      <c r="N952" s="112" t="str">
        <f t="shared" si="10"/>
        <v>2023-H1</v>
      </c>
    </row>
    <row r="953">
      <c r="A953" s="113" t="s">
        <v>610</v>
      </c>
      <c r="J953" s="108" t="str">
        <f t="shared" si="6"/>
        <v>2023</v>
      </c>
      <c r="K953" s="110">
        <f t="shared" si="7"/>
        <v>5</v>
      </c>
      <c r="L953" s="108" t="str">
        <f t="shared" si="8"/>
        <v>2023-Q2</v>
      </c>
      <c r="M953" s="111" t="str">
        <f t="shared" si="9"/>
        <v>2023-05</v>
      </c>
      <c r="N953" s="112" t="str">
        <f t="shared" si="10"/>
        <v>2023-H1</v>
      </c>
    </row>
    <row r="954">
      <c r="A954" s="113" t="s">
        <v>610</v>
      </c>
      <c r="J954" s="108" t="str">
        <f t="shared" si="6"/>
        <v>2023</v>
      </c>
      <c r="K954" s="110">
        <f t="shared" si="7"/>
        <v>5</v>
      </c>
      <c r="L954" s="108" t="str">
        <f t="shared" si="8"/>
        <v>2023-Q2</v>
      </c>
      <c r="M954" s="111" t="str">
        <f t="shared" si="9"/>
        <v>2023-05</v>
      </c>
      <c r="N954" s="112" t="str">
        <f t="shared" si="10"/>
        <v>2023-H1</v>
      </c>
    </row>
    <row r="955">
      <c r="A955" s="113" t="s">
        <v>610</v>
      </c>
      <c r="J955" s="108" t="str">
        <f t="shared" si="6"/>
        <v>2023</v>
      </c>
      <c r="K955" s="110">
        <f t="shared" si="7"/>
        <v>5</v>
      </c>
      <c r="L955" s="108" t="str">
        <f t="shared" si="8"/>
        <v>2023-Q2</v>
      </c>
      <c r="M955" s="111" t="str">
        <f t="shared" si="9"/>
        <v>2023-05</v>
      </c>
      <c r="N955" s="112" t="str">
        <f t="shared" si="10"/>
        <v>2023-H1</v>
      </c>
    </row>
    <row r="956">
      <c r="A956" s="113" t="s">
        <v>610</v>
      </c>
      <c r="J956" s="108" t="str">
        <f t="shared" si="6"/>
        <v>2023</v>
      </c>
      <c r="K956" s="110">
        <f t="shared" si="7"/>
        <v>5</v>
      </c>
      <c r="L956" s="108" t="str">
        <f t="shared" si="8"/>
        <v>2023-Q2</v>
      </c>
      <c r="M956" s="111" t="str">
        <f t="shared" si="9"/>
        <v>2023-05</v>
      </c>
      <c r="N956" s="112" t="str">
        <f t="shared" si="10"/>
        <v>2023-H1</v>
      </c>
    </row>
    <row r="957">
      <c r="A957" s="113" t="s">
        <v>610</v>
      </c>
      <c r="J957" s="108" t="str">
        <f t="shared" si="6"/>
        <v>2023</v>
      </c>
      <c r="K957" s="110">
        <f t="shared" si="7"/>
        <v>5</v>
      </c>
      <c r="L957" s="108" t="str">
        <f t="shared" si="8"/>
        <v>2023-Q2</v>
      </c>
      <c r="M957" s="111" t="str">
        <f t="shared" si="9"/>
        <v>2023-05</v>
      </c>
      <c r="N957" s="112" t="str">
        <f t="shared" si="10"/>
        <v>2023-H1</v>
      </c>
    </row>
    <row r="958">
      <c r="A958" s="113" t="s">
        <v>610</v>
      </c>
      <c r="J958" s="108" t="str">
        <f t="shared" si="6"/>
        <v>2023</v>
      </c>
      <c r="K958" s="110">
        <f t="shared" si="7"/>
        <v>5</v>
      </c>
      <c r="L958" s="108" t="str">
        <f t="shared" si="8"/>
        <v>2023-Q2</v>
      </c>
      <c r="M958" s="111" t="str">
        <f t="shared" si="9"/>
        <v>2023-05</v>
      </c>
      <c r="N958" s="112" t="str">
        <f t="shared" si="10"/>
        <v>2023-H1</v>
      </c>
    </row>
    <row r="959">
      <c r="A959" s="113" t="s">
        <v>610</v>
      </c>
      <c r="J959" s="108" t="str">
        <f t="shared" si="6"/>
        <v>2023</v>
      </c>
      <c r="K959" s="110">
        <f t="shared" si="7"/>
        <v>5</v>
      </c>
      <c r="L959" s="108" t="str">
        <f t="shared" si="8"/>
        <v>2023-Q2</v>
      </c>
      <c r="M959" s="111" t="str">
        <f t="shared" si="9"/>
        <v>2023-05</v>
      </c>
      <c r="N959" s="112" t="str">
        <f t="shared" si="10"/>
        <v>2023-H1</v>
      </c>
    </row>
    <row r="960">
      <c r="A960" s="113" t="s">
        <v>610</v>
      </c>
      <c r="J960" s="108" t="str">
        <f t="shared" si="6"/>
        <v>2023</v>
      </c>
      <c r="K960" s="110">
        <f t="shared" si="7"/>
        <v>5</v>
      </c>
      <c r="L960" s="108" t="str">
        <f t="shared" si="8"/>
        <v>2023-Q2</v>
      </c>
      <c r="M960" s="111" t="str">
        <f t="shared" si="9"/>
        <v>2023-05</v>
      </c>
      <c r="N960" s="112" t="str">
        <f t="shared" si="10"/>
        <v>2023-H1</v>
      </c>
    </row>
    <row r="961">
      <c r="A961" s="113" t="s">
        <v>610</v>
      </c>
      <c r="J961" s="108" t="str">
        <f t="shared" si="6"/>
        <v>2023</v>
      </c>
      <c r="K961" s="110">
        <f t="shared" si="7"/>
        <v>5</v>
      </c>
      <c r="L961" s="108" t="str">
        <f t="shared" si="8"/>
        <v>2023-Q2</v>
      </c>
      <c r="M961" s="111" t="str">
        <f t="shared" si="9"/>
        <v>2023-05</v>
      </c>
      <c r="N961" s="112" t="str">
        <f t="shared" si="10"/>
        <v>2023-H1</v>
      </c>
    </row>
    <row r="962">
      <c r="A962" s="113" t="s">
        <v>610</v>
      </c>
      <c r="J962" s="108" t="str">
        <f t="shared" si="6"/>
        <v>2023</v>
      </c>
      <c r="K962" s="110">
        <f t="shared" si="7"/>
        <v>5</v>
      </c>
      <c r="L962" s="108" t="str">
        <f t="shared" si="8"/>
        <v>2023-Q2</v>
      </c>
      <c r="M962" s="111" t="str">
        <f t="shared" si="9"/>
        <v>2023-05</v>
      </c>
      <c r="N962" s="112" t="str">
        <f t="shared" si="10"/>
        <v>2023-H1</v>
      </c>
    </row>
    <row r="963">
      <c r="A963" s="113" t="s">
        <v>610</v>
      </c>
      <c r="J963" s="108" t="str">
        <f t="shared" si="6"/>
        <v>2023</v>
      </c>
      <c r="K963" s="110">
        <f t="shared" si="7"/>
        <v>5</v>
      </c>
      <c r="L963" s="108" t="str">
        <f t="shared" si="8"/>
        <v>2023-Q2</v>
      </c>
      <c r="M963" s="111" t="str">
        <f t="shared" si="9"/>
        <v>2023-05</v>
      </c>
      <c r="N963" s="112" t="str">
        <f t="shared" si="10"/>
        <v>2023-H1</v>
      </c>
    </row>
    <row r="964">
      <c r="A964" s="113" t="s">
        <v>610</v>
      </c>
      <c r="J964" s="108" t="str">
        <f t="shared" si="6"/>
        <v>2023</v>
      </c>
      <c r="K964" s="110">
        <f t="shared" si="7"/>
        <v>5</v>
      </c>
      <c r="L964" s="108" t="str">
        <f t="shared" si="8"/>
        <v>2023-Q2</v>
      </c>
      <c r="M964" s="111" t="str">
        <f t="shared" si="9"/>
        <v>2023-05</v>
      </c>
      <c r="N964" s="112" t="str">
        <f t="shared" si="10"/>
        <v>2023-H1</v>
      </c>
    </row>
    <row r="965">
      <c r="A965" s="113" t="s">
        <v>610</v>
      </c>
      <c r="J965" s="108" t="str">
        <f t="shared" si="6"/>
        <v>2023</v>
      </c>
      <c r="K965" s="110">
        <f t="shared" si="7"/>
        <v>5</v>
      </c>
      <c r="L965" s="108" t="str">
        <f t="shared" si="8"/>
        <v>2023-Q2</v>
      </c>
      <c r="M965" s="111" t="str">
        <f t="shared" si="9"/>
        <v>2023-05</v>
      </c>
      <c r="N965" s="112" t="str">
        <f t="shared" si="10"/>
        <v>2023-H1</v>
      </c>
    </row>
    <row r="966">
      <c r="A966" s="113" t="s">
        <v>610</v>
      </c>
      <c r="J966" s="108" t="str">
        <f t="shared" si="6"/>
        <v>2023</v>
      </c>
      <c r="K966" s="110">
        <f t="shared" si="7"/>
        <v>5</v>
      </c>
      <c r="L966" s="108" t="str">
        <f t="shared" si="8"/>
        <v>2023-Q2</v>
      </c>
      <c r="M966" s="111" t="str">
        <f t="shared" si="9"/>
        <v>2023-05</v>
      </c>
      <c r="N966" s="112" t="str">
        <f t="shared" si="10"/>
        <v>2023-H1</v>
      </c>
    </row>
    <row r="967">
      <c r="A967" s="113" t="s">
        <v>610</v>
      </c>
      <c r="J967" s="108" t="str">
        <f t="shared" si="6"/>
        <v>2023</v>
      </c>
      <c r="K967" s="110">
        <f t="shared" si="7"/>
        <v>6</v>
      </c>
      <c r="L967" s="108" t="str">
        <f t="shared" si="8"/>
        <v>2023-Q2</v>
      </c>
      <c r="M967" s="111" t="str">
        <f t="shared" si="9"/>
        <v>2023-06</v>
      </c>
      <c r="N967" s="112" t="str">
        <f t="shared" si="10"/>
        <v>2023-H1</v>
      </c>
    </row>
    <row r="968">
      <c r="A968" s="113" t="s">
        <v>610</v>
      </c>
      <c r="J968" s="108" t="str">
        <f t="shared" si="6"/>
        <v>2023</v>
      </c>
      <c r="K968" s="110">
        <f t="shared" si="7"/>
        <v>6</v>
      </c>
      <c r="L968" s="108" t="str">
        <f t="shared" si="8"/>
        <v>2023-Q2</v>
      </c>
      <c r="M968" s="111" t="str">
        <f t="shared" si="9"/>
        <v>2023-06</v>
      </c>
      <c r="N968" s="112" t="str">
        <f t="shared" si="10"/>
        <v>2023-H1</v>
      </c>
    </row>
    <row r="969">
      <c r="A969" s="113" t="s">
        <v>610</v>
      </c>
      <c r="J969" s="108" t="str">
        <f t="shared" si="6"/>
        <v>2023</v>
      </c>
      <c r="K969" s="110">
        <f t="shared" si="7"/>
        <v>6</v>
      </c>
      <c r="L969" s="108" t="str">
        <f t="shared" si="8"/>
        <v>2023-Q2</v>
      </c>
      <c r="M969" s="111" t="str">
        <f t="shared" si="9"/>
        <v>2023-06</v>
      </c>
      <c r="N969" s="112" t="str">
        <f t="shared" si="10"/>
        <v>2023-H1</v>
      </c>
    </row>
    <row r="970">
      <c r="A970" s="113" t="s">
        <v>610</v>
      </c>
      <c r="J970" s="108" t="str">
        <f t="shared" si="6"/>
        <v>2023</v>
      </c>
      <c r="K970" s="110">
        <f t="shared" si="7"/>
        <v>6</v>
      </c>
      <c r="L970" s="108" t="str">
        <f t="shared" si="8"/>
        <v>2023-Q2</v>
      </c>
      <c r="M970" s="111" t="str">
        <f t="shared" si="9"/>
        <v>2023-06</v>
      </c>
      <c r="N970" s="112" t="str">
        <f t="shared" si="10"/>
        <v>2023-H1</v>
      </c>
    </row>
    <row r="971">
      <c r="A971" s="113" t="s">
        <v>610</v>
      </c>
      <c r="J971" s="108" t="str">
        <f t="shared" si="6"/>
        <v>2023</v>
      </c>
      <c r="K971" s="110">
        <f t="shared" si="7"/>
        <v>5</v>
      </c>
      <c r="L971" s="108" t="str">
        <f t="shared" si="8"/>
        <v>2023-Q2</v>
      </c>
      <c r="M971" s="111" t="str">
        <f t="shared" si="9"/>
        <v>2023-05</v>
      </c>
      <c r="N971" s="112" t="str">
        <f t="shared" si="10"/>
        <v>2023-H1</v>
      </c>
    </row>
    <row r="972">
      <c r="A972" s="113" t="s">
        <v>610</v>
      </c>
      <c r="J972" s="108" t="str">
        <f t="shared" si="6"/>
        <v>2023</v>
      </c>
      <c r="K972" s="110">
        <f t="shared" si="7"/>
        <v>5</v>
      </c>
      <c r="L972" s="108" t="str">
        <f t="shared" si="8"/>
        <v>2023-Q2</v>
      </c>
      <c r="M972" s="111" t="str">
        <f t="shared" si="9"/>
        <v>2023-05</v>
      </c>
      <c r="N972" s="112" t="str">
        <f t="shared" si="10"/>
        <v>2023-H1</v>
      </c>
    </row>
    <row r="973">
      <c r="A973" s="113" t="s">
        <v>610</v>
      </c>
      <c r="J973" s="108" t="str">
        <f t="shared" si="6"/>
        <v>2023</v>
      </c>
      <c r="K973" s="110">
        <f t="shared" si="7"/>
        <v>11</v>
      </c>
      <c r="L973" s="108" t="str">
        <f t="shared" si="8"/>
        <v>2023-Q4</v>
      </c>
      <c r="M973" s="111" t="str">
        <f t="shared" si="9"/>
        <v>2023-11</v>
      </c>
      <c r="N973" s="112" t="str">
        <f t="shared" si="10"/>
        <v>2023-H2</v>
      </c>
    </row>
    <row r="974">
      <c r="A974" s="113" t="s">
        <v>610</v>
      </c>
      <c r="J974" s="108" t="str">
        <f t="shared" si="6"/>
        <v>2023</v>
      </c>
      <c r="K974" s="110">
        <f t="shared" si="7"/>
        <v>6</v>
      </c>
      <c r="L974" s="108" t="str">
        <f t="shared" si="8"/>
        <v>2023-Q2</v>
      </c>
      <c r="M974" s="111" t="str">
        <f t="shared" si="9"/>
        <v>2023-06</v>
      </c>
      <c r="N974" s="112" t="str">
        <f t="shared" si="10"/>
        <v>2023-H1</v>
      </c>
    </row>
    <row r="975">
      <c r="A975" s="113" t="s">
        <v>610</v>
      </c>
      <c r="J975" s="108" t="str">
        <f t="shared" si="6"/>
        <v>2023</v>
      </c>
      <c r="K975" s="110">
        <f t="shared" si="7"/>
        <v>5</v>
      </c>
      <c r="L975" s="108" t="str">
        <f t="shared" si="8"/>
        <v>2023-Q2</v>
      </c>
      <c r="M975" s="111" t="str">
        <f t="shared" si="9"/>
        <v>2023-05</v>
      </c>
      <c r="N975" s="112" t="str">
        <f t="shared" si="10"/>
        <v>2023-H1</v>
      </c>
    </row>
    <row r="976">
      <c r="A976" s="113" t="s">
        <v>610</v>
      </c>
      <c r="J976" s="108" t="str">
        <f t="shared" si="6"/>
        <v>2023</v>
      </c>
      <c r="K976" s="110">
        <f t="shared" si="7"/>
        <v>5</v>
      </c>
      <c r="L976" s="108" t="str">
        <f t="shared" si="8"/>
        <v>2023-Q2</v>
      </c>
      <c r="M976" s="111" t="str">
        <f t="shared" si="9"/>
        <v>2023-05</v>
      </c>
      <c r="N976" s="112" t="str">
        <f t="shared" si="10"/>
        <v>2023-H1</v>
      </c>
    </row>
    <row r="977">
      <c r="A977" s="113" t="s">
        <v>610</v>
      </c>
      <c r="J977" s="108" t="str">
        <f t="shared" si="6"/>
        <v>2023</v>
      </c>
      <c r="K977" s="110">
        <f t="shared" si="7"/>
        <v>6</v>
      </c>
      <c r="L977" s="108" t="str">
        <f t="shared" si="8"/>
        <v>2023-Q2</v>
      </c>
      <c r="M977" s="111" t="str">
        <f t="shared" si="9"/>
        <v>2023-06</v>
      </c>
      <c r="N977" s="112" t="str">
        <f t="shared" si="10"/>
        <v>2023-H1</v>
      </c>
    </row>
    <row r="978">
      <c r="A978" s="113" t="s">
        <v>610</v>
      </c>
      <c r="J978" s="108" t="str">
        <f t="shared" si="6"/>
        <v>2023</v>
      </c>
      <c r="K978" s="110">
        <f t="shared" si="7"/>
        <v>6</v>
      </c>
      <c r="L978" s="108" t="str">
        <f t="shared" si="8"/>
        <v>2023-Q2</v>
      </c>
      <c r="M978" s="111" t="str">
        <f t="shared" si="9"/>
        <v>2023-06</v>
      </c>
      <c r="N978" s="112" t="str">
        <f t="shared" si="10"/>
        <v>2023-H1</v>
      </c>
    </row>
    <row r="979">
      <c r="A979" s="113" t="s">
        <v>610</v>
      </c>
      <c r="J979" s="108" t="str">
        <f t="shared" si="6"/>
        <v>2023</v>
      </c>
      <c r="K979" s="110">
        <f t="shared" si="7"/>
        <v>6</v>
      </c>
      <c r="L979" s="108" t="str">
        <f t="shared" si="8"/>
        <v>2023-Q2</v>
      </c>
      <c r="M979" s="111" t="str">
        <f t="shared" si="9"/>
        <v>2023-06</v>
      </c>
      <c r="N979" s="112" t="str">
        <f t="shared" si="10"/>
        <v>2023-H1</v>
      </c>
    </row>
    <row r="980">
      <c r="A980" s="113" t="s">
        <v>610</v>
      </c>
      <c r="J980" s="108" t="str">
        <f t="shared" si="6"/>
        <v>2023</v>
      </c>
      <c r="K980" s="110">
        <f t="shared" si="7"/>
        <v>6</v>
      </c>
      <c r="L980" s="108" t="str">
        <f t="shared" si="8"/>
        <v>2023-Q2</v>
      </c>
      <c r="M980" s="111" t="str">
        <f t="shared" si="9"/>
        <v>2023-06</v>
      </c>
      <c r="N980" s="112" t="str">
        <f t="shared" si="10"/>
        <v>2023-H1</v>
      </c>
    </row>
    <row r="981">
      <c r="A981" s="113" t="s">
        <v>610</v>
      </c>
      <c r="J981" s="108" t="str">
        <f t="shared" si="6"/>
        <v>2023</v>
      </c>
      <c r="K981" s="110">
        <f t="shared" si="7"/>
        <v>6</v>
      </c>
      <c r="L981" s="108" t="str">
        <f t="shared" si="8"/>
        <v>2023-Q2</v>
      </c>
      <c r="M981" s="111" t="str">
        <f t="shared" si="9"/>
        <v>2023-06</v>
      </c>
      <c r="N981" s="112" t="str">
        <f t="shared" si="10"/>
        <v>2023-H1</v>
      </c>
    </row>
    <row r="982">
      <c r="A982" s="113" t="s">
        <v>610</v>
      </c>
      <c r="J982" s="108" t="str">
        <f t="shared" si="6"/>
        <v>2023</v>
      </c>
      <c r="K982" s="110">
        <f t="shared" si="7"/>
        <v>6</v>
      </c>
      <c r="L982" s="108" t="str">
        <f t="shared" si="8"/>
        <v>2023-Q2</v>
      </c>
      <c r="M982" s="111" t="str">
        <f t="shared" si="9"/>
        <v>2023-06</v>
      </c>
      <c r="N982" s="112" t="str">
        <f t="shared" si="10"/>
        <v>2023-H1</v>
      </c>
    </row>
    <row r="983">
      <c r="A983" s="113" t="s">
        <v>610</v>
      </c>
      <c r="J983" s="108" t="str">
        <f t="shared" si="6"/>
        <v>2023</v>
      </c>
      <c r="K983" s="110">
        <f t="shared" si="7"/>
        <v>6</v>
      </c>
      <c r="L983" s="108" t="str">
        <f t="shared" si="8"/>
        <v>2023-Q2</v>
      </c>
      <c r="M983" s="111" t="str">
        <f t="shared" si="9"/>
        <v>2023-06</v>
      </c>
      <c r="N983" s="112" t="str">
        <f t="shared" si="10"/>
        <v>2023-H1</v>
      </c>
    </row>
    <row r="984">
      <c r="A984" s="113" t="s">
        <v>610</v>
      </c>
      <c r="J984" s="108" t="str">
        <f t="shared" si="6"/>
        <v>2023</v>
      </c>
      <c r="K984" s="110">
        <f t="shared" si="7"/>
        <v>6</v>
      </c>
      <c r="L984" s="108" t="str">
        <f t="shared" si="8"/>
        <v>2023-Q2</v>
      </c>
      <c r="M984" s="111" t="str">
        <f t="shared" si="9"/>
        <v>2023-06</v>
      </c>
      <c r="N984" s="112" t="str">
        <f t="shared" si="10"/>
        <v>2023-H1</v>
      </c>
    </row>
    <row r="985">
      <c r="A985" s="113" t="s">
        <v>610</v>
      </c>
      <c r="J985" s="108" t="str">
        <f t="shared" si="6"/>
        <v>2023</v>
      </c>
      <c r="K985" s="110">
        <f t="shared" si="7"/>
        <v>6</v>
      </c>
      <c r="L985" s="108" t="str">
        <f t="shared" si="8"/>
        <v>2023-Q2</v>
      </c>
      <c r="M985" s="111" t="str">
        <f t="shared" si="9"/>
        <v>2023-06</v>
      </c>
      <c r="N985" s="112" t="str">
        <f t="shared" si="10"/>
        <v>2023-H1</v>
      </c>
    </row>
    <row r="986">
      <c r="A986" s="113" t="s">
        <v>610</v>
      </c>
      <c r="J986" s="108" t="str">
        <f t="shared" si="6"/>
        <v>2023</v>
      </c>
      <c r="K986" s="110">
        <f t="shared" si="7"/>
        <v>6</v>
      </c>
      <c r="L986" s="108" t="str">
        <f t="shared" si="8"/>
        <v>2023-Q2</v>
      </c>
      <c r="M986" s="111" t="str">
        <f t="shared" si="9"/>
        <v>2023-06</v>
      </c>
      <c r="N986" s="112" t="str">
        <f t="shared" si="10"/>
        <v>2023-H1</v>
      </c>
    </row>
    <row r="987">
      <c r="A987" s="113" t="s">
        <v>610</v>
      </c>
      <c r="J987" s="108" t="str">
        <f t="shared" si="6"/>
        <v>2023</v>
      </c>
      <c r="K987" s="110">
        <f t="shared" si="7"/>
        <v>6</v>
      </c>
      <c r="L987" s="108" t="str">
        <f t="shared" si="8"/>
        <v>2023-Q2</v>
      </c>
      <c r="M987" s="111" t="str">
        <f t="shared" si="9"/>
        <v>2023-06</v>
      </c>
      <c r="N987" s="112" t="str">
        <f t="shared" si="10"/>
        <v>2023-H1</v>
      </c>
    </row>
    <row r="988">
      <c r="A988" s="113" t="s">
        <v>610</v>
      </c>
      <c r="J988" s="108" t="str">
        <f t="shared" si="6"/>
        <v>2023</v>
      </c>
      <c r="K988" s="110">
        <f t="shared" si="7"/>
        <v>6</v>
      </c>
      <c r="L988" s="108" t="str">
        <f t="shared" si="8"/>
        <v>2023-Q2</v>
      </c>
      <c r="M988" s="111" t="str">
        <f t="shared" si="9"/>
        <v>2023-06</v>
      </c>
      <c r="N988" s="112" t="str">
        <f t="shared" si="10"/>
        <v>2023-H1</v>
      </c>
    </row>
    <row r="989">
      <c r="A989" s="113" t="s">
        <v>610</v>
      </c>
      <c r="J989" s="108" t="str">
        <f t="shared" si="6"/>
        <v>2023</v>
      </c>
      <c r="K989" s="110">
        <f t="shared" si="7"/>
        <v>6</v>
      </c>
      <c r="L989" s="108" t="str">
        <f t="shared" si="8"/>
        <v>2023-Q2</v>
      </c>
      <c r="M989" s="111" t="str">
        <f t="shared" si="9"/>
        <v>2023-06</v>
      </c>
      <c r="N989" s="112" t="str">
        <f t="shared" si="10"/>
        <v>2023-H1</v>
      </c>
    </row>
    <row r="990">
      <c r="A990" s="113" t="s">
        <v>610</v>
      </c>
      <c r="J990" s="108" t="str">
        <f t="shared" si="6"/>
        <v>2023</v>
      </c>
      <c r="K990" s="110">
        <f t="shared" si="7"/>
        <v>6</v>
      </c>
      <c r="L990" s="108" t="str">
        <f t="shared" si="8"/>
        <v>2023-Q2</v>
      </c>
      <c r="M990" s="111" t="str">
        <f t="shared" si="9"/>
        <v>2023-06</v>
      </c>
      <c r="N990" s="112" t="str">
        <f t="shared" si="10"/>
        <v>2023-H1</v>
      </c>
    </row>
    <row r="991">
      <c r="A991" s="113" t="s">
        <v>610</v>
      </c>
      <c r="J991" s="108" t="str">
        <f t="shared" si="6"/>
        <v>2023</v>
      </c>
      <c r="K991" s="110">
        <f t="shared" si="7"/>
        <v>6</v>
      </c>
      <c r="L991" s="108" t="str">
        <f t="shared" si="8"/>
        <v>2023-Q2</v>
      </c>
      <c r="M991" s="111" t="str">
        <f t="shared" si="9"/>
        <v>2023-06</v>
      </c>
      <c r="N991" s="112" t="str">
        <f t="shared" si="10"/>
        <v>2023-H1</v>
      </c>
    </row>
    <row r="992">
      <c r="A992" s="113" t="s">
        <v>610</v>
      </c>
      <c r="J992" s="108" t="str">
        <f t="shared" si="6"/>
        <v>2023</v>
      </c>
      <c r="K992" s="110">
        <f t="shared" si="7"/>
        <v>6</v>
      </c>
      <c r="L992" s="108" t="str">
        <f t="shared" si="8"/>
        <v>2023-Q2</v>
      </c>
      <c r="M992" s="111" t="str">
        <f t="shared" si="9"/>
        <v>2023-06</v>
      </c>
      <c r="N992" s="112" t="str">
        <f t="shared" si="10"/>
        <v>2023-H1</v>
      </c>
    </row>
    <row r="993">
      <c r="A993" s="113" t="s">
        <v>610</v>
      </c>
      <c r="J993" s="108" t="str">
        <f t="shared" si="6"/>
        <v>2023</v>
      </c>
      <c r="K993" s="110">
        <f t="shared" si="7"/>
        <v>6</v>
      </c>
      <c r="L993" s="108" t="str">
        <f t="shared" si="8"/>
        <v>2023-Q2</v>
      </c>
      <c r="M993" s="111" t="str">
        <f t="shared" si="9"/>
        <v>2023-06</v>
      </c>
      <c r="N993" s="112" t="str">
        <f t="shared" si="10"/>
        <v>2023-H1</v>
      </c>
    </row>
    <row r="994">
      <c r="A994" s="113" t="s">
        <v>610</v>
      </c>
      <c r="J994" s="108" t="str">
        <f t="shared" si="6"/>
        <v>2023</v>
      </c>
      <c r="K994" s="110">
        <f t="shared" si="7"/>
        <v>6</v>
      </c>
      <c r="L994" s="108" t="str">
        <f t="shared" si="8"/>
        <v>2023-Q2</v>
      </c>
      <c r="M994" s="111" t="str">
        <f t="shared" si="9"/>
        <v>2023-06</v>
      </c>
      <c r="N994" s="112" t="str">
        <f t="shared" si="10"/>
        <v>2023-H1</v>
      </c>
    </row>
    <row r="995">
      <c r="A995" s="113" t="s">
        <v>610</v>
      </c>
      <c r="J995" s="108" t="str">
        <f t="shared" si="6"/>
        <v>2023</v>
      </c>
      <c r="K995" s="110">
        <f t="shared" si="7"/>
        <v>6</v>
      </c>
      <c r="L995" s="108" t="str">
        <f t="shared" si="8"/>
        <v>2023-Q2</v>
      </c>
      <c r="M995" s="111" t="str">
        <f t="shared" si="9"/>
        <v>2023-06</v>
      </c>
      <c r="N995" s="112" t="str">
        <f t="shared" si="10"/>
        <v>2023-H1</v>
      </c>
    </row>
    <row r="996">
      <c r="A996" s="113" t="s">
        <v>610</v>
      </c>
      <c r="J996" s="108" t="str">
        <f t="shared" si="6"/>
        <v>2023</v>
      </c>
      <c r="K996" s="110">
        <f t="shared" si="7"/>
        <v>6</v>
      </c>
      <c r="L996" s="108" t="str">
        <f t="shared" si="8"/>
        <v>2023-Q2</v>
      </c>
      <c r="M996" s="111" t="str">
        <f t="shared" si="9"/>
        <v>2023-06</v>
      </c>
      <c r="N996" s="112" t="str">
        <f t="shared" si="10"/>
        <v>2023-H1</v>
      </c>
    </row>
    <row r="997">
      <c r="A997" s="113" t="s">
        <v>610</v>
      </c>
      <c r="J997" s="108" t="str">
        <f t="shared" si="6"/>
        <v>2023</v>
      </c>
      <c r="K997" s="110">
        <f t="shared" si="7"/>
        <v>6</v>
      </c>
      <c r="L997" s="108" t="str">
        <f t="shared" si="8"/>
        <v>2023-Q2</v>
      </c>
      <c r="M997" s="111" t="str">
        <f t="shared" si="9"/>
        <v>2023-06</v>
      </c>
      <c r="N997" s="112" t="str">
        <f t="shared" si="10"/>
        <v>2023-H1</v>
      </c>
    </row>
    <row r="998">
      <c r="A998" s="113" t="s">
        <v>610</v>
      </c>
      <c r="J998" s="108" t="str">
        <f t="shared" si="6"/>
        <v>2023</v>
      </c>
      <c r="K998" s="110">
        <f t="shared" si="7"/>
        <v>6</v>
      </c>
      <c r="L998" s="108" t="str">
        <f t="shared" si="8"/>
        <v>2023-Q2</v>
      </c>
      <c r="M998" s="111" t="str">
        <f t="shared" si="9"/>
        <v>2023-06</v>
      </c>
      <c r="N998" s="112" t="str">
        <f t="shared" si="10"/>
        <v>2023-H1</v>
      </c>
    </row>
    <row r="999">
      <c r="A999" s="113" t="s">
        <v>610</v>
      </c>
      <c r="J999" s="108" t="str">
        <f t="shared" si="6"/>
        <v>2023</v>
      </c>
      <c r="K999" s="110">
        <f t="shared" si="7"/>
        <v>6</v>
      </c>
      <c r="L999" s="108" t="str">
        <f t="shared" si="8"/>
        <v>2023-Q2</v>
      </c>
      <c r="M999" s="111" t="str">
        <f t="shared" si="9"/>
        <v>2023-06</v>
      </c>
      <c r="N999" s="112" t="str">
        <f t="shared" si="10"/>
        <v>2023-H1</v>
      </c>
    </row>
    <row r="1000">
      <c r="A1000" s="113" t="s">
        <v>610</v>
      </c>
      <c r="J1000" s="108" t="str">
        <f t="shared" si="6"/>
        <v>2023</v>
      </c>
      <c r="K1000" s="110">
        <f t="shared" si="7"/>
        <v>6</v>
      </c>
      <c r="L1000" s="108" t="str">
        <f t="shared" si="8"/>
        <v>2023-Q2</v>
      </c>
      <c r="M1000" s="111" t="str">
        <f t="shared" si="9"/>
        <v>2023-06</v>
      </c>
      <c r="N1000" s="112" t="str">
        <f t="shared" si="10"/>
        <v>2023-H1</v>
      </c>
    </row>
    <row r="1001">
      <c r="A1001" s="113" t="s">
        <v>610</v>
      </c>
      <c r="J1001" s="108" t="str">
        <f t="shared" si="6"/>
        <v>2023</v>
      </c>
      <c r="K1001" s="110">
        <f t="shared" si="7"/>
        <v>6</v>
      </c>
      <c r="L1001" s="108" t="str">
        <f t="shared" si="8"/>
        <v>2023-Q2</v>
      </c>
      <c r="M1001" s="111" t="str">
        <f t="shared" si="9"/>
        <v>2023-06</v>
      </c>
      <c r="N1001" s="112" t="str">
        <f t="shared" si="10"/>
        <v>2023-H1</v>
      </c>
    </row>
    <row r="1002">
      <c r="A1002" s="113" t="s">
        <v>610</v>
      </c>
      <c r="J1002" s="108" t="str">
        <f t="shared" si="6"/>
        <v>2023</v>
      </c>
      <c r="K1002" s="110">
        <f t="shared" si="7"/>
        <v>6</v>
      </c>
      <c r="L1002" s="108" t="str">
        <f t="shared" si="8"/>
        <v>2023-Q2</v>
      </c>
      <c r="M1002" s="111" t="str">
        <f t="shared" si="9"/>
        <v>2023-06</v>
      </c>
      <c r="N1002" s="112" t="str">
        <f t="shared" si="10"/>
        <v>2023-H1</v>
      </c>
    </row>
    <row r="1003">
      <c r="A1003" s="113" t="s">
        <v>610</v>
      </c>
      <c r="J1003" s="108" t="str">
        <f t="shared" si="6"/>
        <v>2023</v>
      </c>
      <c r="K1003" s="110">
        <f t="shared" si="7"/>
        <v>6</v>
      </c>
      <c r="L1003" s="108" t="str">
        <f t="shared" si="8"/>
        <v>2023-Q2</v>
      </c>
      <c r="M1003" s="111" t="str">
        <f t="shared" si="9"/>
        <v>2023-06</v>
      </c>
      <c r="N1003" s="112" t="str">
        <f t="shared" si="10"/>
        <v>2023-H1</v>
      </c>
    </row>
    <row r="1004">
      <c r="A1004" s="113" t="s">
        <v>610</v>
      </c>
      <c r="J1004" s="108" t="str">
        <f t="shared" si="6"/>
        <v>2023</v>
      </c>
      <c r="K1004" s="110">
        <f t="shared" si="7"/>
        <v>6</v>
      </c>
      <c r="L1004" s="108" t="str">
        <f t="shared" si="8"/>
        <v>2023-Q2</v>
      </c>
      <c r="M1004" s="111" t="str">
        <f t="shared" si="9"/>
        <v>2023-06</v>
      </c>
      <c r="N1004" s="112" t="str">
        <f t="shared" si="10"/>
        <v>2023-H1</v>
      </c>
    </row>
    <row r="1005">
      <c r="A1005" s="113" t="s">
        <v>610</v>
      </c>
      <c r="J1005" s="108" t="str">
        <f t="shared" si="6"/>
        <v>2023</v>
      </c>
      <c r="K1005" s="110">
        <f t="shared" si="7"/>
        <v>6</v>
      </c>
      <c r="L1005" s="108" t="str">
        <f t="shared" si="8"/>
        <v>2023-Q2</v>
      </c>
      <c r="M1005" s="111" t="str">
        <f t="shared" si="9"/>
        <v>2023-06</v>
      </c>
      <c r="N1005" s="112" t="str">
        <f t="shared" si="10"/>
        <v>2023-H1</v>
      </c>
    </row>
    <row r="1006">
      <c r="A1006" s="113" t="s">
        <v>610</v>
      </c>
      <c r="J1006" s="108" t="str">
        <f t="shared" si="6"/>
        <v>2023</v>
      </c>
      <c r="K1006" s="110">
        <f t="shared" si="7"/>
        <v>6</v>
      </c>
      <c r="L1006" s="108" t="str">
        <f t="shared" si="8"/>
        <v>2023-Q2</v>
      </c>
      <c r="M1006" s="111" t="str">
        <f t="shared" si="9"/>
        <v>2023-06</v>
      </c>
      <c r="N1006" s="112" t="str">
        <f t="shared" si="10"/>
        <v>2023-H1</v>
      </c>
    </row>
    <row r="1007">
      <c r="A1007" s="113" t="s">
        <v>610</v>
      </c>
      <c r="J1007" s="108" t="str">
        <f t="shared" si="6"/>
        <v>2023</v>
      </c>
      <c r="K1007" s="110">
        <f t="shared" si="7"/>
        <v>6</v>
      </c>
      <c r="L1007" s="108" t="str">
        <f t="shared" si="8"/>
        <v>2023-Q2</v>
      </c>
      <c r="M1007" s="111" t="str">
        <f t="shared" si="9"/>
        <v>2023-06</v>
      </c>
      <c r="N1007" s="112" t="str">
        <f t="shared" si="10"/>
        <v>2023-H1</v>
      </c>
    </row>
    <row r="1008">
      <c r="A1008" s="113" t="s">
        <v>610</v>
      </c>
      <c r="J1008" s="108" t="str">
        <f t="shared" si="6"/>
        <v>2023</v>
      </c>
      <c r="K1008" s="110">
        <f t="shared" si="7"/>
        <v>7</v>
      </c>
      <c r="L1008" s="108" t="str">
        <f t="shared" si="8"/>
        <v>2023-Q3</v>
      </c>
      <c r="M1008" s="111" t="str">
        <f t="shared" si="9"/>
        <v>2023-07</v>
      </c>
      <c r="N1008" s="112" t="str">
        <f t="shared" si="10"/>
        <v>2023-H2</v>
      </c>
    </row>
    <row r="1009">
      <c r="A1009" s="113" t="s">
        <v>610</v>
      </c>
      <c r="J1009" s="108" t="str">
        <f t="shared" si="6"/>
        <v>2023</v>
      </c>
      <c r="K1009" s="110">
        <f t="shared" si="7"/>
        <v>7</v>
      </c>
      <c r="L1009" s="108" t="str">
        <f t="shared" si="8"/>
        <v>2023-Q3</v>
      </c>
      <c r="M1009" s="111" t="str">
        <f t="shared" si="9"/>
        <v>2023-07</v>
      </c>
      <c r="N1009" s="112" t="str">
        <f t="shared" si="10"/>
        <v>2023-H2</v>
      </c>
    </row>
    <row r="1010">
      <c r="A1010" s="113" t="s">
        <v>610</v>
      </c>
      <c r="J1010" s="108" t="str">
        <f t="shared" si="6"/>
        <v>2023</v>
      </c>
      <c r="K1010" s="110">
        <f t="shared" si="7"/>
        <v>6</v>
      </c>
      <c r="L1010" s="108" t="str">
        <f t="shared" si="8"/>
        <v>2023-Q2</v>
      </c>
      <c r="M1010" s="111" t="str">
        <f t="shared" si="9"/>
        <v>2023-06</v>
      </c>
      <c r="N1010" s="112" t="str">
        <f t="shared" si="10"/>
        <v>2023-H1</v>
      </c>
    </row>
    <row r="1011">
      <c r="A1011" s="113" t="s">
        <v>610</v>
      </c>
      <c r="J1011" s="108" t="str">
        <f t="shared" si="6"/>
        <v>2023</v>
      </c>
      <c r="K1011" s="110">
        <f t="shared" si="7"/>
        <v>6</v>
      </c>
      <c r="L1011" s="108" t="str">
        <f t="shared" si="8"/>
        <v>2023-Q2</v>
      </c>
      <c r="M1011" s="111" t="str">
        <f t="shared" si="9"/>
        <v>2023-06</v>
      </c>
      <c r="N1011" s="112" t="str">
        <f t="shared" si="10"/>
        <v>2023-H1</v>
      </c>
    </row>
    <row r="1012">
      <c r="A1012" s="113" t="s">
        <v>610</v>
      </c>
      <c r="J1012" s="108" t="str">
        <f t="shared" si="6"/>
        <v>2023</v>
      </c>
      <c r="K1012" s="110">
        <f t="shared" si="7"/>
        <v>6</v>
      </c>
      <c r="L1012" s="108" t="str">
        <f t="shared" si="8"/>
        <v>2023-Q2</v>
      </c>
      <c r="M1012" s="111" t="str">
        <f t="shared" si="9"/>
        <v>2023-06</v>
      </c>
      <c r="N1012" s="112" t="str">
        <f t="shared" si="10"/>
        <v>2023-H1</v>
      </c>
    </row>
    <row r="1013">
      <c r="A1013" s="113" t="s">
        <v>610</v>
      </c>
      <c r="J1013" s="108" t="str">
        <f t="shared" si="6"/>
        <v>2023</v>
      </c>
      <c r="K1013" s="110">
        <f t="shared" si="7"/>
        <v>6</v>
      </c>
      <c r="L1013" s="108" t="str">
        <f t="shared" si="8"/>
        <v>2023-Q2</v>
      </c>
      <c r="M1013" s="111" t="str">
        <f t="shared" si="9"/>
        <v>2023-06</v>
      </c>
      <c r="N1013" s="112" t="str">
        <f t="shared" si="10"/>
        <v>2023-H1</v>
      </c>
    </row>
    <row r="1014">
      <c r="A1014" s="113" t="s">
        <v>610</v>
      </c>
      <c r="J1014" s="108" t="str">
        <f t="shared" si="6"/>
        <v>2023</v>
      </c>
      <c r="K1014" s="110">
        <f t="shared" si="7"/>
        <v>6</v>
      </c>
      <c r="L1014" s="108" t="str">
        <f t="shared" si="8"/>
        <v>2023-Q2</v>
      </c>
      <c r="M1014" s="111" t="str">
        <f t="shared" si="9"/>
        <v>2023-06</v>
      </c>
      <c r="N1014" s="112" t="str">
        <f t="shared" si="10"/>
        <v>2023-H1</v>
      </c>
    </row>
    <row r="1015">
      <c r="A1015" s="113" t="s">
        <v>610</v>
      </c>
      <c r="J1015" s="108" t="str">
        <f t="shared" si="6"/>
        <v>2023</v>
      </c>
      <c r="K1015" s="110">
        <f t="shared" si="7"/>
        <v>6</v>
      </c>
      <c r="L1015" s="108" t="str">
        <f t="shared" si="8"/>
        <v>2023-Q2</v>
      </c>
      <c r="M1015" s="111" t="str">
        <f t="shared" si="9"/>
        <v>2023-06</v>
      </c>
      <c r="N1015" s="112" t="str">
        <f t="shared" si="10"/>
        <v>2023-H1</v>
      </c>
    </row>
    <row r="1016">
      <c r="A1016" s="113" t="s">
        <v>610</v>
      </c>
      <c r="J1016" s="108" t="str">
        <f t="shared" si="6"/>
        <v>2023</v>
      </c>
      <c r="K1016" s="110">
        <f t="shared" si="7"/>
        <v>6</v>
      </c>
      <c r="L1016" s="108" t="str">
        <f t="shared" si="8"/>
        <v>2023-Q2</v>
      </c>
      <c r="M1016" s="111" t="str">
        <f t="shared" si="9"/>
        <v>2023-06</v>
      </c>
      <c r="N1016" s="112" t="str">
        <f t="shared" si="10"/>
        <v>2023-H1</v>
      </c>
    </row>
    <row r="1017">
      <c r="A1017" s="113" t="s">
        <v>610</v>
      </c>
      <c r="J1017" s="108" t="str">
        <f t="shared" si="6"/>
        <v>2023</v>
      </c>
      <c r="K1017" s="110">
        <f t="shared" si="7"/>
        <v>6</v>
      </c>
      <c r="L1017" s="108" t="str">
        <f t="shared" si="8"/>
        <v>2023-Q2</v>
      </c>
      <c r="M1017" s="111" t="str">
        <f t="shared" si="9"/>
        <v>2023-06</v>
      </c>
      <c r="N1017" s="112" t="str">
        <f t="shared" si="10"/>
        <v>2023-H1</v>
      </c>
    </row>
    <row r="1018">
      <c r="A1018" s="113" t="s">
        <v>610</v>
      </c>
      <c r="J1018" s="108" t="str">
        <f t="shared" si="6"/>
        <v>2023</v>
      </c>
      <c r="K1018" s="110">
        <f t="shared" si="7"/>
        <v>6</v>
      </c>
      <c r="L1018" s="108" t="str">
        <f t="shared" si="8"/>
        <v>2023-Q2</v>
      </c>
      <c r="M1018" s="111" t="str">
        <f t="shared" si="9"/>
        <v>2023-06</v>
      </c>
      <c r="N1018" s="112" t="str">
        <f t="shared" si="10"/>
        <v>2023-H1</v>
      </c>
    </row>
    <row r="1019">
      <c r="A1019" s="113" t="s">
        <v>610</v>
      </c>
      <c r="J1019" s="108" t="str">
        <f t="shared" si="6"/>
        <v>2023</v>
      </c>
      <c r="K1019" s="110">
        <f t="shared" si="7"/>
        <v>6</v>
      </c>
      <c r="L1019" s="108" t="str">
        <f t="shared" si="8"/>
        <v>2023-Q2</v>
      </c>
      <c r="M1019" s="111" t="str">
        <f t="shared" si="9"/>
        <v>2023-06</v>
      </c>
      <c r="N1019" s="112" t="str">
        <f t="shared" si="10"/>
        <v>2023-H1</v>
      </c>
    </row>
    <row r="1020">
      <c r="A1020" s="113" t="s">
        <v>610</v>
      </c>
      <c r="J1020" s="108" t="str">
        <f t="shared" si="6"/>
        <v>2023</v>
      </c>
      <c r="K1020" s="110">
        <f t="shared" si="7"/>
        <v>6</v>
      </c>
      <c r="L1020" s="108" t="str">
        <f t="shared" si="8"/>
        <v>2023-Q2</v>
      </c>
      <c r="M1020" s="111" t="str">
        <f t="shared" si="9"/>
        <v>2023-06</v>
      </c>
      <c r="N1020" s="112" t="str">
        <f t="shared" si="10"/>
        <v>2023-H1</v>
      </c>
    </row>
    <row r="1021">
      <c r="A1021" s="113" t="s">
        <v>610</v>
      </c>
      <c r="J1021" s="108" t="str">
        <f t="shared" si="6"/>
        <v>2023</v>
      </c>
      <c r="K1021" s="110">
        <f t="shared" si="7"/>
        <v>6</v>
      </c>
      <c r="L1021" s="108" t="str">
        <f t="shared" si="8"/>
        <v>2023-Q2</v>
      </c>
      <c r="M1021" s="111" t="str">
        <f t="shared" si="9"/>
        <v>2023-06</v>
      </c>
      <c r="N1021" s="112" t="str">
        <f t="shared" si="10"/>
        <v>2023-H1</v>
      </c>
    </row>
    <row r="1022">
      <c r="A1022" s="113" t="s">
        <v>610</v>
      </c>
      <c r="J1022" s="108" t="str">
        <f t="shared" si="6"/>
        <v>2023</v>
      </c>
      <c r="K1022" s="110">
        <f t="shared" si="7"/>
        <v>6</v>
      </c>
      <c r="L1022" s="108" t="str">
        <f t="shared" si="8"/>
        <v>2023-Q2</v>
      </c>
      <c r="M1022" s="111" t="str">
        <f t="shared" si="9"/>
        <v>2023-06</v>
      </c>
      <c r="N1022" s="112" t="str">
        <f t="shared" si="10"/>
        <v>2023-H1</v>
      </c>
    </row>
    <row r="1023">
      <c r="A1023" s="113" t="s">
        <v>610</v>
      </c>
      <c r="J1023" s="108" t="str">
        <f t="shared" si="6"/>
        <v>2023</v>
      </c>
      <c r="K1023" s="110">
        <f t="shared" si="7"/>
        <v>6</v>
      </c>
      <c r="L1023" s="108" t="str">
        <f t="shared" si="8"/>
        <v>2023-Q2</v>
      </c>
      <c r="M1023" s="111" t="str">
        <f t="shared" si="9"/>
        <v>2023-06</v>
      </c>
      <c r="N1023" s="112" t="str">
        <f t="shared" si="10"/>
        <v>2023-H1</v>
      </c>
    </row>
    <row r="1024">
      <c r="A1024" s="113" t="s">
        <v>610</v>
      </c>
      <c r="J1024" s="108" t="str">
        <f t="shared" si="6"/>
        <v>2023</v>
      </c>
      <c r="K1024" s="110">
        <f t="shared" si="7"/>
        <v>6</v>
      </c>
      <c r="L1024" s="108" t="str">
        <f t="shared" si="8"/>
        <v>2023-Q2</v>
      </c>
      <c r="M1024" s="111" t="str">
        <f t="shared" si="9"/>
        <v>2023-06</v>
      </c>
      <c r="N1024" s="112" t="str">
        <f t="shared" si="10"/>
        <v>2023-H1</v>
      </c>
    </row>
    <row r="1025">
      <c r="A1025" s="113" t="s">
        <v>610</v>
      </c>
      <c r="J1025" s="108" t="str">
        <f t="shared" si="6"/>
        <v>2023</v>
      </c>
      <c r="K1025" s="110">
        <f t="shared" si="7"/>
        <v>6</v>
      </c>
      <c r="L1025" s="108" t="str">
        <f t="shared" si="8"/>
        <v>2023-Q2</v>
      </c>
      <c r="M1025" s="111" t="str">
        <f t="shared" si="9"/>
        <v>2023-06</v>
      </c>
      <c r="N1025" s="112" t="str">
        <f t="shared" si="10"/>
        <v>2023-H1</v>
      </c>
    </row>
    <row r="1026">
      <c r="A1026" s="113" t="s">
        <v>610</v>
      </c>
      <c r="J1026" s="108" t="str">
        <f t="shared" si="6"/>
        <v>2023</v>
      </c>
      <c r="K1026" s="110">
        <f t="shared" si="7"/>
        <v>6</v>
      </c>
      <c r="L1026" s="108" t="str">
        <f t="shared" si="8"/>
        <v>2023-Q2</v>
      </c>
      <c r="M1026" s="111" t="str">
        <f t="shared" si="9"/>
        <v>2023-06</v>
      </c>
      <c r="N1026" s="112" t="str">
        <f t="shared" si="10"/>
        <v>2023-H1</v>
      </c>
    </row>
    <row r="1027">
      <c r="A1027" s="113" t="s">
        <v>610</v>
      </c>
      <c r="J1027" s="108" t="str">
        <f t="shared" si="6"/>
        <v>2023</v>
      </c>
      <c r="K1027" s="110">
        <f t="shared" si="7"/>
        <v>6</v>
      </c>
      <c r="L1027" s="108" t="str">
        <f t="shared" si="8"/>
        <v>2023-Q2</v>
      </c>
      <c r="M1027" s="111" t="str">
        <f t="shared" si="9"/>
        <v>2023-06</v>
      </c>
      <c r="N1027" s="112" t="str">
        <f t="shared" si="10"/>
        <v>2023-H1</v>
      </c>
    </row>
    <row r="1028">
      <c r="A1028" s="113" t="s">
        <v>610</v>
      </c>
      <c r="J1028" s="108" t="str">
        <f t="shared" si="6"/>
        <v>2023</v>
      </c>
      <c r="K1028" s="110">
        <f t="shared" si="7"/>
        <v>6</v>
      </c>
      <c r="L1028" s="108" t="str">
        <f t="shared" si="8"/>
        <v>2023-Q2</v>
      </c>
      <c r="M1028" s="111" t="str">
        <f t="shared" si="9"/>
        <v>2023-06</v>
      </c>
      <c r="N1028" s="112" t="str">
        <f t="shared" si="10"/>
        <v>2023-H1</v>
      </c>
    </row>
    <row r="1029">
      <c r="A1029" s="113" t="s">
        <v>610</v>
      </c>
      <c r="J1029" s="108" t="str">
        <f t="shared" si="6"/>
        <v>2023</v>
      </c>
      <c r="K1029" s="110">
        <f t="shared" si="7"/>
        <v>6</v>
      </c>
      <c r="L1029" s="108" t="str">
        <f t="shared" si="8"/>
        <v>2023-Q2</v>
      </c>
      <c r="M1029" s="111" t="str">
        <f t="shared" si="9"/>
        <v>2023-06</v>
      </c>
      <c r="N1029" s="112" t="str">
        <f t="shared" si="10"/>
        <v>2023-H1</v>
      </c>
    </row>
    <row r="1030">
      <c r="A1030" s="113" t="s">
        <v>610</v>
      </c>
      <c r="J1030" s="108" t="str">
        <f t="shared" si="6"/>
        <v>2023</v>
      </c>
      <c r="K1030" s="110">
        <f t="shared" si="7"/>
        <v>6</v>
      </c>
      <c r="L1030" s="108" t="str">
        <f t="shared" si="8"/>
        <v>2023-Q2</v>
      </c>
      <c r="M1030" s="111" t="str">
        <f t="shared" si="9"/>
        <v>2023-06</v>
      </c>
      <c r="N1030" s="112" t="str">
        <f t="shared" si="10"/>
        <v>2023-H1</v>
      </c>
    </row>
    <row r="1031">
      <c r="A1031" s="113" t="s">
        <v>610</v>
      </c>
      <c r="J1031" s="108" t="str">
        <f t="shared" si="6"/>
        <v>2023</v>
      </c>
      <c r="K1031" s="110">
        <f t="shared" si="7"/>
        <v>6</v>
      </c>
      <c r="L1031" s="108" t="str">
        <f t="shared" si="8"/>
        <v>2023-Q2</v>
      </c>
      <c r="M1031" s="111" t="str">
        <f t="shared" si="9"/>
        <v>2023-06</v>
      </c>
      <c r="N1031" s="112" t="str">
        <f t="shared" si="10"/>
        <v>2023-H1</v>
      </c>
    </row>
    <row r="1032">
      <c r="A1032" s="113" t="s">
        <v>610</v>
      </c>
      <c r="J1032" s="108" t="str">
        <f t="shared" si="6"/>
        <v>2023</v>
      </c>
      <c r="K1032" s="110">
        <f t="shared" si="7"/>
        <v>6</v>
      </c>
      <c r="L1032" s="108" t="str">
        <f t="shared" si="8"/>
        <v>2023-Q2</v>
      </c>
      <c r="M1032" s="111" t="str">
        <f t="shared" si="9"/>
        <v>2023-06</v>
      </c>
      <c r="N1032" s="112" t="str">
        <f t="shared" si="10"/>
        <v>2023-H1</v>
      </c>
    </row>
    <row r="1033">
      <c r="A1033" s="113" t="s">
        <v>610</v>
      </c>
      <c r="J1033" s="108" t="str">
        <f t="shared" si="6"/>
        <v>2023</v>
      </c>
      <c r="K1033" s="110">
        <f t="shared" si="7"/>
        <v>6</v>
      </c>
      <c r="L1033" s="108" t="str">
        <f t="shared" si="8"/>
        <v>2023-Q2</v>
      </c>
      <c r="M1033" s="111" t="str">
        <f t="shared" si="9"/>
        <v>2023-06</v>
      </c>
      <c r="N1033" s="112" t="str">
        <f t="shared" si="10"/>
        <v>2023-H1</v>
      </c>
    </row>
    <row r="1034">
      <c r="A1034" s="113" t="s">
        <v>610</v>
      </c>
      <c r="J1034" s="108" t="str">
        <f t="shared" si="6"/>
        <v>2023</v>
      </c>
      <c r="K1034" s="110">
        <f t="shared" si="7"/>
        <v>6</v>
      </c>
      <c r="L1034" s="108" t="str">
        <f t="shared" si="8"/>
        <v>2023-Q2</v>
      </c>
      <c r="M1034" s="111" t="str">
        <f t="shared" si="9"/>
        <v>2023-06</v>
      </c>
      <c r="N1034" s="112" t="str">
        <f t="shared" si="10"/>
        <v>2023-H1</v>
      </c>
    </row>
    <row r="1035">
      <c r="A1035" s="113" t="s">
        <v>610</v>
      </c>
      <c r="J1035" s="108" t="str">
        <f t="shared" si="6"/>
        <v>2023</v>
      </c>
      <c r="K1035" s="110">
        <f t="shared" si="7"/>
        <v>6</v>
      </c>
      <c r="L1035" s="108" t="str">
        <f t="shared" si="8"/>
        <v>2023-Q2</v>
      </c>
      <c r="M1035" s="111" t="str">
        <f t="shared" si="9"/>
        <v>2023-06</v>
      </c>
      <c r="N1035" s="112" t="str">
        <f t="shared" si="10"/>
        <v>2023-H1</v>
      </c>
    </row>
    <row r="1036">
      <c r="A1036" s="113" t="s">
        <v>610</v>
      </c>
      <c r="J1036" s="108" t="str">
        <f t="shared" si="6"/>
        <v>2023</v>
      </c>
      <c r="K1036" s="110">
        <f t="shared" si="7"/>
        <v>6</v>
      </c>
      <c r="L1036" s="108" t="str">
        <f t="shared" si="8"/>
        <v>2023-Q2</v>
      </c>
      <c r="M1036" s="111" t="str">
        <f t="shared" si="9"/>
        <v>2023-06</v>
      </c>
      <c r="N1036" s="112" t="str">
        <f t="shared" si="10"/>
        <v>2023-H1</v>
      </c>
    </row>
    <row r="1037">
      <c r="A1037" s="113" t="s">
        <v>610</v>
      </c>
      <c r="J1037" s="108" t="str">
        <f t="shared" si="6"/>
        <v>2023</v>
      </c>
      <c r="K1037" s="110">
        <f t="shared" si="7"/>
        <v>6</v>
      </c>
      <c r="L1037" s="108" t="str">
        <f t="shared" si="8"/>
        <v>2023-Q2</v>
      </c>
      <c r="M1037" s="111" t="str">
        <f t="shared" si="9"/>
        <v>2023-06</v>
      </c>
      <c r="N1037" s="112" t="str">
        <f t="shared" si="10"/>
        <v>2023-H1</v>
      </c>
    </row>
    <row r="1038">
      <c r="A1038" s="113" t="s">
        <v>610</v>
      </c>
      <c r="J1038" s="108" t="str">
        <f t="shared" si="6"/>
        <v>2023</v>
      </c>
      <c r="K1038" s="110">
        <f t="shared" si="7"/>
        <v>6</v>
      </c>
      <c r="L1038" s="108" t="str">
        <f t="shared" si="8"/>
        <v>2023-Q2</v>
      </c>
      <c r="M1038" s="111" t="str">
        <f t="shared" si="9"/>
        <v>2023-06</v>
      </c>
      <c r="N1038" s="112" t="str">
        <f t="shared" si="10"/>
        <v>2023-H1</v>
      </c>
    </row>
    <row r="1039">
      <c r="A1039" s="113" t="s">
        <v>610</v>
      </c>
      <c r="J1039" s="108" t="str">
        <f t="shared" si="6"/>
        <v>2023</v>
      </c>
      <c r="K1039" s="110">
        <f t="shared" si="7"/>
        <v>6</v>
      </c>
      <c r="L1039" s="108" t="str">
        <f t="shared" si="8"/>
        <v>2023-Q2</v>
      </c>
      <c r="M1039" s="111" t="str">
        <f t="shared" si="9"/>
        <v>2023-06</v>
      </c>
      <c r="N1039" s="112" t="str">
        <f t="shared" si="10"/>
        <v>2023-H1</v>
      </c>
    </row>
    <row r="1040">
      <c r="A1040" s="113" t="s">
        <v>610</v>
      </c>
      <c r="J1040" s="108" t="str">
        <f t="shared" si="6"/>
        <v>2023</v>
      </c>
      <c r="K1040" s="110">
        <f t="shared" si="7"/>
        <v>6</v>
      </c>
      <c r="L1040" s="108" t="str">
        <f t="shared" si="8"/>
        <v>2023-Q2</v>
      </c>
      <c r="M1040" s="111" t="str">
        <f t="shared" si="9"/>
        <v>2023-06</v>
      </c>
      <c r="N1040" s="112" t="str">
        <f t="shared" si="10"/>
        <v>2023-H1</v>
      </c>
    </row>
    <row r="1041">
      <c r="A1041" s="113" t="s">
        <v>610</v>
      </c>
      <c r="J1041" s="108" t="str">
        <f t="shared" si="6"/>
        <v>2023</v>
      </c>
      <c r="K1041" s="110">
        <f t="shared" si="7"/>
        <v>6</v>
      </c>
      <c r="L1041" s="108" t="str">
        <f t="shared" si="8"/>
        <v>2023-Q2</v>
      </c>
      <c r="M1041" s="111" t="str">
        <f t="shared" si="9"/>
        <v>2023-06</v>
      </c>
      <c r="N1041" s="112" t="str">
        <f t="shared" si="10"/>
        <v>2023-H1</v>
      </c>
    </row>
    <row r="1042">
      <c r="A1042" s="113" t="s">
        <v>610</v>
      </c>
      <c r="J1042" s="108" t="str">
        <f t="shared" si="6"/>
        <v>2023</v>
      </c>
      <c r="K1042" s="110">
        <f t="shared" si="7"/>
        <v>6</v>
      </c>
      <c r="L1042" s="108" t="str">
        <f t="shared" si="8"/>
        <v>2023-Q2</v>
      </c>
      <c r="M1042" s="111" t="str">
        <f t="shared" si="9"/>
        <v>2023-06</v>
      </c>
      <c r="N1042" s="112" t="str">
        <f t="shared" si="10"/>
        <v>2023-H1</v>
      </c>
    </row>
    <row r="1043">
      <c r="A1043" s="113" t="s">
        <v>610</v>
      </c>
      <c r="J1043" s="108" t="str">
        <f t="shared" si="6"/>
        <v>2023</v>
      </c>
      <c r="K1043" s="110">
        <f t="shared" si="7"/>
        <v>6</v>
      </c>
      <c r="L1043" s="108" t="str">
        <f t="shared" si="8"/>
        <v>2023-Q2</v>
      </c>
      <c r="M1043" s="111" t="str">
        <f t="shared" si="9"/>
        <v>2023-06</v>
      </c>
      <c r="N1043" s="112" t="str">
        <f t="shared" si="10"/>
        <v>2023-H1</v>
      </c>
    </row>
    <row r="1044">
      <c r="A1044" s="113" t="s">
        <v>610</v>
      </c>
      <c r="J1044" s="108" t="str">
        <f t="shared" si="6"/>
        <v>2023</v>
      </c>
      <c r="K1044" s="110">
        <f t="shared" si="7"/>
        <v>6</v>
      </c>
      <c r="L1044" s="108" t="str">
        <f t="shared" si="8"/>
        <v>2023-Q2</v>
      </c>
      <c r="M1044" s="111" t="str">
        <f t="shared" si="9"/>
        <v>2023-06</v>
      </c>
      <c r="N1044" s="112" t="str">
        <f t="shared" si="10"/>
        <v>2023-H1</v>
      </c>
    </row>
    <row r="1045">
      <c r="A1045" s="113" t="s">
        <v>610</v>
      </c>
      <c r="J1045" s="108" t="str">
        <f t="shared" si="6"/>
        <v>2023</v>
      </c>
      <c r="K1045" s="110">
        <f t="shared" si="7"/>
        <v>6</v>
      </c>
      <c r="L1045" s="108" t="str">
        <f t="shared" si="8"/>
        <v>2023-Q2</v>
      </c>
      <c r="M1045" s="111" t="str">
        <f t="shared" si="9"/>
        <v>2023-06</v>
      </c>
      <c r="N1045" s="112" t="str">
        <f t="shared" si="10"/>
        <v>2023-H1</v>
      </c>
    </row>
    <row r="1046">
      <c r="A1046" s="113" t="s">
        <v>610</v>
      </c>
      <c r="J1046" s="108" t="str">
        <f t="shared" si="6"/>
        <v>2023</v>
      </c>
      <c r="K1046" s="110">
        <f t="shared" si="7"/>
        <v>6</v>
      </c>
      <c r="L1046" s="108" t="str">
        <f t="shared" si="8"/>
        <v>2023-Q2</v>
      </c>
      <c r="M1046" s="111" t="str">
        <f t="shared" si="9"/>
        <v>2023-06</v>
      </c>
      <c r="N1046" s="112" t="str">
        <f t="shared" si="10"/>
        <v>2023-H1</v>
      </c>
    </row>
    <row r="1047">
      <c r="A1047" s="113" t="s">
        <v>610</v>
      </c>
      <c r="J1047" s="108" t="str">
        <f t="shared" si="6"/>
        <v>2023</v>
      </c>
      <c r="K1047" s="110">
        <f t="shared" si="7"/>
        <v>6</v>
      </c>
      <c r="L1047" s="108" t="str">
        <f t="shared" si="8"/>
        <v>2023-Q2</v>
      </c>
      <c r="M1047" s="111" t="str">
        <f t="shared" si="9"/>
        <v>2023-06</v>
      </c>
      <c r="N1047" s="112" t="str">
        <f t="shared" si="10"/>
        <v>2023-H1</v>
      </c>
    </row>
    <row r="1048">
      <c r="A1048" s="113" t="s">
        <v>610</v>
      </c>
      <c r="J1048" s="108" t="str">
        <f t="shared" si="6"/>
        <v>2023</v>
      </c>
      <c r="K1048" s="110">
        <f t="shared" si="7"/>
        <v>6</v>
      </c>
      <c r="L1048" s="108" t="str">
        <f t="shared" si="8"/>
        <v>2023-Q2</v>
      </c>
      <c r="M1048" s="111" t="str">
        <f t="shared" si="9"/>
        <v>2023-06</v>
      </c>
      <c r="N1048" s="112" t="str">
        <f t="shared" si="10"/>
        <v>2023-H1</v>
      </c>
    </row>
    <row r="1049">
      <c r="A1049" s="113" t="s">
        <v>610</v>
      </c>
      <c r="J1049" s="108" t="str">
        <f t="shared" si="6"/>
        <v>2023</v>
      </c>
      <c r="K1049" s="110">
        <f t="shared" si="7"/>
        <v>7</v>
      </c>
      <c r="L1049" s="108" t="str">
        <f t="shared" si="8"/>
        <v>2023-Q3</v>
      </c>
      <c r="M1049" s="111" t="str">
        <f t="shared" si="9"/>
        <v>2023-07</v>
      </c>
      <c r="N1049" s="112" t="str">
        <f t="shared" si="10"/>
        <v>2023-H2</v>
      </c>
    </row>
    <row r="1050">
      <c r="A1050" s="113" t="s">
        <v>610</v>
      </c>
      <c r="J1050" s="108" t="str">
        <f t="shared" si="6"/>
        <v>2023</v>
      </c>
      <c r="K1050" s="110">
        <f t="shared" si="7"/>
        <v>7</v>
      </c>
      <c r="L1050" s="108" t="str">
        <f t="shared" si="8"/>
        <v>2023-Q3</v>
      </c>
      <c r="M1050" s="111" t="str">
        <f t="shared" si="9"/>
        <v>2023-07</v>
      </c>
      <c r="N1050" s="112" t="str">
        <f t="shared" si="10"/>
        <v>2023-H2</v>
      </c>
    </row>
    <row r="1051">
      <c r="A1051" s="113" t="s">
        <v>610</v>
      </c>
      <c r="J1051" s="108" t="str">
        <f t="shared" si="6"/>
        <v>2023</v>
      </c>
      <c r="K1051" s="110">
        <f t="shared" si="7"/>
        <v>7</v>
      </c>
      <c r="L1051" s="108" t="str">
        <f t="shared" si="8"/>
        <v>2023-Q3</v>
      </c>
      <c r="M1051" s="111" t="str">
        <f t="shared" si="9"/>
        <v>2023-07</v>
      </c>
      <c r="N1051" s="112" t="str">
        <f t="shared" si="10"/>
        <v>2023-H2</v>
      </c>
    </row>
    <row r="1052">
      <c r="A1052" s="113" t="s">
        <v>610</v>
      </c>
      <c r="J1052" s="108" t="str">
        <f t="shared" si="6"/>
        <v>2023</v>
      </c>
      <c r="K1052" s="110">
        <f t="shared" si="7"/>
        <v>7</v>
      </c>
      <c r="L1052" s="108" t="str">
        <f t="shared" si="8"/>
        <v>2023-Q3</v>
      </c>
      <c r="M1052" s="111" t="str">
        <f t="shared" si="9"/>
        <v>2023-07</v>
      </c>
      <c r="N1052" s="112" t="str">
        <f t="shared" si="10"/>
        <v>2023-H2</v>
      </c>
    </row>
    <row r="1053">
      <c r="A1053" s="113" t="s">
        <v>610</v>
      </c>
      <c r="J1053" s="108" t="str">
        <f t="shared" si="6"/>
        <v>2023</v>
      </c>
      <c r="K1053" s="110">
        <f t="shared" si="7"/>
        <v>7</v>
      </c>
      <c r="L1053" s="108" t="str">
        <f t="shared" si="8"/>
        <v>2023-Q3</v>
      </c>
      <c r="M1053" s="111" t="str">
        <f t="shared" si="9"/>
        <v>2023-07</v>
      </c>
      <c r="N1053" s="112" t="str">
        <f t="shared" si="10"/>
        <v>2023-H2</v>
      </c>
    </row>
    <row r="1054">
      <c r="A1054" s="113" t="s">
        <v>610</v>
      </c>
      <c r="J1054" s="108" t="str">
        <f t="shared" si="6"/>
        <v>2023</v>
      </c>
      <c r="K1054" s="110">
        <f t="shared" si="7"/>
        <v>7</v>
      </c>
      <c r="L1054" s="108" t="str">
        <f t="shared" si="8"/>
        <v>2023-Q3</v>
      </c>
      <c r="M1054" s="111" t="str">
        <f t="shared" si="9"/>
        <v>2023-07</v>
      </c>
      <c r="N1054" s="112" t="str">
        <f t="shared" si="10"/>
        <v>2023-H2</v>
      </c>
    </row>
    <row r="1055">
      <c r="A1055" s="113" t="s">
        <v>610</v>
      </c>
      <c r="J1055" s="108" t="str">
        <f t="shared" si="6"/>
        <v>2023</v>
      </c>
      <c r="K1055" s="110">
        <f t="shared" si="7"/>
        <v>7</v>
      </c>
      <c r="L1055" s="108" t="str">
        <f t="shared" si="8"/>
        <v>2023-Q3</v>
      </c>
      <c r="M1055" s="111" t="str">
        <f t="shared" si="9"/>
        <v>2023-07</v>
      </c>
      <c r="N1055" s="112" t="str">
        <f t="shared" si="10"/>
        <v>2023-H2</v>
      </c>
    </row>
    <row r="1056">
      <c r="A1056" s="113" t="s">
        <v>610</v>
      </c>
      <c r="J1056" s="108" t="str">
        <f t="shared" si="6"/>
        <v>2023</v>
      </c>
      <c r="K1056" s="110">
        <f t="shared" si="7"/>
        <v>7</v>
      </c>
      <c r="L1056" s="108" t="str">
        <f t="shared" si="8"/>
        <v>2023-Q3</v>
      </c>
      <c r="M1056" s="111" t="str">
        <f t="shared" si="9"/>
        <v>2023-07</v>
      </c>
      <c r="N1056" s="112" t="str">
        <f t="shared" si="10"/>
        <v>2023-H2</v>
      </c>
    </row>
    <row r="1057">
      <c r="A1057" s="113" t="s">
        <v>610</v>
      </c>
      <c r="J1057" s="108" t="str">
        <f t="shared" si="6"/>
        <v>2023</v>
      </c>
      <c r="K1057" s="110">
        <f t="shared" si="7"/>
        <v>7</v>
      </c>
      <c r="L1057" s="108" t="str">
        <f t="shared" si="8"/>
        <v>2023-Q3</v>
      </c>
      <c r="M1057" s="111" t="str">
        <f t="shared" si="9"/>
        <v>2023-07</v>
      </c>
      <c r="N1057" s="112" t="str">
        <f t="shared" si="10"/>
        <v>2023-H2</v>
      </c>
    </row>
    <row r="1058">
      <c r="A1058" s="113" t="s">
        <v>610</v>
      </c>
      <c r="J1058" s="108" t="str">
        <f t="shared" si="6"/>
        <v>2023</v>
      </c>
      <c r="K1058" s="110">
        <f t="shared" si="7"/>
        <v>7</v>
      </c>
      <c r="L1058" s="108" t="str">
        <f t="shared" si="8"/>
        <v>2023-Q3</v>
      </c>
      <c r="M1058" s="111" t="str">
        <f t="shared" si="9"/>
        <v>2023-07</v>
      </c>
      <c r="N1058" s="112" t="str">
        <f t="shared" si="10"/>
        <v>2023-H2</v>
      </c>
    </row>
    <row r="1059">
      <c r="A1059" s="113" t="s">
        <v>610</v>
      </c>
      <c r="J1059" s="108" t="str">
        <f t="shared" si="6"/>
        <v>2023</v>
      </c>
      <c r="K1059" s="110">
        <f t="shared" si="7"/>
        <v>7</v>
      </c>
      <c r="L1059" s="108" t="str">
        <f t="shared" si="8"/>
        <v>2023-Q3</v>
      </c>
      <c r="M1059" s="111" t="str">
        <f t="shared" si="9"/>
        <v>2023-07</v>
      </c>
      <c r="N1059" s="112" t="str">
        <f t="shared" si="10"/>
        <v>2023-H2</v>
      </c>
    </row>
    <row r="1060">
      <c r="A1060" s="113" t="s">
        <v>610</v>
      </c>
      <c r="J1060" s="108" t="str">
        <f t="shared" si="6"/>
        <v>2023</v>
      </c>
      <c r="K1060" s="110">
        <f t="shared" si="7"/>
        <v>7</v>
      </c>
      <c r="L1060" s="108" t="str">
        <f t="shared" si="8"/>
        <v>2023-Q3</v>
      </c>
      <c r="M1060" s="111" t="str">
        <f t="shared" si="9"/>
        <v>2023-07</v>
      </c>
      <c r="N1060" s="112" t="str">
        <f t="shared" si="10"/>
        <v>2023-H2</v>
      </c>
    </row>
    <row r="1061">
      <c r="A1061" s="113" t="s">
        <v>610</v>
      </c>
      <c r="J1061" s="108" t="str">
        <f t="shared" si="6"/>
        <v>2023</v>
      </c>
      <c r="K1061" s="110">
        <f t="shared" si="7"/>
        <v>7</v>
      </c>
      <c r="L1061" s="108" t="str">
        <f t="shared" si="8"/>
        <v>2023-Q3</v>
      </c>
      <c r="M1061" s="111" t="str">
        <f t="shared" si="9"/>
        <v>2023-07</v>
      </c>
      <c r="N1061" s="112" t="str">
        <f t="shared" si="10"/>
        <v>2023-H2</v>
      </c>
    </row>
    <row r="1062">
      <c r="A1062" s="113" t="s">
        <v>610</v>
      </c>
      <c r="J1062" s="108" t="str">
        <f t="shared" si="6"/>
        <v>2023</v>
      </c>
      <c r="K1062" s="110">
        <f t="shared" si="7"/>
        <v>7</v>
      </c>
      <c r="L1062" s="108" t="str">
        <f t="shared" si="8"/>
        <v>2023-Q3</v>
      </c>
      <c r="M1062" s="111" t="str">
        <f t="shared" si="9"/>
        <v>2023-07</v>
      </c>
      <c r="N1062" s="112" t="str">
        <f t="shared" si="10"/>
        <v>2023-H2</v>
      </c>
    </row>
    <row r="1063">
      <c r="A1063" s="113" t="s">
        <v>610</v>
      </c>
      <c r="J1063" s="108" t="str">
        <f t="shared" si="6"/>
        <v>2023</v>
      </c>
      <c r="K1063" s="110">
        <f t="shared" si="7"/>
        <v>7</v>
      </c>
      <c r="L1063" s="108" t="str">
        <f t="shared" si="8"/>
        <v>2023-Q3</v>
      </c>
      <c r="M1063" s="111" t="str">
        <f t="shared" si="9"/>
        <v>2023-07</v>
      </c>
      <c r="N1063" s="112" t="str">
        <f t="shared" si="10"/>
        <v>2023-H2</v>
      </c>
    </row>
    <row r="1064">
      <c r="A1064" s="113" t="s">
        <v>610</v>
      </c>
      <c r="J1064" s="108" t="str">
        <f t="shared" si="6"/>
        <v>2023</v>
      </c>
      <c r="K1064" s="110">
        <f t="shared" si="7"/>
        <v>7</v>
      </c>
      <c r="L1064" s="108" t="str">
        <f t="shared" si="8"/>
        <v>2023-Q3</v>
      </c>
      <c r="M1064" s="111" t="str">
        <f t="shared" si="9"/>
        <v>2023-07</v>
      </c>
      <c r="N1064" s="112" t="str">
        <f t="shared" si="10"/>
        <v>2023-H2</v>
      </c>
    </row>
    <row r="1065">
      <c r="A1065" s="113" t="s">
        <v>610</v>
      </c>
      <c r="J1065" s="108" t="str">
        <f t="shared" si="6"/>
        <v>2023</v>
      </c>
      <c r="K1065" s="110">
        <f t="shared" si="7"/>
        <v>7</v>
      </c>
      <c r="L1065" s="108" t="str">
        <f t="shared" si="8"/>
        <v>2023-Q3</v>
      </c>
      <c r="M1065" s="111" t="str">
        <f t="shared" si="9"/>
        <v>2023-07</v>
      </c>
      <c r="N1065" s="112" t="str">
        <f t="shared" si="10"/>
        <v>2023-H2</v>
      </c>
    </row>
    <row r="1066">
      <c r="A1066" s="113" t="s">
        <v>610</v>
      </c>
      <c r="J1066" s="108" t="str">
        <f t="shared" si="6"/>
        <v>2023</v>
      </c>
      <c r="K1066" s="110">
        <f t="shared" si="7"/>
        <v>7</v>
      </c>
      <c r="L1066" s="108" t="str">
        <f t="shared" si="8"/>
        <v>2023-Q3</v>
      </c>
      <c r="M1066" s="111" t="str">
        <f t="shared" si="9"/>
        <v>2023-07</v>
      </c>
      <c r="N1066" s="112" t="str">
        <f t="shared" si="10"/>
        <v>2023-H2</v>
      </c>
    </row>
    <row r="1067">
      <c r="A1067" s="113" t="s">
        <v>610</v>
      </c>
      <c r="J1067" s="108" t="str">
        <f t="shared" si="6"/>
        <v>2023</v>
      </c>
      <c r="K1067" s="110">
        <f t="shared" si="7"/>
        <v>7</v>
      </c>
      <c r="L1067" s="108" t="str">
        <f t="shared" si="8"/>
        <v>2023-Q3</v>
      </c>
      <c r="M1067" s="111" t="str">
        <f t="shared" si="9"/>
        <v>2023-07</v>
      </c>
      <c r="N1067" s="112" t="str">
        <f t="shared" si="10"/>
        <v>2023-H2</v>
      </c>
    </row>
    <row r="1068">
      <c r="A1068" s="113" t="s">
        <v>610</v>
      </c>
      <c r="J1068" s="108" t="str">
        <f t="shared" si="6"/>
        <v>2023</v>
      </c>
      <c r="K1068" s="110">
        <f t="shared" si="7"/>
        <v>7</v>
      </c>
      <c r="L1068" s="108" t="str">
        <f t="shared" si="8"/>
        <v>2023-Q3</v>
      </c>
      <c r="M1068" s="111" t="str">
        <f t="shared" si="9"/>
        <v>2023-07</v>
      </c>
      <c r="N1068" s="112" t="str">
        <f t="shared" si="10"/>
        <v>2023-H2</v>
      </c>
    </row>
    <row r="1069">
      <c r="A1069" s="113" t="s">
        <v>610</v>
      </c>
      <c r="J1069" s="108" t="str">
        <f t="shared" si="6"/>
        <v>2023</v>
      </c>
      <c r="K1069" s="110">
        <f t="shared" si="7"/>
        <v>7</v>
      </c>
      <c r="L1069" s="108" t="str">
        <f t="shared" si="8"/>
        <v>2023-Q3</v>
      </c>
      <c r="M1069" s="111" t="str">
        <f t="shared" si="9"/>
        <v>2023-07</v>
      </c>
      <c r="N1069" s="112" t="str">
        <f t="shared" si="10"/>
        <v>2023-H2</v>
      </c>
    </row>
    <row r="1070">
      <c r="A1070" s="113" t="s">
        <v>610</v>
      </c>
      <c r="J1070" s="108" t="str">
        <f t="shared" si="6"/>
        <v>2023</v>
      </c>
      <c r="K1070" s="110">
        <f t="shared" si="7"/>
        <v>7</v>
      </c>
      <c r="L1070" s="108" t="str">
        <f t="shared" si="8"/>
        <v>2023-Q3</v>
      </c>
      <c r="M1070" s="111" t="str">
        <f t="shared" si="9"/>
        <v>2023-07</v>
      </c>
      <c r="N1070" s="112" t="str">
        <f t="shared" si="10"/>
        <v>2023-H2</v>
      </c>
    </row>
    <row r="1071">
      <c r="A1071" s="113" t="s">
        <v>610</v>
      </c>
      <c r="J1071" s="108" t="str">
        <f t="shared" si="6"/>
        <v>2023</v>
      </c>
      <c r="K1071" s="110">
        <f t="shared" si="7"/>
        <v>7</v>
      </c>
      <c r="L1071" s="108" t="str">
        <f t="shared" si="8"/>
        <v>2023-Q3</v>
      </c>
      <c r="M1071" s="111" t="str">
        <f t="shared" si="9"/>
        <v>2023-07</v>
      </c>
      <c r="N1071" s="112" t="str">
        <f t="shared" si="10"/>
        <v>2023-H2</v>
      </c>
    </row>
    <row r="1072">
      <c r="A1072" s="113" t="s">
        <v>610</v>
      </c>
      <c r="J1072" s="108" t="str">
        <f t="shared" si="6"/>
        <v>2023</v>
      </c>
      <c r="K1072" s="110">
        <f t="shared" si="7"/>
        <v>8</v>
      </c>
      <c r="L1072" s="108" t="str">
        <f t="shared" si="8"/>
        <v>2023-Q3</v>
      </c>
      <c r="M1072" s="111" t="str">
        <f t="shared" si="9"/>
        <v>2023-08</v>
      </c>
      <c r="N1072" s="112" t="str">
        <f t="shared" si="10"/>
        <v>2023-H2</v>
      </c>
    </row>
    <row r="1073">
      <c r="A1073" s="113" t="s">
        <v>610</v>
      </c>
      <c r="J1073" s="108" t="str">
        <f t="shared" si="6"/>
        <v>2023</v>
      </c>
      <c r="K1073" s="110">
        <f t="shared" si="7"/>
        <v>9</v>
      </c>
      <c r="L1073" s="108" t="str">
        <f t="shared" si="8"/>
        <v>2023-Q3</v>
      </c>
      <c r="M1073" s="111" t="str">
        <f t="shared" si="9"/>
        <v>2023-09</v>
      </c>
      <c r="N1073" s="112" t="str">
        <f t="shared" si="10"/>
        <v>2023-H2</v>
      </c>
    </row>
    <row r="1074">
      <c r="A1074" s="113" t="s">
        <v>610</v>
      </c>
      <c r="J1074" s="108" t="str">
        <f t="shared" si="6"/>
        <v>2023</v>
      </c>
      <c r="K1074" s="110">
        <f t="shared" si="7"/>
        <v>8</v>
      </c>
      <c r="L1074" s="108" t="str">
        <f t="shared" si="8"/>
        <v>2023-Q3</v>
      </c>
      <c r="M1074" s="111" t="str">
        <f t="shared" si="9"/>
        <v>2023-08</v>
      </c>
      <c r="N1074" s="112" t="str">
        <f t="shared" si="10"/>
        <v>2023-H2</v>
      </c>
    </row>
    <row r="1075">
      <c r="A1075" s="113" t="s">
        <v>610</v>
      </c>
      <c r="J1075" s="108" t="str">
        <f t="shared" si="6"/>
        <v>2023</v>
      </c>
      <c r="K1075" s="110">
        <f t="shared" si="7"/>
        <v>8</v>
      </c>
      <c r="L1075" s="108" t="str">
        <f t="shared" si="8"/>
        <v>2023-Q3</v>
      </c>
      <c r="M1075" s="111" t="str">
        <f t="shared" si="9"/>
        <v>2023-08</v>
      </c>
      <c r="N1075" s="112" t="str">
        <f t="shared" si="10"/>
        <v>2023-H2</v>
      </c>
    </row>
    <row r="1076">
      <c r="A1076" s="113" t="s">
        <v>610</v>
      </c>
      <c r="J1076" s="108" t="str">
        <f t="shared" si="6"/>
        <v>2023</v>
      </c>
      <c r="K1076" s="110">
        <f t="shared" si="7"/>
        <v>8</v>
      </c>
      <c r="L1076" s="108" t="str">
        <f t="shared" si="8"/>
        <v>2023-Q3</v>
      </c>
      <c r="M1076" s="111" t="str">
        <f t="shared" si="9"/>
        <v>2023-08</v>
      </c>
      <c r="N1076" s="112" t="str">
        <f t="shared" si="10"/>
        <v>2023-H2</v>
      </c>
    </row>
    <row r="1077">
      <c r="A1077" s="113" t="s">
        <v>610</v>
      </c>
      <c r="J1077" s="108" t="str">
        <f t="shared" si="6"/>
        <v>2023</v>
      </c>
      <c r="K1077" s="110">
        <f t="shared" si="7"/>
        <v>8</v>
      </c>
      <c r="L1077" s="108" t="str">
        <f t="shared" si="8"/>
        <v>2023-Q3</v>
      </c>
      <c r="M1077" s="111" t="str">
        <f t="shared" si="9"/>
        <v>2023-08</v>
      </c>
      <c r="N1077" s="112" t="str">
        <f t="shared" si="10"/>
        <v>2023-H2</v>
      </c>
    </row>
    <row r="1078">
      <c r="A1078" s="113" t="s">
        <v>610</v>
      </c>
      <c r="J1078" s="108" t="str">
        <f t="shared" si="6"/>
        <v>2023</v>
      </c>
      <c r="K1078" s="110">
        <f t="shared" si="7"/>
        <v>8</v>
      </c>
      <c r="L1078" s="108" t="str">
        <f t="shared" si="8"/>
        <v>2023-Q3</v>
      </c>
      <c r="M1078" s="111" t="str">
        <f t="shared" si="9"/>
        <v>2023-08</v>
      </c>
      <c r="N1078" s="112" t="str">
        <f t="shared" si="10"/>
        <v>2023-H2</v>
      </c>
    </row>
    <row r="1079">
      <c r="A1079" s="113" t="s">
        <v>610</v>
      </c>
      <c r="J1079" s="108" t="str">
        <f t="shared" si="6"/>
        <v>2023</v>
      </c>
      <c r="K1079" s="110">
        <f t="shared" si="7"/>
        <v>10</v>
      </c>
      <c r="L1079" s="108" t="str">
        <f t="shared" si="8"/>
        <v>2023-Q4</v>
      </c>
      <c r="M1079" s="111" t="str">
        <f t="shared" si="9"/>
        <v>2023-10</v>
      </c>
      <c r="N1079" s="112" t="str">
        <f t="shared" si="10"/>
        <v>2023-H2</v>
      </c>
    </row>
    <row r="1080">
      <c r="A1080" s="113" t="s">
        <v>610</v>
      </c>
      <c r="J1080" s="108" t="str">
        <f t="shared" si="6"/>
        <v>2023</v>
      </c>
      <c r="K1080" s="110">
        <f t="shared" si="7"/>
        <v>8</v>
      </c>
      <c r="L1080" s="108" t="str">
        <f t="shared" si="8"/>
        <v>2023-Q3</v>
      </c>
      <c r="M1080" s="111" t="str">
        <f t="shared" si="9"/>
        <v>2023-08</v>
      </c>
      <c r="N1080" s="112" t="str">
        <f t="shared" si="10"/>
        <v>2023-H2</v>
      </c>
    </row>
    <row r="1081">
      <c r="A1081" s="113" t="s">
        <v>610</v>
      </c>
      <c r="J1081" s="108" t="str">
        <f t="shared" si="6"/>
        <v>2023</v>
      </c>
      <c r="K1081" s="110">
        <f t="shared" si="7"/>
        <v>8</v>
      </c>
      <c r="L1081" s="108" t="str">
        <f t="shared" si="8"/>
        <v>2023-Q3</v>
      </c>
      <c r="M1081" s="111" t="str">
        <f t="shared" si="9"/>
        <v>2023-08</v>
      </c>
      <c r="N1081" s="112" t="str">
        <f t="shared" si="10"/>
        <v>2023-H2</v>
      </c>
    </row>
    <row r="1082">
      <c r="A1082" s="113" t="s">
        <v>610</v>
      </c>
      <c r="J1082" s="108" t="str">
        <f t="shared" si="6"/>
        <v>2023</v>
      </c>
      <c r="K1082" s="110">
        <f t="shared" si="7"/>
        <v>8</v>
      </c>
      <c r="L1082" s="108" t="str">
        <f t="shared" si="8"/>
        <v>2023-Q3</v>
      </c>
      <c r="M1082" s="111" t="str">
        <f t="shared" si="9"/>
        <v>2023-08</v>
      </c>
      <c r="N1082" s="112" t="str">
        <f t="shared" si="10"/>
        <v>2023-H2</v>
      </c>
    </row>
    <row r="1083">
      <c r="A1083" s="113" t="s">
        <v>610</v>
      </c>
      <c r="J1083" s="108" t="str">
        <f t="shared" si="6"/>
        <v>2023</v>
      </c>
      <c r="K1083" s="110">
        <f t="shared" si="7"/>
        <v>8</v>
      </c>
      <c r="L1083" s="108" t="str">
        <f t="shared" si="8"/>
        <v>2023-Q3</v>
      </c>
      <c r="M1083" s="111" t="str">
        <f t="shared" si="9"/>
        <v>2023-08</v>
      </c>
      <c r="N1083" s="112" t="str">
        <f t="shared" si="10"/>
        <v>2023-H2</v>
      </c>
    </row>
    <row r="1084">
      <c r="A1084" s="113" t="s">
        <v>610</v>
      </c>
      <c r="J1084" s="108" t="str">
        <f t="shared" si="6"/>
        <v>2023</v>
      </c>
      <c r="K1084" s="110">
        <f t="shared" si="7"/>
        <v>8</v>
      </c>
      <c r="L1084" s="108" t="str">
        <f t="shared" si="8"/>
        <v>2023-Q3</v>
      </c>
      <c r="M1084" s="111" t="str">
        <f t="shared" si="9"/>
        <v>2023-08</v>
      </c>
      <c r="N1084" s="112" t="str">
        <f t="shared" si="10"/>
        <v>2023-H2</v>
      </c>
    </row>
    <row r="1085">
      <c r="A1085" s="113" t="s">
        <v>610</v>
      </c>
      <c r="J1085" s="108" t="str">
        <f t="shared" si="6"/>
        <v>2023</v>
      </c>
      <c r="K1085" s="110">
        <f t="shared" si="7"/>
        <v>8</v>
      </c>
      <c r="L1085" s="108" t="str">
        <f t="shared" si="8"/>
        <v>2023-Q3</v>
      </c>
      <c r="M1085" s="111" t="str">
        <f t="shared" si="9"/>
        <v>2023-08</v>
      </c>
      <c r="N1085" s="112" t="str">
        <f t="shared" si="10"/>
        <v>2023-H2</v>
      </c>
    </row>
    <row r="1086">
      <c r="A1086" s="113" t="s">
        <v>610</v>
      </c>
      <c r="J1086" s="108" t="str">
        <f t="shared" si="6"/>
        <v>2023</v>
      </c>
      <c r="K1086" s="110">
        <f t="shared" si="7"/>
        <v>8</v>
      </c>
      <c r="L1086" s="108" t="str">
        <f t="shared" si="8"/>
        <v>2023-Q3</v>
      </c>
      <c r="M1086" s="111" t="str">
        <f t="shared" si="9"/>
        <v>2023-08</v>
      </c>
      <c r="N1086" s="112" t="str">
        <f t="shared" si="10"/>
        <v>2023-H2</v>
      </c>
    </row>
    <row r="1087">
      <c r="A1087" s="113" t="s">
        <v>610</v>
      </c>
      <c r="J1087" s="108" t="str">
        <f t="shared" si="6"/>
        <v>2023</v>
      </c>
      <c r="K1087" s="110">
        <f t="shared" si="7"/>
        <v>8</v>
      </c>
      <c r="L1087" s="108" t="str">
        <f t="shared" si="8"/>
        <v>2023-Q3</v>
      </c>
      <c r="M1087" s="111" t="str">
        <f t="shared" si="9"/>
        <v>2023-08</v>
      </c>
      <c r="N1087" s="112" t="str">
        <f t="shared" si="10"/>
        <v>2023-H2</v>
      </c>
    </row>
    <row r="1088">
      <c r="A1088" s="113" t="s">
        <v>610</v>
      </c>
      <c r="J1088" s="108" t="str">
        <f t="shared" si="6"/>
        <v>2023</v>
      </c>
      <c r="K1088" s="110">
        <f t="shared" si="7"/>
        <v>8</v>
      </c>
      <c r="L1088" s="108" t="str">
        <f t="shared" si="8"/>
        <v>2023-Q3</v>
      </c>
      <c r="M1088" s="111" t="str">
        <f t="shared" si="9"/>
        <v>2023-08</v>
      </c>
      <c r="N1088" s="112" t="str">
        <f t="shared" si="10"/>
        <v>2023-H2</v>
      </c>
    </row>
    <row r="1089">
      <c r="A1089" s="113" t="s">
        <v>610</v>
      </c>
      <c r="J1089" s="108" t="str">
        <f t="shared" si="6"/>
        <v>2023</v>
      </c>
      <c r="K1089" s="110">
        <f t="shared" si="7"/>
        <v>8</v>
      </c>
      <c r="L1089" s="108" t="str">
        <f t="shared" si="8"/>
        <v>2023-Q3</v>
      </c>
      <c r="M1089" s="111" t="str">
        <f t="shared" si="9"/>
        <v>2023-08</v>
      </c>
      <c r="N1089" s="112" t="str">
        <f t="shared" si="10"/>
        <v>2023-H2</v>
      </c>
    </row>
    <row r="1090">
      <c r="A1090" s="113" t="s">
        <v>610</v>
      </c>
      <c r="J1090" s="108" t="str">
        <f t="shared" si="6"/>
        <v>2023</v>
      </c>
      <c r="K1090" s="110">
        <f t="shared" si="7"/>
        <v>8</v>
      </c>
      <c r="L1090" s="108" t="str">
        <f t="shared" si="8"/>
        <v>2023-Q3</v>
      </c>
      <c r="M1090" s="111" t="str">
        <f t="shared" si="9"/>
        <v>2023-08</v>
      </c>
      <c r="N1090" s="112" t="str">
        <f t="shared" si="10"/>
        <v>2023-H2</v>
      </c>
    </row>
    <row r="1091">
      <c r="A1091" s="113" t="s">
        <v>610</v>
      </c>
      <c r="J1091" s="108" t="str">
        <f t="shared" si="6"/>
        <v>2023</v>
      </c>
      <c r="K1091" s="110">
        <f t="shared" si="7"/>
        <v>8</v>
      </c>
      <c r="L1091" s="108" t="str">
        <f t="shared" si="8"/>
        <v>2023-Q3</v>
      </c>
      <c r="M1091" s="111" t="str">
        <f t="shared" si="9"/>
        <v>2023-08</v>
      </c>
      <c r="N1091" s="112" t="str">
        <f t="shared" si="10"/>
        <v>2023-H2</v>
      </c>
    </row>
    <row r="1092">
      <c r="A1092" s="113" t="s">
        <v>610</v>
      </c>
      <c r="J1092" s="108" t="str">
        <f t="shared" si="6"/>
        <v>2023</v>
      </c>
      <c r="K1092" s="110">
        <f t="shared" si="7"/>
        <v>8</v>
      </c>
      <c r="L1092" s="108" t="str">
        <f t="shared" si="8"/>
        <v>2023-Q3</v>
      </c>
      <c r="M1092" s="111" t="str">
        <f t="shared" si="9"/>
        <v>2023-08</v>
      </c>
      <c r="N1092" s="112" t="str">
        <f t="shared" si="10"/>
        <v>2023-H2</v>
      </c>
    </row>
    <row r="1093">
      <c r="A1093" s="113" t="s">
        <v>610</v>
      </c>
      <c r="J1093" s="108" t="str">
        <f t="shared" si="6"/>
        <v>2023</v>
      </c>
      <c r="K1093" s="110">
        <f t="shared" si="7"/>
        <v>8</v>
      </c>
      <c r="L1093" s="108" t="str">
        <f t="shared" si="8"/>
        <v>2023-Q3</v>
      </c>
      <c r="M1093" s="111" t="str">
        <f t="shared" si="9"/>
        <v>2023-08</v>
      </c>
      <c r="N1093" s="112" t="str">
        <f t="shared" si="10"/>
        <v>2023-H2</v>
      </c>
    </row>
    <row r="1094">
      <c r="A1094" s="113" t="s">
        <v>610</v>
      </c>
      <c r="J1094" s="108" t="str">
        <f t="shared" si="6"/>
        <v>2023</v>
      </c>
      <c r="K1094" s="110">
        <f t="shared" si="7"/>
        <v>8</v>
      </c>
      <c r="L1094" s="108" t="str">
        <f t="shared" si="8"/>
        <v>2023-Q3</v>
      </c>
      <c r="M1094" s="111" t="str">
        <f t="shared" si="9"/>
        <v>2023-08</v>
      </c>
      <c r="N1094" s="112" t="str">
        <f t="shared" si="10"/>
        <v>2023-H2</v>
      </c>
    </row>
    <row r="1095">
      <c r="A1095" s="113" t="s">
        <v>610</v>
      </c>
      <c r="J1095" s="108" t="str">
        <f t="shared" si="6"/>
        <v>2023</v>
      </c>
      <c r="K1095" s="110">
        <f t="shared" si="7"/>
        <v>8</v>
      </c>
      <c r="L1095" s="108" t="str">
        <f t="shared" si="8"/>
        <v>2023-Q3</v>
      </c>
      <c r="M1095" s="111" t="str">
        <f t="shared" si="9"/>
        <v>2023-08</v>
      </c>
      <c r="N1095" s="112" t="str">
        <f t="shared" si="10"/>
        <v>2023-H2</v>
      </c>
    </row>
    <row r="1096">
      <c r="A1096" s="113" t="s">
        <v>610</v>
      </c>
      <c r="J1096" s="108" t="str">
        <f t="shared" si="6"/>
        <v>2023</v>
      </c>
      <c r="K1096" s="110">
        <f t="shared" si="7"/>
        <v>8</v>
      </c>
      <c r="L1096" s="108" t="str">
        <f t="shared" si="8"/>
        <v>2023-Q3</v>
      </c>
      <c r="M1096" s="111" t="str">
        <f t="shared" si="9"/>
        <v>2023-08</v>
      </c>
      <c r="N1096" s="112" t="str">
        <f t="shared" si="10"/>
        <v>2023-H2</v>
      </c>
    </row>
    <row r="1097">
      <c r="A1097" s="113" t="s">
        <v>610</v>
      </c>
      <c r="J1097" s="108" t="str">
        <f t="shared" si="6"/>
        <v>2023</v>
      </c>
      <c r="K1097" s="110">
        <f t="shared" si="7"/>
        <v>8</v>
      </c>
      <c r="L1097" s="108" t="str">
        <f t="shared" si="8"/>
        <v>2023-Q3</v>
      </c>
      <c r="M1097" s="111" t="str">
        <f t="shared" si="9"/>
        <v>2023-08</v>
      </c>
      <c r="N1097" s="112" t="str">
        <f t="shared" si="10"/>
        <v>2023-H2</v>
      </c>
    </row>
    <row r="1098">
      <c r="A1098" s="113" t="s">
        <v>610</v>
      </c>
      <c r="J1098" s="108" t="str">
        <f t="shared" si="6"/>
        <v>2023</v>
      </c>
      <c r="K1098" s="110">
        <f t="shared" si="7"/>
        <v>8</v>
      </c>
      <c r="L1098" s="108" t="str">
        <f t="shared" si="8"/>
        <v>2023-Q3</v>
      </c>
      <c r="M1098" s="111" t="str">
        <f t="shared" si="9"/>
        <v>2023-08</v>
      </c>
      <c r="N1098" s="112" t="str">
        <f t="shared" si="10"/>
        <v>2023-H2</v>
      </c>
    </row>
    <row r="1099">
      <c r="A1099" s="113" t="s">
        <v>610</v>
      </c>
      <c r="J1099" s="108" t="str">
        <f t="shared" si="6"/>
        <v>2023</v>
      </c>
      <c r="K1099" s="110">
        <f t="shared" si="7"/>
        <v>8</v>
      </c>
      <c r="L1099" s="108" t="str">
        <f t="shared" si="8"/>
        <v>2023-Q3</v>
      </c>
      <c r="M1099" s="111" t="str">
        <f t="shared" si="9"/>
        <v>2023-08</v>
      </c>
      <c r="N1099" s="112" t="str">
        <f t="shared" si="10"/>
        <v>2023-H2</v>
      </c>
    </row>
    <row r="1100">
      <c r="A1100" s="113" t="s">
        <v>610</v>
      </c>
      <c r="J1100" s="108" t="str">
        <f t="shared" si="6"/>
        <v>2023</v>
      </c>
      <c r="K1100" s="110">
        <f t="shared" si="7"/>
        <v>8</v>
      </c>
      <c r="L1100" s="108" t="str">
        <f t="shared" si="8"/>
        <v>2023-Q3</v>
      </c>
      <c r="M1100" s="111" t="str">
        <f t="shared" si="9"/>
        <v>2023-08</v>
      </c>
      <c r="N1100" s="112" t="str">
        <f t="shared" si="10"/>
        <v>2023-H2</v>
      </c>
    </row>
    <row r="1101">
      <c r="A1101" s="113" t="s">
        <v>610</v>
      </c>
      <c r="J1101" s="108" t="str">
        <f t="shared" si="6"/>
        <v>2023</v>
      </c>
      <c r="K1101" s="110">
        <f t="shared" si="7"/>
        <v>8</v>
      </c>
      <c r="L1101" s="108" t="str">
        <f t="shared" si="8"/>
        <v>2023-Q3</v>
      </c>
      <c r="M1101" s="111" t="str">
        <f t="shared" si="9"/>
        <v>2023-08</v>
      </c>
      <c r="N1101" s="112" t="str">
        <f t="shared" si="10"/>
        <v>2023-H2</v>
      </c>
    </row>
    <row r="1102">
      <c r="A1102" s="113" t="s">
        <v>610</v>
      </c>
      <c r="J1102" s="108" t="str">
        <f t="shared" si="6"/>
        <v>2023</v>
      </c>
      <c r="K1102" s="110">
        <f t="shared" si="7"/>
        <v>8</v>
      </c>
      <c r="L1102" s="108" t="str">
        <f t="shared" si="8"/>
        <v>2023-Q3</v>
      </c>
      <c r="M1102" s="111" t="str">
        <f t="shared" si="9"/>
        <v>2023-08</v>
      </c>
      <c r="N1102" s="112" t="str">
        <f t="shared" si="10"/>
        <v>2023-H2</v>
      </c>
    </row>
    <row r="1103">
      <c r="A1103" s="113" t="s">
        <v>610</v>
      </c>
      <c r="J1103" s="108" t="str">
        <f t="shared" si="6"/>
        <v>2023</v>
      </c>
      <c r="K1103" s="110">
        <f t="shared" si="7"/>
        <v>8</v>
      </c>
      <c r="L1103" s="108" t="str">
        <f t="shared" si="8"/>
        <v>2023-Q3</v>
      </c>
      <c r="M1103" s="111" t="str">
        <f t="shared" si="9"/>
        <v>2023-08</v>
      </c>
      <c r="N1103" s="112" t="str">
        <f t="shared" si="10"/>
        <v>2023-H2</v>
      </c>
    </row>
    <row r="1104">
      <c r="A1104" s="113" t="s">
        <v>610</v>
      </c>
      <c r="J1104" s="108" t="str">
        <f t="shared" si="6"/>
        <v>2023</v>
      </c>
      <c r="K1104" s="110">
        <f t="shared" si="7"/>
        <v>8</v>
      </c>
      <c r="L1104" s="108" t="str">
        <f t="shared" si="8"/>
        <v>2023-Q3</v>
      </c>
      <c r="M1104" s="111" t="str">
        <f t="shared" si="9"/>
        <v>2023-08</v>
      </c>
      <c r="N1104" s="112" t="str">
        <f t="shared" si="10"/>
        <v>2023-H2</v>
      </c>
    </row>
    <row r="1105">
      <c r="A1105" s="113" t="s">
        <v>610</v>
      </c>
      <c r="J1105" s="108" t="str">
        <f t="shared" si="6"/>
        <v>2023</v>
      </c>
      <c r="K1105" s="110">
        <f t="shared" si="7"/>
        <v>8</v>
      </c>
      <c r="L1105" s="108" t="str">
        <f t="shared" si="8"/>
        <v>2023-Q3</v>
      </c>
      <c r="M1105" s="111" t="str">
        <f t="shared" si="9"/>
        <v>2023-08</v>
      </c>
      <c r="N1105" s="112" t="str">
        <f t="shared" si="10"/>
        <v>2023-H2</v>
      </c>
    </row>
    <row r="1106">
      <c r="A1106" s="113" t="s">
        <v>610</v>
      </c>
      <c r="J1106" s="108" t="str">
        <f t="shared" si="6"/>
        <v>2023</v>
      </c>
      <c r="K1106" s="110">
        <f t="shared" si="7"/>
        <v>8</v>
      </c>
      <c r="L1106" s="108" t="str">
        <f t="shared" si="8"/>
        <v>2023-Q3</v>
      </c>
      <c r="M1106" s="111" t="str">
        <f t="shared" si="9"/>
        <v>2023-08</v>
      </c>
      <c r="N1106" s="112" t="str">
        <f t="shared" si="10"/>
        <v>2023-H2</v>
      </c>
    </row>
    <row r="1107">
      <c r="A1107" s="113" t="s">
        <v>610</v>
      </c>
      <c r="J1107" s="108" t="str">
        <f t="shared" si="6"/>
        <v>2023</v>
      </c>
      <c r="K1107" s="110">
        <f t="shared" si="7"/>
        <v>8</v>
      </c>
      <c r="L1107" s="108" t="str">
        <f t="shared" si="8"/>
        <v>2023-Q3</v>
      </c>
      <c r="M1107" s="111" t="str">
        <f t="shared" si="9"/>
        <v>2023-08</v>
      </c>
      <c r="N1107" s="112" t="str">
        <f t="shared" si="10"/>
        <v>2023-H2</v>
      </c>
    </row>
    <row r="1108">
      <c r="A1108" s="113" t="s">
        <v>610</v>
      </c>
      <c r="J1108" s="108" t="str">
        <f t="shared" si="6"/>
        <v>2023</v>
      </c>
      <c r="K1108" s="110">
        <f t="shared" si="7"/>
        <v>8</v>
      </c>
      <c r="L1108" s="108" t="str">
        <f t="shared" si="8"/>
        <v>2023-Q3</v>
      </c>
      <c r="M1108" s="111" t="str">
        <f t="shared" si="9"/>
        <v>2023-08</v>
      </c>
      <c r="N1108" s="112" t="str">
        <f t="shared" si="10"/>
        <v>2023-H2</v>
      </c>
    </row>
    <row r="1109">
      <c r="A1109" s="113" t="s">
        <v>610</v>
      </c>
      <c r="J1109" s="108" t="str">
        <f t="shared" si="6"/>
        <v>2023</v>
      </c>
      <c r="K1109" s="110">
        <f t="shared" si="7"/>
        <v>10</v>
      </c>
      <c r="L1109" s="108" t="str">
        <f t="shared" si="8"/>
        <v>2023-Q4</v>
      </c>
      <c r="M1109" s="111" t="str">
        <f t="shared" si="9"/>
        <v>2023-10</v>
      </c>
      <c r="N1109" s="112" t="str">
        <f t="shared" si="10"/>
        <v>2023-H2</v>
      </c>
    </row>
    <row r="1110">
      <c r="A1110" s="113" t="s">
        <v>610</v>
      </c>
      <c r="J1110" s="108" t="str">
        <f t="shared" si="6"/>
        <v>2023</v>
      </c>
      <c r="K1110" s="110">
        <f t="shared" si="7"/>
        <v>9</v>
      </c>
      <c r="L1110" s="108" t="str">
        <f t="shared" si="8"/>
        <v>2023-Q3</v>
      </c>
      <c r="M1110" s="111" t="str">
        <f t="shared" si="9"/>
        <v>2023-09</v>
      </c>
      <c r="N1110" s="112" t="str">
        <f t="shared" si="10"/>
        <v>2023-H2</v>
      </c>
    </row>
    <row r="1111">
      <c r="A1111" s="113" t="s">
        <v>610</v>
      </c>
      <c r="J1111" s="108" t="str">
        <f t="shared" si="6"/>
        <v>2023</v>
      </c>
      <c r="K1111" s="110">
        <f t="shared" si="7"/>
        <v>9</v>
      </c>
      <c r="L1111" s="108" t="str">
        <f t="shared" si="8"/>
        <v>2023-Q3</v>
      </c>
      <c r="M1111" s="111" t="str">
        <f t="shared" si="9"/>
        <v>2023-09</v>
      </c>
      <c r="N1111" s="112" t="str">
        <f t="shared" si="10"/>
        <v>2023-H2</v>
      </c>
    </row>
    <row r="1112">
      <c r="A1112" s="113" t="s">
        <v>610</v>
      </c>
      <c r="J1112" s="108" t="str">
        <f t="shared" si="6"/>
        <v>2023</v>
      </c>
      <c r="K1112" s="110">
        <f t="shared" si="7"/>
        <v>10</v>
      </c>
      <c r="L1112" s="108" t="str">
        <f t="shared" si="8"/>
        <v>2023-Q4</v>
      </c>
      <c r="M1112" s="111" t="str">
        <f t="shared" si="9"/>
        <v>2023-10</v>
      </c>
      <c r="N1112" s="112" t="str">
        <f t="shared" si="10"/>
        <v>2023-H2</v>
      </c>
    </row>
    <row r="1113">
      <c r="A1113" s="113" t="s">
        <v>610</v>
      </c>
      <c r="J1113" s="108" t="str">
        <f t="shared" si="6"/>
        <v>2023</v>
      </c>
      <c r="K1113" s="110">
        <f t="shared" si="7"/>
        <v>9</v>
      </c>
      <c r="L1113" s="108" t="str">
        <f t="shared" si="8"/>
        <v>2023-Q3</v>
      </c>
      <c r="M1113" s="111" t="str">
        <f t="shared" si="9"/>
        <v>2023-09</v>
      </c>
      <c r="N1113" s="112" t="str">
        <f t="shared" si="10"/>
        <v>2023-H2</v>
      </c>
    </row>
    <row r="1114">
      <c r="A1114" s="113" t="s">
        <v>610</v>
      </c>
      <c r="J1114" s="108" t="str">
        <f t="shared" si="6"/>
        <v>2023</v>
      </c>
      <c r="K1114" s="110">
        <f t="shared" si="7"/>
        <v>9</v>
      </c>
      <c r="L1114" s="108" t="str">
        <f t="shared" si="8"/>
        <v>2023-Q3</v>
      </c>
      <c r="M1114" s="111" t="str">
        <f t="shared" si="9"/>
        <v>2023-09</v>
      </c>
      <c r="N1114" s="112" t="str">
        <f t="shared" si="10"/>
        <v>2023-H2</v>
      </c>
    </row>
    <row r="1115">
      <c r="A1115" s="113" t="s">
        <v>610</v>
      </c>
      <c r="J1115" s="108" t="str">
        <f t="shared" si="6"/>
        <v>2023</v>
      </c>
      <c r="K1115" s="110">
        <f t="shared" si="7"/>
        <v>9</v>
      </c>
      <c r="L1115" s="108" t="str">
        <f t="shared" si="8"/>
        <v>2023-Q3</v>
      </c>
      <c r="M1115" s="111" t="str">
        <f t="shared" si="9"/>
        <v>2023-09</v>
      </c>
      <c r="N1115" s="112" t="str">
        <f t="shared" si="10"/>
        <v>2023-H2</v>
      </c>
    </row>
    <row r="1116">
      <c r="A1116" s="113" t="s">
        <v>610</v>
      </c>
      <c r="J1116" s="108" t="str">
        <f t="shared" si="6"/>
        <v>2023</v>
      </c>
      <c r="K1116" s="110">
        <f t="shared" si="7"/>
        <v>9</v>
      </c>
      <c r="L1116" s="108" t="str">
        <f t="shared" si="8"/>
        <v>2023-Q3</v>
      </c>
      <c r="M1116" s="111" t="str">
        <f t="shared" si="9"/>
        <v>2023-09</v>
      </c>
      <c r="N1116" s="112" t="str">
        <f t="shared" si="10"/>
        <v>2023-H2</v>
      </c>
    </row>
    <row r="1117">
      <c r="A1117" s="113" t="s">
        <v>610</v>
      </c>
      <c r="J1117" s="108" t="str">
        <f t="shared" si="6"/>
        <v>2023</v>
      </c>
      <c r="K1117" s="110">
        <f t="shared" si="7"/>
        <v>9</v>
      </c>
      <c r="L1117" s="108" t="str">
        <f t="shared" si="8"/>
        <v>2023-Q3</v>
      </c>
      <c r="M1117" s="111" t="str">
        <f t="shared" si="9"/>
        <v>2023-09</v>
      </c>
      <c r="N1117" s="112" t="str">
        <f t="shared" si="10"/>
        <v>2023-H2</v>
      </c>
    </row>
    <row r="1118">
      <c r="A1118" s="113" t="s">
        <v>610</v>
      </c>
      <c r="J1118" s="108" t="str">
        <f t="shared" si="6"/>
        <v>2023</v>
      </c>
      <c r="K1118" s="110">
        <f t="shared" si="7"/>
        <v>9</v>
      </c>
      <c r="L1118" s="108" t="str">
        <f t="shared" si="8"/>
        <v>2023-Q3</v>
      </c>
      <c r="M1118" s="111" t="str">
        <f t="shared" si="9"/>
        <v>2023-09</v>
      </c>
      <c r="N1118" s="112" t="str">
        <f t="shared" si="10"/>
        <v>2023-H2</v>
      </c>
    </row>
    <row r="1119">
      <c r="A1119" s="113" t="s">
        <v>610</v>
      </c>
      <c r="J1119" s="108" t="str">
        <f t="shared" si="6"/>
        <v>2023</v>
      </c>
      <c r="K1119" s="110">
        <f t="shared" si="7"/>
        <v>9</v>
      </c>
      <c r="L1119" s="108" t="str">
        <f t="shared" si="8"/>
        <v>2023-Q3</v>
      </c>
      <c r="M1119" s="111" t="str">
        <f t="shared" si="9"/>
        <v>2023-09</v>
      </c>
      <c r="N1119" s="112" t="str">
        <f t="shared" si="10"/>
        <v>2023-H2</v>
      </c>
    </row>
    <row r="1120">
      <c r="A1120" s="113" t="s">
        <v>610</v>
      </c>
      <c r="J1120" s="108" t="str">
        <f t="shared" si="6"/>
        <v>2023</v>
      </c>
      <c r="K1120" s="110">
        <f t="shared" si="7"/>
        <v>9</v>
      </c>
      <c r="L1120" s="108" t="str">
        <f t="shared" si="8"/>
        <v>2023-Q3</v>
      </c>
      <c r="M1120" s="111" t="str">
        <f t="shared" si="9"/>
        <v>2023-09</v>
      </c>
      <c r="N1120" s="112" t="str">
        <f t="shared" si="10"/>
        <v>2023-H2</v>
      </c>
    </row>
    <row r="1121">
      <c r="A1121" s="113" t="s">
        <v>610</v>
      </c>
      <c r="J1121" s="108" t="str">
        <f t="shared" si="6"/>
        <v>2023</v>
      </c>
      <c r="K1121" s="110">
        <f t="shared" si="7"/>
        <v>9</v>
      </c>
      <c r="L1121" s="108" t="str">
        <f t="shared" si="8"/>
        <v>2023-Q3</v>
      </c>
      <c r="M1121" s="111" t="str">
        <f t="shared" si="9"/>
        <v>2023-09</v>
      </c>
      <c r="N1121" s="112" t="str">
        <f t="shared" si="10"/>
        <v>2023-H2</v>
      </c>
    </row>
    <row r="1122">
      <c r="A1122" s="113" t="s">
        <v>610</v>
      </c>
      <c r="J1122" s="108" t="str">
        <f t="shared" si="6"/>
        <v>2023</v>
      </c>
      <c r="K1122" s="110">
        <f t="shared" si="7"/>
        <v>9</v>
      </c>
      <c r="L1122" s="108" t="str">
        <f t="shared" si="8"/>
        <v>2023-Q3</v>
      </c>
      <c r="M1122" s="111" t="str">
        <f t="shared" si="9"/>
        <v>2023-09</v>
      </c>
      <c r="N1122" s="112" t="str">
        <f t="shared" si="10"/>
        <v>2023-H2</v>
      </c>
    </row>
    <row r="1123">
      <c r="A1123" s="113" t="s">
        <v>610</v>
      </c>
      <c r="J1123" s="108" t="str">
        <f t="shared" si="6"/>
        <v>2023</v>
      </c>
      <c r="K1123" s="110">
        <f t="shared" si="7"/>
        <v>9</v>
      </c>
      <c r="L1123" s="108" t="str">
        <f t="shared" si="8"/>
        <v>2023-Q3</v>
      </c>
      <c r="M1123" s="111" t="str">
        <f t="shared" si="9"/>
        <v>2023-09</v>
      </c>
      <c r="N1123" s="112" t="str">
        <f t="shared" si="10"/>
        <v>2023-H2</v>
      </c>
    </row>
    <row r="1124">
      <c r="A1124" s="113" t="s">
        <v>610</v>
      </c>
      <c r="J1124" s="108" t="str">
        <f t="shared" si="6"/>
        <v>2023</v>
      </c>
      <c r="K1124" s="110">
        <f t="shared" si="7"/>
        <v>9</v>
      </c>
      <c r="L1124" s="108" t="str">
        <f t="shared" si="8"/>
        <v>2023-Q3</v>
      </c>
      <c r="M1124" s="111" t="str">
        <f t="shared" si="9"/>
        <v>2023-09</v>
      </c>
      <c r="N1124" s="112" t="str">
        <f t="shared" si="10"/>
        <v>2023-H2</v>
      </c>
    </row>
    <row r="1125">
      <c r="A1125" s="113" t="s">
        <v>610</v>
      </c>
      <c r="J1125" s="108" t="str">
        <f t="shared" si="6"/>
        <v>2023</v>
      </c>
      <c r="K1125" s="110">
        <f t="shared" si="7"/>
        <v>9</v>
      </c>
      <c r="L1125" s="108" t="str">
        <f t="shared" si="8"/>
        <v>2023-Q3</v>
      </c>
      <c r="M1125" s="111" t="str">
        <f t="shared" si="9"/>
        <v>2023-09</v>
      </c>
      <c r="N1125" s="112" t="str">
        <f t="shared" si="10"/>
        <v>2023-H2</v>
      </c>
    </row>
    <row r="1126">
      <c r="A1126" s="113" t="s">
        <v>610</v>
      </c>
      <c r="J1126" s="108" t="str">
        <f t="shared" si="6"/>
        <v>2023</v>
      </c>
      <c r="K1126" s="110">
        <f t="shared" si="7"/>
        <v>9</v>
      </c>
      <c r="L1126" s="108" t="str">
        <f t="shared" si="8"/>
        <v>2023-Q3</v>
      </c>
      <c r="M1126" s="111" t="str">
        <f t="shared" si="9"/>
        <v>2023-09</v>
      </c>
      <c r="N1126" s="112" t="str">
        <f t="shared" si="10"/>
        <v>2023-H2</v>
      </c>
    </row>
    <row r="1127">
      <c r="A1127" s="113" t="s">
        <v>610</v>
      </c>
      <c r="J1127" s="108" t="str">
        <f t="shared" si="6"/>
        <v>2023</v>
      </c>
      <c r="K1127" s="110">
        <f t="shared" si="7"/>
        <v>9</v>
      </c>
      <c r="L1127" s="108" t="str">
        <f t="shared" si="8"/>
        <v>2023-Q3</v>
      </c>
      <c r="M1127" s="111" t="str">
        <f t="shared" si="9"/>
        <v>2023-09</v>
      </c>
      <c r="N1127" s="112" t="str">
        <f t="shared" si="10"/>
        <v>2023-H2</v>
      </c>
    </row>
    <row r="1128">
      <c r="A1128" s="113" t="s">
        <v>610</v>
      </c>
      <c r="J1128" s="108" t="str">
        <f t="shared" si="6"/>
        <v>2023</v>
      </c>
      <c r="K1128" s="110">
        <f t="shared" si="7"/>
        <v>9</v>
      </c>
      <c r="L1128" s="108" t="str">
        <f t="shared" si="8"/>
        <v>2023-Q3</v>
      </c>
      <c r="M1128" s="111" t="str">
        <f t="shared" si="9"/>
        <v>2023-09</v>
      </c>
      <c r="N1128" s="112" t="str">
        <f t="shared" si="10"/>
        <v>2023-H2</v>
      </c>
    </row>
    <row r="1129">
      <c r="A1129" s="113" t="s">
        <v>610</v>
      </c>
      <c r="J1129" s="108" t="str">
        <f t="shared" si="6"/>
        <v>2023</v>
      </c>
      <c r="K1129" s="110">
        <f t="shared" si="7"/>
        <v>9</v>
      </c>
      <c r="L1129" s="108" t="str">
        <f t="shared" si="8"/>
        <v>2023-Q3</v>
      </c>
      <c r="M1129" s="111" t="str">
        <f t="shared" si="9"/>
        <v>2023-09</v>
      </c>
      <c r="N1129" s="112" t="str">
        <f t="shared" si="10"/>
        <v>2023-H2</v>
      </c>
    </row>
    <row r="1130">
      <c r="A1130" s="113" t="s">
        <v>610</v>
      </c>
      <c r="J1130" s="108" t="str">
        <f t="shared" si="6"/>
        <v>2023</v>
      </c>
      <c r="K1130" s="110">
        <f t="shared" si="7"/>
        <v>9</v>
      </c>
      <c r="L1130" s="108" t="str">
        <f t="shared" si="8"/>
        <v>2023-Q3</v>
      </c>
      <c r="M1130" s="111" t="str">
        <f t="shared" si="9"/>
        <v>2023-09</v>
      </c>
      <c r="N1130" s="112" t="str">
        <f t="shared" si="10"/>
        <v>2023-H2</v>
      </c>
    </row>
    <row r="1131">
      <c r="A1131" s="113" t="s">
        <v>610</v>
      </c>
      <c r="J1131" s="108" t="str">
        <f t="shared" si="6"/>
        <v>2023</v>
      </c>
      <c r="K1131" s="110">
        <f t="shared" si="7"/>
        <v>9</v>
      </c>
      <c r="L1131" s="108" t="str">
        <f t="shared" si="8"/>
        <v>2023-Q3</v>
      </c>
      <c r="M1131" s="111" t="str">
        <f t="shared" si="9"/>
        <v>2023-09</v>
      </c>
      <c r="N1131" s="112" t="str">
        <f t="shared" si="10"/>
        <v>2023-H2</v>
      </c>
    </row>
    <row r="1132">
      <c r="A1132" s="113" t="s">
        <v>610</v>
      </c>
      <c r="J1132" s="108" t="str">
        <f t="shared" si="6"/>
        <v>2023</v>
      </c>
      <c r="K1132" s="110">
        <f t="shared" si="7"/>
        <v>9</v>
      </c>
      <c r="L1132" s="108" t="str">
        <f t="shared" si="8"/>
        <v>2023-Q3</v>
      </c>
      <c r="M1132" s="111" t="str">
        <f t="shared" si="9"/>
        <v>2023-09</v>
      </c>
      <c r="N1132" s="112" t="str">
        <f t="shared" si="10"/>
        <v>2023-H2</v>
      </c>
    </row>
    <row r="1133">
      <c r="A1133" s="113" t="s">
        <v>610</v>
      </c>
      <c r="J1133" s="108" t="str">
        <f t="shared" si="6"/>
        <v>2023</v>
      </c>
      <c r="K1133" s="110">
        <f t="shared" si="7"/>
        <v>9</v>
      </c>
      <c r="L1133" s="108" t="str">
        <f t="shared" si="8"/>
        <v>2023-Q3</v>
      </c>
      <c r="M1133" s="111" t="str">
        <f t="shared" si="9"/>
        <v>2023-09</v>
      </c>
      <c r="N1133" s="112" t="str">
        <f t="shared" si="10"/>
        <v>2023-H2</v>
      </c>
    </row>
    <row r="1134">
      <c r="A1134" s="113" t="s">
        <v>610</v>
      </c>
      <c r="J1134" s="108" t="str">
        <f t="shared" si="6"/>
        <v>2023</v>
      </c>
      <c r="K1134" s="110">
        <f t="shared" si="7"/>
        <v>9</v>
      </c>
      <c r="L1134" s="108" t="str">
        <f t="shared" si="8"/>
        <v>2023-Q3</v>
      </c>
      <c r="M1134" s="111" t="str">
        <f t="shared" si="9"/>
        <v>2023-09</v>
      </c>
      <c r="N1134" s="112" t="str">
        <f t="shared" si="10"/>
        <v>2023-H2</v>
      </c>
    </row>
    <row r="1135">
      <c r="A1135" s="113" t="s">
        <v>610</v>
      </c>
      <c r="J1135" s="108" t="str">
        <f t="shared" si="6"/>
        <v>2023</v>
      </c>
      <c r="K1135" s="110">
        <f t="shared" si="7"/>
        <v>10</v>
      </c>
      <c r="L1135" s="108" t="str">
        <f t="shared" si="8"/>
        <v>2023-Q4</v>
      </c>
      <c r="M1135" s="111" t="str">
        <f t="shared" si="9"/>
        <v>2023-10</v>
      </c>
      <c r="N1135" s="112" t="str">
        <f t="shared" si="10"/>
        <v>2023-H2</v>
      </c>
    </row>
    <row r="1136">
      <c r="A1136" s="113" t="s">
        <v>610</v>
      </c>
      <c r="J1136" s="108" t="str">
        <f t="shared" si="6"/>
        <v>2023</v>
      </c>
      <c r="K1136" s="110">
        <f t="shared" si="7"/>
        <v>9</v>
      </c>
      <c r="L1136" s="108" t="str">
        <f t="shared" si="8"/>
        <v>2023-Q3</v>
      </c>
      <c r="M1136" s="111" t="str">
        <f t="shared" si="9"/>
        <v>2023-09</v>
      </c>
      <c r="N1136" s="112" t="str">
        <f t="shared" si="10"/>
        <v>2023-H2</v>
      </c>
    </row>
    <row r="1137">
      <c r="A1137" s="113" t="s">
        <v>610</v>
      </c>
      <c r="J1137" s="108" t="str">
        <f t="shared" si="6"/>
        <v>2023</v>
      </c>
      <c r="K1137" s="110">
        <f t="shared" si="7"/>
        <v>9</v>
      </c>
      <c r="L1137" s="108" t="str">
        <f t="shared" si="8"/>
        <v>2023-Q3</v>
      </c>
      <c r="M1137" s="111" t="str">
        <f t="shared" si="9"/>
        <v>2023-09</v>
      </c>
      <c r="N1137" s="112" t="str">
        <f t="shared" si="10"/>
        <v>2023-H2</v>
      </c>
    </row>
    <row r="1138">
      <c r="A1138" s="113" t="s">
        <v>610</v>
      </c>
      <c r="J1138" s="108" t="str">
        <f t="shared" si="6"/>
        <v>2023</v>
      </c>
      <c r="K1138" s="110">
        <f t="shared" si="7"/>
        <v>9</v>
      </c>
      <c r="L1138" s="108" t="str">
        <f t="shared" si="8"/>
        <v>2023-Q3</v>
      </c>
      <c r="M1138" s="111" t="str">
        <f t="shared" si="9"/>
        <v>2023-09</v>
      </c>
      <c r="N1138" s="112" t="str">
        <f t="shared" si="10"/>
        <v>2023-H2</v>
      </c>
    </row>
    <row r="1139">
      <c r="A1139" s="113" t="s">
        <v>610</v>
      </c>
      <c r="J1139" s="108" t="str">
        <f t="shared" si="6"/>
        <v>2023</v>
      </c>
      <c r="K1139" s="110">
        <f t="shared" si="7"/>
        <v>10</v>
      </c>
      <c r="L1139" s="108" t="str">
        <f t="shared" si="8"/>
        <v>2023-Q4</v>
      </c>
      <c r="M1139" s="111" t="str">
        <f t="shared" si="9"/>
        <v>2023-10</v>
      </c>
      <c r="N1139" s="112" t="str">
        <f t="shared" si="10"/>
        <v>2023-H2</v>
      </c>
    </row>
    <row r="1140">
      <c r="A1140" s="113" t="s">
        <v>610</v>
      </c>
      <c r="J1140" s="108" t="str">
        <f t="shared" si="6"/>
        <v>2023</v>
      </c>
      <c r="K1140" s="110">
        <f t="shared" si="7"/>
        <v>10</v>
      </c>
      <c r="L1140" s="108" t="str">
        <f t="shared" si="8"/>
        <v>2023-Q4</v>
      </c>
      <c r="M1140" s="111" t="str">
        <f t="shared" si="9"/>
        <v>2023-10</v>
      </c>
      <c r="N1140" s="112" t="str">
        <f t="shared" si="10"/>
        <v>2023-H2</v>
      </c>
    </row>
    <row r="1141">
      <c r="A1141" s="113" t="s">
        <v>610</v>
      </c>
      <c r="J1141" s="108" t="str">
        <f t="shared" si="6"/>
        <v>2023</v>
      </c>
      <c r="K1141" s="110">
        <f t="shared" si="7"/>
        <v>10</v>
      </c>
      <c r="L1141" s="108" t="str">
        <f t="shared" si="8"/>
        <v>2023-Q4</v>
      </c>
      <c r="M1141" s="111" t="str">
        <f t="shared" si="9"/>
        <v>2023-10</v>
      </c>
      <c r="N1141" s="112" t="str">
        <f t="shared" si="10"/>
        <v>2023-H2</v>
      </c>
    </row>
    <row r="1142">
      <c r="A1142" s="113" t="s">
        <v>610</v>
      </c>
      <c r="J1142" s="108" t="str">
        <f t="shared" si="6"/>
        <v>2023</v>
      </c>
      <c r="K1142" s="110">
        <f t="shared" si="7"/>
        <v>10</v>
      </c>
      <c r="L1142" s="108" t="str">
        <f t="shared" si="8"/>
        <v>2023-Q4</v>
      </c>
      <c r="M1142" s="111" t="str">
        <f t="shared" si="9"/>
        <v>2023-10</v>
      </c>
      <c r="N1142" s="112" t="str">
        <f t="shared" si="10"/>
        <v>2023-H2</v>
      </c>
    </row>
    <row r="1143">
      <c r="A1143" s="113" t="s">
        <v>610</v>
      </c>
      <c r="J1143" s="108" t="str">
        <f t="shared" si="6"/>
        <v>2023</v>
      </c>
      <c r="K1143" s="110">
        <f t="shared" si="7"/>
        <v>10</v>
      </c>
      <c r="L1143" s="108" t="str">
        <f t="shared" si="8"/>
        <v>2023-Q4</v>
      </c>
      <c r="M1143" s="111" t="str">
        <f t="shared" si="9"/>
        <v>2023-10</v>
      </c>
      <c r="N1143" s="112" t="str">
        <f t="shared" si="10"/>
        <v>2023-H2</v>
      </c>
    </row>
    <row r="1144">
      <c r="A1144" s="113" t="s">
        <v>610</v>
      </c>
      <c r="J1144" s="108" t="str">
        <f t="shared" si="6"/>
        <v>2023</v>
      </c>
      <c r="K1144" s="110">
        <f t="shared" si="7"/>
        <v>10</v>
      </c>
      <c r="L1144" s="108" t="str">
        <f t="shared" si="8"/>
        <v>2023-Q4</v>
      </c>
      <c r="M1144" s="111" t="str">
        <f t="shared" si="9"/>
        <v>2023-10</v>
      </c>
      <c r="N1144" s="112" t="str">
        <f t="shared" si="10"/>
        <v>2023-H2</v>
      </c>
    </row>
    <row r="1145">
      <c r="A1145" s="113" t="s">
        <v>610</v>
      </c>
      <c r="J1145" s="108" t="str">
        <f t="shared" si="6"/>
        <v>2023</v>
      </c>
      <c r="K1145" s="110">
        <f t="shared" si="7"/>
        <v>10</v>
      </c>
      <c r="L1145" s="108" t="str">
        <f t="shared" si="8"/>
        <v>2023-Q4</v>
      </c>
      <c r="M1145" s="111" t="str">
        <f t="shared" si="9"/>
        <v>2023-10</v>
      </c>
      <c r="N1145" s="112" t="str">
        <f t="shared" si="10"/>
        <v>2023-H2</v>
      </c>
    </row>
    <row r="1146">
      <c r="A1146" s="113" t="s">
        <v>610</v>
      </c>
      <c r="J1146" s="108" t="str">
        <f t="shared" si="6"/>
        <v>2023</v>
      </c>
      <c r="K1146" s="110">
        <f t="shared" si="7"/>
        <v>10</v>
      </c>
      <c r="L1146" s="108" t="str">
        <f t="shared" si="8"/>
        <v>2023-Q4</v>
      </c>
      <c r="M1146" s="111" t="str">
        <f t="shared" si="9"/>
        <v>2023-10</v>
      </c>
      <c r="N1146" s="112" t="str">
        <f t="shared" si="10"/>
        <v>2023-H2</v>
      </c>
    </row>
    <row r="1147">
      <c r="A1147" s="113" t="s">
        <v>610</v>
      </c>
      <c r="J1147" s="108" t="str">
        <f t="shared" si="6"/>
        <v>2023</v>
      </c>
      <c r="K1147" s="110">
        <f t="shared" si="7"/>
        <v>10</v>
      </c>
      <c r="L1147" s="108" t="str">
        <f t="shared" si="8"/>
        <v>2023-Q4</v>
      </c>
      <c r="M1147" s="111" t="str">
        <f t="shared" si="9"/>
        <v>2023-10</v>
      </c>
      <c r="N1147" s="112" t="str">
        <f t="shared" si="10"/>
        <v>2023-H2</v>
      </c>
    </row>
    <row r="1148">
      <c r="A1148" s="113" t="s">
        <v>610</v>
      </c>
      <c r="J1148" s="108" t="str">
        <f t="shared" si="6"/>
        <v>2023</v>
      </c>
      <c r="K1148" s="110">
        <f t="shared" si="7"/>
        <v>10</v>
      </c>
      <c r="L1148" s="108" t="str">
        <f t="shared" si="8"/>
        <v>2023-Q4</v>
      </c>
      <c r="M1148" s="111" t="str">
        <f t="shared" si="9"/>
        <v>2023-10</v>
      </c>
      <c r="N1148" s="112" t="str">
        <f t="shared" si="10"/>
        <v>2023-H2</v>
      </c>
    </row>
    <row r="1149">
      <c r="A1149" s="113" t="s">
        <v>610</v>
      </c>
      <c r="J1149" s="108" t="str">
        <f t="shared" si="6"/>
        <v>2023</v>
      </c>
      <c r="K1149" s="110">
        <f t="shared" si="7"/>
        <v>10</v>
      </c>
      <c r="L1149" s="108" t="str">
        <f t="shared" si="8"/>
        <v>2023-Q4</v>
      </c>
      <c r="M1149" s="111" t="str">
        <f t="shared" si="9"/>
        <v>2023-10</v>
      </c>
      <c r="N1149" s="112" t="str">
        <f t="shared" si="10"/>
        <v>2023-H2</v>
      </c>
    </row>
    <row r="1150">
      <c r="A1150" s="113" t="s">
        <v>610</v>
      </c>
      <c r="J1150" s="108" t="str">
        <f t="shared" si="6"/>
        <v>2023</v>
      </c>
      <c r="K1150" s="110">
        <f t="shared" si="7"/>
        <v>10</v>
      </c>
      <c r="L1150" s="108" t="str">
        <f t="shared" si="8"/>
        <v>2023-Q4</v>
      </c>
      <c r="M1150" s="111" t="str">
        <f t="shared" si="9"/>
        <v>2023-10</v>
      </c>
      <c r="N1150" s="112" t="str">
        <f t="shared" si="10"/>
        <v>2023-H2</v>
      </c>
    </row>
    <row r="1151">
      <c r="A1151" s="113" t="s">
        <v>610</v>
      </c>
      <c r="J1151" s="108" t="str">
        <f t="shared" si="6"/>
        <v>2023</v>
      </c>
      <c r="K1151" s="110">
        <f t="shared" si="7"/>
        <v>10</v>
      </c>
      <c r="L1151" s="108" t="str">
        <f t="shared" si="8"/>
        <v>2023-Q4</v>
      </c>
      <c r="M1151" s="111" t="str">
        <f t="shared" si="9"/>
        <v>2023-10</v>
      </c>
      <c r="N1151" s="112" t="str">
        <f t="shared" si="10"/>
        <v>2023-H2</v>
      </c>
    </row>
    <row r="1152">
      <c r="A1152" s="113" t="s">
        <v>610</v>
      </c>
      <c r="J1152" s="108" t="str">
        <f t="shared" si="6"/>
        <v>2023</v>
      </c>
      <c r="K1152" s="110">
        <f t="shared" si="7"/>
        <v>10</v>
      </c>
      <c r="L1152" s="108" t="str">
        <f t="shared" si="8"/>
        <v>2023-Q4</v>
      </c>
      <c r="M1152" s="111" t="str">
        <f t="shared" si="9"/>
        <v>2023-10</v>
      </c>
      <c r="N1152" s="112" t="str">
        <f t="shared" si="10"/>
        <v>2023-H2</v>
      </c>
    </row>
    <row r="1153">
      <c r="A1153" s="113" t="s">
        <v>610</v>
      </c>
      <c r="J1153" s="108" t="str">
        <f t="shared" si="6"/>
        <v>2023</v>
      </c>
      <c r="K1153" s="110">
        <f t="shared" si="7"/>
        <v>10</v>
      </c>
      <c r="L1153" s="108" t="str">
        <f t="shared" si="8"/>
        <v>2023-Q4</v>
      </c>
      <c r="M1153" s="111" t="str">
        <f t="shared" si="9"/>
        <v>2023-10</v>
      </c>
      <c r="N1153" s="112" t="str">
        <f t="shared" si="10"/>
        <v>2023-H2</v>
      </c>
    </row>
    <row r="1154">
      <c r="A1154" s="113" t="s">
        <v>610</v>
      </c>
      <c r="J1154" s="108" t="str">
        <f t="shared" si="6"/>
        <v>2023</v>
      </c>
      <c r="K1154" s="110">
        <f t="shared" si="7"/>
        <v>10</v>
      </c>
      <c r="L1154" s="108" t="str">
        <f t="shared" si="8"/>
        <v>2023-Q4</v>
      </c>
      <c r="M1154" s="111" t="str">
        <f t="shared" si="9"/>
        <v>2023-10</v>
      </c>
      <c r="N1154" s="112" t="str">
        <f t="shared" si="10"/>
        <v>2023-H2</v>
      </c>
    </row>
    <row r="1155">
      <c r="A1155" s="113" t="s">
        <v>610</v>
      </c>
      <c r="J1155" s="108" t="str">
        <f t="shared" si="6"/>
        <v>2023</v>
      </c>
      <c r="K1155" s="110">
        <f t="shared" si="7"/>
        <v>10</v>
      </c>
      <c r="L1155" s="108" t="str">
        <f t="shared" si="8"/>
        <v>2023-Q4</v>
      </c>
      <c r="M1155" s="111" t="str">
        <f t="shared" si="9"/>
        <v>2023-10</v>
      </c>
      <c r="N1155" s="112" t="str">
        <f t="shared" si="10"/>
        <v>2023-H2</v>
      </c>
    </row>
    <row r="1156">
      <c r="A1156" s="113" t="s">
        <v>610</v>
      </c>
      <c r="J1156" s="108" t="str">
        <f t="shared" si="6"/>
        <v>2023</v>
      </c>
      <c r="K1156" s="110">
        <f t="shared" si="7"/>
        <v>10</v>
      </c>
      <c r="L1156" s="108" t="str">
        <f t="shared" si="8"/>
        <v>2023-Q4</v>
      </c>
      <c r="M1156" s="111" t="str">
        <f t="shared" si="9"/>
        <v>2023-10</v>
      </c>
      <c r="N1156" s="112" t="str">
        <f t="shared" si="10"/>
        <v>2023-H2</v>
      </c>
    </row>
    <row r="1157">
      <c r="A1157" s="113" t="s">
        <v>610</v>
      </c>
      <c r="J1157" s="108" t="str">
        <f t="shared" si="6"/>
        <v>2023</v>
      </c>
      <c r="K1157" s="110">
        <f t="shared" si="7"/>
        <v>10</v>
      </c>
      <c r="L1157" s="108" t="str">
        <f t="shared" si="8"/>
        <v>2023-Q4</v>
      </c>
      <c r="M1157" s="111" t="str">
        <f t="shared" si="9"/>
        <v>2023-10</v>
      </c>
      <c r="N1157" s="112" t="str">
        <f t="shared" si="10"/>
        <v>2023-H2</v>
      </c>
    </row>
    <row r="1158">
      <c r="A1158" s="113" t="s">
        <v>610</v>
      </c>
      <c r="J1158" s="108" t="str">
        <f t="shared" si="6"/>
        <v>2023</v>
      </c>
      <c r="K1158" s="110">
        <f t="shared" si="7"/>
        <v>10</v>
      </c>
      <c r="L1158" s="108" t="str">
        <f t="shared" si="8"/>
        <v>2023-Q4</v>
      </c>
      <c r="M1158" s="111" t="str">
        <f t="shared" si="9"/>
        <v>2023-10</v>
      </c>
      <c r="N1158" s="112" t="str">
        <f t="shared" si="10"/>
        <v>2023-H2</v>
      </c>
    </row>
    <row r="1159">
      <c r="A1159" s="113" t="s">
        <v>610</v>
      </c>
      <c r="J1159" s="108" t="str">
        <f t="shared" si="6"/>
        <v>2023</v>
      </c>
      <c r="K1159" s="110">
        <f t="shared" si="7"/>
        <v>10</v>
      </c>
      <c r="L1159" s="108" t="str">
        <f t="shared" si="8"/>
        <v>2023-Q4</v>
      </c>
      <c r="M1159" s="111" t="str">
        <f t="shared" si="9"/>
        <v>2023-10</v>
      </c>
      <c r="N1159" s="112" t="str">
        <f t="shared" si="10"/>
        <v>2023-H2</v>
      </c>
    </row>
    <row r="1160">
      <c r="A1160" s="113" t="s">
        <v>610</v>
      </c>
      <c r="J1160" s="108" t="str">
        <f t="shared" si="6"/>
        <v>2023</v>
      </c>
      <c r="K1160" s="110">
        <f t="shared" si="7"/>
        <v>10</v>
      </c>
      <c r="L1160" s="108" t="str">
        <f t="shared" si="8"/>
        <v>2023-Q4</v>
      </c>
      <c r="M1160" s="111" t="str">
        <f t="shared" si="9"/>
        <v>2023-10</v>
      </c>
      <c r="N1160" s="112" t="str">
        <f t="shared" si="10"/>
        <v>2023-H2</v>
      </c>
    </row>
    <row r="1161">
      <c r="A1161" s="113" t="s">
        <v>610</v>
      </c>
      <c r="J1161" s="108" t="str">
        <f t="shared" si="6"/>
        <v>2023</v>
      </c>
      <c r="K1161" s="110">
        <f t="shared" si="7"/>
        <v>10</v>
      </c>
      <c r="L1161" s="108" t="str">
        <f t="shared" si="8"/>
        <v>2023-Q4</v>
      </c>
      <c r="M1161" s="111" t="str">
        <f t="shared" si="9"/>
        <v>2023-10</v>
      </c>
      <c r="N1161" s="112" t="str">
        <f t="shared" si="10"/>
        <v>2023-H2</v>
      </c>
    </row>
    <row r="1162">
      <c r="A1162" s="113" t="s">
        <v>610</v>
      </c>
      <c r="J1162" s="108" t="str">
        <f t="shared" si="6"/>
        <v>2023</v>
      </c>
      <c r="K1162" s="110">
        <f t="shared" si="7"/>
        <v>10</v>
      </c>
      <c r="L1162" s="108" t="str">
        <f t="shared" si="8"/>
        <v>2023-Q4</v>
      </c>
      <c r="M1162" s="111" t="str">
        <f t="shared" si="9"/>
        <v>2023-10</v>
      </c>
      <c r="N1162" s="112" t="str">
        <f t="shared" si="10"/>
        <v>2023-H2</v>
      </c>
    </row>
    <row r="1163">
      <c r="A1163" s="113" t="s">
        <v>610</v>
      </c>
      <c r="J1163" s="108" t="str">
        <f t="shared" si="6"/>
        <v>2023</v>
      </c>
      <c r="K1163" s="110">
        <f t="shared" si="7"/>
        <v>10</v>
      </c>
      <c r="L1163" s="108" t="str">
        <f t="shared" si="8"/>
        <v>2023-Q4</v>
      </c>
      <c r="M1163" s="111" t="str">
        <f t="shared" si="9"/>
        <v>2023-10</v>
      </c>
      <c r="N1163" s="112" t="str">
        <f t="shared" si="10"/>
        <v>2023-H2</v>
      </c>
    </row>
    <row r="1164">
      <c r="A1164" s="113" t="s">
        <v>610</v>
      </c>
      <c r="J1164" s="108" t="str">
        <f t="shared" si="6"/>
        <v>2023</v>
      </c>
      <c r="K1164" s="110">
        <f t="shared" si="7"/>
        <v>10</v>
      </c>
      <c r="L1164" s="108" t="str">
        <f t="shared" si="8"/>
        <v>2023-Q4</v>
      </c>
      <c r="M1164" s="111" t="str">
        <f t="shared" si="9"/>
        <v>2023-10</v>
      </c>
      <c r="N1164" s="112" t="str">
        <f t="shared" si="10"/>
        <v>2023-H2</v>
      </c>
    </row>
    <row r="1165">
      <c r="A1165" s="113" t="s">
        <v>610</v>
      </c>
      <c r="J1165" s="108" t="str">
        <f t="shared" si="6"/>
        <v>2023</v>
      </c>
      <c r="K1165" s="110">
        <f t="shared" si="7"/>
        <v>10</v>
      </c>
      <c r="L1165" s="108" t="str">
        <f t="shared" si="8"/>
        <v>2023-Q4</v>
      </c>
      <c r="M1165" s="111" t="str">
        <f t="shared" si="9"/>
        <v>2023-10</v>
      </c>
      <c r="N1165" s="112" t="str">
        <f t="shared" si="10"/>
        <v>2023-H2</v>
      </c>
    </row>
    <row r="1166">
      <c r="A1166" s="113" t="s">
        <v>610</v>
      </c>
      <c r="J1166" s="108" t="str">
        <f t="shared" si="6"/>
        <v>2023</v>
      </c>
      <c r="K1166" s="110">
        <f t="shared" si="7"/>
        <v>10</v>
      </c>
      <c r="L1166" s="108" t="str">
        <f t="shared" si="8"/>
        <v>2023-Q4</v>
      </c>
      <c r="M1166" s="111" t="str">
        <f t="shared" si="9"/>
        <v>2023-10</v>
      </c>
      <c r="N1166" s="112" t="str">
        <f t="shared" si="10"/>
        <v>2023-H2</v>
      </c>
    </row>
    <row r="1167">
      <c r="A1167" s="113" t="s">
        <v>610</v>
      </c>
      <c r="J1167" s="108" t="str">
        <f t="shared" si="6"/>
        <v>2023</v>
      </c>
      <c r="K1167" s="110">
        <f t="shared" si="7"/>
        <v>12</v>
      </c>
      <c r="L1167" s="108" t="str">
        <f t="shared" si="8"/>
        <v>2023-Q4</v>
      </c>
      <c r="M1167" s="111" t="str">
        <f t="shared" si="9"/>
        <v>2023-12</v>
      </c>
      <c r="N1167" s="112" t="str">
        <f t="shared" si="10"/>
        <v>2023-H2</v>
      </c>
    </row>
    <row r="1168">
      <c r="A1168" s="113" t="s">
        <v>610</v>
      </c>
      <c r="J1168" s="108" t="str">
        <f t="shared" si="6"/>
        <v>2023</v>
      </c>
      <c r="K1168" s="110">
        <f t="shared" si="7"/>
        <v>10</v>
      </c>
      <c r="L1168" s="108" t="str">
        <f t="shared" si="8"/>
        <v>2023-Q4</v>
      </c>
      <c r="M1168" s="111" t="str">
        <f t="shared" si="9"/>
        <v>2023-10</v>
      </c>
      <c r="N1168" s="112" t="str">
        <f t="shared" si="10"/>
        <v>2023-H2</v>
      </c>
    </row>
    <row r="1169">
      <c r="A1169" s="113" t="s">
        <v>610</v>
      </c>
      <c r="J1169" s="108" t="str">
        <f t="shared" si="6"/>
        <v>2023</v>
      </c>
      <c r="K1169" s="110">
        <f t="shared" si="7"/>
        <v>10</v>
      </c>
      <c r="L1169" s="108" t="str">
        <f t="shared" si="8"/>
        <v>2023-Q4</v>
      </c>
      <c r="M1169" s="111" t="str">
        <f t="shared" si="9"/>
        <v>2023-10</v>
      </c>
      <c r="N1169" s="112" t="str">
        <f t="shared" si="10"/>
        <v>2023-H2</v>
      </c>
    </row>
    <row r="1170">
      <c r="A1170" s="113" t="s">
        <v>610</v>
      </c>
      <c r="J1170" s="108" t="str">
        <f t="shared" si="6"/>
        <v>2023</v>
      </c>
      <c r="K1170" s="110">
        <f t="shared" si="7"/>
        <v>10</v>
      </c>
      <c r="L1170" s="108" t="str">
        <f t="shared" si="8"/>
        <v>2023-Q4</v>
      </c>
      <c r="M1170" s="111" t="str">
        <f t="shared" si="9"/>
        <v>2023-10</v>
      </c>
      <c r="N1170" s="112" t="str">
        <f t="shared" si="10"/>
        <v>2023-H2</v>
      </c>
    </row>
    <row r="1171">
      <c r="A1171" s="113" t="s">
        <v>610</v>
      </c>
      <c r="J1171" s="108" t="str">
        <f t="shared" si="6"/>
        <v>2023</v>
      </c>
      <c r="K1171" s="110">
        <f t="shared" si="7"/>
        <v>10</v>
      </c>
      <c r="L1171" s="108" t="str">
        <f t="shared" si="8"/>
        <v>2023-Q4</v>
      </c>
      <c r="M1171" s="111" t="str">
        <f t="shared" si="9"/>
        <v>2023-10</v>
      </c>
      <c r="N1171" s="112" t="str">
        <f t="shared" si="10"/>
        <v>2023-H2</v>
      </c>
    </row>
    <row r="1172">
      <c r="A1172" s="113" t="s">
        <v>610</v>
      </c>
      <c r="J1172" s="108" t="str">
        <f t="shared" si="6"/>
        <v>2023</v>
      </c>
      <c r="K1172" s="110">
        <f t="shared" si="7"/>
        <v>10</v>
      </c>
      <c r="L1172" s="108" t="str">
        <f t="shared" si="8"/>
        <v>2023-Q4</v>
      </c>
      <c r="M1172" s="111" t="str">
        <f t="shared" si="9"/>
        <v>2023-10</v>
      </c>
      <c r="N1172" s="112" t="str">
        <f t="shared" si="10"/>
        <v>2023-H2</v>
      </c>
    </row>
    <row r="1173">
      <c r="A1173" s="113" t="s">
        <v>610</v>
      </c>
      <c r="J1173" s="108" t="str">
        <f t="shared" si="6"/>
        <v>2023</v>
      </c>
      <c r="K1173" s="110">
        <f t="shared" si="7"/>
        <v>10</v>
      </c>
      <c r="L1173" s="108" t="str">
        <f t="shared" si="8"/>
        <v>2023-Q4</v>
      </c>
      <c r="M1173" s="111" t="str">
        <f t="shared" si="9"/>
        <v>2023-10</v>
      </c>
      <c r="N1173" s="112" t="str">
        <f t="shared" si="10"/>
        <v>2023-H2</v>
      </c>
    </row>
    <row r="1174">
      <c r="A1174" s="113" t="s">
        <v>610</v>
      </c>
      <c r="J1174" s="108" t="str">
        <f t="shared" si="6"/>
        <v>2023</v>
      </c>
      <c r="K1174" s="110">
        <f t="shared" si="7"/>
        <v>10</v>
      </c>
      <c r="L1174" s="108" t="str">
        <f t="shared" si="8"/>
        <v>2023-Q4</v>
      </c>
      <c r="M1174" s="111" t="str">
        <f t="shared" si="9"/>
        <v>2023-10</v>
      </c>
      <c r="N1174" s="112" t="str">
        <f t="shared" si="10"/>
        <v>2023-H2</v>
      </c>
    </row>
    <row r="1175">
      <c r="A1175" s="113" t="s">
        <v>610</v>
      </c>
      <c r="J1175" s="108" t="str">
        <f t="shared" si="6"/>
        <v>2023</v>
      </c>
      <c r="K1175" s="110">
        <f t="shared" si="7"/>
        <v>10</v>
      </c>
      <c r="L1175" s="108" t="str">
        <f t="shared" si="8"/>
        <v>2023-Q4</v>
      </c>
      <c r="M1175" s="111" t="str">
        <f t="shared" si="9"/>
        <v>2023-10</v>
      </c>
      <c r="N1175" s="112" t="str">
        <f t="shared" si="10"/>
        <v>2023-H2</v>
      </c>
    </row>
    <row r="1176">
      <c r="A1176" s="113" t="s">
        <v>610</v>
      </c>
      <c r="J1176" s="108" t="str">
        <f t="shared" si="6"/>
        <v>2023</v>
      </c>
      <c r="K1176" s="110">
        <f t="shared" si="7"/>
        <v>10</v>
      </c>
      <c r="L1176" s="108" t="str">
        <f t="shared" si="8"/>
        <v>2023-Q4</v>
      </c>
      <c r="M1176" s="111" t="str">
        <f t="shared" si="9"/>
        <v>2023-10</v>
      </c>
      <c r="N1176" s="112" t="str">
        <f t="shared" si="10"/>
        <v>2023-H2</v>
      </c>
    </row>
    <row r="1177">
      <c r="A1177" s="113" t="s">
        <v>610</v>
      </c>
      <c r="J1177" s="108" t="str">
        <f t="shared" si="6"/>
        <v>2023</v>
      </c>
      <c r="K1177" s="110">
        <f t="shared" si="7"/>
        <v>10</v>
      </c>
      <c r="L1177" s="108" t="str">
        <f t="shared" si="8"/>
        <v>2023-Q4</v>
      </c>
      <c r="M1177" s="111" t="str">
        <f t="shared" si="9"/>
        <v>2023-10</v>
      </c>
      <c r="N1177" s="112" t="str">
        <f t="shared" si="10"/>
        <v>2023-H2</v>
      </c>
    </row>
    <row r="1178">
      <c r="A1178" s="113" t="s">
        <v>610</v>
      </c>
      <c r="J1178" s="108" t="str">
        <f t="shared" si="6"/>
        <v>2023</v>
      </c>
      <c r="K1178" s="110">
        <f t="shared" si="7"/>
        <v>10</v>
      </c>
      <c r="L1178" s="108" t="str">
        <f t="shared" si="8"/>
        <v>2023-Q4</v>
      </c>
      <c r="M1178" s="111" t="str">
        <f t="shared" si="9"/>
        <v>2023-10</v>
      </c>
      <c r="N1178" s="112" t="str">
        <f t="shared" si="10"/>
        <v>2023-H2</v>
      </c>
    </row>
    <row r="1179">
      <c r="A1179" s="113" t="s">
        <v>610</v>
      </c>
      <c r="J1179" s="108" t="str">
        <f t="shared" si="6"/>
        <v>2023</v>
      </c>
      <c r="K1179" s="110">
        <f t="shared" si="7"/>
        <v>10</v>
      </c>
      <c r="L1179" s="108" t="str">
        <f t="shared" si="8"/>
        <v>2023-Q4</v>
      </c>
      <c r="M1179" s="111" t="str">
        <f t="shared" si="9"/>
        <v>2023-10</v>
      </c>
      <c r="N1179" s="112" t="str">
        <f t="shared" si="10"/>
        <v>2023-H2</v>
      </c>
    </row>
    <row r="1180">
      <c r="A1180" s="113" t="s">
        <v>610</v>
      </c>
      <c r="J1180" s="108" t="str">
        <f t="shared" si="6"/>
        <v>2023</v>
      </c>
      <c r="K1180" s="110">
        <f t="shared" si="7"/>
        <v>10</v>
      </c>
      <c r="L1180" s="108" t="str">
        <f t="shared" si="8"/>
        <v>2023-Q4</v>
      </c>
      <c r="M1180" s="111" t="str">
        <f t="shared" si="9"/>
        <v>2023-10</v>
      </c>
      <c r="N1180" s="112" t="str">
        <f t="shared" si="10"/>
        <v>2023-H2</v>
      </c>
    </row>
    <row r="1181">
      <c r="A1181" s="113" t="s">
        <v>610</v>
      </c>
      <c r="J1181" s="108" t="str">
        <f t="shared" si="6"/>
        <v>2023</v>
      </c>
      <c r="K1181" s="110">
        <f t="shared" si="7"/>
        <v>10</v>
      </c>
      <c r="L1181" s="108" t="str">
        <f t="shared" si="8"/>
        <v>2023-Q4</v>
      </c>
      <c r="M1181" s="111" t="str">
        <f t="shared" si="9"/>
        <v>2023-10</v>
      </c>
      <c r="N1181" s="112" t="str">
        <f t="shared" si="10"/>
        <v>2023-H2</v>
      </c>
    </row>
    <row r="1182">
      <c r="A1182" s="113" t="s">
        <v>610</v>
      </c>
      <c r="J1182" s="108" t="str">
        <f t="shared" si="6"/>
        <v>2023</v>
      </c>
      <c r="K1182" s="110">
        <f t="shared" si="7"/>
        <v>10</v>
      </c>
      <c r="L1182" s="108" t="str">
        <f t="shared" si="8"/>
        <v>2023-Q4</v>
      </c>
      <c r="M1182" s="111" t="str">
        <f t="shared" si="9"/>
        <v>2023-10</v>
      </c>
      <c r="N1182" s="112" t="str">
        <f t="shared" si="10"/>
        <v>2023-H2</v>
      </c>
    </row>
    <row r="1183">
      <c r="A1183" s="113" t="s">
        <v>610</v>
      </c>
      <c r="J1183" s="108" t="str">
        <f t="shared" si="6"/>
        <v>2023</v>
      </c>
      <c r="K1183" s="110">
        <f t="shared" si="7"/>
        <v>10</v>
      </c>
      <c r="L1183" s="108" t="str">
        <f t="shared" si="8"/>
        <v>2023-Q4</v>
      </c>
      <c r="M1183" s="111" t="str">
        <f t="shared" si="9"/>
        <v>2023-10</v>
      </c>
      <c r="N1183" s="112" t="str">
        <f t="shared" si="10"/>
        <v>2023-H2</v>
      </c>
    </row>
    <row r="1184">
      <c r="A1184" s="113" t="s">
        <v>610</v>
      </c>
      <c r="J1184" s="108" t="str">
        <f t="shared" si="6"/>
        <v>2023</v>
      </c>
      <c r="K1184" s="110">
        <f t="shared" si="7"/>
        <v>11</v>
      </c>
      <c r="L1184" s="108" t="str">
        <f t="shared" si="8"/>
        <v>2023-Q4</v>
      </c>
      <c r="M1184" s="111" t="str">
        <f t="shared" si="9"/>
        <v>2023-11</v>
      </c>
      <c r="N1184" s="112" t="str">
        <f t="shared" si="10"/>
        <v>2023-H2</v>
      </c>
    </row>
    <row r="1185">
      <c r="A1185" s="113" t="s">
        <v>610</v>
      </c>
      <c r="J1185" s="108" t="str">
        <f t="shared" si="6"/>
        <v>2023</v>
      </c>
      <c r="K1185" s="110">
        <f t="shared" si="7"/>
        <v>11</v>
      </c>
      <c r="L1185" s="108" t="str">
        <f t="shared" si="8"/>
        <v>2023-Q4</v>
      </c>
      <c r="M1185" s="111" t="str">
        <f t="shared" si="9"/>
        <v>2023-11</v>
      </c>
      <c r="N1185" s="112" t="str">
        <f t="shared" si="10"/>
        <v>2023-H2</v>
      </c>
    </row>
    <row r="1186">
      <c r="A1186" s="113" t="s">
        <v>610</v>
      </c>
      <c r="J1186" s="108" t="str">
        <f t="shared" si="6"/>
        <v>2023</v>
      </c>
      <c r="K1186" s="110">
        <f t="shared" si="7"/>
        <v>11</v>
      </c>
      <c r="L1186" s="108" t="str">
        <f t="shared" si="8"/>
        <v>2023-Q4</v>
      </c>
      <c r="M1186" s="111" t="str">
        <f t="shared" si="9"/>
        <v>2023-11</v>
      </c>
      <c r="N1186" s="112" t="str">
        <f t="shared" si="10"/>
        <v>2023-H2</v>
      </c>
    </row>
    <row r="1187">
      <c r="A1187" s="113" t="s">
        <v>610</v>
      </c>
      <c r="J1187" s="108" t="str">
        <f t="shared" si="6"/>
        <v>2023</v>
      </c>
      <c r="K1187" s="110">
        <f t="shared" si="7"/>
        <v>11</v>
      </c>
      <c r="L1187" s="108" t="str">
        <f t="shared" si="8"/>
        <v>2023-Q4</v>
      </c>
      <c r="M1187" s="111" t="str">
        <f t="shared" si="9"/>
        <v>2023-11</v>
      </c>
      <c r="N1187" s="112" t="str">
        <f t="shared" si="10"/>
        <v>2023-H2</v>
      </c>
    </row>
    <row r="1188">
      <c r="A1188" s="113" t="s">
        <v>610</v>
      </c>
      <c r="J1188" s="108" t="str">
        <f t="shared" si="6"/>
        <v>2023</v>
      </c>
      <c r="K1188" s="110">
        <f t="shared" si="7"/>
        <v>11</v>
      </c>
      <c r="L1188" s="108" t="str">
        <f t="shared" si="8"/>
        <v>2023-Q4</v>
      </c>
      <c r="M1188" s="111" t="str">
        <f t="shared" si="9"/>
        <v>2023-11</v>
      </c>
      <c r="N1188" s="112" t="str">
        <f t="shared" si="10"/>
        <v>2023-H2</v>
      </c>
    </row>
    <row r="1189">
      <c r="A1189" s="113" t="s">
        <v>610</v>
      </c>
      <c r="J1189" s="108" t="str">
        <f t="shared" si="6"/>
        <v>2023</v>
      </c>
      <c r="K1189" s="110">
        <f t="shared" si="7"/>
        <v>11</v>
      </c>
      <c r="L1189" s="108" t="str">
        <f t="shared" si="8"/>
        <v>2023-Q4</v>
      </c>
      <c r="M1189" s="111" t="str">
        <f t="shared" si="9"/>
        <v>2023-11</v>
      </c>
      <c r="N1189" s="112" t="str">
        <f t="shared" si="10"/>
        <v>2023-H2</v>
      </c>
    </row>
    <row r="1190">
      <c r="A1190" s="113" t="s">
        <v>610</v>
      </c>
      <c r="J1190" s="108" t="str">
        <f t="shared" si="6"/>
        <v>2023</v>
      </c>
      <c r="K1190" s="110">
        <f t="shared" si="7"/>
        <v>11</v>
      </c>
      <c r="L1190" s="108" t="str">
        <f t="shared" si="8"/>
        <v>2023-Q4</v>
      </c>
      <c r="M1190" s="111" t="str">
        <f t="shared" si="9"/>
        <v>2023-11</v>
      </c>
      <c r="N1190" s="112" t="str">
        <f t="shared" si="10"/>
        <v>2023-H2</v>
      </c>
    </row>
    <row r="1191">
      <c r="A1191" s="113" t="s">
        <v>610</v>
      </c>
      <c r="J1191" s="108" t="str">
        <f t="shared" si="6"/>
        <v>2023</v>
      </c>
      <c r="K1191" s="110">
        <f t="shared" si="7"/>
        <v>11</v>
      </c>
      <c r="L1191" s="108" t="str">
        <f t="shared" si="8"/>
        <v>2023-Q4</v>
      </c>
      <c r="M1191" s="111" t="str">
        <f t="shared" si="9"/>
        <v>2023-11</v>
      </c>
      <c r="N1191" s="112" t="str">
        <f t="shared" si="10"/>
        <v>2023-H2</v>
      </c>
    </row>
    <row r="1192">
      <c r="A1192" s="113" t="s">
        <v>610</v>
      </c>
      <c r="J1192" s="108" t="str">
        <f t="shared" si="6"/>
        <v>2023</v>
      </c>
      <c r="K1192" s="110">
        <f t="shared" si="7"/>
        <v>11</v>
      </c>
      <c r="L1192" s="108" t="str">
        <f t="shared" si="8"/>
        <v>2023-Q4</v>
      </c>
      <c r="M1192" s="111" t="str">
        <f t="shared" si="9"/>
        <v>2023-11</v>
      </c>
      <c r="N1192" s="112" t="str">
        <f t="shared" si="10"/>
        <v>2023-H2</v>
      </c>
    </row>
    <row r="1193">
      <c r="A1193" s="113" t="s">
        <v>610</v>
      </c>
      <c r="J1193" s="108" t="str">
        <f t="shared" si="6"/>
        <v>2023</v>
      </c>
      <c r="K1193" s="110">
        <f t="shared" si="7"/>
        <v>11</v>
      </c>
      <c r="L1193" s="108" t="str">
        <f t="shared" si="8"/>
        <v>2023-Q4</v>
      </c>
      <c r="M1193" s="111" t="str">
        <f t="shared" si="9"/>
        <v>2023-11</v>
      </c>
      <c r="N1193" s="112" t="str">
        <f t="shared" si="10"/>
        <v>2023-H2</v>
      </c>
    </row>
    <row r="1194">
      <c r="A1194" s="113" t="s">
        <v>610</v>
      </c>
      <c r="J1194" s="108" t="str">
        <f t="shared" si="6"/>
        <v>2023</v>
      </c>
      <c r="K1194" s="110">
        <f t="shared" si="7"/>
        <v>11</v>
      </c>
      <c r="L1194" s="108" t="str">
        <f t="shared" si="8"/>
        <v>2023-Q4</v>
      </c>
      <c r="M1194" s="111" t="str">
        <f t="shared" si="9"/>
        <v>2023-11</v>
      </c>
      <c r="N1194" s="112" t="str">
        <f t="shared" si="10"/>
        <v>2023-H2</v>
      </c>
    </row>
    <row r="1195">
      <c r="A1195" s="113" t="s">
        <v>610</v>
      </c>
      <c r="J1195" s="108" t="str">
        <f t="shared" si="6"/>
        <v>2023</v>
      </c>
      <c r="K1195" s="110">
        <f t="shared" si="7"/>
        <v>11</v>
      </c>
      <c r="L1195" s="108" t="str">
        <f t="shared" si="8"/>
        <v>2023-Q4</v>
      </c>
      <c r="M1195" s="111" t="str">
        <f t="shared" si="9"/>
        <v>2023-11</v>
      </c>
      <c r="N1195" s="112" t="str">
        <f t="shared" si="10"/>
        <v>2023-H2</v>
      </c>
    </row>
    <row r="1196">
      <c r="A1196" s="113" t="s">
        <v>610</v>
      </c>
      <c r="J1196" s="108" t="str">
        <f t="shared" si="6"/>
        <v>2023</v>
      </c>
      <c r="K1196" s="110">
        <f t="shared" si="7"/>
        <v>11</v>
      </c>
      <c r="L1196" s="108" t="str">
        <f t="shared" si="8"/>
        <v>2023-Q4</v>
      </c>
      <c r="M1196" s="111" t="str">
        <f t="shared" si="9"/>
        <v>2023-11</v>
      </c>
      <c r="N1196" s="112" t="str">
        <f t="shared" si="10"/>
        <v>2023-H2</v>
      </c>
    </row>
    <row r="1197">
      <c r="A1197" s="113" t="s">
        <v>610</v>
      </c>
      <c r="J1197" s="108" t="str">
        <f t="shared" si="6"/>
        <v>2023</v>
      </c>
      <c r="K1197" s="110">
        <f t="shared" si="7"/>
        <v>11</v>
      </c>
      <c r="L1197" s="108" t="str">
        <f t="shared" si="8"/>
        <v>2023-Q4</v>
      </c>
      <c r="M1197" s="111" t="str">
        <f t="shared" si="9"/>
        <v>2023-11</v>
      </c>
      <c r="N1197" s="112" t="str">
        <f t="shared" si="10"/>
        <v>2023-H2</v>
      </c>
    </row>
    <row r="1198">
      <c r="A1198" s="113" t="s">
        <v>610</v>
      </c>
      <c r="J1198" s="108" t="str">
        <f t="shared" si="6"/>
        <v>2023</v>
      </c>
      <c r="K1198" s="110">
        <f t="shared" si="7"/>
        <v>11</v>
      </c>
      <c r="L1198" s="108" t="str">
        <f t="shared" si="8"/>
        <v>2023-Q4</v>
      </c>
      <c r="M1198" s="111" t="str">
        <f t="shared" si="9"/>
        <v>2023-11</v>
      </c>
      <c r="N1198" s="112" t="str">
        <f t="shared" si="10"/>
        <v>2023-H2</v>
      </c>
    </row>
    <row r="1199">
      <c r="A1199" s="113" t="s">
        <v>610</v>
      </c>
      <c r="J1199" s="108" t="str">
        <f t="shared" si="6"/>
        <v>2023</v>
      </c>
      <c r="K1199" s="110">
        <f t="shared" si="7"/>
        <v>11</v>
      </c>
      <c r="L1199" s="108" t="str">
        <f t="shared" si="8"/>
        <v>2023-Q4</v>
      </c>
      <c r="M1199" s="111" t="str">
        <f t="shared" si="9"/>
        <v>2023-11</v>
      </c>
      <c r="N1199" s="112" t="str">
        <f t="shared" si="10"/>
        <v>2023-H2</v>
      </c>
    </row>
    <row r="1200">
      <c r="A1200" s="113" t="s">
        <v>610</v>
      </c>
      <c r="J1200" s="108" t="str">
        <f t="shared" si="6"/>
        <v>2023</v>
      </c>
      <c r="K1200" s="110">
        <f t="shared" si="7"/>
        <v>11</v>
      </c>
      <c r="L1200" s="108" t="str">
        <f t="shared" si="8"/>
        <v>2023-Q4</v>
      </c>
      <c r="M1200" s="111" t="str">
        <f t="shared" si="9"/>
        <v>2023-11</v>
      </c>
      <c r="N1200" s="112" t="str">
        <f t="shared" si="10"/>
        <v>2023-H2</v>
      </c>
    </row>
    <row r="1201">
      <c r="A1201" s="113" t="s">
        <v>610</v>
      </c>
      <c r="J1201" s="108" t="str">
        <f t="shared" si="6"/>
        <v>2023</v>
      </c>
      <c r="K1201" s="110">
        <f t="shared" si="7"/>
        <v>11</v>
      </c>
      <c r="L1201" s="108" t="str">
        <f t="shared" si="8"/>
        <v>2023-Q4</v>
      </c>
      <c r="M1201" s="111" t="str">
        <f t="shared" si="9"/>
        <v>2023-11</v>
      </c>
      <c r="N1201" s="112" t="str">
        <f t="shared" si="10"/>
        <v>2023-H2</v>
      </c>
    </row>
    <row r="1202">
      <c r="A1202" s="113" t="s">
        <v>610</v>
      </c>
      <c r="J1202" s="108" t="str">
        <f t="shared" si="6"/>
        <v>2023</v>
      </c>
      <c r="K1202" s="110">
        <f t="shared" si="7"/>
        <v>11</v>
      </c>
      <c r="L1202" s="108" t="str">
        <f t="shared" si="8"/>
        <v>2023-Q4</v>
      </c>
      <c r="M1202" s="111" t="str">
        <f t="shared" si="9"/>
        <v>2023-11</v>
      </c>
      <c r="N1202" s="112" t="str">
        <f t="shared" si="10"/>
        <v>2023-H2</v>
      </c>
    </row>
    <row r="1203">
      <c r="A1203" s="113" t="s">
        <v>610</v>
      </c>
      <c r="J1203" s="108" t="str">
        <f t="shared" si="6"/>
        <v>2023</v>
      </c>
      <c r="K1203" s="110">
        <f t="shared" si="7"/>
        <v>11</v>
      </c>
      <c r="L1203" s="108" t="str">
        <f t="shared" si="8"/>
        <v>2023-Q4</v>
      </c>
      <c r="M1203" s="111" t="str">
        <f t="shared" si="9"/>
        <v>2023-11</v>
      </c>
      <c r="N1203" s="112" t="str">
        <f t="shared" si="10"/>
        <v>2023-H2</v>
      </c>
    </row>
    <row r="1204">
      <c r="A1204" s="113" t="s">
        <v>610</v>
      </c>
      <c r="J1204" s="108" t="str">
        <f t="shared" si="6"/>
        <v>2023</v>
      </c>
      <c r="K1204" s="110">
        <f t="shared" si="7"/>
        <v>11</v>
      </c>
      <c r="L1204" s="108" t="str">
        <f t="shared" si="8"/>
        <v>2023-Q4</v>
      </c>
      <c r="M1204" s="111" t="str">
        <f t="shared" si="9"/>
        <v>2023-11</v>
      </c>
      <c r="N1204" s="112" t="str">
        <f t="shared" si="10"/>
        <v>2023-H2</v>
      </c>
    </row>
    <row r="1205">
      <c r="A1205" s="113" t="s">
        <v>610</v>
      </c>
      <c r="J1205" s="108" t="str">
        <f t="shared" si="6"/>
        <v>2023</v>
      </c>
      <c r="K1205" s="110">
        <f t="shared" si="7"/>
        <v>11</v>
      </c>
      <c r="L1205" s="108" t="str">
        <f t="shared" si="8"/>
        <v>2023-Q4</v>
      </c>
      <c r="M1205" s="111" t="str">
        <f t="shared" si="9"/>
        <v>2023-11</v>
      </c>
      <c r="N1205" s="112" t="str">
        <f t="shared" si="10"/>
        <v>2023-H2</v>
      </c>
    </row>
    <row r="1206">
      <c r="A1206" s="113" t="s">
        <v>610</v>
      </c>
      <c r="J1206" s="108" t="str">
        <f t="shared" si="6"/>
        <v>2023</v>
      </c>
      <c r="K1206" s="110">
        <f t="shared" si="7"/>
        <v>11</v>
      </c>
      <c r="L1206" s="108" t="str">
        <f t="shared" si="8"/>
        <v>2023-Q4</v>
      </c>
      <c r="M1206" s="111" t="str">
        <f t="shared" si="9"/>
        <v>2023-11</v>
      </c>
      <c r="N1206" s="112" t="str">
        <f t="shared" si="10"/>
        <v>2023-H2</v>
      </c>
    </row>
    <row r="1207">
      <c r="A1207" s="113" t="s">
        <v>610</v>
      </c>
      <c r="J1207" s="108" t="str">
        <f t="shared" si="6"/>
        <v>2023</v>
      </c>
      <c r="K1207" s="110">
        <f t="shared" si="7"/>
        <v>11</v>
      </c>
      <c r="L1207" s="108" t="str">
        <f t="shared" si="8"/>
        <v>2023-Q4</v>
      </c>
      <c r="M1207" s="111" t="str">
        <f t="shared" si="9"/>
        <v>2023-11</v>
      </c>
      <c r="N1207" s="112" t="str">
        <f t="shared" si="10"/>
        <v>2023-H2</v>
      </c>
    </row>
    <row r="1208">
      <c r="A1208" s="113" t="s">
        <v>610</v>
      </c>
      <c r="J1208" s="108" t="str">
        <f t="shared" si="6"/>
        <v>2023</v>
      </c>
      <c r="K1208" s="110">
        <f t="shared" si="7"/>
        <v>11</v>
      </c>
      <c r="L1208" s="108" t="str">
        <f t="shared" si="8"/>
        <v>2023-Q4</v>
      </c>
      <c r="M1208" s="111" t="str">
        <f t="shared" si="9"/>
        <v>2023-11</v>
      </c>
      <c r="N1208" s="112" t="str">
        <f t="shared" si="10"/>
        <v>2023-H2</v>
      </c>
    </row>
    <row r="1209">
      <c r="A1209" s="113" t="s">
        <v>610</v>
      </c>
      <c r="J1209" s="108" t="str">
        <f t="shared" si="6"/>
        <v>2023</v>
      </c>
      <c r="K1209" s="110">
        <f t="shared" si="7"/>
        <v>11</v>
      </c>
      <c r="L1209" s="108" t="str">
        <f t="shared" si="8"/>
        <v>2023-Q4</v>
      </c>
      <c r="M1209" s="111" t="str">
        <f t="shared" si="9"/>
        <v>2023-11</v>
      </c>
      <c r="N1209" s="112" t="str">
        <f t="shared" si="10"/>
        <v>2023-H2</v>
      </c>
    </row>
    <row r="1210">
      <c r="A1210" s="113" t="s">
        <v>610</v>
      </c>
      <c r="J1210" s="108" t="str">
        <f t="shared" si="6"/>
        <v>2023</v>
      </c>
      <c r="K1210" s="110">
        <f t="shared" si="7"/>
        <v>11</v>
      </c>
      <c r="L1210" s="108" t="str">
        <f t="shared" si="8"/>
        <v>2023-Q4</v>
      </c>
      <c r="M1210" s="111" t="str">
        <f t="shared" si="9"/>
        <v>2023-11</v>
      </c>
      <c r="N1210" s="112" t="str">
        <f t="shared" si="10"/>
        <v>2023-H2</v>
      </c>
    </row>
    <row r="1211">
      <c r="A1211" s="113" t="s">
        <v>610</v>
      </c>
      <c r="J1211" s="108" t="str">
        <f t="shared" si="6"/>
        <v>2023</v>
      </c>
      <c r="K1211" s="110">
        <f t="shared" si="7"/>
        <v>11</v>
      </c>
      <c r="L1211" s="108" t="str">
        <f t="shared" si="8"/>
        <v>2023-Q4</v>
      </c>
      <c r="M1211" s="111" t="str">
        <f t="shared" si="9"/>
        <v>2023-11</v>
      </c>
      <c r="N1211" s="112" t="str">
        <f t="shared" si="10"/>
        <v>2023-H2</v>
      </c>
    </row>
    <row r="1212">
      <c r="A1212" s="113" t="s">
        <v>610</v>
      </c>
      <c r="J1212" s="108" t="str">
        <f t="shared" si="6"/>
        <v>2023</v>
      </c>
      <c r="K1212" s="110">
        <f t="shared" si="7"/>
        <v>11</v>
      </c>
      <c r="L1212" s="108" t="str">
        <f t="shared" si="8"/>
        <v>2023-Q4</v>
      </c>
      <c r="M1212" s="111" t="str">
        <f t="shared" si="9"/>
        <v>2023-11</v>
      </c>
      <c r="N1212" s="112" t="str">
        <f t="shared" si="10"/>
        <v>2023-H2</v>
      </c>
    </row>
    <row r="1213">
      <c r="A1213" s="113" t="s">
        <v>610</v>
      </c>
      <c r="J1213" s="108" t="str">
        <f t="shared" si="6"/>
        <v>2023</v>
      </c>
      <c r="K1213" s="110">
        <f t="shared" si="7"/>
        <v>11</v>
      </c>
      <c r="L1213" s="108" t="str">
        <f t="shared" si="8"/>
        <v>2023-Q4</v>
      </c>
      <c r="M1213" s="111" t="str">
        <f t="shared" si="9"/>
        <v>2023-11</v>
      </c>
      <c r="N1213" s="112" t="str">
        <f t="shared" si="10"/>
        <v>2023-H2</v>
      </c>
    </row>
    <row r="1214">
      <c r="A1214" s="113" t="s">
        <v>610</v>
      </c>
      <c r="J1214" s="108" t="str">
        <f t="shared" si="6"/>
        <v>2023</v>
      </c>
      <c r="K1214" s="110">
        <f t="shared" si="7"/>
        <v>11</v>
      </c>
      <c r="L1214" s="108" t="str">
        <f t="shared" si="8"/>
        <v>2023-Q4</v>
      </c>
      <c r="M1214" s="111" t="str">
        <f t="shared" si="9"/>
        <v>2023-11</v>
      </c>
      <c r="N1214" s="112" t="str">
        <f t="shared" si="10"/>
        <v>2023-H2</v>
      </c>
    </row>
    <row r="1215">
      <c r="A1215" s="113" t="s">
        <v>610</v>
      </c>
      <c r="J1215" s="108" t="str">
        <f t="shared" si="6"/>
        <v>2023</v>
      </c>
      <c r="K1215" s="110">
        <f t="shared" si="7"/>
        <v>11</v>
      </c>
      <c r="L1215" s="108" t="str">
        <f t="shared" si="8"/>
        <v>2023-Q4</v>
      </c>
      <c r="M1215" s="111" t="str">
        <f t="shared" si="9"/>
        <v>2023-11</v>
      </c>
      <c r="N1215" s="112" t="str">
        <f t="shared" si="10"/>
        <v>2023-H2</v>
      </c>
    </row>
    <row r="1216">
      <c r="A1216" s="113" t="s">
        <v>610</v>
      </c>
      <c r="J1216" s="108" t="str">
        <f t="shared" si="6"/>
        <v>2023</v>
      </c>
      <c r="K1216" s="110">
        <f t="shared" si="7"/>
        <v>11</v>
      </c>
      <c r="L1216" s="108" t="str">
        <f t="shared" si="8"/>
        <v>2023-Q4</v>
      </c>
      <c r="M1216" s="111" t="str">
        <f t="shared" si="9"/>
        <v>2023-11</v>
      </c>
      <c r="N1216" s="112" t="str">
        <f t="shared" si="10"/>
        <v>2023-H2</v>
      </c>
    </row>
    <row r="1217">
      <c r="A1217" s="113" t="s">
        <v>610</v>
      </c>
      <c r="J1217" s="108" t="str">
        <f t="shared" si="6"/>
        <v>2023</v>
      </c>
      <c r="K1217" s="110">
        <f t="shared" si="7"/>
        <v>11</v>
      </c>
      <c r="L1217" s="108" t="str">
        <f t="shared" si="8"/>
        <v>2023-Q4</v>
      </c>
      <c r="M1217" s="111" t="str">
        <f t="shared" si="9"/>
        <v>2023-11</v>
      </c>
      <c r="N1217" s="112" t="str">
        <f t="shared" si="10"/>
        <v>2023-H2</v>
      </c>
    </row>
    <row r="1218">
      <c r="A1218" s="113" t="s">
        <v>610</v>
      </c>
      <c r="J1218" s="108" t="str">
        <f t="shared" si="6"/>
        <v>2023</v>
      </c>
      <c r="K1218" s="110">
        <f t="shared" si="7"/>
        <v>11</v>
      </c>
      <c r="L1218" s="108" t="str">
        <f t="shared" si="8"/>
        <v>2023-Q4</v>
      </c>
      <c r="M1218" s="111" t="str">
        <f t="shared" si="9"/>
        <v>2023-11</v>
      </c>
      <c r="N1218" s="112" t="str">
        <f t="shared" si="10"/>
        <v>2023-H2</v>
      </c>
    </row>
    <row r="1219">
      <c r="A1219" s="113" t="s">
        <v>610</v>
      </c>
      <c r="J1219" s="108" t="str">
        <f t="shared" si="6"/>
        <v>2023</v>
      </c>
      <c r="K1219" s="110">
        <f t="shared" si="7"/>
        <v>11</v>
      </c>
      <c r="L1219" s="108" t="str">
        <f t="shared" si="8"/>
        <v>2023-Q4</v>
      </c>
      <c r="M1219" s="111" t="str">
        <f t="shared" si="9"/>
        <v>2023-11</v>
      </c>
      <c r="N1219" s="112" t="str">
        <f t="shared" si="10"/>
        <v>2023-H2</v>
      </c>
    </row>
    <row r="1220">
      <c r="A1220" s="113" t="s">
        <v>610</v>
      </c>
      <c r="J1220" s="108" t="str">
        <f t="shared" si="6"/>
        <v>2023</v>
      </c>
      <c r="K1220" s="110">
        <f t="shared" si="7"/>
        <v>11</v>
      </c>
      <c r="L1220" s="108" t="str">
        <f t="shared" si="8"/>
        <v>2023-Q4</v>
      </c>
      <c r="M1220" s="111" t="str">
        <f t="shared" si="9"/>
        <v>2023-11</v>
      </c>
      <c r="N1220" s="112" t="str">
        <f t="shared" si="10"/>
        <v>2023-H2</v>
      </c>
    </row>
    <row r="1221">
      <c r="A1221" s="113" t="s">
        <v>610</v>
      </c>
      <c r="J1221" s="108" t="str">
        <f t="shared" si="6"/>
        <v>2023</v>
      </c>
      <c r="K1221" s="110">
        <f t="shared" si="7"/>
        <v>11</v>
      </c>
      <c r="L1221" s="108" t="str">
        <f t="shared" si="8"/>
        <v>2023-Q4</v>
      </c>
      <c r="M1221" s="111" t="str">
        <f t="shared" si="9"/>
        <v>2023-11</v>
      </c>
      <c r="N1221" s="112" t="str">
        <f t="shared" si="10"/>
        <v>2023-H2</v>
      </c>
    </row>
    <row r="1222">
      <c r="A1222" s="113" t="s">
        <v>610</v>
      </c>
      <c r="J1222" s="108" t="str">
        <f t="shared" si="6"/>
        <v>2023</v>
      </c>
      <c r="K1222" s="110">
        <f t="shared" si="7"/>
        <v>12</v>
      </c>
      <c r="L1222" s="108" t="str">
        <f t="shared" si="8"/>
        <v>2023-Q4</v>
      </c>
      <c r="M1222" s="111" t="str">
        <f t="shared" si="9"/>
        <v>2023-12</v>
      </c>
      <c r="N1222" s="112" t="str">
        <f t="shared" si="10"/>
        <v>2023-H2</v>
      </c>
    </row>
    <row r="1223">
      <c r="A1223" s="113" t="s">
        <v>610</v>
      </c>
      <c r="J1223" s="108" t="str">
        <f t="shared" si="6"/>
        <v>2023</v>
      </c>
      <c r="K1223" s="110">
        <f t="shared" si="7"/>
        <v>12</v>
      </c>
      <c r="L1223" s="108" t="str">
        <f t="shared" si="8"/>
        <v>2023-Q4</v>
      </c>
      <c r="M1223" s="111" t="str">
        <f t="shared" si="9"/>
        <v>2023-12</v>
      </c>
      <c r="N1223" s="112" t="str">
        <f t="shared" si="10"/>
        <v>2023-H2</v>
      </c>
    </row>
    <row r="1224">
      <c r="A1224" s="113" t="s">
        <v>610</v>
      </c>
      <c r="J1224" s="108" t="str">
        <f t="shared" si="6"/>
        <v>2023</v>
      </c>
      <c r="K1224" s="110">
        <f t="shared" si="7"/>
        <v>12</v>
      </c>
      <c r="L1224" s="108" t="str">
        <f t="shared" si="8"/>
        <v>2023-Q4</v>
      </c>
      <c r="M1224" s="111" t="str">
        <f t="shared" si="9"/>
        <v>2023-12</v>
      </c>
      <c r="N1224" s="112" t="str">
        <f t="shared" si="10"/>
        <v>2023-H2</v>
      </c>
    </row>
    <row r="1225">
      <c r="A1225" s="113" t="s">
        <v>610</v>
      </c>
      <c r="J1225" s="108" t="str">
        <f t="shared" si="6"/>
        <v>2023</v>
      </c>
      <c r="K1225" s="110">
        <f t="shared" si="7"/>
        <v>12</v>
      </c>
      <c r="L1225" s="108" t="str">
        <f t="shared" si="8"/>
        <v>2023-Q4</v>
      </c>
      <c r="M1225" s="111" t="str">
        <f t="shared" si="9"/>
        <v>2023-12</v>
      </c>
      <c r="N1225" s="112" t="str">
        <f t="shared" si="10"/>
        <v>2023-H2</v>
      </c>
    </row>
    <row r="1226">
      <c r="A1226" s="113" t="s">
        <v>610</v>
      </c>
      <c r="J1226" s="108" t="str">
        <f t="shared" si="6"/>
        <v>2023</v>
      </c>
      <c r="K1226" s="110">
        <f t="shared" si="7"/>
        <v>12</v>
      </c>
      <c r="L1226" s="108" t="str">
        <f t="shared" si="8"/>
        <v>2023-Q4</v>
      </c>
      <c r="M1226" s="111" t="str">
        <f t="shared" si="9"/>
        <v>2023-12</v>
      </c>
      <c r="N1226" s="112" t="str">
        <f t="shared" si="10"/>
        <v>2023-H2</v>
      </c>
    </row>
    <row r="1227">
      <c r="A1227" s="113" t="s">
        <v>610</v>
      </c>
      <c r="J1227" s="108" t="str">
        <f t="shared" si="6"/>
        <v>2023</v>
      </c>
      <c r="K1227" s="110">
        <f t="shared" si="7"/>
        <v>12</v>
      </c>
      <c r="L1227" s="108" t="str">
        <f t="shared" si="8"/>
        <v>2023-Q4</v>
      </c>
      <c r="M1227" s="111" t="str">
        <f t="shared" si="9"/>
        <v>2023-12</v>
      </c>
      <c r="N1227" s="112" t="str">
        <f t="shared" si="10"/>
        <v>2023-H2</v>
      </c>
    </row>
    <row r="1228">
      <c r="A1228" s="113" t="s">
        <v>610</v>
      </c>
      <c r="J1228" s="108" t="str">
        <f t="shared" si="6"/>
        <v>2023</v>
      </c>
      <c r="K1228" s="110">
        <f t="shared" si="7"/>
        <v>12</v>
      </c>
      <c r="L1228" s="108" t="str">
        <f t="shared" si="8"/>
        <v>2023-Q4</v>
      </c>
      <c r="M1228" s="111" t="str">
        <f t="shared" si="9"/>
        <v>2023-12</v>
      </c>
      <c r="N1228" s="112" t="str">
        <f t="shared" si="10"/>
        <v>2023-H2</v>
      </c>
    </row>
    <row r="1229">
      <c r="A1229" s="113" t="s">
        <v>610</v>
      </c>
      <c r="J1229" s="108" t="str">
        <f t="shared" si="6"/>
        <v>2023</v>
      </c>
      <c r="K1229" s="110">
        <f t="shared" si="7"/>
        <v>12</v>
      </c>
      <c r="L1229" s="108" t="str">
        <f t="shared" si="8"/>
        <v>2023-Q4</v>
      </c>
      <c r="M1229" s="111" t="str">
        <f t="shared" si="9"/>
        <v>2023-12</v>
      </c>
      <c r="N1229" s="112" t="str">
        <f t="shared" si="10"/>
        <v>2023-H2</v>
      </c>
    </row>
    <row r="1230">
      <c r="A1230" s="113" t="s">
        <v>610</v>
      </c>
      <c r="J1230" s="108" t="str">
        <f t="shared" si="6"/>
        <v>2023</v>
      </c>
      <c r="K1230" s="110">
        <f t="shared" si="7"/>
        <v>12</v>
      </c>
      <c r="L1230" s="108" t="str">
        <f t="shared" si="8"/>
        <v>2023-Q4</v>
      </c>
      <c r="M1230" s="111" t="str">
        <f t="shared" si="9"/>
        <v>2023-12</v>
      </c>
      <c r="N1230" s="112" t="str">
        <f t="shared" si="10"/>
        <v>2023-H2</v>
      </c>
    </row>
    <row r="1231">
      <c r="A1231" s="113" t="s">
        <v>610</v>
      </c>
      <c r="J1231" s="108" t="str">
        <f t="shared" si="6"/>
        <v>2023</v>
      </c>
      <c r="K1231" s="110">
        <f t="shared" si="7"/>
        <v>12</v>
      </c>
      <c r="L1231" s="108" t="str">
        <f t="shared" si="8"/>
        <v>2023-Q4</v>
      </c>
      <c r="M1231" s="111" t="str">
        <f t="shared" si="9"/>
        <v>2023-12</v>
      </c>
      <c r="N1231" s="112" t="str">
        <f t="shared" si="10"/>
        <v>2023-H2</v>
      </c>
    </row>
    <row r="1232">
      <c r="A1232" s="113" t="s">
        <v>610</v>
      </c>
      <c r="J1232" s="108" t="str">
        <f t="shared" si="6"/>
        <v>2023</v>
      </c>
      <c r="K1232" s="110">
        <f t="shared" si="7"/>
        <v>12</v>
      </c>
      <c r="L1232" s="108" t="str">
        <f t="shared" si="8"/>
        <v>2023-Q4</v>
      </c>
      <c r="M1232" s="111" t="str">
        <f t="shared" si="9"/>
        <v>2023-12</v>
      </c>
      <c r="N1232" s="112" t="str">
        <f t="shared" si="10"/>
        <v>2023-H2</v>
      </c>
    </row>
    <row r="1233">
      <c r="A1233" s="113" t="s">
        <v>610</v>
      </c>
      <c r="J1233" s="108" t="str">
        <f t="shared" si="6"/>
        <v>2023</v>
      </c>
      <c r="K1233" s="110">
        <f t="shared" si="7"/>
        <v>12</v>
      </c>
      <c r="L1233" s="108" t="str">
        <f t="shared" si="8"/>
        <v>2023-Q4</v>
      </c>
      <c r="M1233" s="111" t="str">
        <f t="shared" si="9"/>
        <v>2023-12</v>
      </c>
      <c r="N1233" s="112" t="str">
        <f t="shared" si="10"/>
        <v>2023-H2</v>
      </c>
    </row>
    <row r="1234">
      <c r="A1234" s="113" t="s">
        <v>610</v>
      </c>
      <c r="J1234" s="108" t="str">
        <f t="shared" si="6"/>
        <v>2023</v>
      </c>
      <c r="K1234" s="110">
        <f t="shared" si="7"/>
        <v>12</v>
      </c>
      <c r="L1234" s="108" t="str">
        <f t="shared" si="8"/>
        <v>2023-Q4</v>
      </c>
      <c r="M1234" s="111" t="str">
        <f t="shared" si="9"/>
        <v>2023-12</v>
      </c>
      <c r="N1234" s="112" t="str">
        <f t="shared" si="10"/>
        <v>2023-H2</v>
      </c>
    </row>
    <row r="1235">
      <c r="A1235" s="113" t="s">
        <v>610</v>
      </c>
      <c r="J1235" s="108" t="str">
        <f t="shared" si="6"/>
        <v>2023</v>
      </c>
      <c r="K1235" s="110">
        <f t="shared" si="7"/>
        <v>12</v>
      </c>
      <c r="L1235" s="108" t="str">
        <f t="shared" si="8"/>
        <v>2023-Q4</v>
      </c>
      <c r="M1235" s="111" t="str">
        <f t="shared" si="9"/>
        <v>2023-12</v>
      </c>
      <c r="N1235" s="112" t="str">
        <f t="shared" si="10"/>
        <v>2023-H2</v>
      </c>
    </row>
    <row r="1236">
      <c r="A1236" s="113" t="s">
        <v>610</v>
      </c>
      <c r="J1236" s="108" t="str">
        <f t="shared" si="6"/>
        <v>2023</v>
      </c>
      <c r="K1236" s="110">
        <f t="shared" si="7"/>
        <v>12</v>
      </c>
      <c r="L1236" s="108" t="str">
        <f t="shared" si="8"/>
        <v>2023-Q4</v>
      </c>
      <c r="M1236" s="111" t="str">
        <f t="shared" si="9"/>
        <v>2023-12</v>
      </c>
      <c r="N1236" s="112" t="str">
        <f t="shared" si="10"/>
        <v>2023-H2</v>
      </c>
    </row>
    <row r="1237">
      <c r="A1237" s="113" t="s">
        <v>610</v>
      </c>
      <c r="J1237" s="108" t="str">
        <f t="shared" si="6"/>
        <v>2023</v>
      </c>
      <c r="K1237" s="110">
        <f t="shared" si="7"/>
        <v>12</v>
      </c>
      <c r="L1237" s="108" t="str">
        <f t="shared" si="8"/>
        <v>2023-Q4</v>
      </c>
      <c r="M1237" s="111" t="str">
        <f t="shared" si="9"/>
        <v>2023-12</v>
      </c>
      <c r="N1237" s="112" t="str">
        <f t="shared" si="10"/>
        <v>2023-H2</v>
      </c>
    </row>
    <row r="1238">
      <c r="A1238" s="113" t="s">
        <v>610</v>
      </c>
      <c r="J1238" s="108" t="str">
        <f t="shared" si="6"/>
        <v>2023</v>
      </c>
      <c r="K1238" s="110">
        <f t="shared" si="7"/>
        <v>12</v>
      </c>
      <c r="L1238" s="108" t="str">
        <f t="shared" si="8"/>
        <v>2023-Q4</v>
      </c>
      <c r="M1238" s="111" t="str">
        <f t="shared" si="9"/>
        <v>2023-12</v>
      </c>
      <c r="N1238" s="112" t="str">
        <f t="shared" si="10"/>
        <v>2023-H2</v>
      </c>
    </row>
    <row r="1239">
      <c r="A1239" s="113" t="s">
        <v>610</v>
      </c>
      <c r="J1239" s="108" t="str">
        <f t="shared" si="6"/>
        <v>2023</v>
      </c>
      <c r="K1239" s="110">
        <f t="shared" si="7"/>
        <v>12</v>
      </c>
      <c r="L1239" s="108" t="str">
        <f t="shared" si="8"/>
        <v>2023-Q4</v>
      </c>
      <c r="M1239" s="111" t="str">
        <f t="shared" si="9"/>
        <v>2023-12</v>
      </c>
      <c r="N1239" s="112" t="str">
        <f t="shared" si="10"/>
        <v>2023-H2</v>
      </c>
    </row>
    <row r="1240">
      <c r="A1240" s="113" t="s">
        <v>610</v>
      </c>
      <c r="J1240" s="108" t="str">
        <f t="shared" si="6"/>
        <v>2023</v>
      </c>
      <c r="K1240" s="110">
        <f t="shared" si="7"/>
        <v>12</v>
      </c>
      <c r="L1240" s="108" t="str">
        <f t="shared" si="8"/>
        <v>2023-Q4</v>
      </c>
      <c r="M1240" s="111" t="str">
        <f t="shared" si="9"/>
        <v>2023-12</v>
      </c>
      <c r="N1240" s="112" t="str">
        <f t="shared" si="10"/>
        <v>2023-H2</v>
      </c>
    </row>
    <row r="1241">
      <c r="A1241" s="113" t="s">
        <v>610</v>
      </c>
      <c r="J1241" s="108" t="str">
        <f t="shared" si="6"/>
        <v>2023</v>
      </c>
      <c r="K1241" s="110">
        <f t="shared" si="7"/>
        <v>12</v>
      </c>
      <c r="L1241" s="108" t="str">
        <f t="shared" si="8"/>
        <v>2023-Q4</v>
      </c>
      <c r="M1241" s="111" t="str">
        <f t="shared" si="9"/>
        <v>2023-12</v>
      </c>
      <c r="N1241" s="112" t="str">
        <f t="shared" si="10"/>
        <v>2023-H2</v>
      </c>
    </row>
    <row r="1242">
      <c r="A1242" s="113" t="s">
        <v>610</v>
      </c>
      <c r="J1242" s="108" t="str">
        <f t="shared" si="6"/>
        <v>2023</v>
      </c>
      <c r="K1242" s="110">
        <f t="shared" si="7"/>
        <v>12</v>
      </c>
      <c r="L1242" s="108" t="str">
        <f t="shared" si="8"/>
        <v>2023-Q4</v>
      </c>
      <c r="M1242" s="111" t="str">
        <f t="shared" si="9"/>
        <v>2023-12</v>
      </c>
      <c r="N1242" s="112" t="str">
        <f t="shared" si="10"/>
        <v>2023-H2</v>
      </c>
    </row>
    <row r="1243">
      <c r="A1243" s="113" t="s">
        <v>610</v>
      </c>
      <c r="J1243" s="108" t="str">
        <f t="shared" si="6"/>
        <v>2023</v>
      </c>
      <c r="K1243" s="110">
        <f t="shared" si="7"/>
        <v>12</v>
      </c>
      <c r="L1243" s="108" t="str">
        <f t="shared" si="8"/>
        <v>2023-Q4</v>
      </c>
      <c r="M1243" s="111" t="str">
        <f t="shared" si="9"/>
        <v>2023-12</v>
      </c>
      <c r="N1243" s="112" t="str">
        <f t="shared" si="10"/>
        <v>2023-H2</v>
      </c>
    </row>
    <row r="1244">
      <c r="A1244" s="113" t="s">
        <v>610</v>
      </c>
      <c r="J1244" s="108" t="str">
        <f t="shared" si="6"/>
        <v>2023</v>
      </c>
      <c r="K1244" s="110">
        <f t="shared" si="7"/>
        <v>12</v>
      </c>
      <c r="L1244" s="108" t="str">
        <f t="shared" si="8"/>
        <v>2023-Q4</v>
      </c>
      <c r="M1244" s="111" t="str">
        <f t="shared" si="9"/>
        <v>2023-12</v>
      </c>
      <c r="N1244" s="112" t="str">
        <f t="shared" si="10"/>
        <v>2023-H2</v>
      </c>
    </row>
    <row r="1245">
      <c r="A1245" s="113" t="s">
        <v>610</v>
      </c>
      <c r="J1245" s="108" t="str">
        <f t="shared" si="6"/>
        <v>2023</v>
      </c>
      <c r="K1245" s="110">
        <f t="shared" si="7"/>
        <v>12</v>
      </c>
      <c r="L1245" s="108" t="str">
        <f t="shared" si="8"/>
        <v>2023-Q4</v>
      </c>
      <c r="M1245" s="111" t="str">
        <f t="shared" si="9"/>
        <v>2023-12</v>
      </c>
      <c r="N1245" s="112" t="str">
        <f t="shared" si="10"/>
        <v>2023-H2</v>
      </c>
    </row>
    <row r="1246">
      <c r="A1246" s="113" t="s">
        <v>610</v>
      </c>
      <c r="J1246" s="108" t="str">
        <f t="shared" si="6"/>
        <v>2023</v>
      </c>
      <c r="K1246" s="110">
        <f t="shared" si="7"/>
        <v>12</v>
      </c>
      <c r="L1246" s="108" t="str">
        <f t="shared" si="8"/>
        <v>2023-Q4</v>
      </c>
      <c r="M1246" s="111" t="str">
        <f t="shared" si="9"/>
        <v>2023-12</v>
      </c>
      <c r="N1246" s="112" t="str">
        <f t="shared" si="10"/>
        <v>2023-H2</v>
      </c>
    </row>
    <row r="1247">
      <c r="A1247" s="113" t="s">
        <v>610</v>
      </c>
      <c r="J1247" s="108" t="str">
        <f t="shared" si="6"/>
        <v>2023</v>
      </c>
      <c r="K1247" s="110">
        <f t="shared" si="7"/>
        <v>12</v>
      </c>
      <c r="L1247" s="108" t="str">
        <f t="shared" si="8"/>
        <v>2023-Q4</v>
      </c>
      <c r="M1247" s="111" t="str">
        <f t="shared" si="9"/>
        <v>2023-12</v>
      </c>
      <c r="N1247" s="112" t="str">
        <f t="shared" si="10"/>
        <v>2023-H2</v>
      </c>
    </row>
    <row r="1248">
      <c r="A1248" s="113" t="s">
        <v>610</v>
      </c>
      <c r="J1248" s="108" t="str">
        <f t="shared" si="6"/>
        <v>2023</v>
      </c>
      <c r="K1248" s="110">
        <f t="shared" si="7"/>
        <v>12</v>
      </c>
      <c r="L1248" s="108" t="str">
        <f t="shared" si="8"/>
        <v>2023-Q4</v>
      </c>
      <c r="M1248" s="111" t="str">
        <f t="shared" si="9"/>
        <v>2023-12</v>
      </c>
      <c r="N1248" s="112" t="str">
        <f t="shared" si="10"/>
        <v>2023-H2</v>
      </c>
    </row>
    <row r="1249">
      <c r="A1249" s="113" t="s">
        <v>610</v>
      </c>
      <c r="J1249" s="108" t="str">
        <f t="shared" si="6"/>
        <v>2023</v>
      </c>
      <c r="K1249" s="110">
        <f t="shared" si="7"/>
        <v>12</v>
      </c>
      <c r="L1249" s="108" t="str">
        <f t="shared" si="8"/>
        <v>2023-Q4</v>
      </c>
      <c r="M1249" s="111" t="str">
        <f t="shared" si="9"/>
        <v>2023-12</v>
      </c>
      <c r="N1249" s="112" t="str">
        <f t="shared" si="10"/>
        <v>2023-H2</v>
      </c>
    </row>
    <row r="1250">
      <c r="A1250" s="113" t="s">
        <v>610</v>
      </c>
      <c r="J1250" s="108" t="str">
        <f t="shared" si="6"/>
        <v>2023</v>
      </c>
      <c r="K1250" s="110">
        <f t="shared" si="7"/>
        <v>12</v>
      </c>
      <c r="L1250" s="108" t="str">
        <f t="shared" si="8"/>
        <v>2023-Q4</v>
      </c>
      <c r="M1250" s="111" t="str">
        <f t="shared" si="9"/>
        <v>2023-12</v>
      </c>
      <c r="N1250" s="112" t="str">
        <f t="shared" si="10"/>
        <v>2023-H2</v>
      </c>
    </row>
    <row r="1251">
      <c r="A1251" s="113" t="s">
        <v>610</v>
      </c>
      <c r="J1251" s="108" t="str">
        <f t="shared" si="6"/>
        <v>2023</v>
      </c>
      <c r="K1251" s="110">
        <f t="shared" si="7"/>
        <v>12</v>
      </c>
      <c r="L1251" s="108" t="str">
        <f t="shared" si="8"/>
        <v>2023-Q4</v>
      </c>
      <c r="M1251" s="111" t="str">
        <f t="shared" si="9"/>
        <v>2023-12</v>
      </c>
      <c r="N1251" s="112" t="str">
        <f t="shared" si="10"/>
        <v>2023-H2</v>
      </c>
    </row>
    <row r="1252">
      <c r="A1252" s="113" t="s">
        <v>610</v>
      </c>
      <c r="J1252" s="108" t="str">
        <f t="shared" si="6"/>
        <v>2023</v>
      </c>
      <c r="K1252" s="110">
        <f t="shared" si="7"/>
        <v>12</v>
      </c>
      <c r="L1252" s="108" t="str">
        <f t="shared" si="8"/>
        <v>2023-Q4</v>
      </c>
      <c r="M1252" s="111" t="str">
        <f t="shared" si="9"/>
        <v>2023-12</v>
      </c>
      <c r="N1252" s="112" t="str">
        <f t="shared" si="10"/>
        <v>2023-H2</v>
      </c>
    </row>
    <row r="1253">
      <c r="A1253" s="113" t="s">
        <v>610</v>
      </c>
      <c r="J1253" s="108" t="str">
        <f t="shared" si="6"/>
        <v>2023</v>
      </c>
      <c r="K1253" s="110">
        <f t="shared" si="7"/>
        <v>12</v>
      </c>
      <c r="L1253" s="108" t="str">
        <f t="shared" si="8"/>
        <v>2023-Q4</v>
      </c>
      <c r="M1253" s="111" t="str">
        <f t="shared" si="9"/>
        <v>2023-12</v>
      </c>
      <c r="N1253" s="112" t="str">
        <f t="shared" si="10"/>
        <v>2023-H2</v>
      </c>
    </row>
    <row r="1254">
      <c r="A1254" s="113" t="s">
        <v>610</v>
      </c>
      <c r="J1254" s="108" t="str">
        <f t="shared" si="6"/>
        <v>2023</v>
      </c>
      <c r="K1254" s="110">
        <f t="shared" si="7"/>
        <v>12</v>
      </c>
      <c r="L1254" s="108" t="str">
        <f t="shared" si="8"/>
        <v>2023-Q4</v>
      </c>
      <c r="M1254" s="111" t="str">
        <f t="shared" si="9"/>
        <v>2023-12</v>
      </c>
      <c r="N1254" s="112" t="str">
        <f t="shared" si="10"/>
        <v>2023-H2</v>
      </c>
    </row>
    <row r="1255">
      <c r="A1255" s="113" t="s">
        <v>610</v>
      </c>
      <c r="J1255" s="108" t="str">
        <f t="shared" si="6"/>
        <v>2024</v>
      </c>
      <c r="K1255" s="110">
        <f t="shared" si="7"/>
        <v>1</v>
      </c>
      <c r="L1255" s="108" t="str">
        <f t="shared" si="8"/>
        <v>2024-Q1</v>
      </c>
      <c r="M1255" s="111" t="str">
        <f t="shared" si="9"/>
        <v>2024-01</v>
      </c>
      <c r="N1255" s="112" t="str">
        <f t="shared" si="10"/>
        <v>2024-H1</v>
      </c>
    </row>
    <row r="1256">
      <c r="A1256" s="113" t="s">
        <v>610</v>
      </c>
      <c r="J1256" s="108" t="str">
        <f t="shared" si="6"/>
        <v>2023</v>
      </c>
      <c r="K1256" s="110">
        <f t="shared" si="7"/>
        <v>12</v>
      </c>
      <c r="L1256" s="108" t="str">
        <f t="shared" si="8"/>
        <v>2023-Q4</v>
      </c>
      <c r="M1256" s="111" t="str">
        <f t="shared" si="9"/>
        <v>2023-12</v>
      </c>
      <c r="N1256" s="112" t="str">
        <f t="shared" si="10"/>
        <v>2023-H2</v>
      </c>
    </row>
    <row r="1257">
      <c r="A1257" s="113" t="s">
        <v>610</v>
      </c>
      <c r="J1257" s="108" t="str">
        <f t="shared" si="6"/>
        <v>2024</v>
      </c>
      <c r="K1257" s="110">
        <f t="shared" si="7"/>
        <v>1</v>
      </c>
      <c r="L1257" s="108" t="str">
        <f t="shared" si="8"/>
        <v>2024-Q1</v>
      </c>
      <c r="M1257" s="111" t="str">
        <f t="shared" si="9"/>
        <v>2024-01</v>
      </c>
      <c r="N1257" s="112" t="str">
        <f t="shared" si="10"/>
        <v>2024-H1</v>
      </c>
    </row>
    <row r="1258">
      <c r="A1258" s="113" t="s">
        <v>610</v>
      </c>
      <c r="J1258" s="108" t="str">
        <f t="shared" si="6"/>
        <v>2023</v>
      </c>
      <c r="K1258" s="110">
        <f t="shared" si="7"/>
        <v>12</v>
      </c>
      <c r="L1258" s="108" t="str">
        <f t="shared" si="8"/>
        <v>2023-Q4</v>
      </c>
      <c r="M1258" s="111" t="str">
        <f t="shared" si="9"/>
        <v>2023-12</v>
      </c>
      <c r="N1258" s="112" t="str">
        <f t="shared" si="10"/>
        <v>2023-H2</v>
      </c>
    </row>
    <row r="1259">
      <c r="A1259" s="113" t="s">
        <v>610</v>
      </c>
      <c r="J1259" s="108" t="str">
        <f t="shared" si="6"/>
        <v>2023</v>
      </c>
      <c r="K1259" s="110">
        <f t="shared" si="7"/>
        <v>12</v>
      </c>
      <c r="L1259" s="108" t="str">
        <f t="shared" si="8"/>
        <v>2023-Q4</v>
      </c>
      <c r="M1259" s="111" t="str">
        <f t="shared" si="9"/>
        <v>2023-12</v>
      </c>
      <c r="N1259" s="112" t="str">
        <f t="shared" si="10"/>
        <v>2023-H2</v>
      </c>
    </row>
    <row r="1260">
      <c r="A1260" s="113" t="s">
        <v>610</v>
      </c>
      <c r="J1260" s="108" t="str">
        <f t="shared" si="6"/>
        <v>2024</v>
      </c>
      <c r="K1260" s="110">
        <f t="shared" si="7"/>
        <v>1</v>
      </c>
      <c r="L1260" s="108" t="str">
        <f t="shared" si="8"/>
        <v>2024-Q1</v>
      </c>
      <c r="M1260" s="111" t="str">
        <f t="shared" si="9"/>
        <v>2024-01</v>
      </c>
      <c r="N1260" s="112" t="str">
        <f t="shared" si="10"/>
        <v>2024-H1</v>
      </c>
    </row>
    <row r="1261">
      <c r="A1261" s="113" t="s">
        <v>610</v>
      </c>
      <c r="J1261" s="108" t="str">
        <f t="shared" si="6"/>
        <v>2024</v>
      </c>
      <c r="K1261" s="110">
        <f t="shared" si="7"/>
        <v>1</v>
      </c>
      <c r="L1261" s="108" t="str">
        <f t="shared" si="8"/>
        <v>2024-Q1</v>
      </c>
      <c r="M1261" s="111" t="str">
        <f t="shared" si="9"/>
        <v>2024-01</v>
      </c>
      <c r="N1261" s="112" t="str">
        <f t="shared" si="10"/>
        <v>2024-H1</v>
      </c>
    </row>
    <row r="1262">
      <c r="A1262" s="113" t="s">
        <v>610</v>
      </c>
      <c r="J1262" s="108" t="str">
        <f t="shared" si="6"/>
        <v>2024</v>
      </c>
      <c r="K1262" s="110">
        <f t="shared" si="7"/>
        <v>1</v>
      </c>
      <c r="L1262" s="108" t="str">
        <f t="shared" si="8"/>
        <v>2024-Q1</v>
      </c>
      <c r="M1262" s="111" t="str">
        <f t="shared" si="9"/>
        <v>2024-01</v>
      </c>
      <c r="N1262" s="112" t="str">
        <f t="shared" si="10"/>
        <v>2024-H1</v>
      </c>
    </row>
    <row r="1263">
      <c r="A1263" s="113" t="s">
        <v>610</v>
      </c>
      <c r="J1263" s="108" t="str">
        <f t="shared" si="6"/>
        <v>2024</v>
      </c>
      <c r="K1263" s="110">
        <f t="shared" si="7"/>
        <v>1</v>
      </c>
      <c r="L1263" s="108" t="str">
        <f t="shared" si="8"/>
        <v>2024-Q1</v>
      </c>
      <c r="M1263" s="111" t="str">
        <f t="shared" si="9"/>
        <v>2024-01</v>
      </c>
      <c r="N1263" s="112" t="str">
        <f t="shared" si="10"/>
        <v>2024-H1</v>
      </c>
    </row>
    <row r="1264">
      <c r="A1264" s="113" t="s">
        <v>610</v>
      </c>
      <c r="J1264" s="108" t="str">
        <f t="shared" si="6"/>
        <v>2024</v>
      </c>
      <c r="K1264" s="110">
        <f t="shared" si="7"/>
        <v>1</v>
      </c>
      <c r="L1264" s="108" t="str">
        <f t="shared" si="8"/>
        <v>2024-Q1</v>
      </c>
      <c r="M1264" s="111" t="str">
        <f t="shared" si="9"/>
        <v>2024-01</v>
      </c>
      <c r="N1264" s="112" t="str">
        <f t="shared" si="10"/>
        <v>2024-H1</v>
      </c>
    </row>
    <row r="1265">
      <c r="A1265" s="113" t="s">
        <v>610</v>
      </c>
      <c r="J1265" s="108" t="str">
        <f t="shared" si="6"/>
        <v>2024</v>
      </c>
      <c r="K1265" s="110">
        <f t="shared" si="7"/>
        <v>1</v>
      </c>
      <c r="L1265" s="108" t="str">
        <f t="shared" si="8"/>
        <v>2024-Q1</v>
      </c>
      <c r="M1265" s="111" t="str">
        <f t="shared" si="9"/>
        <v>2024-01</v>
      </c>
      <c r="N1265" s="112" t="str">
        <f t="shared" si="10"/>
        <v>2024-H1</v>
      </c>
    </row>
    <row r="1266">
      <c r="A1266" s="113" t="s">
        <v>610</v>
      </c>
      <c r="J1266" s="108" t="str">
        <f t="shared" si="6"/>
        <v>2024</v>
      </c>
      <c r="K1266" s="110">
        <f t="shared" si="7"/>
        <v>1</v>
      </c>
      <c r="L1266" s="108" t="str">
        <f t="shared" si="8"/>
        <v>2024-Q1</v>
      </c>
      <c r="M1266" s="111" t="str">
        <f t="shared" si="9"/>
        <v>2024-01</v>
      </c>
      <c r="N1266" s="112" t="str">
        <f t="shared" si="10"/>
        <v>2024-H1</v>
      </c>
    </row>
    <row r="1267">
      <c r="A1267" s="113" t="s">
        <v>610</v>
      </c>
      <c r="J1267" s="108" t="str">
        <f t="shared" si="6"/>
        <v>2023</v>
      </c>
      <c r="K1267" s="110">
        <f t="shared" si="7"/>
        <v>12</v>
      </c>
      <c r="L1267" s="108" t="str">
        <f t="shared" si="8"/>
        <v>2023-Q4</v>
      </c>
      <c r="M1267" s="111" t="str">
        <f t="shared" si="9"/>
        <v>2023-12</v>
      </c>
      <c r="N1267" s="112" t="str">
        <f t="shared" si="10"/>
        <v>2023-H2</v>
      </c>
    </row>
    <row r="1268">
      <c r="A1268" s="113" t="s">
        <v>610</v>
      </c>
      <c r="J1268" s="108" t="str">
        <f t="shared" si="6"/>
        <v>2023</v>
      </c>
      <c r="K1268" s="110">
        <f t="shared" si="7"/>
        <v>12</v>
      </c>
      <c r="L1268" s="108" t="str">
        <f t="shared" si="8"/>
        <v>2023-Q4</v>
      </c>
      <c r="M1268" s="111" t="str">
        <f t="shared" si="9"/>
        <v>2023-12</v>
      </c>
      <c r="N1268" s="112" t="str">
        <f t="shared" si="10"/>
        <v>2023-H2</v>
      </c>
    </row>
    <row r="1269">
      <c r="A1269" s="113" t="s">
        <v>610</v>
      </c>
      <c r="J1269" s="108" t="str">
        <f t="shared" si="6"/>
        <v>2023</v>
      </c>
      <c r="K1269" s="110">
        <f t="shared" si="7"/>
        <v>12</v>
      </c>
      <c r="L1269" s="108" t="str">
        <f t="shared" si="8"/>
        <v>2023-Q4</v>
      </c>
      <c r="M1269" s="111" t="str">
        <f t="shared" si="9"/>
        <v>2023-12</v>
      </c>
      <c r="N1269" s="112" t="str">
        <f t="shared" si="10"/>
        <v>2023-H2</v>
      </c>
    </row>
    <row r="1270">
      <c r="A1270" s="113" t="s">
        <v>610</v>
      </c>
      <c r="J1270" s="108" t="str">
        <f t="shared" si="6"/>
        <v>2024</v>
      </c>
      <c r="K1270" s="110">
        <f t="shared" si="7"/>
        <v>1</v>
      </c>
      <c r="L1270" s="108" t="str">
        <f t="shared" si="8"/>
        <v>2024-Q1</v>
      </c>
      <c r="M1270" s="111" t="str">
        <f t="shared" si="9"/>
        <v>2024-01</v>
      </c>
      <c r="N1270" s="112" t="str">
        <f t="shared" si="10"/>
        <v>2024-H1</v>
      </c>
    </row>
    <row r="1271">
      <c r="A1271" s="113" t="s">
        <v>610</v>
      </c>
      <c r="J1271" s="108" t="str">
        <f t="shared" si="6"/>
        <v>2024</v>
      </c>
      <c r="K1271" s="110">
        <f t="shared" si="7"/>
        <v>1</v>
      </c>
      <c r="L1271" s="108" t="str">
        <f t="shared" si="8"/>
        <v>2024-Q1</v>
      </c>
      <c r="M1271" s="111" t="str">
        <f t="shared" si="9"/>
        <v>2024-01</v>
      </c>
      <c r="N1271" s="112" t="str">
        <f t="shared" si="10"/>
        <v>2024-H1</v>
      </c>
    </row>
    <row r="1272">
      <c r="A1272" s="113" t="s">
        <v>610</v>
      </c>
      <c r="J1272" s="108" t="str">
        <f t="shared" si="6"/>
        <v>2024</v>
      </c>
      <c r="K1272" s="110">
        <f t="shared" si="7"/>
        <v>1</v>
      </c>
      <c r="L1272" s="108" t="str">
        <f t="shared" si="8"/>
        <v>2024-Q1</v>
      </c>
      <c r="M1272" s="111" t="str">
        <f t="shared" si="9"/>
        <v>2024-01</v>
      </c>
      <c r="N1272" s="112" t="str">
        <f t="shared" si="10"/>
        <v>2024-H1</v>
      </c>
    </row>
    <row r="1273">
      <c r="A1273" s="113" t="s">
        <v>610</v>
      </c>
      <c r="J1273" s="108" t="str">
        <f t="shared" si="6"/>
        <v>2024</v>
      </c>
      <c r="K1273" s="110">
        <f t="shared" si="7"/>
        <v>1</v>
      </c>
      <c r="L1273" s="108" t="str">
        <f t="shared" si="8"/>
        <v>2024-Q1</v>
      </c>
      <c r="M1273" s="111" t="str">
        <f t="shared" si="9"/>
        <v>2024-01</v>
      </c>
      <c r="N1273" s="112" t="str">
        <f t="shared" si="10"/>
        <v>2024-H1</v>
      </c>
    </row>
    <row r="1274">
      <c r="A1274" s="113" t="s">
        <v>610</v>
      </c>
      <c r="J1274" s="108" t="str">
        <f t="shared" si="6"/>
        <v>2024</v>
      </c>
      <c r="K1274" s="110">
        <f t="shared" si="7"/>
        <v>1</v>
      </c>
      <c r="L1274" s="108" t="str">
        <f t="shared" si="8"/>
        <v>2024-Q1</v>
      </c>
      <c r="M1274" s="111" t="str">
        <f t="shared" si="9"/>
        <v>2024-01</v>
      </c>
      <c r="N1274" s="112" t="str">
        <f t="shared" si="10"/>
        <v>2024-H1</v>
      </c>
    </row>
    <row r="1275">
      <c r="A1275" s="113" t="s">
        <v>610</v>
      </c>
      <c r="J1275" s="108" t="str">
        <f t="shared" si="6"/>
        <v>2024</v>
      </c>
      <c r="K1275" s="110">
        <f t="shared" si="7"/>
        <v>1</v>
      </c>
      <c r="L1275" s="108" t="str">
        <f t="shared" si="8"/>
        <v>2024-Q1</v>
      </c>
      <c r="M1275" s="111" t="str">
        <f t="shared" si="9"/>
        <v>2024-01</v>
      </c>
      <c r="N1275" s="112" t="str">
        <f t="shared" si="10"/>
        <v>2024-H1</v>
      </c>
    </row>
    <row r="1276">
      <c r="A1276" s="113" t="s">
        <v>610</v>
      </c>
      <c r="J1276" s="108" t="str">
        <f t="shared" si="6"/>
        <v>2024</v>
      </c>
      <c r="K1276" s="110">
        <f t="shared" si="7"/>
        <v>1</v>
      </c>
      <c r="L1276" s="108" t="str">
        <f t="shared" si="8"/>
        <v>2024-Q1</v>
      </c>
      <c r="M1276" s="111" t="str">
        <f t="shared" si="9"/>
        <v>2024-01</v>
      </c>
      <c r="N1276" s="112" t="str">
        <f t="shared" si="10"/>
        <v>2024-H1</v>
      </c>
    </row>
    <row r="1277">
      <c r="A1277" s="113" t="s">
        <v>610</v>
      </c>
      <c r="J1277" s="108" t="str">
        <f t="shared" si="6"/>
        <v>2024</v>
      </c>
      <c r="K1277" s="110">
        <f t="shared" si="7"/>
        <v>1</v>
      </c>
      <c r="L1277" s="108" t="str">
        <f t="shared" si="8"/>
        <v>2024-Q1</v>
      </c>
      <c r="M1277" s="111" t="str">
        <f t="shared" si="9"/>
        <v>2024-01</v>
      </c>
      <c r="N1277" s="112" t="str">
        <f t="shared" si="10"/>
        <v>2024-H1</v>
      </c>
    </row>
    <row r="1278">
      <c r="A1278" s="113" t="s">
        <v>610</v>
      </c>
      <c r="J1278" s="108" t="str">
        <f t="shared" si="6"/>
        <v>2024</v>
      </c>
      <c r="K1278" s="110">
        <f t="shared" si="7"/>
        <v>1</v>
      </c>
      <c r="L1278" s="108" t="str">
        <f t="shared" si="8"/>
        <v>2024-Q1</v>
      </c>
      <c r="M1278" s="111" t="str">
        <f t="shared" si="9"/>
        <v>2024-01</v>
      </c>
      <c r="N1278" s="112" t="str">
        <f t="shared" si="10"/>
        <v>2024-H1</v>
      </c>
    </row>
    <row r="1279">
      <c r="A1279" s="113" t="s">
        <v>610</v>
      </c>
      <c r="J1279" s="108" t="str">
        <f t="shared" si="6"/>
        <v>2024</v>
      </c>
      <c r="K1279" s="110">
        <f t="shared" si="7"/>
        <v>1</v>
      </c>
      <c r="L1279" s="108" t="str">
        <f t="shared" si="8"/>
        <v>2024-Q1</v>
      </c>
      <c r="M1279" s="111" t="str">
        <f t="shared" si="9"/>
        <v>2024-01</v>
      </c>
      <c r="N1279" s="112" t="str">
        <f t="shared" si="10"/>
        <v>2024-H1</v>
      </c>
    </row>
    <row r="1280">
      <c r="A1280" s="113" t="s">
        <v>610</v>
      </c>
      <c r="J1280" s="108" t="str">
        <f t="shared" si="6"/>
        <v>2024</v>
      </c>
      <c r="K1280" s="110">
        <f t="shared" si="7"/>
        <v>1</v>
      </c>
      <c r="L1280" s="108" t="str">
        <f t="shared" si="8"/>
        <v>2024-Q1</v>
      </c>
      <c r="M1280" s="111" t="str">
        <f t="shared" si="9"/>
        <v>2024-01</v>
      </c>
      <c r="N1280" s="112" t="str">
        <f t="shared" si="10"/>
        <v>2024-H1</v>
      </c>
    </row>
    <row r="1281">
      <c r="A1281" s="113" t="s">
        <v>610</v>
      </c>
      <c r="J1281" s="108" t="str">
        <f t="shared" si="6"/>
        <v>2024</v>
      </c>
      <c r="K1281" s="110">
        <f t="shared" si="7"/>
        <v>1</v>
      </c>
      <c r="L1281" s="108" t="str">
        <f t="shared" si="8"/>
        <v>2024-Q1</v>
      </c>
      <c r="M1281" s="111" t="str">
        <f t="shared" si="9"/>
        <v>2024-01</v>
      </c>
      <c r="N1281" s="112" t="str">
        <f t="shared" si="10"/>
        <v>2024-H1</v>
      </c>
    </row>
    <row r="1282">
      <c r="A1282" s="113" t="s">
        <v>610</v>
      </c>
      <c r="J1282" s="108" t="str">
        <f t="shared" si="6"/>
        <v>2024</v>
      </c>
      <c r="K1282" s="110">
        <f t="shared" si="7"/>
        <v>1</v>
      </c>
      <c r="L1282" s="108" t="str">
        <f t="shared" si="8"/>
        <v>2024-Q1</v>
      </c>
      <c r="M1282" s="111" t="str">
        <f t="shared" si="9"/>
        <v>2024-01</v>
      </c>
      <c r="N1282" s="112" t="str">
        <f t="shared" si="10"/>
        <v>2024-H1</v>
      </c>
    </row>
    <row r="1283">
      <c r="A1283" s="113" t="s">
        <v>610</v>
      </c>
      <c r="J1283" s="108" t="str">
        <f t="shared" si="6"/>
        <v>2024</v>
      </c>
      <c r="K1283" s="110">
        <f t="shared" si="7"/>
        <v>1</v>
      </c>
      <c r="L1283" s="108" t="str">
        <f t="shared" si="8"/>
        <v>2024-Q1</v>
      </c>
      <c r="M1283" s="111" t="str">
        <f t="shared" si="9"/>
        <v>2024-01</v>
      </c>
      <c r="N1283" s="112" t="str">
        <f t="shared" si="10"/>
        <v>2024-H1</v>
      </c>
    </row>
    <row r="1284">
      <c r="A1284" s="113" t="s">
        <v>610</v>
      </c>
      <c r="J1284" s="108" t="str">
        <f t="shared" si="6"/>
        <v>2024</v>
      </c>
      <c r="K1284" s="110">
        <f t="shared" si="7"/>
        <v>2</v>
      </c>
      <c r="L1284" s="108" t="str">
        <f t="shared" si="8"/>
        <v>2024-Q1</v>
      </c>
      <c r="M1284" s="111" t="str">
        <f t="shared" si="9"/>
        <v>2024-02</v>
      </c>
      <c r="N1284" s="112" t="str">
        <f t="shared" si="10"/>
        <v>2024-H1</v>
      </c>
    </row>
    <row r="1285">
      <c r="A1285" s="113" t="s">
        <v>610</v>
      </c>
      <c r="J1285" s="108" t="str">
        <f t="shared" si="6"/>
        <v>2024</v>
      </c>
      <c r="K1285" s="110">
        <f t="shared" si="7"/>
        <v>1</v>
      </c>
      <c r="L1285" s="108" t="str">
        <f t="shared" si="8"/>
        <v>2024-Q1</v>
      </c>
      <c r="M1285" s="111" t="str">
        <f t="shared" si="9"/>
        <v>2024-01</v>
      </c>
      <c r="N1285" s="112" t="str">
        <f t="shared" si="10"/>
        <v>2024-H1</v>
      </c>
    </row>
    <row r="1286">
      <c r="A1286" s="113" t="s">
        <v>610</v>
      </c>
      <c r="J1286" s="108" t="str">
        <f t="shared" si="6"/>
        <v>2024</v>
      </c>
      <c r="K1286" s="110">
        <f t="shared" si="7"/>
        <v>1</v>
      </c>
      <c r="L1286" s="108" t="str">
        <f t="shared" si="8"/>
        <v>2024-Q1</v>
      </c>
      <c r="M1286" s="111" t="str">
        <f t="shared" si="9"/>
        <v>2024-01</v>
      </c>
      <c r="N1286" s="112" t="str">
        <f t="shared" si="10"/>
        <v>2024-H1</v>
      </c>
    </row>
    <row r="1287">
      <c r="A1287" s="113" t="s">
        <v>610</v>
      </c>
      <c r="J1287" s="108" t="str">
        <f t="shared" si="6"/>
        <v>2024</v>
      </c>
      <c r="K1287" s="110">
        <f t="shared" si="7"/>
        <v>1</v>
      </c>
      <c r="L1287" s="108" t="str">
        <f t="shared" si="8"/>
        <v>2024-Q1</v>
      </c>
      <c r="M1287" s="111" t="str">
        <f t="shared" si="9"/>
        <v>2024-01</v>
      </c>
      <c r="N1287" s="112" t="str">
        <f t="shared" si="10"/>
        <v>2024-H1</v>
      </c>
    </row>
    <row r="1288">
      <c r="A1288" s="113" t="s">
        <v>610</v>
      </c>
      <c r="J1288" s="108" t="str">
        <f t="shared" si="6"/>
        <v>2024</v>
      </c>
      <c r="K1288" s="110">
        <f t="shared" si="7"/>
        <v>1</v>
      </c>
      <c r="L1288" s="108" t="str">
        <f t="shared" si="8"/>
        <v>2024-Q1</v>
      </c>
      <c r="M1288" s="111" t="str">
        <f t="shared" si="9"/>
        <v>2024-01</v>
      </c>
      <c r="N1288" s="112" t="str">
        <f t="shared" si="10"/>
        <v>2024-H1</v>
      </c>
    </row>
    <row r="1289">
      <c r="A1289" s="113" t="s">
        <v>610</v>
      </c>
      <c r="J1289" s="108" t="str">
        <f t="shared" si="6"/>
        <v>2024</v>
      </c>
      <c r="K1289" s="110">
        <f t="shared" si="7"/>
        <v>1</v>
      </c>
      <c r="L1289" s="108" t="str">
        <f t="shared" si="8"/>
        <v>2024-Q1</v>
      </c>
      <c r="M1289" s="111" t="str">
        <f t="shared" si="9"/>
        <v>2024-01</v>
      </c>
      <c r="N1289" s="112" t="str">
        <f t="shared" si="10"/>
        <v>2024-H1</v>
      </c>
    </row>
    <row r="1290">
      <c r="A1290" s="113" t="s">
        <v>610</v>
      </c>
      <c r="J1290" s="108" t="str">
        <f t="shared" si="6"/>
        <v>2024</v>
      </c>
      <c r="K1290" s="110">
        <f t="shared" si="7"/>
        <v>1</v>
      </c>
      <c r="L1290" s="108" t="str">
        <f t="shared" si="8"/>
        <v>2024-Q1</v>
      </c>
      <c r="M1290" s="111" t="str">
        <f t="shared" si="9"/>
        <v>2024-01</v>
      </c>
      <c r="N1290" s="112" t="str">
        <f t="shared" si="10"/>
        <v>2024-H1</v>
      </c>
    </row>
    <row r="1291">
      <c r="A1291" s="113" t="s">
        <v>610</v>
      </c>
      <c r="J1291" s="108" t="str">
        <f t="shared" si="6"/>
        <v>2024</v>
      </c>
      <c r="K1291" s="110">
        <f t="shared" si="7"/>
        <v>1</v>
      </c>
      <c r="L1291" s="108" t="str">
        <f t="shared" si="8"/>
        <v>2024-Q1</v>
      </c>
      <c r="M1291" s="111" t="str">
        <f t="shared" si="9"/>
        <v>2024-01</v>
      </c>
      <c r="N1291" s="112" t="str">
        <f t="shared" si="10"/>
        <v>2024-H1</v>
      </c>
    </row>
    <row r="1292">
      <c r="A1292" s="113" t="s">
        <v>610</v>
      </c>
      <c r="J1292" s="108" t="str">
        <f t="shared" si="6"/>
        <v>2024</v>
      </c>
      <c r="K1292" s="110">
        <f t="shared" si="7"/>
        <v>1</v>
      </c>
      <c r="L1292" s="108" t="str">
        <f t="shared" si="8"/>
        <v>2024-Q1</v>
      </c>
      <c r="M1292" s="111" t="str">
        <f t="shared" si="9"/>
        <v>2024-01</v>
      </c>
      <c r="N1292" s="112" t="str">
        <f t="shared" si="10"/>
        <v>2024-H1</v>
      </c>
    </row>
    <row r="1293">
      <c r="A1293" s="113" t="s">
        <v>610</v>
      </c>
      <c r="J1293" s="108" t="str">
        <f t="shared" si="6"/>
        <v>2024</v>
      </c>
      <c r="K1293" s="110">
        <f t="shared" si="7"/>
        <v>1</v>
      </c>
      <c r="L1293" s="108" t="str">
        <f t="shared" si="8"/>
        <v>2024-Q1</v>
      </c>
      <c r="M1293" s="111" t="str">
        <f t="shared" si="9"/>
        <v>2024-01</v>
      </c>
      <c r="N1293" s="112" t="str">
        <f t="shared" si="10"/>
        <v>2024-H1</v>
      </c>
    </row>
    <row r="1294">
      <c r="A1294" s="113" t="s">
        <v>610</v>
      </c>
      <c r="J1294" s="108" t="str">
        <f t="shared" si="6"/>
        <v>2024</v>
      </c>
      <c r="K1294" s="110">
        <f t="shared" si="7"/>
        <v>1</v>
      </c>
      <c r="L1294" s="108" t="str">
        <f t="shared" si="8"/>
        <v>2024-Q1</v>
      </c>
      <c r="M1294" s="111" t="str">
        <f t="shared" si="9"/>
        <v>2024-01</v>
      </c>
      <c r="N1294" s="112" t="str">
        <f t="shared" si="10"/>
        <v>2024-H1</v>
      </c>
    </row>
    <row r="1295">
      <c r="A1295" s="113" t="s">
        <v>610</v>
      </c>
      <c r="J1295" s="108" t="str">
        <f t="shared" si="6"/>
        <v>2024</v>
      </c>
      <c r="K1295" s="110">
        <f t="shared" si="7"/>
        <v>1</v>
      </c>
      <c r="L1295" s="108" t="str">
        <f t="shared" si="8"/>
        <v>2024-Q1</v>
      </c>
      <c r="M1295" s="111" t="str">
        <f t="shared" si="9"/>
        <v>2024-01</v>
      </c>
      <c r="N1295" s="112" t="str">
        <f t="shared" si="10"/>
        <v>2024-H1</v>
      </c>
    </row>
    <row r="1296">
      <c r="A1296" s="113" t="s">
        <v>610</v>
      </c>
      <c r="J1296" s="108" t="str">
        <f t="shared" si="6"/>
        <v>2024</v>
      </c>
      <c r="K1296" s="110">
        <f t="shared" si="7"/>
        <v>1</v>
      </c>
      <c r="L1296" s="108" t="str">
        <f t="shared" si="8"/>
        <v>2024-Q1</v>
      </c>
      <c r="M1296" s="111" t="str">
        <f t="shared" si="9"/>
        <v>2024-01</v>
      </c>
      <c r="N1296" s="112" t="str">
        <f t="shared" si="10"/>
        <v>2024-H1</v>
      </c>
    </row>
    <row r="1297">
      <c r="A1297" s="113" t="s">
        <v>610</v>
      </c>
      <c r="J1297" s="108" t="str">
        <f t="shared" si="6"/>
        <v>2024</v>
      </c>
      <c r="K1297" s="110">
        <f t="shared" si="7"/>
        <v>1</v>
      </c>
      <c r="L1297" s="108" t="str">
        <f t="shared" si="8"/>
        <v>2024-Q1</v>
      </c>
      <c r="M1297" s="111" t="str">
        <f t="shared" si="9"/>
        <v>2024-01</v>
      </c>
      <c r="N1297" s="112" t="str">
        <f t="shared" si="10"/>
        <v>2024-H1</v>
      </c>
    </row>
    <row r="1298">
      <c r="A1298" s="113" t="s">
        <v>610</v>
      </c>
      <c r="J1298" s="108" t="str">
        <f t="shared" si="6"/>
        <v>2024</v>
      </c>
      <c r="K1298" s="110">
        <f t="shared" si="7"/>
        <v>1</v>
      </c>
      <c r="L1298" s="108" t="str">
        <f t="shared" si="8"/>
        <v>2024-Q1</v>
      </c>
      <c r="M1298" s="111" t="str">
        <f t="shared" si="9"/>
        <v>2024-01</v>
      </c>
      <c r="N1298" s="112" t="str">
        <f t="shared" si="10"/>
        <v>2024-H1</v>
      </c>
    </row>
    <row r="1299">
      <c r="A1299" s="113" t="s">
        <v>610</v>
      </c>
      <c r="J1299" s="108" t="str">
        <f t="shared" si="6"/>
        <v>2024</v>
      </c>
      <c r="K1299" s="110">
        <f t="shared" si="7"/>
        <v>1</v>
      </c>
      <c r="L1299" s="108" t="str">
        <f t="shared" si="8"/>
        <v>2024-Q1</v>
      </c>
      <c r="M1299" s="111" t="str">
        <f t="shared" si="9"/>
        <v>2024-01</v>
      </c>
      <c r="N1299" s="112" t="str">
        <f t="shared" si="10"/>
        <v>2024-H1</v>
      </c>
    </row>
    <row r="1300">
      <c r="A1300" s="113" t="s">
        <v>610</v>
      </c>
      <c r="J1300" s="108" t="str">
        <f t="shared" si="6"/>
        <v>2024</v>
      </c>
      <c r="K1300" s="110">
        <f t="shared" si="7"/>
        <v>1</v>
      </c>
      <c r="L1300" s="108" t="str">
        <f t="shared" si="8"/>
        <v>2024-Q1</v>
      </c>
      <c r="M1300" s="111" t="str">
        <f t="shared" si="9"/>
        <v>2024-01</v>
      </c>
      <c r="N1300" s="112" t="str">
        <f t="shared" si="10"/>
        <v>2024-H1</v>
      </c>
    </row>
    <row r="1301">
      <c r="A1301" s="113" t="s">
        <v>610</v>
      </c>
      <c r="J1301" s="108" t="str">
        <f t="shared" si="6"/>
        <v>2024</v>
      </c>
      <c r="K1301" s="110">
        <f t="shared" si="7"/>
        <v>1</v>
      </c>
      <c r="L1301" s="108" t="str">
        <f t="shared" si="8"/>
        <v>2024-Q1</v>
      </c>
      <c r="M1301" s="111" t="str">
        <f t="shared" si="9"/>
        <v>2024-01</v>
      </c>
      <c r="N1301" s="112" t="str">
        <f t="shared" si="10"/>
        <v>2024-H1</v>
      </c>
    </row>
    <row r="1302">
      <c r="A1302" s="113" t="s">
        <v>610</v>
      </c>
      <c r="J1302" s="108" t="str">
        <f t="shared" si="6"/>
        <v>2024</v>
      </c>
      <c r="K1302" s="110">
        <f t="shared" si="7"/>
        <v>1</v>
      </c>
      <c r="L1302" s="108" t="str">
        <f t="shared" si="8"/>
        <v>2024-Q1</v>
      </c>
      <c r="M1302" s="111" t="str">
        <f t="shared" si="9"/>
        <v>2024-01</v>
      </c>
      <c r="N1302" s="112" t="str">
        <f t="shared" si="10"/>
        <v>2024-H1</v>
      </c>
    </row>
    <row r="1303">
      <c r="A1303" s="113" t="s">
        <v>610</v>
      </c>
      <c r="J1303" s="108" t="str">
        <f t="shared" si="6"/>
        <v>2024</v>
      </c>
      <c r="K1303" s="110">
        <f t="shared" si="7"/>
        <v>1</v>
      </c>
      <c r="L1303" s="108" t="str">
        <f t="shared" si="8"/>
        <v>2024-Q1</v>
      </c>
      <c r="M1303" s="111" t="str">
        <f t="shared" si="9"/>
        <v>2024-01</v>
      </c>
      <c r="N1303" s="112" t="str">
        <f t="shared" si="10"/>
        <v>2024-H1</v>
      </c>
    </row>
    <row r="1304">
      <c r="A1304" s="113" t="s">
        <v>610</v>
      </c>
      <c r="J1304" s="108" t="str">
        <f t="shared" si="6"/>
        <v>2024</v>
      </c>
      <c r="K1304" s="110">
        <f t="shared" si="7"/>
        <v>2</v>
      </c>
      <c r="L1304" s="108" t="str">
        <f t="shared" si="8"/>
        <v>2024-Q1</v>
      </c>
      <c r="M1304" s="111" t="str">
        <f t="shared" si="9"/>
        <v>2024-02</v>
      </c>
      <c r="N1304" s="112" t="str">
        <f t="shared" si="10"/>
        <v>2024-H1</v>
      </c>
    </row>
    <row r="1305">
      <c r="A1305" s="113" t="s">
        <v>610</v>
      </c>
      <c r="J1305" s="108" t="str">
        <f t="shared" si="6"/>
        <v>2024</v>
      </c>
      <c r="K1305" s="110">
        <f t="shared" si="7"/>
        <v>1</v>
      </c>
      <c r="L1305" s="108" t="str">
        <f t="shared" si="8"/>
        <v>2024-Q1</v>
      </c>
      <c r="M1305" s="111" t="str">
        <f t="shared" si="9"/>
        <v>2024-01</v>
      </c>
      <c r="N1305" s="112" t="str">
        <f t="shared" si="10"/>
        <v>2024-H1</v>
      </c>
    </row>
    <row r="1306">
      <c r="A1306" s="113" t="s">
        <v>610</v>
      </c>
      <c r="J1306" s="108" t="str">
        <f t="shared" si="6"/>
        <v>2024</v>
      </c>
      <c r="K1306" s="110">
        <f t="shared" si="7"/>
        <v>1</v>
      </c>
      <c r="L1306" s="108" t="str">
        <f t="shared" si="8"/>
        <v>2024-Q1</v>
      </c>
      <c r="M1306" s="111" t="str">
        <f t="shared" si="9"/>
        <v>2024-01</v>
      </c>
      <c r="N1306" s="112" t="str">
        <f t="shared" si="10"/>
        <v>2024-H1</v>
      </c>
    </row>
    <row r="1307">
      <c r="A1307" s="113" t="s">
        <v>610</v>
      </c>
      <c r="J1307" s="108" t="str">
        <f t="shared" si="6"/>
        <v>2024</v>
      </c>
      <c r="K1307" s="110">
        <f t="shared" si="7"/>
        <v>1</v>
      </c>
      <c r="L1307" s="108" t="str">
        <f t="shared" si="8"/>
        <v>2024-Q1</v>
      </c>
      <c r="M1307" s="111" t="str">
        <f t="shared" si="9"/>
        <v>2024-01</v>
      </c>
      <c r="N1307" s="112" t="str">
        <f t="shared" si="10"/>
        <v>2024-H1</v>
      </c>
    </row>
    <row r="1308">
      <c r="A1308" s="113" t="s">
        <v>610</v>
      </c>
      <c r="J1308" s="108" t="str">
        <f t="shared" si="6"/>
        <v>2024</v>
      </c>
      <c r="K1308" s="110">
        <f t="shared" si="7"/>
        <v>3</v>
      </c>
      <c r="L1308" s="108" t="str">
        <f t="shared" si="8"/>
        <v>2024-Q1</v>
      </c>
      <c r="M1308" s="111" t="str">
        <f t="shared" si="9"/>
        <v>2024-03</v>
      </c>
      <c r="N1308" s="112" t="str">
        <f t="shared" si="10"/>
        <v>2024-H1</v>
      </c>
    </row>
    <row r="1309">
      <c r="A1309" s="113" t="s">
        <v>610</v>
      </c>
      <c r="J1309" s="108" t="str">
        <f t="shared" si="6"/>
        <v>2024</v>
      </c>
      <c r="K1309" s="110">
        <f t="shared" si="7"/>
        <v>1</v>
      </c>
      <c r="L1309" s="108" t="str">
        <f t="shared" si="8"/>
        <v>2024-Q1</v>
      </c>
      <c r="M1309" s="111" t="str">
        <f t="shared" si="9"/>
        <v>2024-01</v>
      </c>
      <c r="N1309" s="112" t="str">
        <f t="shared" si="10"/>
        <v>2024-H1</v>
      </c>
    </row>
    <row r="1310">
      <c r="A1310" s="113" t="s">
        <v>610</v>
      </c>
      <c r="J1310" s="108" t="str">
        <f t="shared" si="6"/>
        <v>2024</v>
      </c>
      <c r="K1310" s="110">
        <f t="shared" si="7"/>
        <v>1</v>
      </c>
      <c r="L1310" s="108" t="str">
        <f t="shared" si="8"/>
        <v>2024-Q1</v>
      </c>
      <c r="M1310" s="111" t="str">
        <f t="shared" si="9"/>
        <v>2024-01</v>
      </c>
      <c r="N1310" s="112" t="str">
        <f t="shared" si="10"/>
        <v>2024-H1</v>
      </c>
    </row>
    <row r="1311">
      <c r="A1311" s="113" t="s">
        <v>610</v>
      </c>
      <c r="J1311" s="108" t="str">
        <f t="shared" si="6"/>
        <v>2024</v>
      </c>
      <c r="K1311" s="110">
        <f t="shared" si="7"/>
        <v>9</v>
      </c>
      <c r="L1311" s="108" t="str">
        <f t="shared" si="8"/>
        <v>2024-Q3</v>
      </c>
      <c r="M1311" s="111" t="str">
        <f t="shared" si="9"/>
        <v>2024-09</v>
      </c>
      <c r="N1311" s="112" t="str">
        <f t="shared" si="10"/>
        <v>2024-H2</v>
      </c>
    </row>
    <row r="1312">
      <c r="A1312" s="113" t="s">
        <v>610</v>
      </c>
      <c r="J1312" s="108" t="str">
        <f t="shared" si="6"/>
        <v>2024</v>
      </c>
      <c r="K1312" s="110">
        <f t="shared" si="7"/>
        <v>1</v>
      </c>
      <c r="L1312" s="108" t="str">
        <f t="shared" si="8"/>
        <v>2024-Q1</v>
      </c>
      <c r="M1312" s="111" t="str">
        <f t="shared" si="9"/>
        <v>2024-01</v>
      </c>
      <c r="N1312" s="112" t="str">
        <f t="shared" si="10"/>
        <v>2024-H1</v>
      </c>
    </row>
    <row r="1313">
      <c r="A1313" s="113" t="s">
        <v>610</v>
      </c>
      <c r="J1313" s="108" t="str">
        <f t="shared" si="6"/>
        <v>2024</v>
      </c>
      <c r="K1313" s="110">
        <f t="shared" si="7"/>
        <v>1</v>
      </c>
      <c r="L1313" s="108" t="str">
        <f t="shared" si="8"/>
        <v>2024-Q1</v>
      </c>
      <c r="M1313" s="111" t="str">
        <f t="shared" si="9"/>
        <v>2024-01</v>
      </c>
      <c r="N1313" s="112" t="str">
        <f t="shared" si="10"/>
        <v>2024-H1</v>
      </c>
    </row>
    <row r="1314">
      <c r="A1314" s="113" t="s">
        <v>610</v>
      </c>
      <c r="J1314" s="108" t="str">
        <f t="shared" si="6"/>
        <v>2024</v>
      </c>
      <c r="K1314" s="110">
        <f t="shared" si="7"/>
        <v>1</v>
      </c>
      <c r="L1314" s="108" t="str">
        <f t="shared" si="8"/>
        <v>2024-Q1</v>
      </c>
      <c r="M1314" s="111" t="str">
        <f t="shared" si="9"/>
        <v>2024-01</v>
      </c>
      <c r="N1314" s="112" t="str">
        <f t="shared" si="10"/>
        <v>2024-H1</v>
      </c>
    </row>
    <row r="1315">
      <c r="A1315" s="113" t="s">
        <v>610</v>
      </c>
      <c r="J1315" s="108" t="str">
        <f t="shared" si="6"/>
        <v>2024</v>
      </c>
      <c r="K1315" s="110">
        <f t="shared" si="7"/>
        <v>1</v>
      </c>
      <c r="L1315" s="108" t="str">
        <f t="shared" si="8"/>
        <v>2024-Q1</v>
      </c>
      <c r="M1315" s="111" t="str">
        <f t="shared" si="9"/>
        <v>2024-01</v>
      </c>
      <c r="N1315" s="112" t="str">
        <f t="shared" si="10"/>
        <v>2024-H1</v>
      </c>
    </row>
    <row r="1316">
      <c r="A1316" s="113" t="s">
        <v>610</v>
      </c>
      <c r="J1316" s="108" t="str">
        <f t="shared" si="6"/>
        <v>2024</v>
      </c>
      <c r="K1316" s="110">
        <f t="shared" si="7"/>
        <v>2</v>
      </c>
      <c r="L1316" s="108" t="str">
        <f t="shared" si="8"/>
        <v>2024-Q1</v>
      </c>
      <c r="M1316" s="111" t="str">
        <f t="shared" si="9"/>
        <v>2024-02</v>
      </c>
      <c r="N1316" s="112" t="str">
        <f t="shared" si="10"/>
        <v>2024-H1</v>
      </c>
    </row>
    <row r="1317">
      <c r="A1317" s="113" t="s">
        <v>610</v>
      </c>
      <c r="J1317" s="108" t="str">
        <f t="shared" si="6"/>
        <v>2024</v>
      </c>
      <c r="K1317" s="110">
        <f t="shared" si="7"/>
        <v>2</v>
      </c>
      <c r="L1317" s="108" t="str">
        <f t="shared" si="8"/>
        <v>2024-Q1</v>
      </c>
      <c r="M1317" s="111" t="str">
        <f t="shared" si="9"/>
        <v>2024-02</v>
      </c>
      <c r="N1317" s="112" t="str">
        <f t="shared" si="10"/>
        <v>2024-H1</v>
      </c>
    </row>
    <row r="1318">
      <c r="A1318" s="113" t="s">
        <v>610</v>
      </c>
      <c r="J1318" s="108" t="str">
        <f t="shared" si="6"/>
        <v>2024</v>
      </c>
      <c r="K1318" s="110">
        <f t="shared" si="7"/>
        <v>2</v>
      </c>
      <c r="L1318" s="108" t="str">
        <f t="shared" si="8"/>
        <v>2024-Q1</v>
      </c>
      <c r="M1318" s="111" t="str">
        <f t="shared" si="9"/>
        <v>2024-02</v>
      </c>
      <c r="N1318" s="112" t="str">
        <f t="shared" si="10"/>
        <v>2024-H1</v>
      </c>
    </row>
    <row r="1319">
      <c r="A1319" s="113" t="s">
        <v>610</v>
      </c>
      <c r="J1319" s="108" t="str">
        <f t="shared" si="6"/>
        <v>2024</v>
      </c>
      <c r="K1319" s="110">
        <f t="shared" si="7"/>
        <v>2</v>
      </c>
      <c r="L1319" s="108" t="str">
        <f t="shared" si="8"/>
        <v>2024-Q1</v>
      </c>
      <c r="M1319" s="111" t="str">
        <f t="shared" si="9"/>
        <v>2024-02</v>
      </c>
      <c r="N1319" s="112" t="str">
        <f t="shared" si="10"/>
        <v>2024-H1</v>
      </c>
    </row>
    <row r="1320">
      <c r="A1320" s="113" t="s">
        <v>610</v>
      </c>
      <c r="J1320" s="108" t="str">
        <f t="shared" si="6"/>
        <v>2024</v>
      </c>
      <c r="K1320" s="110">
        <f t="shared" si="7"/>
        <v>2</v>
      </c>
      <c r="L1320" s="108" t="str">
        <f t="shared" si="8"/>
        <v>2024-Q1</v>
      </c>
      <c r="M1320" s="111" t="str">
        <f t="shared" si="9"/>
        <v>2024-02</v>
      </c>
      <c r="N1320" s="112" t="str">
        <f t="shared" si="10"/>
        <v>2024-H1</v>
      </c>
    </row>
    <row r="1321">
      <c r="A1321" s="113" t="s">
        <v>610</v>
      </c>
      <c r="J1321" s="108" t="str">
        <f t="shared" si="6"/>
        <v>2024</v>
      </c>
      <c r="K1321" s="110">
        <f t="shared" si="7"/>
        <v>2</v>
      </c>
      <c r="L1321" s="108" t="str">
        <f t="shared" si="8"/>
        <v>2024-Q1</v>
      </c>
      <c r="M1321" s="111" t="str">
        <f t="shared" si="9"/>
        <v>2024-02</v>
      </c>
      <c r="N1321" s="112" t="str">
        <f t="shared" si="10"/>
        <v>2024-H1</v>
      </c>
    </row>
    <row r="1322">
      <c r="A1322" s="113" t="s">
        <v>610</v>
      </c>
      <c r="J1322" s="108" t="str">
        <f t="shared" si="6"/>
        <v>2024</v>
      </c>
      <c r="K1322" s="110">
        <f t="shared" si="7"/>
        <v>2</v>
      </c>
      <c r="L1322" s="108" t="str">
        <f t="shared" si="8"/>
        <v>2024-Q1</v>
      </c>
      <c r="M1322" s="111" t="str">
        <f t="shared" si="9"/>
        <v>2024-02</v>
      </c>
      <c r="N1322" s="112" t="str">
        <f t="shared" si="10"/>
        <v>2024-H1</v>
      </c>
    </row>
    <row r="1323">
      <c r="A1323" s="113" t="s">
        <v>610</v>
      </c>
      <c r="J1323" s="108" t="str">
        <f t="shared" si="6"/>
        <v>2024</v>
      </c>
      <c r="K1323" s="110">
        <f t="shared" si="7"/>
        <v>2</v>
      </c>
      <c r="L1323" s="108" t="str">
        <f t="shared" si="8"/>
        <v>2024-Q1</v>
      </c>
      <c r="M1323" s="111" t="str">
        <f t="shared" si="9"/>
        <v>2024-02</v>
      </c>
      <c r="N1323" s="112" t="str">
        <f t="shared" si="10"/>
        <v>2024-H1</v>
      </c>
    </row>
    <row r="1324">
      <c r="A1324" s="113" t="s">
        <v>610</v>
      </c>
      <c r="J1324" s="108" t="str">
        <f t="shared" si="6"/>
        <v>2024</v>
      </c>
      <c r="K1324" s="110">
        <f t="shared" si="7"/>
        <v>2</v>
      </c>
      <c r="L1324" s="108" t="str">
        <f t="shared" si="8"/>
        <v>2024-Q1</v>
      </c>
      <c r="M1324" s="111" t="str">
        <f t="shared" si="9"/>
        <v>2024-02</v>
      </c>
      <c r="N1324" s="112" t="str">
        <f t="shared" si="10"/>
        <v>2024-H1</v>
      </c>
    </row>
    <row r="1325">
      <c r="A1325" s="113" t="s">
        <v>610</v>
      </c>
      <c r="J1325" s="108" t="str">
        <f t="shared" si="6"/>
        <v>2024</v>
      </c>
      <c r="K1325" s="110">
        <f t="shared" si="7"/>
        <v>2</v>
      </c>
      <c r="L1325" s="108" t="str">
        <f t="shared" si="8"/>
        <v>2024-Q1</v>
      </c>
      <c r="M1325" s="111" t="str">
        <f t="shared" si="9"/>
        <v>2024-02</v>
      </c>
      <c r="N1325" s="112" t="str">
        <f t="shared" si="10"/>
        <v>2024-H1</v>
      </c>
    </row>
    <row r="1326">
      <c r="A1326" s="113" t="s">
        <v>610</v>
      </c>
      <c r="J1326" s="108" t="str">
        <f t="shared" si="6"/>
        <v>2024</v>
      </c>
      <c r="K1326" s="110">
        <f t="shared" si="7"/>
        <v>2</v>
      </c>
      <c r="L1326" s="108" t="str">
        <f t="shared" si="8"/>
        <v>2024-Q1</v>
      </c>
      <c r="M1326" s="111" t="str">
        <f t="shared" si="9"/>
        <v>2024-02</v>
      </c>
      <c r="N1326" s="112" t="str">
        <f t="shared" si="10"/>
        <v>2024-H1</v>
      </c>
    </row>
    <row r="1327">
      <c r="A1327" s="113" t="s">
        <v>610</v>
      </c>
      <c r="J1327" s="108" t="str">
        <f t="shared" si="6"/>
        <v>2024</v>
      </c>
      <c r="K1327" s="110">
        <f t="shared" si="7"/>
        <v>2</v>
      </c>
      <c r="L1327" s="108" t="str">
        <f t="shared" si="8"/>
        <v>2024-Q1</v>
      </c>
      <c r="M1327" s="111" t="str">
        <f t="shared" si="9"/>
        <v>2024-02</v>
      </c>
      <c r="N1327" s="112" t="str">
        <f t="shared" si="10"/>
        <v>2024-H1</v>
      </c>
    </row>
    <row r="1328">
      <c r="A1328" s="113" t="s">
        <v>610</v>
      </c>
      <c r="J1328" s="108" t="str">
        <f t="shared" si="6"/>
        <v>2024</v>
      </c>
      <c r="K1328" s="110">
        <f t="shared" si="7"/>
        <v>2</v>
      </c>
      <c r="L1328" s="108" t="str">
        <f t="shared" si="8"/>
        <v>2024-Q1</v>
      </c>
      <c r="M1328" s="111" t="str">
        <f t="shared" si="9"/>
        <v>2024-02</v>
      </c>
      <c r="N1328" s="112" t="str">
        <f t="shared" si="10"/>
        <v>2024-H1</v>
      </c>
    </row>
    <row r="1329">
      <c r="A1329" s="113" t="s">
        <v>610</v>
      </c>
      <c r="J1329" s="108" t="str">
        <f t="shared" si="6"/>
        <v>2024</v>
      </c>
      <c r="K1329" s="110">
        <f t="shared" si="7"/>
        <v>2</v>
      </c>
      <c r="L1329" s="108" t="str">
        <f t="shared" si="8"/>
        <v>2024-Q1</v>
      </c>
      <c r="M1329" s="111" t="str">
        <f t="shared" si="9"/>
        <v>2024-02</v>
      </c>
      <c r="N1329" s="112" t="str">
        <f t="shared" si="10"/>
        <v>2024-H1</v>
      </c>
    </row>
    <row r="1330">
      <c r="A1330" s="113" t="s">
        <v>610</v>
      </c>
      <c r="J1330" s="108" t="str">
        <f t="shared" si="6"/>
        <v>2024</v>
      </c>
      <c r="K1330" s="110">
        <f t="shared" si="7"/>
        <v>2</v>
      </c>
      <c r="L1330" s="108" t="str">
        <f t="shared" si="8"/>
        <v>2024-Q1</v>
      </c>
      <c r="M1330" s="111" t="str">
        <f t="shared" si="9"/>
        <v>2024-02</v>
      </c>
      <c r="N1330" s="112" t="str">
        <f t="shared" si="10"/>
        <v>2024-H1</v>
      </c>
    </row>
    <row r="1331">
      <c r="A1331" s="113" t="s">
        <v>610</v>
      </c>
      <c r="J1331" s="108" t="str">
        <f t="shared" si="6"/>
        <v>2024</v>
      </c>
      <c r="K1331" s="110">
        <f t="shared" si="7"/>
        <v>2</v>
      </c>
      <c r="L1331" s="108" t="str">
        <f t="shared" si="8"/>
        <v>2024-Q1</v>
      </c>
      <c r="M1331" s="111" t="str">
        <f t="shared" si="9"/>
        <v>2024-02</v>
      </c>
      <c r="N1331" s="112" t="str">
        <f t="shared" si="10"/>
        <v>2024-H1</v>
      </c>
    </row>
    <row r="1332">
      <c r="A1332" s="113" t="s">
        <v>610</v>
      </c>
      <c r="J1332" s="108" t="str">
        <f t="shared" si="6"/>
        <v>2024</v>
      </c>
      <c r="K1332" s="110">
        <f t="shared" si="7"/>
        <v>2</v>
      </c>
      <c r="L1332" s="108" t="str">
        <f t="shared" si="8"/>
        <v>2024-Q1</v>
      </c>
      <c r="M1332" s="111" t="str">
        <f t="shared" si="9"/>
        <v>2024-02</v>
      </c>
      <c r="N1332" s="112" t="str">
        <f t="shared" si="10"/>
        <v>2024-H1</v>
      </c>
    </row>
    <row r="1333">
      <c r="A1333" s="113" t="s">
        <v>610</v>
      </c>
      <c r="J1333" s="108" t="str">
        <f t="shared" si="6"/>
        <v>2024</v>
      </c>
      <c r="K1333" s="110">
        <f t="shared" si="7"/>
        <v>2</v>
      </c>
      <c r="L1333" s="108" t="str">
        <f t="shared" si="8"/>
        <v>2024-Q1</v>
      </c>
      <c r="M1333" s="111" t="str">
        <f t="shared" si="9"/>
        <v>2024-02</v>
      </c>
      <c r="N1333" s="112" t="str">
        <f t="shared" si="10"/>
        <v>2024-H1</v>
      </c>
    </row>
    <row r="1334">
      <c r="A1334" s="113" t="s">
        <v>610</v>
      </c>
      <c r="J1334" s="108" t="str">
        <f t="shared" si="6"/>
        <v>2024</v>
      </c>
      <c r="K1334" s="110">
        <f t="shared" si="7"/>
        <v>2</v>
      </c>
      <c r="L1334" s="108" t="str">
        <f t="shared" si="8"/>
        <v>2024-Q1</v>
      </c>
      <c r="M1334" s="111" t="str">
        <f t="shared" si="9"/>
        <v>2024-02</v>
      </c>
      <c r="N1334" s="112" t="str">
        <f t="shared" si="10"/>
        <v>2024-H1</v>
      </c>
    </row>
    <row r="1335">
      <c r="A1335" s="113" t="s">
        <v>610</v>
      </c>
      <c r="J1335" s="108" t="str">
        <f t="shared" si="6"/>
        <v>2024</v>
      </c>
      <c r="K1335" s="110">
        <f t="shared" si="7"/>
        <v>2</v>
      </c>
      <c r="L1335" s="108" t="str">
        <f t="shared" si="8"/>
        <v>2024-Q1</v>
      </c>
      <c r="M1335" s="111" t="str">
        <f t="shared" si="9"/>
        <v>2024-02</v>
      </c>
      <c r="N1335" s="112" t="str">
        <f t="shared" si="10"/>
        <v>2024-H1</v>
      </c>
    </row>
    <row r="1336">
      <c r="A1336" s="113" t="s">
        <v>610</v>
      </c>
      <c r="J1336" s="108" t="str">
        <f t="shared" si="6"/>
        <v>2024</v>
      </c>
      <c r="K1336" s="110">
        <f t="shared" si="7"/>
        <v>2</v>
      </c>
      <c r="L1336" s="108" t="str">
        <f t="shared" si="8"/>
        <v>2024-Q1</v>
      </c>
      <c r="M1336" s="111" t="str">
        <f t="shared" si="9"/>
        <v>2024-02</v>
      </c>
      <c r="N1336" s="112" t="str">
        <f t="shared" si="10"/>
        <v>2024-H1</v>
      </c>
    </row>
    <row r="1337">
      <c r="A1337" s="113" t="s">
        <v>610</v>
      </c>
      <c r="J1337" s="108" t="str">
        <f t="shared" si="6"/>
        <v>2024</v>
      </c>
      <c r="K1337" s="110">
        <f t="shared" si="7"/>
        <v>2</v>
      </c>
      <c r="L1337" s="108" t="str">
        <f t="shared" si="8"/>
        <v>2024-Q1</v>
      </c>
      <c r="M1337" s="111" t="str">
        <f t="shared" si="9"/>
        <v>2024-02</v>
      </c>
      <c r="N1337" s="112" t="str">
        <f t="shared" si="10"/>
        <v>2024-H1</v>
      </c>
    </row>
    <row r="1338">
      <c r="A1338" s="113" t="s">
        <v>610</v>
      </c>
      <c r="J1338" s="108" t="str">
        <f t="shared" si="6"/>
        <v>2024</v>
      </c>
      <c r="K1338" s="110">
        <f t="shared" si="7"/>
        <v>2</v>
      </c>
      <c r="L1338" s="108" t="str">
        <f t="shared" si="8"/>
        <v>2024-Q1</v>
      </c>
      <c r="M1338" s="111" t="str">
        <f t="shared" si="9"/>
        <v>2024-02</v>
      </c>
      <c r="N1338" s="112" t="str">
        <f t="shared" si="10"/>
        <v>2024-H1</v>
      </c>
    </row>
    <row r="1339">
      <c r="A1339" s="113" t="s">
        <v>610</v>
      </c>
      <c r="J1339" s="108" t="str">
        <f t="shared" si="6"/>
        <v>2024</v>
      </c>
      <c r="K1339" s="110">
        <f t="shared" si="7"/>
        <v>2</v>
      </c>
      <c r="L1339" s="108" t="str">
        <f t="shared" si="8"/>
        <v>2024-Q1</v>
      </c>
      <c r="M1339" s="111" t="str">
        <f t="shared" si="9"/>
        <v>2024-02</v>
      </c>
      <c r="N1339" s="112" t="str">
        <f t="shared" si="10"/>
        <v>2024-H1</v>
      </c>
    </row>
    <row r="1340">
      <c r="A1340" s="113" t="s">
        <v>610</v>
      </c>
      <c r="J1340" s="108" t="str">
        <f t="shared" si="6"/>
        <v>2024</v>
      </c>
      <c r="K1340" s="110">
        <f t="shared" si="7"/>
        <v>2</v>
      </c>
      <c r="L1340" s="108" t="str">
        <f t="shared" si="8"/>
        <v>2024-Q1</v>
      </c>
      <c r="M1340" s="111" t="str">
        <f t="shared" si="9"/>
        <v>2024-02</v>
      </c>
      <c r="N1340" s="112" t="str">
        <f t="shared" si="10"/>
        <v>2024-H1</v>
      </c>
    </row>
    <row r="1341">
      <c r="A1341" s="113" t="s">
        <v>610</v>
      </c>
      <c r="J1341" s="108" t="str">
        <f t="shared" si="6"/>
        <v>2024</v>
      </c>
      <c r="K1341" s="110">
        <f t="shared" si="7"/>
        <v>2</v>
      </c>
      <c r="L1341" s="108" t="str">
        <f t="shared" si="8"/>
        <v>2024-Q1</v>
      </c>
      <c r="M1341" s="111" t="str">
        <f t="shared" si="9"/>
        <v>2024-02</v>
      </c>
      <c r="N1341" s="112" t="str">
        <f t="shared" si="10"/>
        <v>2024-H1</v>
      </c>
    </row>
    <row r="1342">
      <c r="A1342" s="113" t="s">
        <v>610</v>
      </c>
      <c r="J1342" s="108" t="str">
        <f t="shared" si="6"/>
        <v>2024</v>
      </c>
      <c r="K1342" s="110">
        <f t="shared" si="7"/>
        <v>2</v>
      </c>
      <c r="L1342" s="108" t="str">
        <f t="shared" si="8"/>
        <v>2024-Q1</v>
      </c>
      <c r="M1342" s="111" t="str">
        <f t="shared" si="9"/>
        <v>2024-02</v>
      </c>
      <c r="N1342" s="112" t="str">
        <f t="shared" si="10"/>
        <v>2024-H1</v>
      </c>
    </row>
    <row r="1343">
      <c r="A1343" s="113" t="s">
        <v>610</v>
      </c>
      <c r="J1343" s="108" t="str">
        <f t="shared" si="6"/>
        <v>2024</v>
      </c>
      <c r="K1343" s="110">
        <f t="shared" si="7"/>
        <v>2</v>
      </c>
      <c r="L1343" s="108" t="str">
        <f t="shared" si="8"/>
        <v>2024-Q1</v>
      </c>
      <c r="M1343" s="111" t="str">
        <f t="shared" si="9"/>
        <v>2024-02</v>
      </c>
      <c r="N1343" s="112" t="str">
        <f t="shared" si="10"/>
        <v>2024-H1</v>
      </c>
    </row>
    <row r="1344">
      <c r="A1344" s="113" t="s">
        <v>610</v>
      </c>
      <c r="J1344" s="108" t="str">
        <f t="shared" si="6"/>
        <v>2024</v>
      </c>
      <c r="K1344" s="110">
        <f t="shared" si="7"/>
        <v>2</v>
      </c>
      <c r="L1344" s="108" t="str">
        <f t="shared" si="8"/>
        <v>2024-Q1</v>
      </c>
      <c r="M1344" s="111" t="str">
        <f t="shared" si="9"/>
        <v>2024-02</v>
      </c>
      <c r="N1344" s="112" t="str">
        <f t="shared" si="10"/>
        <v>2024-H1</v>
      </c>
    </row>
    <row r="1345">
      <c r="A1345" s="113" t="s">
        <v>610</v>
      </c>
      <c r="J1345" s="108" t="str">
        <f t="shared" si="6"/>
        <v>2024</v>
      </c>
      <c r="K1345" s="110">
        <f t="shared" si="7"/>
        <v>2</v>
      </c>
      <c r="L1345" s="108" t="str">
        <f t="shared" si="8"/>
        <v>2024-Q1</v>
      </c>
      <c r="M1345" s="111" t="str">
        <f t="shared" si="9"/>
        <v>2024-02</v>
      </c>
      <c r="N1345" s="112" t="str">
        <f t="shared" si="10"/>
        <v>2024-H1</v>
      </c>
    </row>
    <row r="1346">
      <c r="A1346" s="113" t="s">
        <v>610</v>
      </c>
      <c r="J1346" s="108" t="str">
        <f t="shared" si="6"/>
        <v>2024</v>
      </c>
      <c r="K1346" s="110">
        <f t="shared" si="7"/>
        <v>2</v>
      </c>
      <c r="L1346" s="108" t="str">
        <f t="shared" si="8"/>
        <v>2024-Q1</v>
      </c>
      <c r="M1346" s="111" t="str">
        <f t="shared" si="9"/>
        <v>2024-02</v>
      </c>
      <c r="N1346" s="112" t="str">
        <f t="shared" si="10"/>
        <v>2024-H1</v>
      </c>
    </row>
    <row r="1347">
      <c r="A1347" s="113" t="s">
        <v>610</v>
      </c>
      <c r="J1347" s="108" t="str">
        <f t="shared" si="6"/>
        <v>2024</v>
      </c>
      <c r="K1347" s="110">
        <f t="shared" si="7"/>
        <v>2</v>
      </c>
      <c r="L1347" s="108" t="str">
        <f t="shared" si="8"/>
        <v>2024-Q1</v>
      </c>
      <c r="M1347" s="111" t="str">
        <f t="shared" si="9"/>
        <v>2024-02</v>
      </c>
      <c r="N1347" s="112" t="str">
        <f t="shared" si="10"/>
        <v>2024-H1</v>
      </c>
    </row>
    <row r="1348">
      <c r="A1348" s="113" t="s">
        <v>610</v>
      </c>
      <c r="J1348" s="108" t="str">
        <f t="shared" si="6"/>
        <v>2024</v>
      </c>
      <c r="K1348" s="110">
        <f t="shared" si="7"/>
        <v>2</v>
      </c>
      <c r="L1348" s="108" t="str">
        <f t="shared" si="8"/>
        <v>2024-Q1</v>
      </c>
      <c r="M1348" s="111" t="str">
        <f t="shared" si="9"/>
        <v>2024-02</v>
      </c>
      <c r="N1348" s="112" t="str">
        <f t="shared" si="10"/>
        <v>2024-H1</v>
      </c>
    </row>
    <row r="1349">
      <c r="A1349" s="113" t="s">
        <v>610</v>
      </c>
      <c r="J1349" s="108" t="str">
        <f t="shared" si="6"/>
        <v>2024</v>
      </c>
      <c r="K1349" s="110">
        <f t="shared" si="7"/>
        <v>2</v>
      </c>
      <c r="L1349" s="108" t="str">
        <f t="shared" si="8"/>
        <v>2024-Q1</v>
      </c>
      <c r="M1349" s="111" t="str">
        <f t="shared" si="9"/>
        <v>2024-02</v>
      </c>
      <c r="N1349" s="112" t="str">
        <f t="shared" si="10"/>
        <v>2024-H1</v>
      </c>
    </row>
    <row r="1350">
      <c r="A1350" s="113" t="s">
        <v>610</v>
      </c>
      <c r="J1350" s="108" t="str">
        <f t="shared" si="6"/>
        <v>2024</v>
      </c>
      <c r="K1350" s="110">
        <f t="shared" si="7"/>
        <v>2</v>
      </c>
      <c r="L1350" s="108" t="str">
        <f t="shared" si="8"/>
        <v>2024-Q1</v>
      </c>
      <c r="M1350" s="111" t="str">
        <f t="shared" si="9"/>
        <v>2024-02</v>
      </c>
      <c r="N1350" s="112" t="str">
        <f t="shared" si="10"/>
        <v>2024-H1</v>
      </c>
    </row>
    <row r="1351">
      <c r="A1351" s="113" t="s">
        <v>610</v>
      </c>
      <c r="J1351" s="108" t="str">
        <f t="shared" si="6"/>
        <v>2024</v>
      </c>
      <c r="K1351" s="110">
        <f t="shared" si="7"/>
        <v>2</v>
      </c>
      <c r="L1351" s="108" t="str">
        <f t="shared" si="8"/>
        <v>2024-Q1</v>
      </c>
      <c r="M1351" s="111" t="str">
        <f t="shared" si="9"/>
        <v>2024-02</v>
      </c>
      <c r="N1351" s="112" t="str">
        <f t="shared" si="10"/>
        <v>2024-H1</v>
      </c>
    </row>
    <row r="1352">
      <c r="A1352" s="113" t="s">
        <v>610</v>
      </c>
      <c r="J1352" s="108" t="str">
        <f t="shared" si="6"/>
        <v>2024</v>
      </c>
      <c r="K1352" s="110">
        <f t="shared" si="7"/>
        <v>2</v>
      </c>
      <c r="L1352" s="108" t="str">
        <f t="shared" si="8"/>
        <v>2024-Q1</v>
      </c>
      <c r="M1352" s="111" t="str">
        <f t="shared" si="9"/>
        <v>2024-02</v>
      </c>
      <c r="N1352" s="112" t="str">
        <f t="shared" si="10"/>
        <v>2024-H1</v>
      </c>
    </row>
    <row r="1353">
      <c r="A1353" s="113" t="s">
        <v>610</v>
      </c>
      <c r="J1353" s="108" t="str">
        <f t="shared" si="6"/>
        <v>2024</v>
      </c>
      <c r="K1353" s="110">
        <f t="shared" si="7"/>
        <v>2</v>
      </c>
      <c r="L1353" s="108" t="str">
        <f t="shared" si="8"/>
        <v>2024-Q1</v>
      </c>
      <c r="M1353" s="111" t="str">
        <f t="shared" si="9"/>
        <v>2024-02</v>
      </c>
      <c r="N1353" s="112" t="str">
        <f t="shared" si="10"/>
        <v>2024-H1</v>
      </c>
    </row>
    <row r="1354">
      <c r="A1354" s="113" t="s">
        <v>610</v>
      </c>
      <c r="J1354" s="108" t="str">
        <f t="shared" si="6"/>
        <v>2024</v>
      </c>
      <c r="K1354" s="110">
        <f t="shared" si="7"/>
        <v>3</v>
      </c>
      <c r="L1354" s="108" t="str">
        <f t="shared" si="8"/>
        <v>2024-Q1</v>
      </c>
      <c r="M1354" s="111" t="str">
        <f t="shared" si="9"/>
        <v>2024-03</v>
      </c>
      <c r="N1354" s="112" t="str">
        <f t="shared" si="10"/>
        <v>2024-H1</v>
      </c>
    </row>
    <row r="1355">
      <c r="A1355" s="113" t="s">
        <v>610</v>
      </c>
      <c r="J1355" s="108" t="str">
        <f t="shared" si="6"/>
        <v>2024</v>
      </c>
      <c r="K1355" s="110">
        <f t="shared" si="7"/>
        <v>2</v>
      </c>
      <c r="L1355" s="108" t="str">
        <f t="shared" si="8"/>
        <v>2024-Q1</v>
      </c>
      <c r="M1355" s="111" t="str">
        <f t="shared" si="9"/>
        <v>2024-02</v>
      </c>
      <c r="N1355" s="112" t="str">
        <f t="shared" si="10"/>
        <v>2024-H1</v>
      </c>
    </row>
    <row r="1356">
      <c r="A1356" s="113" t="s">
        <v>610</v>
      </c>
      <c r="J1356" s="108" t="str">
        <f t="shared" si="6"/>
        <v>2024</v>
      </c>
      <c r="K1356" s="110">
        <f t="shared" si="7"/>
        <v>2</v>
      </c>
      <c r="L1356" s="108" t="str">
        <f t="shared" si="8"/>
        <v>2024-Q1</v>
      </c>
      <c r="M1356" s="111" t="str">
        <f t="shared" si="9"/>
        <v>2024-02</v>
      </c>
      <c r="N1356" s="112" t="str">
        <f t="shared" si="10"/>
        <v>2024-H1</v>
      </c>
    </row>
    <row r="1357">
      <c r="A1357" s="113" t="s">
        <v>610</v>
      </c>
      <c r="J1357" s="108" t="str">
        <f t="shared" si="6"/>
        <v>2024</v>
      </c>
      <c r="K1357" s="110">
        <f t="shared" si="7"/>
        <v>2</v>
      </c>
      <c r="L1357" s="108" t="str">
        <f t="shared" si="8"/>
        <v>2024-Q1</v>
      </c>
      <c r="M1357" s="111" t="str">
        <f t="shared" si="9"/>
        <v>2024-02</v>
      </c>
      <c r="N1357" s="112" t="str">
        <f t="shared" si="10"/>
        <v>2024-H1</v>
      </c>
    </row>
    <row r="1358">
      <c r="A1358" s="113" t="s">
        <v>610</v>
      </c>
      <c r="J1358" s="108" t="str">
        <f t="shared" si="6"/>
        <v>2024</v>
      </c>
      <c r="K1358" s="110">
        <f t="shared" si="7"/>
        <v>2</v>
      </c>
      <c r="L1358" s="108" t="str">
        <f t="shared" si="8"/>
        <v>2024-Q1</v>
      </c>
      <c r="M1358" s="111" t="str">
        <f t="shared" si="9"/>
        <v>2024-02</v>
      </c>
      <c r="N1358" s="112" t="str">
        <f t="shared" si="10"/>
        <v>2024-H1</v>
      </c>
    </row>
    <row r="1359">
      <c r="A1359" s="113" t="s">
        <v>610</v>
      </c>
      <c r="J1359" s="108" t="str">
        <f t="shared" si="6"/>
        <v>2024</v>
      </c>
      <c r="K1359" s="110">
        <f t="shared" si="7"/>
        <v>2</v>
      </c>
      <c r="L1359" s="108" t="str">
        <f t="shared" si="8"/>
        <v>2024-Q1</v>
      </c>
      <c r="M1359" s="111" t="str">
        <f t="shared" si="9"/>
        <v>2024-02</v>
      </c>
      <c r="N1359" s="112" t="str">
        <f t="shared" si="10"/>
        <v>2024-H1</v>
      </c>
    </row>
    <row r="1360">
      <c r="A1360" s="113" t="s">
        <v>610</v>
      </c>
      <c r="J1360" s="108" t="str">
        <f t="shared" si="6"/>
        <v>2024</v>
      </c>
      <c r="K1360" s="110">
        <f t="shared" si="7"/>
        <v>2</v>
      </c>
      <c r="L1360" s="108" t="str">
        <f t="shared" si="8"/>
        <v>2024-Q1</v>
      </c>
      <c r="M1360" s="111" t="str">
        <f t="shared" si="9"/>
        <v>2024-02</v>
      </c>
      <c r="N1360" s="112" t="str">
        <f t="shared" si="10"/>
        <v>2024-H1</v>
      </c>
    </row>
    <row r="1361">
      <c r="A1361" s="113" t="s">
        <v>610</v>
      </c>
      <c r="J1361" s="108" t="str">
        <f t="shared" si="6"/>
        <v>2024</v>
      </c>
      <c r="K1361" s="110">
        <f t="shared" si="7"/>
        <v>2</v>
      </c>
      <c r="L1361" s="108" t="str">
        <f t="shared" si="8"/>
        <v>2024-Q1</v>
      </c>
      <c r="M1361" s="111" t="str">
        <f t="shared" si="9"/>
        <v>2024-02</v>
      </c>
      <c r="N1361" s="112" t="str">
        <f t="shared" si="10"/>
        <v>2024-H1</v>
      </c>
    </row>
    <row r="1362">
      <c r="A1362" s="113" t="s">
        <v>610</v>
      </c>
      <c r="J1362" s="108" t="str">
        <f t="shared" si="6"/>
        <v>2024</v>
      </c>
      <c r="K1362" s="110">
        <f t="shared" si="7"/>
        <v>2</v>
      </c>
      <c r="L1362" s="108" t="str">
        <f t="shared" si="8"/>
        <v>2024-Q1</v>
      </c>
      <c r="M1362" s="111" t="str">
        <f t="shared" si="9"/>
        <v>2024-02</v>
      </c>
      <c r="N1362" s="112" t="str">
        <f t="shared" si="10"/>
        <v>2024-H1</v>
      </c>
    </row>
    <row r="1363">
      <c r="A1363" s="113" t="s">
        <v>610</v>
      </c>
      <c r="J1363" s="108" t="str">
        <f t="shared" si="6"/>
        <v>2024</v>
      </c>
      <c r="K1363" s="110">
        <f t="shared" si="7"/>
        <v>2</v>
      </c>
      <c r="L1363" s="108" t="str">
        <f t="shared" si="8"/>
        <v>2024-Q1</v>
      </c>
      <c r="M1363" s="111" t="str">
        <f t="shared" si="9"/>
        <v>2024-02</v>
      </c>
      <c r="N1363" s="112" t="str">
        <f t="shared" si="10"/>
        <v>2024-H1</v>
      </c>
    </row>
    <row r="1364">
      <c r="A1364" s="113" t="s">
        <v>610</v>
      </c>
      <c r="J1364" s="108" t="str">
        <f t="shared" si="6"/>
        <v>2024</v>
      </c>
      <c r="K1364" s="110">
        <f t="shared" si="7"/>
        <v>2</v>
      </c>
      <c r="L1364" s="108" t="str">
        <f t="shared" si="8"/>
        <v>2024-Q1</v>
      </c>
      <c r="M1364" s="111" t="str">
        <f t="shared" si="9"/>
        <v>2024-02</v>
      </c>
      <c r="N1364" s="112" t="str">
        <f t="shared" si="10"/>
        <v>2024-H1</v>
      </c>
    </row>
    <row r="1365">
      <c r="A1365" s="113" t="s">
        <v>610</v>
      </c>
      <c r="J1365" s="108" t="str">
        <f t="shared" si="6"/>
        <v>2024</v>
      </c>
      <c r="K1365" s="110">
        <f t="shared" si="7"/>
        <v>2</v>
      </c>
      <c r="L1365" s="108" t="str">
        <f t="shared" si="8"/>
        <v>2024-Q1</v>
      </c>
      <c r="M1365" s="111" t="str">
        <f t="shared" si="9"/>
        <v>2024-02</v>
      </c>
      <c r="N1365" s="112" t="str">
        <f t="shared" si="10"/>
        <v>2024-H1</v>
      </c>
    </row>
    <row r="1366">
      <c r="A1366" s="113" t="s">
        <v>610</v>
      </c>
      <c r="J1366" s="108" t="str">
        <f t="shared" si="6"/>
        <v>2024</v>
      </c>
      <c r="K1366" s="110">
        <f t="shared" si="7"/>
        <v>2</v>
      </c>
      <c r="L1366" s="108" t="str">
        <f t="shared" si="8"/>
        <v>2024-Q1</v>
      </c>
      <c r="M1366" s="111" t="str">
        <f t="shared" si="9"/>
        <v>2024-02</v>
      </c>
      <c r="N1366" s="112" t="str">
        <f t="shared" si="10"/>
        <v>2024-H1</v>
      </c>
    </row>
    <row r="1367">
      <c r="A1367" s="113" t="s">
        <v>610</v>
      </c>
      <c r="J1367" s="108" t="str">
        <f t="shared" si="6"/>
        <v>2024</v>
      </c>
      <c r="K1367" s="110">
        <f t="shared" si="7"/>
        <v>2</v>
      </c>
      <c r="L1367" s="108" t="str">
        <f t="shared" si="8"/>
        <v>2024-Q1</v>
      </c>
      <c r="M1367" s="111" t="str">
        <f t="shared" si="9"/>
        <v>2024-02</v>
      </c>
      <c r="N1367" s="112" t="str">
        <f t="shared" si="10"/>
        <v>2024-H1</v>
      </c>
    </row>
    <row r="1368">
      <c r="A1368" s="113" t="s">
        <v>610</v>
      </c>
      <c r="J1368" s="108" t="str">
        <f t="shared" si="6"/>
        <v>2024</v>
      </c>
      <c r="K1368" s="110">
        <f t="shared" si="7"/>
        <v>2</v>
      </c>
      <c r="L1368" s="108" t="str">
        <f t="shared" si="8"/>
        <v>2024-Q1</v>
      </c>
      <c r="M1368" s="111" t="str">
        <f t="shared" si="9"/>
        <v>2024-02</v>
      </c>
      <c r="N1368" s="112" t="str">
        <f t="shared" si="10"/>
        <v>2024-H1</v>
      </c>
    </row>
    <row r="1369">
      <c r="A1369" s="113" t="s">
        <v>610</v>
      </c>
      <c r="J1369" s="108" t="str">
        <f t="shared" si="6"/>
        <v>2024</v>
      </c>
      <c r="K1369" s="110">
        <f t="shared" si="7"/>
        <v>4</v>
      </c>
      <c r="L1369" s="108" t="str">
        <f t="shared" si="8"/>
        <v>2024-Q2</v>
      </c>
      <c r="M1369" s="111" t="str">
        <f t="shared" si="9"/>
        <v>2024-04</v>
      </c>
      <c r="N1369" s="112" t="str">
        <f t="shared" si="10"/>
        <v>2024-H1</v>
      </c>
    </row>
    <row r="1370">
      <c r="A1370" s="113" t="s">
        <v>610</v>
      </c>
      <c r="J1370" s="108" t="str">
        <f t="shared" si="6"/>
        <v>2024</v>
      </c>
      <c r="K1370" s="110">
        <f t="shared" si="7"/>
        <v>2</v>
      </c>
      <c r="L1370" s="108" t="str">
        <f t="shared" si="8"/>
        <v>2024-Q1</v>
      </c>
      <c r="M1370" s="111" t="str">
        <f t="shared" si="9"/>
        <v>2024-02</v>
      </c>
      <c r="N1370" s="112" t="str">
        <f t="shared" si="10"/>
        <v>2024-H1</v>
      </c>
    </row>
    <row r="1371">
      <c r="A1371" s="113" t="s">
        <v>610</v>
      </c>
      <c r="J1371" s="108" t="str">
        <f t="shared" si="6"/>
        <v>2024</v>
      </c>
      <c r="K1371" s="110">
        <f t="shared" si="7"/>
        <v>2</v>
      </c>
      <c r="L1371" s="108" t="str">
        <f t="shared" si="8"/>
        <v>2024-Q1</v>
      </c>
      <c r="M1371" s="111" t="str">
        <f t="shared" si="9"/>
        <v>2024-02</v>
      </c>
      <c r="N1371" s="112" t="str">
        <f t="shared" si="10"/>
        <v>2024-H1</v>
      </c>
    </row>
    <row r="1372">
      <c r="A1372" s="113" t="s">
        <v>610</v>
      </c>
      <c r="J1372" s="108" t="str">
        <f t="shared" si="6"/>
        <v>2024</v>
      </c>
      <c r="K1372" s="110">
        <f t="shared" si="7"/>
        <v>2</v>
      </c>
      <c r="L1372" s="108" t="str">
        <f t="shared" si="8"/>
        <v>2024-Q1</v>
      </c>
      <c r="M1372" s="111" t="str">
        <f t="shared" si="9"/>
        <v>2024-02</v>
      </c>
      <c r="N1372" s="112" t="str">
        <f t="shared" si="10"/>
        <v>2024-H1</v>
      </c>
    </row>
    <row r="1373">
      <c r="A1373" s="113" t="s">
        <v>610</v>
      </c>
      <c r="J1373" s="108" t="str">
        <f t="shared" si="6"/>
        <v>2024</v>
      </c>
      <c r="K1373" s="110">
        <f t="shared" si="7"/>
        <v>2</v>
      </c>
      <c r="L1373" s="108" t="str">
        <f t="shared" si="8"/>
        <v>2024-Q1</v>
      </c>
      <c r="M1373" s="111" t="str">
        <f t="shared" si="9"/>
        <v>2024-02</v>
      </c>
      <c r="N1373" s="112" t="str">
        <f t="shared" si="10"/>
        <v>2024-H1</v>
      </c>
    </row>
    <row r="1374">
      <c r="A1374" s="113" t="s">
        <v>610</v>
      </c>
      <c r="J1374" s="108" t="str">
        <f t="shared" si="6"/>
        <v>2024</v>
      </c>
      <c r="K1374" s="110">
        <f t="shared" si="7"/>
        <v>2</v>
      </c>
      <c r="L1374" s="108" t="str">
        <f t="shared" si="8"/>
        <v>2024-Q1</v>
      </c>
      <c r="M1374" s="111" t="str">
        <f t="shared" si="9"/>
        <v>2024-02</v>
      </c>
      <c r="N1374" s="112" t="str">
        <f t="shared" si="10"/>
        <v>2024-H1</v>
      </c>
    </row>
    <row r="1375">
      <c r="A1375" s="113" t="s">
        <v>610</v>
      </c>
      <c r="J1375" s="108" t="str">
        <f t="shared" si="6"/>
        <v>2024</v>
      </c>
      <c r="K1375" s="110">
        <f t="shared" si="7"/>
        <v>2</v>
      </c>
      <c r="L1375" s="108" t="str">
        <f t="shared" si="8"/>
        <v>2024-Q1</v>
      </c>
      <c r="M1375" s="111" t="str">
        <f t="shared" si="9"/>
        <v>2024-02</v>
      </c>
      <c r="N1375" s="112" t="str">
        <f t="shared" si="10"/>
        <v>2024-H1</v>
      </c>
    </row>
    <row r="1376">
      <c r="A1376" s="113" t="s">
        <v>610</v>
      </c>
      <c r="J1376" s="108" t="str">
        <f t="shared" si="6"/>
        <v>2024</v>
      </c>
      <c r="K1376" s="110">
        <f t="shared" si="7"/>
        <v>2</v>
      </c>
      <c r="L1376" s="108" t="str">
        <f t="shared" si="8"/>
        <v>2024-Q1</v>
      </c>
      <c r="M1376" s="111" t="str">
        <f t="shared" si="9"/>
        <v>2024-02</v>
      </c>
      <c r="N1376" s="112" t="str">
        <f t="shared" si="10"/>
        <v>2024-H1</v>
      </c>
    </row>
    <row r="1377">
      <c r="A1377" s="113" t="s">
        <v>610</v>
      </c>
      <c r="J1377" s="108" t="str">
        <f t="shared" si="6"/>
        <v>2024</v>
      </c>
      <c r="K1377" s="110">
        <f t="shared" si="7"/>
        <v>2</v>
      </c>
      <c r="L1377" s="108" t="str">
        <f t="shared" si="8"/>
        <v>2024-Q1</v>
      </c>
      <c r="M1377" s="111" t="str">
        <f t="shared" si="9"/>
        <v>2024-02</v>
      </c>
      <c r="N1377" s="112" t="str">
        <f t="shared" si="10"/>
        <v>2024-H1</v>
      </c>
    </row>
    <row r="1378">
      <c r="A1378" s="113" t="s">
        <v>610</v>
      </c>
      <c r="J1378" s="108" t="str">
        <f t="shared" si="6"/>
        <v>2024</v>
      </c>
      <c r="K1378" s="110">
        <f t="shared" si="7"/>
        <v>2</v>
      </c>
      <c r="L1378" s="108" t="str">
        <f t="shared" si="8"/>
        <v>2024-Q1</v>
      </c>
      <c r="M1378" s="111" t="str">
        <f t="shared" si="9"/>
        <v>2024-02</v>
      </c>
      <c r="N1378" s="112" t="str">
        <f t="shared" si="10"/>
        <v>2024-H1</v>
      </c>
    </row>
    <row r="1379">
      <c r="A1379" s="113" t="s">
        <v>610</v>
      </c>
      <c r="J1379" s="108" t="str">
        <f t="shared" si="6"/>
        <v>2024</v>
      </c>
      <c r="K1379" s="110">
        <f t="shared" si="7"/>
        <v>2</v>
      </c>
      <c r="L1379" s="108" t="str">
        <f t="shared" si="8"/>
        <v>2024-Q1</v>
      </c>
      <c r="M1379" s="111" t="str">
        <f t="shared" si="9"/>
        <v>2024-02</v>
      </c>
      <c r="N1379" s="112" t="str">
        <f t="shared" si="10"/>
        <v>2024-H1</v>
      </c>
    </row>
    <row r="1380">
      <c r="A1380" s="113" t="s">
        <v>610</v>
      </c>
      <c r="J1380" s="108" t="str">
        <f t="shared" si="6"/>
        <v>2024</v>
      </c>
      <c r="K1380" s="110">
        <f t="shared" si="7"/>
        <v>2</v>
      </c>
      <c r="L1380" s="108" t="str">
        <f t="shared" si="8"/>
        <v>2024-Q1</v>
      </c>
      <c r="M1380" s="111" t="str">
        <f t="shared" si="9"/>
        <v>2024-02</v>
      </c>
      <c r="N1380" s="112" t="str">
        <f t="shared" si="10"/>
        <v>2024-H1</v>
      </c>
    </row>
    <row r="1381">
      <c r="A1381" s="113" t="s">
        <v>610</v>
      </c>
      <c r="J1381" s="108" t="str">
        <f t="shared" si="6"/>
        <v>2024</v>
      </c>
      <c r="K1381" s="110">
        <f t="shared" si="7"/>
        <v>2</v>
      </c>
      <c r="L1381" s="108" t="str">
        <f t="shared" si="8"/>
        <v>2024-Q1</v>
      </c>
      <c r="M1381" s="111" t="str">
        <f t="shared" si="9"/>
        <v>2024-02</v>
      </c>
      <c r="N1381" s="112" t="str">
        <f t="shared" si="10"/>
        <v>2024-H1</v>
      </c>
    </row>
    <row r="1382">
      <c r="A1382" s="113" t="s">
        <v>610</v>
      </c>
      <c r="J1382" s="108" t="str">
        <f t="shared" si="6"/>
        <v>2024</v>
      </c>
      <c r="K1382" s="110">
        <f t="shared" si="7"/>
        <v>2</v>
      </c>
      <c r="L1382" s="108" t="str">
        <f t="shared" si="8"/>
        <v>2024-Q1</v>
      </c>
      <c r="M1382" s="111" t="str">
        <f t="shared" si="9"/>
        <v>2024-02</v>
      </c>
      <c r="N1382" s="112" t="str">
        <f t="shared" si="10"/>
        <v>2024-H1</v>
      </c>
    </row>
    <row r="1383">
      <c r="A1383" s="113" t="s">
        <v>610</v>
      </c>
      <c r="J1383" s="108" t="str">
        <f t="shared" si="6"/>
        <v>2024</v>
      </c>
      <c r="K1383" s="110">
        <f t="shared" si="7"/>
        <v>2</v>
      </c>
      <c r="L1383" s="108" t="str">
        <f t="shared" si="8"/>
        <v>2024-Q1</v>
      </c>
      <c r="M1383" s="111" t="str">
        <f t="shared" si="9"/>
        <v>2024-02</v>
      </c>
      <c r="N1383" s="112" t="str">
        <f t="shared" si="10"/>
        <v>2024-H1</v>
      </c>
    </row>
    <row r="1384">
      <c r="A1384" s="113" t="s">
        <v>610</v>
      </c>
      <c r="J1384" s="108" t="str">
        <f t="shared" si="6"/>
        <v>2024</v>
      </c>
      <c r="K1384" s="110">
        <f t="shared" si="7"/>
        <v>2</v>
      </c>
      <c r="L1384" s="108" t="str">
        <f t="shared" si="8"/>
        <v>2024-Q1</v>
      </c>
      <c r="M1384" s="111" t="str">
        <f t="shared" si="9"/>
        <v>2024-02</v>
      </c>
      <c r="N1384" s="112" t="str">
        <f t="shared" si="10"/>
        <v>2024-H1</v>
      </c>
    </row>
    <row r="1385">
      <c r="A1385" s="113" t="s">
        <v>610</v>
      </c>
      <c r="J1385" s="108" t="str">
        <f t="shared" si="6"/>
        <v>2024</v>
      </c>
      <c r="K1385" s="110">
        <f t="shared" si="7"/>
        <v>2</v>
      </c>
      <c r="L1385" s="108" t="str">
        <f t="shared" si="8"/>
        <v>2024-Q1</v>
      </c>
      <c r="M1385" s="111" t="str">
        <f t="shared" si="9"/>
        <v>2024-02</v>
      </c>
      <c r="N1385" s="112" t="str">
        <f t="shared" si="10"/>
        <v>2024-H1</v>
      </c>
    </row>
    <row r="1386">
      <c r="A1386" s="113" t="s">
        <v>610</v>
      </c>
      <c r="J1386" s="108" t="str">
        <f t="shared" si="6"/>
        <v>2024</v>
      </c>
      <c r="K1386" s="110">
        <f t="shared" si="7"/>
        <v>2</v>
      </c>
      <c r="L1386" s="108" t="str">
        <f t="shared" si="8"/>
        <v>2024-Q1</v>
      </c>
      <c r="M1386" s="111" t="str">
        <f t="shared" si="9"/>
        <v>2024-02</v>
      </c>
      <c r="N1386" s="112" t="str">
        <f t="shared" si="10"/>
        <v>2024-H1</v>
      </c>
    </row>
    <row r="1387">
      <c r="A1387" s="113" t="s">
        <v>610</v>
      </c>
      <c r="J1387" s="108" t="str">
        <f t="shared" si="6"/>
        <v>2024</v>
      </c>
      <c r="K1387" s="110">
        <f t="shared" si="7"/>
        <v>2</v>
      </c>
      <c r="L1387" s="108" t="str">
        <f t="shared" si="8"/>
        <v>2024-Q1</v>
      </c>
      <c r="M1387" s="111" t="str">
        <f t="shared" si="9"/>
        <v>2024-02</v>
      </c>
      <c r="N1387" s="112" t="str">
        <f t="shared" si="10"/>
        <v>2024-H1</v>
      </c>
    </row>
    <row r="1388">
      <c r="A1388" s="113" t="s">
        <v>610</v>
      </c>
      <c r="J1388" s="108" t="str">
        <f t="shared" si="6"/>
        <v>2024</v>
      </c>
      <c r="K1388" s="110">
        <f t="shared" si="7"/>
        <v>2</v>
      </c>
      <c r="L1388" s="108" t="str">
        <f t="shared" si="8"/>
        <v>2024-Q1</v>
      </c>
      <c r="M1388" s="111" t="str">
        <f t="shared" si="9"/>
        <v>2024-02</v>
      </c>
      <c r="N1388" s="112" t="str">
        <f t="shared" si="10"/>
        <v>2024-H1</v>
      </c>
    </row>
    <row r="1389">
      <c r="A1389" s="113" t="s">
        <v>610</v>
      </c>
      <c r="J1389" s="108" t="str">
        <f t="shared" si="6"/>
        <v>2024</v>
      </c>
      <c r="K1389" s="110">
        <f t="shared" si="7"/>
        <v>2</v>
      </c>
      <c r="L1389" s="108" t="str">
        <f t="shared" si="8"/>
        <v>2024-Q1</v>
      </c>
      <c r="M1389" s="111" t="str">
        <f t="shared" si="9"/>
        <v>2024-02</v>
      </c>
      <c r="N1389" s="112" t="str">
        <f t="shared" si="10"/>
        <v>2024-H1</v>
      </c>
    </row>
    <row r="1390">
      <c r="A1390" s="113" t="s">
        <v>610</v>
      </c>
      <c r="J1390" s="108" t="str">
        <f t="shared" si="6"/>
        <v>2024</v>
      </c>
      <c r="K1390" s="110">
        <f t="shared" si="7"/>
        <v>2</v>
      </c>
      <c r="L1390" s="108" t="str">
        <f t="shared" si="8"/>
        <v>2024-Q1</v>
      </c>
      <c r="M1390" s="111" t="str">
        <f t="shared" si="9"/>
        <v>2024-02</v>
      </c>
      <c r="N1390" s="112" t="str">
        <f t="shared" si="10"/>
        <v>2024-H1</v>
      </c>
    </row>
    <row r="1391">
      <c r="A1391" s="113" t="s">
        <v>610</v>
      </c>
      <c r="J1391" s="108" t="str">
        <f t="shared" si="6"/>
        <v>2024</v>
      </c>
      <c r="K1391" s="110">
        <f t="shared" si="7"/>
        <v>2</v>
      </c>
      <c r="L1391" s="108" t="str">
        <f t="shared" si="8"/>
        <v>2024-Q1</v>
      </c>
      <c r="M1391" s="111" t="str">
        <f t="shared" si="9"/>
        <v>2024-02</v>
      </c>
      <c r="N1391" s="112" t="str">
        <f t="shared" si="10"/>
        <v>2024-H1</v>
      </c>
    </row>
    <row r="1392">
      <c r="A1392" s="113" t="s">
        <v>610</v>
      </c>
      <c r="J1392" s="108" t="str">
        <f t="shared" si="6"/>
        <v>2024</v>
      </c>
      <c r="K1392" s="110">
        <f t="shared" si="7"/>
        <v>2</v>
      </c>
      <c r="L1392" s="108" t="str">
        <f t="shared" si="8"/>
        <v>2024-Q1</v>
      </c>
      <c r="M1392" s="111" t="str">
        <f t="shared" si="9"/>
        <v>2024-02</v>
      </c>
      <c r="N1392" s="112" t="str">
        <f t="shared" si="10"/>
        <v>2024-H1</v>
      </c>
    </row>
    <row r="1393">
      <c r="A1393" s="113" t="s">
        <v>610</v>
      </c>
      <c r="J1393" s="108" t="str">
        <f t="shared" si="6"/>
        <v>2024</v>
      </c>
      <c r="K1393" s="110">
        <f t="shared" si="7"/>
        <v>2</v>
      </c>
      <c r="L1393" s="108" t="str">
        <f t="shared" si="8"/>
        <v>2024-Q1</v>
      </c>
      <c r="M1393" s="111" t="str">
        <f t="shared" si="9"/>
        <v>2024-02</v>
      </c>
      <c r="N1393" s="112" t="str">
        <f t="shared" si="10"/>
        <v>2024-H1</v>
      </c>
    </row>
    <row r="1394">
      <c r="A1394" s="113" t="s">
        <v>610</v>
      </c>
      <c r="J1394" s="108" t="str">
        <f t="shared" si="6"/>
        <v>2024</v>
      </c>
      <c r="K1394" s="110">
        <f t="shared" si="7"/>
        <v>2</v>
      </c>
      <c r="L1394" s="108" t="str">
        <f t="shared" si="8"/>
        <v>2024-Q1</v>
      </c>
      <c r="M1394" s="111" t="str">
        <f t="shared" si="9"/>
        <v>2024-02</v>
      </c>
      <c r="N1394" s="112" t="str">
        <f t="shared" si="10"/>
        <v>2024-H1</v>
      </c>
    </row>
    <row r="1395">
      <c r="A1395" s="113" t="s">
        <v>610</v>
      </c>
      <c r="J1395" s="108" t="str">
        <f t="shared" si="6"/>
        <v>2024</v>
      </c>
      <c r="K1395" s="110">
        <f t="shared" si="7"/>
        <v>2</v>
      </c>
      <c r="L1395" s="108" t="str">
        <f t="shared" si="8"/>
        <v>2024-Q1</v>
      </c>
      <c r="M1395" s="111" t="str">
        <f t="shared" si="9"/>
        <v>2024-02</v>
      </c>
      <c r="N1395" s="112" t="str">
        <f t="shared" si="10"/>
        <v>2024-H1</v>
      </c>
    </row>
    <row r="1396">
      <c r="A1396" s="113" t="s">
        <v>610</v>
      </c>
      <c r="J1396" s="108" t="str">
        <f t="shared" si="6"/>
        <v>2024</v>
      </c>
      <c r="K1396" s="110">
        <f t="shared" si="7"/>
        <v>2</v>
      </c>
      <c r="L1396" s="108" t="str">
        <f t="shared" si="8"/>
        <v>2024-Q1</v>
      </c>
      <c r="M1396" s="111" t="str">
        <f t="shared" si="9"/>
        <v>2024-02</v>
      </c>
      <c r="N1396" s="112" t="str">
        <f t="shared" si="10"/>
        <v>2024-H1</v>
      </c>
    </row>
    <row r="1397">
      <c r="A1397" s="113" t="s">
        <v>610</v>
      </c>
      <c r="J1397" s="108" t="str">
        <f t="shared" si="6"/>
        <v>2024</v>
      </c>
      <c r="K1397" s="110">
        <f t="shared" si="7"/>
        <v>2</v>
      </c>
      <c r="L1397" s="108" t="str">
        <f t="shared" si="8"/>
        <v>2024-Q1</v>
      </c>
      <c r="M1397" s="111" t="str">
        <f t="shared" si="9"/>
        <v>2024-02</v>
      </c>
      <c r="N1397" s="112" t="str">
        <f t="shared" si="10"/>
        <v>2024-H1</v>
      </c>
    </row>
    <row r="1398">
      <c r="A1398" s="113" t="s">
        <v>610</v>
      </c>
      <c r="J1398" s="108" t="str">
        <f t="shared" si="6"/>
        <v>2024</v>
      </c>
      <c r="K1398" s="110">
        <f t="shared" si="7"/>
        <v>2</v>
      </c>
      <c r="L1398" s="108" t="str">
        <f t="shared" si="8"/>
        <v>2024-Q1</v>
      </c>
      <c r="M1398" s="111" t="str">
        <f t="shared" si="9"/>
        <v>2024-02</v>
      </c>
      <c r="N1398" s="112" t="str">
        <f t="shared" si="10"/>
        <v>2024-H1</v>
      </c>
    </row>
    <row r="1399">
      <c r="A1399" s="113" t="s">
        <v>610</v>
      </c>
      <c r="J1399" s="108" t="str">
        <f t="shared" si="6"/>
        <v>2024</v>
      </c>
      <c r="K1399" s="110">
        <f t="shared" si="7"/>
        <v>2</v>
      </c>
      <c r="L1399" s="108" t="str">
        <f t="shared" si="8"/>
        <v>2024-Q1</v>
      </c>
      <c r="M1399" s="111" t="str">
        <f t="shared" si="9"/>
        <v>2024-02</v>
      </c>
      <c r="N1399" s="112" t="str">
        <f t="shared" si="10"/>
        <v>2024-H1</v>
      </c>
    </row>
    <row r="1400">
      <c r="A1400" s="113" t="s">
        <v>610</v>
      </c>
      <c r="J1400" s="108" t="str">
        <f t="shared" si="6"/>
        <v>2024</v>
      </c>
      <c r="K1400" s="110">
        <f t="shared" si="7"/>
        <v>2</v>
      </c>
      <c r="L1400" s="108" t="str">
        <f t="shared" si="8"/>
        <v>2024-Q1</v>
      </c>
      <c r="M1400" s="111" t="str">
        <f t="shared" si="9"/>
        <v>2024-02</v>
      </c>
      <c r="N1400" s="112" t="str">
        <f t="shared" si="10"/>
        <v>2024-H1</v>
      </c>
    </row>
    <row r="1401">
      <c r="A1401" s="113" t="s">
        <v>610</v>
      </c>
      <c r="J1401" s="108" t="str">
        <f t="shared" si="6"/>
        <v>2024</v>
      </c>
      <c r="K1401" s="110">
        <f t="shared" si="7"/>
        <v>2</v>
      </c>
      <c r="L1401" s="108" t="str">
        <f t="shared" si="8"/>
        <v>2024-Q1</v>
      </c>
      <c r="M1401" s="111" t="str">
        <f t="shared" si="9"/>
        <v>2024-02</v>
      </c>
      <c r="N1401" s="112" t="str">
        <f t="shared" si="10"/>
        <v>2024-H1</v>
      </c>
    </row>
    <row r="1402">
      <c r="A1402" s="113" t="s">
        <v>610</v>
      </c>
      <c r="J1402" s="108" t="str">
        <f t="shared" si="6"/>
        <v>2024</v>
      </c>
      <c r="K1402" s="110">
        <f t="shared" si="7"/>
        <v>2</v>
      </c>
      <c r="L1402" s="108" t="str">
        <f t="shared" si="8"/>
        <v>2024-Q1</v>
      </c>
      <c r="M1402" s="111" t="str">
        <f t="shared" si="9"/>
        <v>2024-02</v>
      </c>
      <c r="N1402" s="112" t="str">
        <f t="shared" si="10"/>
        <v>2024-H1</v>
      </c>
    </row>
    <row r="1403">
      <c r="A1403" s="113" t="s">
        <v>610</v>
      </c>
      <c r="J1403" s="108" t="str">
        <f t="shared" si="6"/>
        <v>2024</v>
      </c>
      <c r="K1403" s="110">
        <f t="shared" si="7"/>
        <v>2</v>
      </c>
      <c r="L1403" s="108" t="str">
        <f t="shared" si="8"/>
        <v>2024-Q1</v>
      </c>
      <c r="M1403" s="111" t="str">
        <f t="shared" si="9"/>
        <v>2024-02</v>
      </c>
      <c r="N1403" s="112" t="str">
        <f t="shared" si="10"/>
        <v>2024-H1</v>
      </c>
    </row>
    <row r="1404">
      <c r="A1404" s="113" t="s">
        <v>610</v>
      </c>
      <c r="J1404" s="108" t="str">
        <f t="shared" si="6"/>
        <v>2024</v>
      </c>
      <c r="K1404" s="110">
        <f t="shared" si="7"/>
        <v>2</v>
      </c>
      <c r="L1404" s="108" t="str">
        <f t="shared" si="8"/>
        <v>2024-Q1</v>
      </c>
      <c r="M1404" s="111" t="str">
        <f t="shared" si="9"/>
        <v>2024-02</v>
      </c>
      <c r="N1404" s="112" t="str">
        <f t="shared" si="10"/>
        <v>2024-H1</v>
      </c>
    </row>
    <row r="1405">
      <c r="A1405" s="113" t="s">
        <v>610</v>
      </c>
      <c r="J1405" s="108" t="str">
        <f t="shared" si="6"/>
        <v>2024</v>
      </c>
      <c r="K1405" s="110">
        <f t="shared" si="7"/>
        <v>2</v>
      </c>
      <c r="L1405" s="108" t="str">
        <f t="shared" si="8"/>
        <v>2024-Q1</v>
      </c>
      <c r="M1405" s="111" t="str">
        <f t="shared" si="9"/>
        <v>2024-02</v>
      </c>
      <c r="N1405" s="112" t="str">
        <f t="shared" si="10"/>
        <v>2024-H1</v>
      </c>
    </row>
    <row r="1406">
      <c r="A1406" s="113" t="s">
        <v>610</v>
      </c>
      <c r="J1406" s="108" t="str">
        <f t="shared" si="6"/>
        <v>2024</v>
      </c>
      <c r="K1406" s="110">
        <f t="shared" si="7"/>
        <v>2</v>
      </c>
      <c r="L1406" s="108" t="str">
        <f t="shared" si="8"/>
        <v>2024-Q1</v>
      </c>
      <c r="M1406" s="111" t="str">
        <f t="shared" si="9"/>
        <v>2024-02</v>
      </c>
      <c r="N1406" s="112" t="str">
        <f t="shared" si="10"/>
        <v>2024-H1</v>
      </c>
    </row>
    <row r="1407">
      <c r="A1407" s="113" t="s">
        <v>610</v>
      </c>
      <c r="J1407" s="108" t="str">
        <f t="shared" si="6"/>
        <v>2024</v>
      </c>
      <c r="K1407" s="110">
        <f t="shared" si="7"/>
        <v>2</v>
      </c>
      <c r="L1407" s="108" t="str">
        <f t="shared" si="8"/>
        <v>2024-Q1</v>
      </c>
      <c r="M1407" s="111" t="str">
        <f t="shared" si="9"/>
        <v>2024-02</v>
      </c>
      <c r="N1407" s="112" t="str">
        <f t="shared" si="10"/>
        <v>2024-H1</v>
      </c>
    </row>
    <row r="1408">
      <c r="A1408" s="113" t="s">
        <v>610</v>
      </c>
      <c r="J1408" s="108" t="str">
        <f t="shared" si="6"/>
        <v>2024</v>
      </c>
      <c r="K1408" s="110">
        <f t="shared" si="7"/>
        <v>2</v>
      </c>
      <c r="L1408" s="108" t="str">
        <f t="shared" si="8"/>
        <v>2024-Q1</v>
      </c>
      <c r="M1408" s="111" t="str">
        <f t="shared" si="9"/>
        <v>2024-02</v>
      </c>
      <c r="N1408" s="112" t="str">
        <f t="shared" si="10"/>
        <v>2024-H1</v>
      </c>
    </row>
    <row r="1409">
      <c r="A1409" s="113" t="s">
        <v>610</v>
      </c>
      <c r="J1409" s="108" t="str">
        <f t="shared" si="6"/>
        <v>2024</v>
      </c>
      <c r="K1409" s="110">
        <f t="shared" si="7"/>
        <v>2</v>
      </c>
      <c r="L1409" s="108" t="str">
        <f t="shared" si="8"/>
        <v>2024-Q1</v>
      </c>
      <c r="M1409" s="111" t="str">
        <f t="shared" si="9"/>
        <v>2024-02</v>
      </c>
      <c r="N1409" s="112" t="str">
        <f t="shared" si="10"/>
        <v>2024-H1</v>
      </c>
    </row>
    <row r="1410">
      <c r="A1410" s="113" t="s">
        <v>610</v>
      </c>
      <c r="J1410" s="108" t="str">
        <f t="shared" si="6"/>
        <v>2024</v>
      </c>
      <c r="K1410" s="110">
        <f t="shared" si="7"/>
        <v>2</v>
      </c>
      <c r="L1410" s="108" t="str">
        <f t="shared" si="8"/>
        <v>2024-Q1</v>
      </c>
      <c r="M1410" s="111" t="str">
        <f t="shared" si="9"/>
        <v>2024-02</v>
      </c>
      <c r="N1410" s="112" t="str">
        <f t="shared" si="10"/>
        <v>2024-H1</v>
      </c>
    </row>
    <row r="1411">
      <c r="A1411" s="113" t="s">
        <v>610</v>
      </c>
      <c r="J1411" s="108" t="str">
        <f t="shared" si="6"/>
        <v>2024</v>
      </c>
      <c r="K1411" s="110">
        <f t="shared" si="7"/>
        <v>2</v>
      </c>
      <c r="L1411" s="108" t="str">
        <f t="shared" si="8"/>
        <v>2024-Q1</v>
      </c>
      <c r="M1411" s="111" t="str">
        <f t="shared" si="9"/>
        <v>2024-02</v>
      </c>
      <c r="N1411" s="112" t="str">
        <f t="shared" si="10"/>
        <v>2024-H1</v>
      </c>
    </row>
    <row r="1412">
      <c r="A1412" s="113" t="s">
        <v>610</v>
      </c>
      <c r="J1412" s="108" t="str">
        <f t="shared" si="6"/>
        <v>2024</v>
      </c>
      <c r="K1412" s="110">
        <f t="shared" si="7"/>
        <v>2</v>
      </c>
      <c r="L1412" s="108" t="str">
        <f t="shared" si="8"/>
        <v>2024-Q1</v>
      </c>
      <c r="M1412" s="111" t="str">
        <f t="shared" si="9"/>
        <v>2024-02</v>
      </c>
      <c r="N1412" s="112" t="str">
        <f t="shared" si="10"/>
        <v>2024-H1</v>
      </c>
    </row>
    <row r="1413">
      <c r="A1413" s="113" t="s">
        <v>610</v>
      </c>
      <c r="J1413" s="108" t="str">
        <f t="shared" si="6"/>
        <v>2024</v>
      </c>
      <c r="K1413" s="110">
        <f t="shared" si="7"/>
        <v>2</v>
      </c>
      <c r="L1413" s="108" t="str">
        <f t="shared" si="8"/>
        <v>2024-Q1</v>
      </c>
      <c r="M1413" s="111" t="str">
        <f t="shared" si="9"/>
        <v>2024-02</v>
      </c>
      <c r="N1413" s="112" t="str">
        <f t="shared" si="10"/>
        <v>2024-H1</v>
      </c>
    </row>
    <row r="1414">
      <c r="A1414" s="113" t="s">
        <v>610</v>
      </c>
      <c r="J1414" s="108" t="str">
        <f t="shared" si="6"/>
        <v>2024</v>
      </c>
      <c r="K1414" s="110">
        <f t="shared" si="7"/>
        <v>2</v>
      </c>
      <c r="L1414" s="108" t="str">
        <f t="shared" si="8"/>
        <v>2024-Q1</v>
      </c>
      <c r="M1414" s="111" t="str">
        <f t="shared" si="9"/>
        <v>2024-02</v>
      </c>
      <c r="N1414" s="112" t="str">
        <f t="shared" si="10"/>
        <v>2024-H1</v>
      </c>
    </row>
    <row r="1415">
      <c r="A1415" s="113" t="s">
        <v>610</v>
      </c>
      <c r="J1415" s="108" t="str">
        <f t="shared" si="6"/>
        <v>2024</v>
      </c>
      <c r="K1415" s="110">
        <f t="shared" si="7"/>
        <v>2</v>
      </c>
      <c r="L1415" s="108" t="str">
        <f t="shared" si="8"/>
        <v>2024-Q1</v>
      </c>
      <c r="M1415" s="111" t="str">
        <f t="shared" si="9"/>
        <v>2024-02</v>
      </c>
      <c r="N1415" s="112" t="str">
        <f t="shared" si="10"/>
        <v>2024-H1</v>
      </c>
    </row>
    <row r="1416">
      <c r="A1416" s="113" t="s">
        <v>610</v>
      </c>
      <c r="J1416" s="108" t="str">
        <f t="shared" si="6"/>
        <v>2024</v>
      </c>
      <c r="K1416" s="110">
        <f t="shared" si="7"/>
        <v>2</v>
      </c>
      <c r="L1416" s="108" t="str">
        <f t="shared" si="8"/>
        <v>2024-Q1</v>
      </c>
      <c r="M1416" s="111" t="str">
        <f t="shared" si="9"/>
        <v>2024-02</v>
      </c>
      <c r="N1416" s="112" t="str">
        <f t="shared" si="10"/>
        <v>2024-H1</v>
      </c>
    </row>
    <row r="1417">
      <c r="A1417" s="113" t="s">
        <v>610</v>
      </c>
      <c r="J1417" s="108" t="str">
        <f t="shared" si="6"/>
        <v>2024</v>
      </c>
      <c r="K1417" s="110">
        <f t="shared" si="7"/>
        <v>2</v>
      </c>
      <c r="L1417" s="108" t="str">
        <f t="shared" si="8"/>
        <v>2024-Q1</v>
      </c>
      <c r="M1417" s="111" t="str">
        <f t="shared" si="9"/>
        <v>2024-02</v>
      </c>
      <c r="N1417" s="112" t="str">
        <f t="shared" si="10"/>
        <v>2024-H1</v>
      </c>
    </row>
    <row r="1418">
      <c r="A1418" s="113" t="s">
        <v>610</v>
      </c>
      <c r="J1418" s="108" t="str">
        <f t="shared" si="6"/>
        <v>2024</v>
      </c>
      <c r="K1418" s="110">
        <f t="shared" si="7"/>
        <v>2</v>
      </c>
      <c r="L1418" s="108" t="str">
        <f t="shared" si="8"/>
        <v>2024-Q1</v>
      </c>
      <c r="M1418" s="111" t="str">
        <f t="shared" si="9"/>
        <v>2024-02</v>
      </c>
      <c r="N1418" s="112" t="str">
        <f t="shared" si="10"/>
        <v>2024-H1</v>
      </c>
    </row>
    <row r="1419">
      <c r="A1419" s="113" t="s">
        <v>610</v>
      </c>
      <c r="J1419" s="108" t="str">
        <f t="shared" si="6"/>
        <v>2024</v>
      </c>
      <c r="K1419" s="110">
        <f t="shared" si="7"/>
        <v>2</v>
      </c>
      <c r="L1419" s="108" t="str">
        <f t="shared" si="8"/>
        <v>2024-Q1</v>
      </c>
      <c r="M1419" s="111" t="str">
        <f t="shared" si="9"/>
        <v>2024-02</v>
      </c>
      <c r="N1419" s="112" t="str">
        <f t="shared" si="10"/>
        <v>2024-H1</v>
      </c>
    </row>
    <row r="1420">
      <c r="A1420" s="113" t="s">
        <v>610</v>
      </c>
      <c r="J1420" s="108" t="str">
        <f t="shared" si="6"/>
        <v>2024</v>
      </c>
      <c r="K1420" s="110">
        <f t="shared" si="7"/>
        <v>2</v>
      </c>
      <c r="L1420" s="108" t="str">
        <f t="shared" si="8"/>
        <v>2024-Q1</v>
      </c>
      <c r="M1420" s="111" t="str">
        <f t="shared" si="9"/>
        <v>2024-02</v>
      </c>
      <c r="N1420" s="112" t="str">
        <f t="shared" si="10"/>
        <v>2024-H1</v>
      </c>
    </row>
    <row r="1421">
      <c r="A1421" s="113" t="s">
        <v>610</v>
      </c>
      <c r="J1421" s="108" t="str">
        <f t="shared" si="6"/>
        <v>2024</v>
      </c>
      <c r="K1421" s="110">
        <f t="shared" si="7"/>
        <v>4</v>
      </c>
      <c r="L1421" s="108" t="str">
        <f t="shared" si="8"/>
        <v>2024-Q2</v>
      </c>
      <c r="M1421" s="111" t="str">
        <f t="shared" si="9"/>
        <v>2024-04</v>
      </c>
      <c r="N1421" s="112" t="str">
        <f t="shared" si="10"/>
        <v>2024-H1</v>
      </c>
    </row>
    <row r="1422">
      <c r="A1422" s="113" t="s">
        <v>610</v>
      </c>
      <c r="J1422" s="108" t="str">
        <f t="shared" si="6"/>
        <v>2024</v>
      </c>
      <c r="K1422" s="110">
        <f t="shared" si="7"/>
        <v>2</v>
      </c>
      <c r="L1422" s="108" t="str">
        <f t="shared" si="8"/>
        <v>2024-Q1</v>
      </c>
      <c r="M1422" s="111" t="str">
        <f t="shared" si="9"/>
        <v>2024-02</v>
      </c>
      <c r="N1422" s="112" t="str">
        <f t="shared" si="10"/>
        <v>2024-H1</v>
      </c>
    </row>
    <row r="1423">
      <c r="A1423" s="113" t="s">
        <v>610</v>
      </c>
      <c r="J1423" s="108" t="str">
        <f t="shared" si="6"/>
        <v>2024</v>
      </c>
      <c r="K1423" s="110">
        <f t="shared" si="7"/>
        <v>2</v>
      </c>
      <c r="L1423" s="108" t="str">
        <f t="shared" si="8"/>
        <v>2024-Q1</v>
      </c>
      <c r="M1423" s="111" t="str">
        <f t="shared" si="9"/>
        <v>2024-02</v>
      </c>
      <c r="N1423" s="112" t="str">
        <f t="shared" si="10"/>
        <v>2024-H1</v>
      </c>
    </row>
    <row r="1424">
      <c r="A1424" s="113" t="s">
        <v>610</v>
      </c>
      <c r="J1424" s="108" t="str">
        <f t="shared" si="6"/>
        <v>2024</v>
      </c>
      <c r="K1424" s="110">
        <f t="shared" si="7"/>
        <v>2</v>
      </c>
      <c r="L1424" s="108" t="str">
        <f t="shared" si="8"/>
        <v>2024-Q1</v>
      </c>
      <c r="M1424" s="111" t="str">
        <f t="shared" si="9"/>
        <v>2024-02</v>
      </c>
      <c r="N1424" s="112" t="str">
        <f t="shared" si="10"/>
        <v>2024-H1</v>
      </c>
    </row>
    <row r="1425">
      <c r="A1425" s="113" t="s">
        <v>610</v>
      </c>
      <c r="J1425" s="108" t="str">
        <f t="shared" si="6"/>
        <v>2024</v>
      </c>
      <c r="K1425" s="110">
        <f t="shared" si="7"/>
        <v>2</v>
      </c>
      <c r="L1425" s="108" t="str">
        <f t="shared" si="8"/>
        <v>2024-Q1</v>
      </c>
      <c r="M1425" s="111" t="str">
        <f t="shared" si="9"/>
        <v>2024-02</v>
      </c>
      <c r="N1425" s="112" t="str">
        <f t="shared" si="10"/>
        <v>2024-H1</v>
      </c>
    </row>
    <row r="1426">
      <c r="A1426" s="113" t="s">
        <v>610</v>
      </c>
      <c r="J1426" s="108" t="str">
        <f t="shared" si="6"/>
        <v>2024</v>
      </c>
      <c r="K1426" s="110">
        <f t="shared" si="7"/>
        <v>3</v>
      </c>
      <c r="L1426" s="108" t="str">
        <f t="shared" si="8"/>
        <v>2024-Q1</v>
      </c>
      <c r="M1426" s="111" t="str">
        <f t="shared" si="9"/>
        <v>2024-03</v>
      </c>
      <c r="N1426" s="112" t="str">
        <f t="shared" si="10"/>
        <v>2024-H1</v>
      </c>
    </row>
    <row r="1427">
      <c r="A1427" s="113" t="s">
        <v>610</v>
      </c>
      <c r="J1427" s="108" t="str">
        <f t="shared" si="6"/>
        <v>2024</v>
      </c>
      <c r="K1427" s="110">
        <f t="shared" si="7"/>
        <v>3</v>
      </c>
      <c r="L1427" s="108" t="str">
        <f t="shared" si="8"/>
        <v>2024-Q1</v>
      </c>
      <c r="M1427" s="111" t="str">
        <f t="shared" si="9"/>
        <v>2024-03</v>
      </c>
      <c r="N1427" s="112" t="str">
        <f t="shared" si="10"/>
        <v>2024-H1</v>
      </c>
    </row>
    <row r="1428">
      <c r="A1428" s="113" t="s">
        <v>610</v>
      </c>
      <c r="J1428" s="108" t="str">
        <f t="shared" si="6"/>
        <v>2024</v>
      </c>
      <c r="K1428" s="110">
        <f t="shared" si="7"/>
        <v>2</v>
      </c>
      <c r="L1428" s="108" t="str">
        <f t="shared" si="8"/>
        <v>2024-Q1</v>
      </c>
      <c r="M1428" s="111" t="str">
        <f t="shared" si="9"/>
        <v>2024-02</v>
      </c>
      <c r="N1428" s="112" t="str">
        <f t="shared" si="10"/>
        <v>2024-H1</v>
      </c>
    </row>
    <row r="1429">
      <c r="A1429" s="113" t="s">
        <v>610</v>
      </c>
      <c r="J1429" s="108" t="str">
        <f t="shared" si="6"/>
        <v>2024</v>
      </c>
      <c r="K1429" s="110">
        <f t="shared" si="7"/>
        <v>3</v>
      </c>
      <c r="L1429" s="108" t="str">
        <f t="shared" si="8"/>
        <v>2024-Q1</v>
      </c>
      <c r="M1429" s="111" t="str">
        <f t="shared" si="9"/>
        <v>2024-03</v>
      </c>
      <c r="N1429" s="112" t="str">
        <f t="shared" si="10"/>
        <v>2024-H1</v>
      </c>
    </row>
    <row r="1430">
      <c r="A1430" s="113" t="s">
        <v>610</v>
      </c>
      <c r="J1430" s="108" t="str">
        <f t="shared" si="6"/>
        <v>2024</v>
      </c>
      <c r="K1430" s="110">
        <f t="shared" si="7"/>
        <v>3</v>
      </c>
      <c r="L1430" s="108" t="str">
        <f t="shared" si="8"/>
        <v>2024-Q1</v>
      </c>
      <c r="M1430" s="111" t="str">
        <f t="shared" si="9"/>
        <v>2024-03</v>
      </c>
      <c r="N1430" s="112" t="str">
        <f t="shared" si="10"/>
        <v>2024-H1</v>
      </c>
    </row>
    <row r="1431">
      <c r="A1431" s="113" t="s">
        <v>610</v>
      </c>
      <c r="J1431" s="108" t="str">
        <f t="shared" si="6"/>
        <v>2024</v>
      </c>
      <c r="K1431" s="110">
        <f t="shared" si="7"/>
        <v>2</v>
      </c>
      <c r="L1431" s="108" t="str">
        <f t="shared" si="8"/>
        <v>2024-Q1</v>
      </c>
      <c r="M1431" s="111" t="str">
        <f t="shared" si="9"/>
        <v>2024-02</v>
      </c>
      <c r="N1431" s="112" t="str">
        <f t="shared" si="10"/>
        <v>2024-H1</v>
      </c>
    </row>
    <row r="1432">
      <c r="A1432" s="113" t="s">
        <v>610</v>
      </c>
      <c r="J1432" s="108" t="str">
        <f t="shared" si="6"/>
        <v>2024</v>
      </c>
      <c r="K1432" s="110">
        <f t="shared" si="7"/>
        <v>3</v>
      </c>
      <c r="L1432" s="108" t="str">
        <f t="shared" si="8"/>
        <v>2024-Q1</v>
      </c>
      <c r="M1432" s="111" t="str">
        <f t="shared" si="9"/>
        <v>2024-03</v>
      </c>
      <c r="N1432" s="112" t="str">
        <f t="shared" si="10"/>
        <v>2024-H1</v>
      </c>
    </row>
    <row r="1433">
      <c r="A1433" s="113" t="s">
        <v>610</v>
      </c>
      <c r="J1433" s="108" t="str">
        <f t="shared" si="6"/>
        <v>2024</v>
      </c>
      <c r="K1433" s="110">
        <f t="shared" si="7"/>
        <v>3</v>
      </c>
      <c r="L1433" s="108" t="str">
        <f t="shared" si="8"/>
        <v>2024-Q1</v>
      </c>
      <c r="M1433" s="111" t="str">
        <f t="shared" si="9"/>
        <v>2024-03</v>
      </c>
      <c r="N1433" s="112" t="str">
        <f t="shared" si="10"/>
        <v>2024-H1</v>
      </c>
    </row>
    <row r="1434">
      <c r="A1434" s="113" t="s">
        <v>610</v>
      </c>
      <c r="J1434" s="108" t="str">
        <f t="shared" si="6"/>
        <v>2024</v>
      </c>
      <c r="K1434" s="110">
        <f t="shared" si="7"/>
        <v>2</v>
      </c>
      <c r="L1434" s="108" t="str">
        <f t="shared" si="8"/>
        <v>2024-Q1</v>
      </c>
      <c r="M1434" s="111" t="str">
        <f t="shared" si="9"/>
        <v>2024-02</v>
      </c>
      <c r="N1434" s="112" t="str">
        <f t="shared" si="10"/>
        <v>2024-H1</v>
      </c>
    </row>
    <row r="1435">
      <c r="A1435" s="113" t="s">
        <v>610</v>
      </c>
      <c r="J1435" s="108" t="str">
        <f t="shared" si="6"/>
        <v>2024</v>
      </c>
      <c r="K1435" s="110">
        <f t="shared" si="7"/>
        <v>2</v>
      </c>
      <c r="L1435" s="108" t="str">
        <f t="shared" si="8"/>
        <v>2024-Q1</v>
      </c>
      <c r="M1435" s="111" t="str">
        <f t="shared" si="9"/>
        <v>2024-02</v>
      </c>
      <c r="N1435" s="112" t="str">
        <f t="shared" si="10"/>
        <v>2024-H1</v>
      </c>
    </row>
    <row r="1436">
      <c r="A1436" s="113" t="s">
        <v>610</v>
      </c>
      <c r="J1436" s="108" t="str">
        <f t="shared" si="6"/>
        <v>2024</v>
      </c>
      <c r="K1436" s="110">
        <f t="shared" si="7"/>
        <v>3</v>
      </c>
      <c r="L1436" s="108" t="str">
        <f t="shared" si="8"/>
        <v>2024-Q1</v>
      </c>
      <c r="M1436" s="111" t="str">
        <f t="shared" si="9"/>
        <v>2024-03</v>
      </c>
      <c r="N1436" s="112" t="str">
        <f t="shared" si="10"/>
        <v>2024-H1</v>
      </c>
    </row>
    <row r="1437">
      <c r="A1437" s="113" t="s">
        <v>610</v>
      </c>
      <c r="J1437" s="108" t="str">
        <f t="shared" si="6"/>
        <v>2024</v>
      </c>
      <c r="K1437" s="110">
        <f t="shared" si="7"/>
        <v>3</v>
      </c>
      <c r="L1437" s="108" t="str">
        <f t="shared" si="8"/>
        <v>2024-Q1</v>
      </c>
      <c r="M1437" s="111" t="str">
        <f t="shared" si="9"/>
        <v>2024-03</v>
      </c>
      <c r="N1437" s="112" t="str">
        <f t="shared" si="10"/>
        <v>2024-H1</v>
      </c>
    </row>
    <row r="1438">
      <c r="A1438" s="113" t="s">
        <v>610</v>
      </c>
      <c r="J1438" s="108" t="str">
        <f t="shared" si="6"/>
        <v>2024</v>
      </c>
      <c r="K1438" s="110">
        <f t="shared" si="7"/>
        <v>9</v>
      </c>
      <c r="L1438" s="108" t="str">
        <f t="shared" si="8"/>
        <v>2024-Q3</v>
      </c>
      <c r="M1438" s="111" t="str">
        <f t="shared" si="9"/>
        <v>2024-09</v>
      </c>
      <c r="N1438" s="112" t="str">
        <f t="shared" si="10"/>
        <v>2024-H2</v>
      </c>
    </row>
    <row r="1439">
      <c r="A1439" s="113" t="s">
        <v>610</v>
      </c>
      <c r="J1439" s="108" t="str">
        <f t="shared" si="6"/>
        <v>2024</v>
      </c>
      <c r="K1439" s="110">
        <f t="shared" si="7"/>
        <v>3</v>
      </c>
      <c r="L1439" s="108" t="str">
        <f t="shared" si="8"/>
        <v>2024-Q1</v>
      </c>
      <c r="M1439" s="111" t="str">
        <f t="shared" si="9"/>
        <v>2024-03</v>
      </c>
      <c r="N1439" s="112" t="str">
        <f t="shared" si="10"/>
        <v>2024-H1</v>
      </c>
    </row>
    <row r="1440">
      <c r="A1440" s="113" t="s">
        <v>610</v>
      </c>
      <c r="J1440" s="108" t="str">
        <f t="shared" si="6"/>
        <v>2024</v>
      </c>
      <c r="K1440" s="110">
        <f t="shared" si="7"/>
        <v>2</v>
      </c>
      <c r="L1440" s="108" t="str">
        <f t="shared" si="8"/>
        <v>2024-Q1</v>
      </c>
      <c r="M1440" s="111" t="str">
        <f t="shared" si="9"/>
        <v>2024-02</v>
      </c>
      <c r="N1440" s="112" t="str">
        <f t="shared" si="10"/>
        <v>2024-H1</v>
      </c>
    </row>
    <row r="1441">
      <c r="A1441" s="113" t="s">
        <v>610</v>
      </c>
      <c r="J1441" s="108" t="str">
        <f t="shared" si="6"/>
        <v>2024</v>
      </c>
      <c r="K1441" s="110">
        <f t="shared" si="7"/>
        <v>2</v>
      </c>
      <c r="L1441" s="108" t="str">
        <f t="shared" si="8"/>
        <v>2024-Q1</v>
      </c>
      <c r="M1441" s="111" t="str">
        <f t="shared" si="9"/>
        <v>2024-02</v>
      </c>
      <c r="N1441" s="112" t="str">
        <f t="shared" si="10"/>
        <v>2024-H1</v>
      </c>
    </row>
    <row r="1442">
      <c r="A1442" s="113" t="s">
        <v>610</v>
      </c>
      <c r="J1442" s="108" t="str">
        <f t="shared" si="6"/>
        <v>2024</v>
      </c>
      <c r="K1442" s="110">
        <f t="shared" si="7"/>
        <v>2</v>
      </c>
      <c r="L1442" s="108" t="str">
        <f t="shared" si="8"/>
        <v>2024-Q1</v>
      </c>
      <c r="M1442" s="111" t="str">
        <f t="shared" si="9"/>
        <v>2024-02</v>
      </c>
      <c r="N1442" s="112" t="str">
        <f t="shared" si="10"/>
        <v>2024-H1</v>
      </c>
    </row>
    <row r="1443">
      <c r="A1443" s="113" t="s">
        <v>610</v>
      </c>
      <c r="J1443" s="108" t="str">
        <f t="shared" si="6"/>
        <v>2024</v>
      </c>
      <c r="K1443" s="110">
        <f t="shared" si="7"/>
        <v>2</v>
      </c>
      <c r="L1443" s="108" t="str">
        <f t="shared" si="8"/>
        <v>2024-Q1</v>
      </c>
      <c r="M1443" s="111" t="str">
        <f t="shared" si="9"/>
        <v>2024-02</v>
      </c>
      <c r="N1443" s="112" t="str">
        <f t="shared" si="10"/>
        <v>2024-H1</v>
      </c>
    </row>
    <row r="1444">
      <c r="A1444" s="113" t="s">
        <v>610</v>
      </c>
      <c r="J1444" s="108" t="str">
        <f t="shared" si="6"/>
        <v>2024</v>
      </c>
      <c r="K1444" s="110">
        <f t="shared" si="7"/>
        <v>3</v>
      </c>
      <c r="L1444" s="108" t="str">
        <f t="shared" si="8"/>
        <v>2024-Q1</v>
      </c>
      <c r="M1444" s="111" t="str">
        <f t="shared" si="9"/>
        <v>2024-03</v>
      </c>
      <c r="N1444" s="112" t="str">
        <f t="shared" si="10"/>
        <v>2024-H1</v>
      </c>
    </row>
    <row r="1445">
      <c r="A1445" s="113" t="s">
        <v>610</v>
      </c>
      <c r="J1445" s="108" t="str">
        <f t="shared" si="6"/>
        <v>2024</v>
      </c>
      <c r="K1445" s="110">
        <f t="shared" si="7"/>
        <v>3</v>
      </c>
      <c r="L1445" s="108" t="str">
        <f t="shared" si="8"/>
        <v>2024-Q1</v>
      </c>
      <c r="M1445" s="111" t="str">
        <f t="shared" si="9"/>
        <v>2024-03</v>
      </c>
      <c r="N1445" s="112" t="str">
        <f t="shared" si="10"/>
        <v>2024-H1</v>
      </c>
    </row>
    <row r="1446">
      <c r="A1446" s="113" t="s">
        <v>610</v>
      </c>
      <c r="J1446" s="108" t="str">
        <f t="shared" si="6"/>
        <v>2024</v>
      </c>
      <c r="K1446" s="110">
        <f t="shared" si="7"/>
        <v>3</v>
      </c>
      <c r="L1446" s="108" t="str">
        <f t="shared" si="8"/>
        <v>2024-Q1</v>
      </c>
      <c r="M1446" s="111" t="str">
        <f t="shared" si="9"/>
        <v>2024-03</v>
      </c>
      <c r="N1446" s="112" t="str">
        <f t="shared" si="10"/>
        <v>2024-H1</v>
      </c>
    </row>
    <row r="1447">
      <c r="A1447" s="113" t="s">
        <v>610</v>
      </c>
      <c r="J1447" s="108" t="str">
        <f t="shared" si="6"/>
        <v>2024</v>
      </c>
      <c r="K1447" s="110">
        <f t="shared" si="7"/>
        <v>4</v>
      </c>
      <c r="L1447" s="108" t="str">
        <f t="shared" si="8"/>
        <v>2024-Q2</v>
      </c>
      <c r="M1447" s="111" t="str">
        <f t="shared" si="9"/>
        <v>2024-04</v>
      </c>
      <c r="N1447" s="112" t="str">
        <f t="shared" si="10"/>
        <v>2024-H1</v>
      </c>
    </row>
    <row r="1448">
      <c r="A1448" s="113" t="s">
        <v>610</v>
      </c>
      <c r="J1448" s="108" t="str">
        <f t="shared" si="6"/>
        <v>2024</v>
      </c>
      <c r="K1448" s="110">
        <f t="shared" si="7"/>
        <v>3</v>
      </c>
      <c r="L1448" s="108" t="str">
        <f t="shared" si="8"/>
        <v>2024-Q1</v>
      </c>
      <c r="M1448" s="111" t="str">
        <f t="shared" si="9"/>
        <v>2024-03</v>
      </c>
      <c r="N1448" s="112" t="str">
        <f t="shared" si="10"/>
        <v>2024-H1</v>
      </c>
    </row>
    <row r="1449">
      <c r="A1449" s="113" t="s">
        <v>610</v>
      </c>
      <c r="J1449" s="108" t="str">
        <f t="shared" si="6"/>
        <v>2024</v>
      </c>
      <c r="K1449" s="110">
        <f t="shared" si="7"/>
        <v>3</v>
      </c>
      <c r="L1449" s="108" t="str">
        <f t="shared" si="8"/>
        <v>2024-Q1</v>
      </c>
      <c r="M1449" s="111" t="str">
        <f t="shared" si="9"/>
        <v>2024-03</v>
      </c>
      <c r="N1449" s="112" t="str">
        <f t="shared" si="10"/>
        <v>2024-H1</v>
      </c>
    </row>
    <row r="1450">
      <c r="A1450" s="113" t="s">
        <v>610</v>
      </c>
      <c r="J1450" s="108" t="str">
        <f t="shared" si="6"/>
        <v>2024</v>
      </c>
      <c r="K1450" s="110">
        <f t="shared" si="7"/>
        <v>3</v>
      </c>
      <c r="L1450" s="108" t="str">
        <f t="shared" si="8"/>
        <v>2024-Q1</v>
      </c>
      <c r="M1450" s="111" t="str">
        <f t="shared" si="9"/>
        <v>2024-03</v>
      </c>
      <c r="N1450" s="112" t="str">
        <f t="shared" si="10"/>
        <v>2024-H1</v>
      </c>
    </row>
    <row r="1451">
      <c r="A1451" s="113" t="s">
        <v>610</v>
      </c>
      <c r="J1451" s="108" t="str">
        <f t="shared" si="6"/>
        <v>2024</v>
      </c>
      <c r="K1451" s="110">
        <f t="shared" si="7"/>
        <v>3</v>
      </c>
      <c r="L1451" s="108" t="str">
        <f t="shared" si="8"/>
        <v>2024-Q1</v>
      </c>
      <c r="M1451" s="111" t="str">
        <f t="shared" si="9"/>
        <v>2024-03</v>
      </c>
      <c r="N1451" s="112" t="str">
        <f t="shared" si="10"/>
        <v>2024-H1</v>
      </c>
    </row>
    <row r="1452">
      <c r="A1452" s="113" t="s">
        <v>610</v>
      </c>
      <c r="J1452" s="108" t="str">
        <f t="shared" si="6"/>
        <v>2024</v>
      </c>
      <c r="K1452" s="110">
        <f t="shared" si="7"/>
        <v>3</v>
      </c>
      <c r="L1452" s="108" t="str">
        <f t="shared" si="8"/>
        <v>2024-Q1</v>
      </c>
      <c r="M1452" s="111" t="str">
        <f t="shared" si="9"/>
        <v>2024-03</v>
      </c>
      <c r="N1452" s="112" t="str">
        <f t="shared" si="10"/>
        <v>2024-H1</v>
      </c>
    </row>
    <row r="1453">
      <c r="A1453" s="113" t="s">
        <v>610</v>
      </c>
      <c r="J1453" s="108" t="str">
        <f t="shared" si="6"/>
        <v>2024</v>
      </c>
      <c r="K1453" s="110">
        <f t="shared" si="7"/>
        <v>3</v>
      </c>
      <c r="L1453" s="108" t="str">
        <f t="shared" si="8"/>
        <v>2024-Q1</v>
      </c>
      <c r="M1453" s="111" t="str">
        <f t="shared" si="9"/>
        <v>2024-03</v>
      </c>
      <c r="N1453" s="112" t="str">
        <f t="shared" si="10"/>
        <v>2024-H1</v>
      </c>
    </row>
    <row r="1454">
      <c r="A1454" s="113" t="s">
        <v>610</v>
      </c>
      <c r="J1454" s="108" t="str">
        <f t="shared" si="6"/>
        <v>2024</v>
      </c>
      <c r="K1454" s="110">
        <f t="shared" si="7"/>
        <v>3</v>
      </c>
      <c r="L1454" s="108" t="str">
        <f t="shared" si="8"/>
        <v>2024-Q1</v>
      </c>
      <c r="M1454" s="111" t="str">
        <f t="shared" si="9"/>
        <v>2024-03</v>
      </c>
      <c r="N1454" s="112" t="str">
        <f t="shared" si="10"/>
        <v>2024-H1</v>
      </c>
    </row>
    <row r="1455">
      <c r="A1455" s="113" t="s">
        <v>610</v>
      </c>
      <c r="J1455" s="108" t="str">
        <f t="shared" si="6"/>
        <v>2024</v>
      </c>
      <c r="K1455" s="110">
        <f t="shared" si="7"/>
        <v>3</v>
      </c>
      <c r="L1455" s="108" t="str">
        <f t="shared" si="8"/>
        <v>2024-Q1</v>
      </c>
      <c r="M1455" s="111" t="str">
        <f t="shared" si="9"/>
        <v>2024-03</v>
      </c>
      <c r="N1455" s="112" t="str">
        <f t="shared" si="10"/>
        <v>2024-H1</v>
      </c>
    </row>
    <row r="1456">
      <c r="A1456" s="113" t="s">
        <v>610</v>
      </c>
      <c r="J1456" s="108" t="str">
        <f t="shared" si="6"/>
        <v>2024</v>
      </c>
      <c r="K1456" s="110">
        <f t="shared" si="7"/>
        <v>3</v>
      </c>
      <c r="L1456" s="108" t="str">
        <f t="shared" si="8"/>
        <v>2024-Q1</v>
      </c>
      <c r="M1456" s="111" t="str">
        <f t="shared" si="9"/>
        <v>2024-03</v>
      </c>
      <c r="N1456" s="112" t="str">
        <f t="shared" si="10"/>
        <v>2024-H1</v>
      </c>
    </row>
    <row r="1457">
      <c r="A1457" s="113" t="s">
        <v>610</v>
      </c>
      <c r="J1457" s="108" t="str">
        <f t="shared" si="6"/>
        <v>2024</v>
      </c>
      <c r="K1457" s="110">
        <f t="shared" si="7"/>
        <v>3</v>
      </c>
      <c r="L1457" s="108" t="str">
        <f t="shared" si="8"/>
        <v>2024-Q1</v>
      </c>
      <c r="M1457" s="111" t="str">
        <f t="shared" si="9"/>
        <v>2024-03</v>
      </c>
      <c r="N1457" s="112" t="str">
        <f t="shared" si="10"/>
        <v>2024-H1</v>
      </c>
    </row>
    <row r="1458">
      <c r="A1458" s="113" t="s">
        <v>610</v>
      </c>
      <c r="J1458" s="108" t="str">
        <f t="shared" si="6"/>
        <v>2024</v>
      </c>
      <c r="K1458" s="110">
        <f t="shared" si="7"/>
        <v>3</v>
      </c>
      <c r="L1458" s="108" t="str">
        <f t="shared" si="8"/>
        <v>2024-Q1</v>
      </c>
      <c r="M1458" s="111" t="str">
        <f t="shared" si="9"/>
        <v>2024-03</v>
      </c>
      <c r="N1458" s="112" t="str">
        <f t="shared" si="10"/>
        <v>2024-H1</v>
      </c>
    </row>
    <row r="1459">
      <c r="A1459" s="113" t="s">
        <v>610</v>
      </c>
      <c r="J1459" s="108" t="str">
        <f t="shared" si="6"/>
        <v>2024</v>
      </c>
      <c r="K1459" s="110">
        <f t="shared" si="7"/>
        <v>3</v>
      </c>
      <c r="L1459" s="108" t="str">
        <f t="shared" si="8"/>
        <v>2024-Q1</v>
      </c>
      <c r="M1459" s="111" t="str">
        <f t="shared" si="9"/>
        <v>2024-03</v>
      </c>
      <c r="N1459" s="112" t="str">
        <f t="shared" si="10"/>
        <v>2024-H1</v>
      </c>
    </row>
    <row r="1460">
      <c r="A1460" s="113" t="s">
        <v>610</v>
      </c>
      <c r="J1460" s="108" t="str">
        <f t="shared" si="6"/>
        <v>2024</v>
      </c>
      <c r="K1460" s="110">
        <f t="shared" si="7"/>
        <v>3</v>
      </c>
      <c r="L1460" s="108" t="str">
        <f t="shared" si="8"/>
        <v>2024-Q1</v>
      </c>
      <c r="M1460" s="111" t="str">
        <f t="shared" si="9"/>
        <v>2024-03</v>
      </c>
      <c r="N1460" s="112" t="str">
        <f t="shared" si="10"/>
        <v>2024-H1</v>
      </c>
    </row>
    <row r="1461">
      <c r="A1461" s="113" t="s">
        <v>610</v>
      </c>
      <c r="J1461" s="108" t="str">
        <f t="shared" si="6"/>
        <v>2024</v>
      </c>
      <c r="K1461" s="110">
        <f t="shared" si="7"/>
        <v>3</v>
      </c>
      <c r="L1461" s="108" t="str">
        <f t="shared" si="8"/>
        <v>2024-Q1</v>
      </c>
      <c r="M1461" s="111" t="str">
        <f t="shared" si="9"/>
        <v>2024-03</v>
      </c>
      <c r="N1461" s="112" t="str">
        <f t="shared" si="10"/>
        <v>2024-H1</v>
      </c>
    </row>
    <row r="1462">
      <c r="A1462" s="113" t="s">
        <v>610</v>
      </c>
      <c r="J1462" s="108" t="str">
        <f t="shared" si="6"/>
        <v>2024</v>
      </c>
      <c r="K1462" s="110">
        <f t="shared" si="7"/>
        <v>3</v>
      </c>
      <c r="L1462" s="108" t="str">
        <f t="shared" si="8"/>
        <v>2024-Q1</v>
      </c>
      <c r="M1462" s="111" t="str">
        <f t="shared" si="9"/>
        <v>2024-03</v>
      </c>
      <c r="N1462" s="112" t="str">
        <f t="shared" si="10"/>
        <v>2024-H1</v>
      </c>
    </row>
    <row r="1463">
      <c r="A1463" s="113" t="s">
        <v>610</v>
      </c>
      <c r="J1463" s="108" t="str">
        <f t="shared" si="6"/>
        <v>2024</v>
      </c>
      <c r="K1463" s="110">
        <f t="shared" si="7"/>
        <v>3</v>
      </c>
      <c r="L1463" s="108" t="str">
        <f t="shared" si="8"/>
        <v>2024-Q1</v>
      </c>
      <c r="M1463" s="111" t="str">
        <f t="shared" si="9"/>
        <v>2024-03</v>
      </c>
      <c r="N1463" s="112" t="str">
        <f t="shared" si="10"/>
        <v>2024-H1</v>
      </c>
    </row>
    <row r="1464">
      <c r="A1464" s="113" t="s">
        <v>610</v>
      </c>
      <c r="J1464" s="108" t="str">
        <f t="shared" si="6"/>
        <v>2024</v>
      </c>
      <c r="K1464" s="110">
        <f t="shared" si="7"/>
        <v>3</v>
      </c>
      <c r="L1464" s="108" t="str">
        <f t="shared" si="8"/>
        <v>2024-Q1</v>
      </c>
      <c r="M1464" s="111" t="str">
        <f t="shared" si="9"/>
        <v>2024-03</v>
      </c>
      <c r="N1464" s="112" t="str">
        <f t="shared" si="10"/>
        <v>2024-H1</v>
      </c>
    </row>
    <row r="1465">
      <c r="A1465" s="113" t="s">
        <v>610</v>
      </c>
      <c r="J1465" s="108" t="str">
        <f t="shared" si="6"/>
        <v>2024</v>
      </c>
      <c r="K1465" s="110">
        <f t="shared" si="7"/>
        <v>3</v>
      </c>
      <c r="L1465" s="108" t="str">
        <f t="shared" si="8"/>
        <v>2024-Q1</v>
      </c>
      <c r="M1465" s="111" t="str">
        <f t="shared" si="9"/>
        <v>2024-03</v>
      </c>
      <c r="N1465" s="112" t="str">
        <f t="shared" si="10"/>
        <v>2024-H1</v>
      </c>
    </row>
    <row r="1466">
      <c r="A1466" s="113" t="s">
        <v>610</v>
      </c>
      <c r="J1466" s="108" t="str">
        <f t="shared" si="6"/>
        <v>2024</v>
      </c>
      <c r="K1466" s="110">
        <f t="shared" si="7"/>
        <v>3</v>
      </c>
      <c r="L1466" s="108" t="str">
        <f t="shared" si="8"/>
        <v>2024-Q1</v>
      </c>
      <c r="M1466" s="111" t="str">
        <f t="shared" si="9"/>
        <v>2024-03</v>
      </c>
      <c r="N1466" s="112" t="str">
        <f t="shared" si="10"/>
        <v>2024-H1</v>
      </c>
    </row>
    <row r="1467">
      <c r="A1467" s="113" t="s">
        <v>610</v>
      </c>
      <c r="J1467" s="108" t="str">
        <f t="shared" si="6"/>
        <v>2024</v>
      </c>
      <c r="K1467" s="110">
        <f t="shared" si="7"/>
        <v>3</v>
      </c>
      <c r="L1467" s="108" t="str">
        <f t="shared" si="8"/>
        <v>2024-Q1</v>
      </c>
      <c r="M1467" s="111" t="str">
        <f t="shared" si="9"/>
        <v>2024-03</v>
      </c>
      <c r="N1467" s="112" t="str">
        <f t="shared" si="10"/>
        <v>2024-H1</v>
      </c>
    </row>
    <row r="1468">
      <c r="A1468" s="113" t="s">
        <v>610</v>
      </c>
      <c r="J1468" s="108" t="str">
        <f t="shared" si="6"/>
        <v>2024</v>
      </c>
      <c r="K1468" s="110">
        <f t="shared" si="7"/>
        <v>3</v>
      </c>
      <c r="L1468" s="108" t="str">
        <f t="shared" si="8"/>
        <v>2024-Q1</v>
      </c>
      <c r="M1468" s="111" t="str">
        <f t="shared" si="9"/>
        <v>2024-03</v>
      </c>
      <c r="N1468" s="112" t="str">
        <f t="shared" si="10"/>
        <v>2024-H1</v>
      </c>
    </row>
    <row r="1469">
      <c r="A1469" s="113" t="s">
        <v>610</v>
      </c>
      <c r="J1469" s="108" t="str">
        <f t="shared" si="6"/>
        <v>2024</v>
      </c>
      <c r="K1469" s="110">
        <f t="shared" si="7"/>
        <v>3</v>
      </c>
      <c r="L1469" s="108" t="str">
        <f t="shared" si="8"/>
        <v>2024-Q1</v>
      </c>
      <c r="M1469" s="111" t="str">
        <f t="shared" si="9"/>
        <v>2024-03</v>
      </c>
      <c r="N1469" s="112" t="str">
        <f t="shared" si="10"/>
        <v>2024-H1</v>
      </c>
    </row>
    <row r="1470">
      <c r="A1470" s="113" t="s">
        <v>610</v>
      </c>
      <c r="J1470" s="108" t="str">
        <f t="shared" si="6"/>
        <v>2024</v>
      </c>
      <c r="K1470" s="110">
        <f t="shared" si="7"/>
        <v>3</v>
      </c>
      <c r="L1470" s="108" t="str">
        <f t="shared" si="8"/>
        <v>2024-Q1</v>
      </c>
      <c r="M1470" s="111" t="str">
        <f t="shared" si="9"/>
        <v>2024-03</v>
      </c>
      <c r="N1470" s="112" t="str">
        <f t="shared" si="10"/>
        <v>2024-H1</v>
      </c>
    </row>
    <row r="1471">
      <c r="A1471" s="113" t="s">
        <v>610</v>
      </c>
      <c r="J1471" s="108" t="str">
        <f t="shared" si="6"/>
        <v>2024</v>
      </c>
      <c r="K1471" s="110">
        <f t="shared" si="7"/>
        <v>3</v>
      </c>
      <c r="L1471" s="108" t="str">
        <f t="shared" si="8"/>
        <v>2024-Q1</v>
      </c>
      <c r="M1471" s="111" t="str">
        <f t="shared" si="9"/>
        <v>2024-03</v>
      </c>
      <c r="N1471" s="112" t="str">
        <f t="shared" si="10"/>
        <v>2024-H1</v>
      </c>
    </row>
    <row r="1472">
      <c r="A1472" s="113" t="s">
        <v>610</v>
      </c>
      <c r="J1472" s="108" t="str">
        <f t="shared" si="6"/>
        <v>2024</v>
      </c>
      <c r="K1472" s="110">
        <f t="shared" si="7"/>
        <v>3</v>
      </c>
      <c r="L1472" s="108" t="str">
        <f t="shared" si="8"/>
        <v>2024-Q1</v>
      </c>
      <c r="M1472" s="111" t="str">
        <f t="shared" si="9"/>
        <v>2024-03</v>
      </c>
      <c r="N1472" s="112" t="str">
        <f t="shared" si="10"/>
        <v>2024-H1</v>
      </c>
    </row>
    <row r="1473">
      <c r="A1473" s="113" t="s">
        <v>610</v>
      </c>
      <c r="J1473" s="108" t="str">
        <f t="shared" si="6"/>
        <v>2024</v>
      </c>
      <c r="K1473" s="110">
        <f t="shared" si="7"/>
        <v>3</v>
      </c>
      <c r="L1473" s="108" t="str">
        <f t="shared" si="8"/>
        <v>2024-Q1</v>
      </c>
      <c r="M1473" s="111" t="str">
        <f t="shared" si="9"/>
        <v>2024-03</v>
      </c>
      <c r="N1473" s="112" t="str">
        <f t="shared" si="10"/>
        <v>2024-H1</v>
      </c>
    </row>
    <row r="1474">
      <c r="A1474" s="113" t="s">
        <v>610</v>
      </c>
      <c r="J1474" s="108" t="str">
        <f t="shared" si="6"/>
        <v>2024</v>
      </c>
      <c r="K1474" s="110">
        <f t="shared" si="7"/>
        <v>3</v>
      </c>
      <c r="L1474" s="108" t="str">
        <f t="shared" si="8"/>
        <v>2024-Q1</v>
      </c>
      <c r="M1474" s="111" t="str">
        <f t="shared" si="9"/>
        <v>2024-03</v>
      </c>
      <c r="N1474" s="112" t="str">
        <f t="shared" si="10"/>
        <v>2024-H1</v>
      </c>
    </row>
    <row r="1475">
      <c r="A1475" s="113" t="s">
        <v>610</v>
      </c>
      <c r="J1475" s="108" t="str">
        <f t="shared" si="6"/>
        <v>2024</v>
      </c>
      <c r="K1475" s="110">
        <f t="shared" si="7"/>
        <v>3</v>
      </c>
      <c r="L1475" s="108" t="str">
        <f t="shared" si="8"/>
        <v>2024-Q1</v>
      </c>
      <c r="M1475" s="111" t="str">
        <f t="shared" si="9"/>
        <v>2024-03</v>
      </c>
      <c r="N1475" s="112" t="str">
        <f t="shared" si="10"/>
        <v>2024-H1</v>
      </c>
    </row>
    <row r="1476">
      <c r="A1476" s="113" t="s">
        <v>610</v>
      </c>
      <c r="J1476" s="108" t="str">
        <f t="shared" si="6"/>
        <v>2024</v>
      </c>
      <c r="K1476" s="110">
        <f t="shared" si="7"/>
        <v>3</v>
      </c>
      <c r="L1476" s="108" t="str">
        <f t="shared" si="8"/>
        <v>2024-Q1</v>
      </c>
      <c r="M1476" s="111" t="str">
        <f t="shared" si="9"/>
        <v>2024-03</v>
      </c>
      <c r="N1476" s="112" t="str">
        <f t="shared" si="10"/>
        <v>2024-H1</v>
      </c>
    </row>
    <row r="1477">
      <c r="A1477" s="113" t="s">
        <v>610</v>
      </c>
      <c r="J1477" s="108" t="str">
        <f t="shared" si="6"/>
        <v>2024</v>
      </c>
      <c r="K1477" s="110">
        <f t="shared" si="7"/>
        <v>3</v>
      </c>
      <c r="L1477" s="108" t="str">
        <f t="shared" si="8"/>
        <v>2024-Q1</v>
      </c>
      <c r="M1477" s="111" t="str">
        <f t="shared" si="9"/>
        <v>2024-03</v>
      </c>
      <c r="N1477" s="112" t="str">
        <f t="shared" si="10"/>
        <v>2024-H1</v>
      </c>
    </row>
    <row r="1478">
      <c r="A1478" s="113" t="s">
        <v>610</v>
      </c>
      <c r="J1478" s="108" t="str">
        <f t="shared" si="6"/>
        <v>2024</v>
      </c>
      <c r="K1478" s="110">
        <f t="shared" si="7"/>
        <v>3</v>
      </c>
      <c r="L1478" s="108" t="str">
        <f t="shared" si="8"/>
        <v>2024-Q1</v>
      </c>
      <c r="M1478" s="111" t="str">
        <f t="shared" si="9"/>
        <v>2024-03</v>
      </c>
      <c r="N1478" s="112" t="str">
        <f t="shared" si="10"/>
        <v>2024-H1</v>
      </c>
    </row>
    <row r="1479">
      <c r="A1479" s="113" t="s">
        <v>610</v>
      </c>
      <c r="J1479" s="108" t="str">
        <f t="shared" si="6"/>
        <v>2024</v>
      </c>
      <c r="K1479" s="110">
        <f t="shared" si="7"/>
        <v>3</v>
      </c>
      <c r="L1479" s="108" t="str">
        <f t="shared" si="8"/>
        <v>2024-Q1</v>
      </c>
      <c r="M1479" s="111" t="str">
        <f t="shared" si="9"/>
        <v>2024-03</v>
      </c>
      <c r="N1479" s="112" t="str">
        <f t="shared" si="10"/>
        <v>2024-H1</v>
      </c>
    </row>
    <row r="1480">
      <c r="A1480" s="113" t="s">
        <v>610</v>
      </c>
      <c r="J1480" s="108" t="str">
        <f t="shared" si="6"/>
        <v>2024</v>
      </c>
      <c r="K1480" s="110">
        <f t="shared" si="7"/>
        <v>3</v>
      </c>
      <c r="L1480" s="108" t="str">
        <f t="shared" si="8"/>
        <v>2024-Q1</v>
      </c>
      <c r="M1480" s="111" t="str">
        <f t="shared" si="9"/>
        <v>2024-03</v>
      </c>
      <c r="N1480" s="112" t="str">
        <f t="shared" si="10"/>
        <v>2024-H1</v>
      </c>
    </row>
    <row r="1481">
      <c r="A1481" s="113" t="s">
        <v>610</v>
      </c>
      <c r="J1481" s="108" t="str">
        <f t="shared" si="6"/>
        <v>2024</v>
      </c>
      <c r="K1481" s="110">
        <f t="shared" si="7"/>
        <v>3</v>
      </c>
      <c r="L1481" s="108" t="str">
        <f t="shared" si="8"/>
        <v>2024-Q1</v>
      </c>
      <c r="M1481" s="111" t="str">
        <f t="shared" si="9"/>
        <v>2024-03</v>
      </c>
      <c r="N1481" s="112" t="str">
        <f t="shared" si="10"/>
        <v>2024-H1</v>
      </c>
    </row>
    <row r="1482">
      <c r="A1482" s="113" t="s">
        <v>610</v>
      </c>
      <c r="J1482" s="108" t="str">
        <f t="shared" si="6"/>
        <v>2024</v>
      </c>
      <c r="K1482" s="110">
        <f t="shared" si="7"/>
        <v>3</v>
      </c>
      <c r="L1482" s="108" t="str">
        <f t="shared" si="8"/>
        <v>2024-Q1</v>
      </c>
      <c r="M1482" s="111" t="str">
        <f t="shared" si="9"/>
        <v>2024-03</v>
      </c>
      <c r="N1482" s="112" t="str">
        <f t="shared" si="10"/>
        <v>2024-H1</v>
      </c>
    </row>
    <row r="1483">
      <c r="A1483" s="113" t="s">
        <v>610</v>
      </c>
      <c r="J1483" s="108" t="str">
        <f t="shared" si="6"/>
        <v>2024</v>
      </c>
      <c r="K1483" s="110">
        <f t="shared" si="7"/>
        <v>3</v>
      </c>
      <c r="L1483" s="108" t="str">
        <f t="shared" si="8"/>
        <v>2024-Q1</v>
      </c>
      <c r="M1483" s="111" t="str">
        <f t="shared" si="9"/>
        <v>2024-03</v>
      </c>
      <c r="N1483" s="112" t="str">
        <f t="shared" si="10"/>
        <v>2024-H1</v>
      </c>
    </row>
    <row r="1484">
      <c r="A1484" s="113" t="s">
        <v>610</v>
      </c>
      <c r="J1484" s="108" t="str">
        <f t="shared" si="6"/>
        <v>2024</v>
      </c>
      <c r="K1484" s="110">
        <f t="shared" si="7"/>
        <v>3</v>
      </c>
      <c r="L1484" s="108" t="str">
        <f t="shared" si="8"/>
        <v>2024-Q1</v>
      </c>
      <c r="M1484" s="111" t="str">
        <f t="shared" si="9"/>
        <v>2024-03</v>
      </c>
      <c r="N1484" s="112" t="str">
        <f t="shared" si="10"/>
        <v>2024-H1</v>
      </c>
    </row>
    <row r="1485">
      <c r="A1485" s="113" t="s">
        <v>610</v>
      </c>
      <c r="J1485" s="108" t="str">
        <f t="shared" si="6"/>
        <v>2024</v>
      </c>
      <c r="K1485" s="110">
        <f t="shared" si="7"/>
        <v>3</v>
      </c>
      <c r="L1485" s="108" t="str">
        <f t="shared" si="8"/>
        <v>2024-Q1</v>
      </c>
      <c r="M1485" s="111" t="str">
        <f t="shared" si="9"/>
        <v>2024-03</v>
      </c>
      <c r="N1485" s="112" t="str">
        <f t="shared" si="10"/>
        <v>2024-H1</v>
      </c>
    </row>
    <row r="1486">
      <c r="A1486" s="113" t="s">
        <v>610</v>
      </c>
      <c r="J1486" s="108" t="str">
        <f t="shared" si="6"/>
        <v>2024</v>
      </c>
      <c r="K1486" s="110">
        <f t="shared" si="7"/>
        <v>3</v>
      </c>
      <c r="L1486" s="108" t="str">
        <f t="shared" si="8"/>
        <v>2024-Q1</v>
      </c>
      <c r="M1486" s="111" t="str">
        <f t="shared" si="9"/>
        <v>2024-03</v>
      </c>
      <c r="N1486" s="112" t="str">
        <f t="shared" si="10"/>
        <v>2024-H1</v>
      </c>
    </row>
    <row r="1487">
      <c r="A1487" s="113" t="s">
        <v>610</v>
      </c>
      <c r="J1487" s="108" t="str">
        <f t="shared" si="6"/>
        <v>2024</v>
      </c>
      <c r="K1487" s="110">
        <f t="shared" si="7"/>
        <v>3</v>
      </c>
      <c r="L1487" s="108" t="str">
        <f t="shared" si="8"/>
        <v>2024-Q1</v>
      </c>
      <c r="M1487" s="111" t="str">
        <f t="shared" si="9"/>
        <v>2024-03</v>
      </c>
      <c r="N1487" s="112" t="str">
        <f t="shared" si="10"/>
        <v>2024-H1</v>
      </c>
    </row>
    <row r="1488">
      <c r="A1488" s="113" t="s">
        <v>610</v>
      </c>
      <c r="J1488" s="108" t="str">
        <f t="shared" si="6"/>
        <v>2024</v>
      </c>
      <c r="K1488" s="110">
        <f t="shared" si="7"/>
        <v>3</v>
      </c>
      <c r="L1488" s="108" t="str">
        <f t="shared" si="8"/>
        <v>2024-Q1</v>
      </c>
      <c r="M1488" s="111" t="str">
        <f t="shared" si="9"/>
        <v>2024-03</v>
      </c>
      <c r="N1488" s="112" t="str">
        <f t="shared" si="10"/>
        <v>2024-H1</v>
      </c>
    </row>
    <row r="1489">
      <c r="A1489" s="113" t="s">
        <v>610</v>
      </c>
      <c r="J1489" s="108" t="str">
        <f t="shared" si="6"/>
        <v>2024</v>
      </c>
      <c r="K1489" s="110">
        <f t="shared" si="7"/>
        <v>3</v>
      </c>
      <c r="L1489" s="108" t="str">
        <f t="shared" si="8"/>
        <v>2024-Q1</v>
      </c>
      <c r="M1489" s="111" t="str">
        <f t="shared" si="9"/>
        <v>2024-03</v>
      </c>
      <c r="N1489" s="112" t="str">
        <f t="shared" si="10"/>
        <v>2024-H1</v>
      </c>
    </row>
    <row r="1490">
      <c r="A1490" s="113" t="s">
        <v>610</v>
      </c>
      <c r="J1490" s="108" t="str">
        <f t="shared" si="6"/>
        <v>2024</v>
      </c>
      <c r="K1490" s="110">
        <f t="shared" si="7"/>
        <v>3</v>
      </c>
      <c r="L1490" s="108" t="str">
        <f t="shared" si="8"/>
        <v>2024-Q1</v>
      </c>
      <c r="M1490" s="111" t="str">
        <f t="shared" si="9"/>
        <v>2024-03</v>
      </c>
      <c r="N1490" s="112" t="str">
        <f t="shared" si="10"/>
        <v>2024-H1</v>
      </c>
    </row>
    <row r="1491">
      <c r="A1491" s="113" t="s">
        <v>610</v>
      </c>
      <c r="J1491" s="108" t="str">
        <f t="shared" si="6"/>
        <v>2024</v>
      </c>
      <c r="K1491" s="110">
        <f t="shared" si="7"/>
        <v>3</v>
      </c>
      <c r="L1491" s="108" t="str">
        <f t="shared" si="8"/>
        <v>2024-Q1</v>
      </c>
      <c r="M1491" s="111" t="str">
        <f t="shared" si="9"/>
        <v>2024-03</v>
      </c>
      <c r="N1491" s="112" t="str">
        <f t="shared" si="10"/>
        <v>2024-H1</v>
      </c>
    </row>
    <row r="1492">
      <c r="A1492" s="113" t="s">
        <v>610</v>
      </c>
      <c r="J1492" s="108" t="str">
        <f t="shared" si="6"/>
        <v>2024</v>
      </c>
      <c r="K1492" s="110">
        <f t="shared" si="7"/>
        <v>3</v>
      </c>
      <c r="L1492" s="108" t="str">
        <f t="shared" si="8"/>
        <v>2024-Q1</v>
      </c>
      <c r="M1492" s="111" t="str">
        <f t="shared" si="9"/>
        <v>2024-03</v>
      </c>
      <c r="N1492" s="112" t="str">
        <f t="shared" si="10"/>
        <v>2024-H1</v>
      </c>
    </row>
    <row r="1493">
      <c r="A1493" s="113" t="s">
        <v>610</v>
      </c>
      <c r="J1493" s="108" t="str">
        <f t="shared" si="6"/>
        <v>2024</v>
      </c>
      <c r="K1493" s="110">
        <f t="shared" si="7"/>
        <v>3</v>
      </c>
      <c r="L1493" s="108" t="str">
        <f t="shared" si="8"/>
        <v>2024-Q1</v>
      </c>
      <c r="M1493" s="111" t="str">
        <f t="shared" si="9"/>
        <v>2024-03</v>
      </c>
      <c r="N1493" s="112" t="str">
        <f t="shared" si="10"/>
        <v>2024-H1</v>
      </c>
    </row>
    <row r="1494">
      <c r="A1494" s="113" t="s">
        <v>610</v>
      </c>
      <c r="J1494" s="108" t="str">
        <f t="shared" si="6"/>
        <v>2024</v>
      </c>
      <c r="K1494" s="110">
        <f t="shared" si="7"/>
        <v>3</v>
      </c>
      <c r="L1494" s="108" t="str">
        <f t="shared" si="8"/>
        <v>2024-Q1</v>
      </c>
      <c r="M1494" s="111" t="str">
        <f t="shared" si="9"/>
        <v>2024-03</v>
      </c>
      <c r="N1494" s="112" t="str">
        <f t="shared" si="10"/>
        <v>2024-H1</v>
      </c>
    </row>
    <row r="1495">
      <c r="A1495" s="113" t="s">
        <v>610</v>
      </c>
      <c r="J1495" s="108" t="str">
        <f t="shared" si="6"/>
        <v>2024</v>
      </c>
      <c r="K1495" s="110">
        <f t="shared" si="7"/>
        <v>3</v>
      </c>
      <c r="L1495" s="108" t="str">
        <f t="shared" si="8"/>
        <v>2024-Q1</v>
      </c>
      <c r="M1495" s="111" t="str">
        <f t="shared" si="9"/>
        <v>2024-03</v>
      </c>
      <c r="N1495" s="112" t="str">
        <f t="shared" si="10"/>
        <v>2024-H1</v>
      </c>
    </row>
    <row r="1496">
      <c r="A1496" s="113" t="s">
        <v>610</v>
      </c>
      <c r="J1496" s="108" t="str">
        <f t="shared" si="6"/>
        <v>2024</v>
      </c>
      <c r="K1496" s="110">
        <f t="shared" si="7"/>
        <v>3</v>
      </c>
      <c r="L1496" s="108" t="str">
        <f t="shared" si="8"/>
        <v>2024-Q1</v>
      </c>
      <c r="M1496" s="111" t="str">
        <f t="shared" si="9"/>
        <v>2024-03</v>
      </c>
      <c r="N1496" s="112" t="str">
        <f t="shared" si="10"/>
        <v>2024-H1</v>
      </c>
    </row>
    <row r="1497">
      <c r="A1497" s="113" t="s">
        <v>610</v>
      </c>
      <c r="J1497" s="108" t="str">
        <f t="shared" si="6"/>
        <v>2024</v>
      </c>
      <c r="K1497" s="110">
        <f t="shared" si="7"/>
        <v>5</v>
      </c>
      <c r="L1497" s="108" t="str">
        <f t="shared" si="8"/>
        <v>2024-Q2</v>
      </c>
      <c r="M1497" s="111" t="str">
        <f t="shared" si="9"/>
        <v>2024-05</v>
      </c>
      <c r="N1497" s="112" t="str">
        <f t="shared" si="10"/>
        <v>2024-H1</v>
      </c>
    </row>
    <row r="1498">
      <c r="A1498" s="113" t="s">
        <v>610</v>
      </c>
      <c r="J1498" s="108" t="str">
        <f t="shared" si="6"/>
        <v>2024</v>
      </c>
      <c r="K1498" s="110">
        <f t="shared" si="7"/>
        <v>3</v>
      </c>
      <c r="L1498" s="108" t="str">
        <f t="shared" si="8"/>
        <v>2024-Q1</v>
      </c>
      <c r="M1498" s="111" t="str">
        <f t="shared" si="9"/>
        <v>2024-03</v>
      </c>
      <c r="N1498" s="112" t="str">
        <f t="shared" si="10"/>
        <v>2024-H1</v>
      </c>
    </row>
    <row r="1499">
      <c r="A1499" s="113" t="s">
        <v>610</v>
      </c>
      <c r="J1499" s="108" t="str">
        <f t="shared" si="6"/>
        <v>2024</v>
      </c>
      <c r="K1499" s="110">
        <f t="shared" si="7"/>
        <v>3</v>
      </c>
      <c r="L1499" s="108" t="str">
        <f t="shared" si="8"/>
        <v>2024-Q1</v>
      </c>
      <c r="M1499" s="111" t="str">
        <f t="shared" si="9"/>
        <v>2024-03</v>
      </c>
      <c r="N1499" s="112" t="str">
        <f t="shared" si="10"/>
        <v>2024-H1</v>
      </c>
    </row>
    <row r="1500">
      <c r="A1500" s="113" t="s">
        <v>610</v>
      </c>
      <c r="J1500" s="108" t="str">
        <f t="shared" si="6"/>
        <v>2024</v>
      </c>
      <c r="K1500" s="110">
        <f t="shared" si="7"/>
        <v>3</v>
      </c>
      <c r="L1500" s="108" t="str">
        <f t="shared" si="8"/>
        <v>2024-Q1</v>
      </c>
      <c r="M1500" s="111" t="str">
        <f t="shared" si="9"/>
        <v>2024-03</v>
      </c>
      <c r="N1500" s="112" t="str">
        <f t="shared" si="10"/>
        <v>2024-H1</v>
      </c>
    </row>
    <row r="1501">
      <c r="A1501" s="113" t="s">
        <v>610</v>
      </c>
      <c r="J1501" s="108" t="str">
        <f t="shared" si="6"/>
        <v>2024</v>
      </c>
      <c r="K1501" s="110">
        <f t="shared" si="7"/>
        <v>3</v>
      </c>
      <c r="L1501" s="108" t="str">
        <f t="shared" si="8"/>
        <v>2024-Q1</v>
      </c>
      <c r="M1501" s="111" t="str">
        <f t="shared" si="9"/>
        <v>2024-03</v>
      </c>
      <c r="N1501" s="112" t="str">
        <f t="shared" si="10"/>
        <v>2024-H1</v>
      </c>
    </row>
    <row r="1502">
      <c r="A1502" s="113" t="s">
        <v>610</v>
      </c>
      <c r="J1502" s="108" t="str">
        <f t="shared" si="6"/>
        <v>2024</v>
      </c>
      <c r="K1502" s="110">
        <f t="shared" si="7"/>
        <v>3</v>
      </c>
      <c r="L1502" s="108" t="str">
        <f t="shared" si="8"/>
        <v>2024-Q1</v>
      </c>
      <c r="M1502" s="111" t="str">
        <f t="shared" si="9"/>
        <v>2024-03</v>
      </c>
      <c r="N1502" s="112" t="str">
        <f t="shared" si="10"/>
        <v>2024-H1</v>
      </c>
    </row>
    <row r="1503">
      <c r="A1503" s="113" t="s">
        <v>610</v>
      </c>
      <c r="J1503" s="108" t="str">
        <f t="shared" si="6"/>
        <v>2024</v>
      </c>
      <c r="K1503" s="110">
        <f t="shared" si="7"/>
        <v>3</v>
      </c>
      <c r="L1503" s="108" t="str">
        <f t="shared" si="8"/>
        <v>2024-Q1</v>
      </c>
      <c r="M1503" s="111" t="str">
        <f t="shared" si="9"/>
        <v>2024-03</v>
      </c>
      <c r="N1503" s="112" t="str">
        <f t="shared" si="10"/>
        <v>2024-H1</v>
      </c>
    </row>
    <row r="1504">
      <c r="A1504" s="113" t="s">
        <v>610</v>
      </c>
      <c r="J1504" s="108" t="str">
        <f t="shared" si="6"/>
        <v>2024</v>
      </c>
      <c r="K1504" s="110">
        <f t="shared" si="7"/>
        <v>3</v>
      </c>
      <c r="L1504" s="108" t="str">
        <f t="shared" si="8"/>
        <v>2024-Q1</v>
      </c>
      <c r="M1504" s="111" t="str">
        <f t="shared" si="9"/>
        <v>2024-03</v>
      </c>
      <c r="N1504" s="112" t="str">
        <f t="shared" si="10"/>
        <v>2024-H1</v>
      </c>
    </row>
    <row r="1505">
      <c r="A1505" s="113" t="s">
        <v>610</v>
      </c>
      <c r="J1505" s="108" t="str">
        <f t="shared" si="6"/>
        <v>2024</v>
      </c>
      <c r="K1505" s="110">
        <f t="shared" si="7"/>
        <v>3</v>
      </c>
      <c r="L1505" s="108" t="str">
        <f t="shared" si="8"/>
        <v>2024-Q1</v>
      </c>
      <c r="M1505" s="111" t="str">
        <f t="shared" si="9"/>
        <v>2024-03</v>
      </c>
      <c r="N1505" s="112" t="str">
        <f t="shared" si="10"/>
        <v>2024-H1</v>
      </c>
    </row>
    <row r="1506">
      <c r="A1506" s="113" t="s">
        <v>610</v>
      </c>
      <c r="J1506" s="108" t="str">
        <f t="shared" si="6"/>
        <v>2024</v>
      </c>
      <c r="K1506" s="110">
        <f t="shared" si="7"/>
        <v>3</v>
      </c>
      <c r="L1506" s="108" t="str">
        <f t="shared" si="8"/>
        <v>2024-Q1</v>
      </c>
      <c r="M1506" s="111" t="str">
        <f t="shared" si="9"/>
        <v>2024-03</v>
      </c>
      <c r="N1506" s="112" t="str">
        <f t="shared" si="10"/>
        <v>2024-H1</v>
      </c>
    </row>
    <row r="1507">
      <c r="A1507" s="113" t="s">
        <v>610</v>
      </c>
      <c r="J1507" s="108" t="str">
        <f t="shared" si="6"/>
        <v>2024</v>
      </c>
      <c r="K1507" s="110">
        <f t="shared" si="7"/>
        <v>3</v>
      </c>
      <c r="L1507" s="108" t="str">
        <f t="shared" si="8"/>
        <v>2024-Q1</v>
      </c>
      <c r="M1507" s="111" t="str">
        <f t="shared" si="9"/>
        <v>2024-03</v>
      </c>
      <c r="N1507" s="112" t="str">
        <f t="shared" si="10"/>
        <v>2024-H1</v>
      </c>
    </row>
    <row r="1508">
      <c r="A1508" s="113" t="s">
        <v>610</v>
      </c>
      <c r="J1508" s="108" t="str">
        <f t="shared" si="6"/>
        <v>2024</v>
      </c>
      <c r="K1508" s="110">
        <f t="shared" si="7"/>
        <v>3</v>
      </c>
      <c r="L1508" s="108" t="str">
        <f t="shared" si="8"/>
        <v>2024-Q1</v>
      </c>
      <c r="M1508" s="111" t="str">
        <f t="shared" si="9"/>
        <v>2024-03</v>
      </c>
      <c r="N1508" s="112" t="str">
        <f t="shared" si="10"/>
        <v>2024-H1</v>
      </c>
    </row>
    <row r="1509">
      <c r="A1509" s="113" t="s">
        <v>610</v>
      </c>
      <c r="J1509" s="108" t="str">
        <f t="shared" si="6"/>
        <v>2024</v>
      </c>
      <c r="K1509" s="110">
        <f t="shared" si="7"/>
        <v>3</v>
      </c>
      <c r="L1509" s="108" t="str">
        <f t="shared" si="8"/>
        <v>2024-Q1</v>
      </c>
      <c r="M1509" s="111" t="str">
        <f t="shared" si="9"/>
        <v>2024-03</v>
      </c>
      <c r="N1509" s="112" t="str">
        <f t="shared" si="10"/>
        <v>2024-H1</v>
      </c>
    </row>
    <row r="1510">
      <c r="A1510" s="113" t="s">
        <v>610</v>
      </c>
      <c r="J1510" s="108" t="str">
        <f t="shared" si="6"/>
        <v>2024</v>
      </c>
      <c r="K1510" s="110">
        <f t="shared" si="7"/>
        <v>3</v>
      </c>
      <c r="L1510" s="108" t="str">
        <f t="shared" si="8"/>
        <v>2024-Q1</v>
      </c>
      <c r="M1510" s="111" t="str">
        <f t="shared" si="9"/>
        <v>2024-03</v>
      </c>
      <c r="N1510" s="112" t="str">
        <f t="shared" si="10"/>
        <v>2024-H1</v>
      </c>
    </row>
    <row r="1511">
      <c r="A1511" s="113" t="s">
        <v>610</v>
      </c>
      <c r="J1511" s="108" t="str">
        <f t="shared" si="6"/>
        <v>2024</v>
      </c>
      <c r="K1511" s="110">
        <f t="shared" si="7"/>
        <v>3</v>
      </c>
      <c r="L1511" s="108" t="str">
        <f t="shared" si="8"/>
        <v>2024-Q1</v>
      </c>
      <c r="M1511" s="111" t="str">
        <f t="shared" si="9"/>
        <v>2024-03</v>
      </c>
      <c r="N1511" s="112" t="str">
        <f t="shared" si="10"/>
        <v>2024-H1</v>
      </c>
    </row>
    <row r="1512">
      <c r="A1512" s="113" t="s">
        <v>610</v>
      </c>
      <c r="J1512" s="108" t="str">
        <f t="shared" si="6"/>
        <v>2024</v>
      </c>
      <c r="K1512" s="110">
        <f t="shared" si="7"/>
        <v>3</v>
      </c>
      <c r="L1512" s="108" t="str">
        <f t="shared" si="8"/>
        <v>2024-Q1</v>
      </c>
      <c r="M1512" s="111" t="str">
        <f t="shared" si="9"/>
        <v>2024-03</v>
      </c>
      <c r="N1512" s="112" t="str">
        <f t="shared" si="10"/>
        <v>2024-H1</v>
      </c>
    </row>
    <row r="1513">
      <c r="A1513" s="113" t="s">
        <v>610</v>
      </c>
      <c r="J1513" s="108" t="str">
        <f t="shared" si="6"/>
        <v>2024</v>
      </c>
      <c r="K1513" s="110">
        <f t="shared" si="7"/>
        <v>3</v>
      </c>
      <c r="L1513" s="108" t="str">
        <f t="shared" si="8"/>
        <v>2024-Q1</v>
      </c>
      <c r="M1513" s="111" t="str">
        <f t="shared" si="9"/>
        <v>2024-03</v>
      </c>
      <c r="N1513" s="112" t="str">
        <f t="shared" si="10"/>
        <v>2024-H1</v>
      </c>
    </row>
    <row r="1514">
      <c r="A1514" s="113" t="s">
        <v>610</v>
      </c>
      <c r="J1514" s="108" t="str">
        <f t="shared" si="6"/>
        <v>2024</v>
      </c>
      <c r="K1514" s="110">
        <f t="shared" si="7"/>
        <v>3</v>
      </c>
      <c r="L1514" s="108" t="str">
        <f t="shared" si="8"/>
        <v>2024-Q1</v>
      </c>
      <c r="M1514" s="111" t="str">
        <f t="shared" si="9"/>
        <v>2024-03</v>
      </c>
      <c r="N1514" s="112" t="str">
        <f t="shared" si="10"/>
        <v>2024-H1</v>
      </c>
    </row>
    <row r="1515">
      <c r="A1515" s="113" t="s">
        <v>610</v>
      </c>
      <c r="J1515" s="108" t="str">
        <f t="shared" si="6"/>
        <v>2024</v>
      </c>
      <c r="K1515" s="110">
        <f t="shared" si="7"/>
        <v>3</v>
      </c>
      <c r="L1515" s="108" t="str">
        <f t="shared" si="8"/>
        <v>2024-Q1</v>
      </c>
      <c r="M1515" s="111" t="str">
        <f t="shared" si="9"/>
        <v>2024-03</v>
      </c>
      <c r="N1515" s="112" t="str">
        <f t="shared" si="10"/>
        <v>2024-H1</v>
      </c>
    </row>
    <row r="1516">
      <c r="A1516" s="113" t="s">
        <v>610</v>
      </c>
      <c r="J1516" s="108" t="str">
        <f t="shared" si="6"/>
        <v>2024</v>
      </c>
      <c r="K1516" s="110">
        <f t="shared" si="7"/>
        <v>3</v>
      </c>
      <c r="L1516" s="108" t="str">
        <f t="shared" si="8"/>
        <v>2024-Q1</v>
      </c>
      <c r="M1516" s="111" t="str">
        <f t="shared" si="9"/>
        <v>2024-03</v>
      </c>
      <c r="N1516" s="112" t="str">
        <f t="shared" si="10"/>
        <v>2024-H1</v>
      </c>
    </row>
    <row r="1517">
      <c r="A1517" s="113" t="s">
        <v>610</v>
      </c>
      <c r="J1517" s="108" t="str">
        <f t="shared" si="6"/>
        <v>2024</v>
      </c>
      <c r="K1517" s="110">
        <f t="shared" si="7"/>
        <v>3</v>
      </c>
      <c r="L1517" s="108" t="str">
        <f t="shared" si="8"/>
        <v>2024-Q1</v>
      </c>
      <c r="M1517" s="111" t="str">
        <f t="shared" si="9"/>
        <v>2024-03</v>
      </c>
      <c r="N1517" s="112" t="str">
        <f t="shared" si="10"/>
        <v>2024-H1</v>
      </c>
    </row>
    <row r="1518">
      <c r="A1518" s="113" t="s">
        <v>610</v>
      </c>
      <c r="J1518" s="108" t="str">
        <f t="shared" si="6"/>
        <v>2024</v>
      </c>
      <c r="K1518" s="110">
        <f t="shared" si="7"/>
        <v>3</v>
      </c>
      <c r="L1518" s="108" t="str">
        <f t="shared" si="8"/>
        <v>2024-Q1</v>
      </c>
      <c r="M1518" s="111" t="str">
        <f t="shared" si="9"/>
        <v>2024-03</v>
      </c>
      <c r="N1518" s="112" t="str">
        <f t="shared" si="10"/>
        <v>2024-H1</v>
      </c>
    </row>
    <row r="1519">
      <c r="A1519" s="113" t="s">
        <v>610</v>
      </c>
      <c r="J1519" s="108" t="str">
        <f t="shared" si="6"/>
        <v>2024</v>
      </c>
      <c r="K1519" s="110">
        <f t="shared" si="7"/>
        <v>3</v>
      </c>
      <c r="L1519" s="108" t="str">
        <f t="shared" si="8"/>
        <v>2024-Q1</v>
      </c>
      <c r="M1519" s="111" t="str">
        <f t="shared" si="9"/>
        <v>2024-03</v>
      </c>
      <c r="N1519" s="112" t="str">
        <f t="shared" si="10"/>
        <v>2024-H1</v>
      </c>
    </row>
    <row r="1520">
      <c r="A1520" s="113" t="s">
        <v>610</v>
      </c>
      <c r="J1520" s="108" t="str">
        <f t="shared" si="6"/>
        <v>2024</v>
      </c>
      <c r="K1520" s="110">
        <f t="shared" si="7"/>
        <v>3</v>
      </c>
      <c r="L1520" s="108" t="str">
        <f t="shared" si="8"/>
        <v>2024-Q1</v>
      </c>
      <c r="M1520" s="111" t="str">
        <f t="shared" si="9"/>
        <v>2024-03</v>
      </c>
      <c r="N1520" s="112" t="str">
        <f t="shared" si="10"/>
        <v>2024-H1</v>
      </c>
    </row>
    <row r="1521">
      <c r="A1521" s="113" t="s">
        <v>610</v>
      </c>
      <c r="J1521" s="108" t="str">
        <f t="shared" si="6"/>
        <v>2024</v>
      </c>
      <c r="K1521" s="110">
        <f t="shared" si="7"/>
        <v>3</v>
      </c>
      <c r="L1521" s="108" t="str">
        <f t="shared" si="8"/>
        <v>2024-Q1</v>
      </c>
      <c r="M1521" s="111" t="str">
        <f t="shared" si="9"/>
        <v>2024-03</v>
      </c>
      <c r="N1521" s="112" t="str">
        <f t="shared" si="10"/>
        <v>2024-H1</v>
      </c>
    </row>
    <row r="1522">
      <c r="A1522" s="113" t="s">
        <v>610</v>
      </c>
      <c r="J1522" s="108" t="str">
        <f t="shared" si="6"/>
        <v>2024</v>
      </c>
      <c r="K1522" s="110">
        <f t="shared" si="7"/>
        <v>3</v>
      </c>
      <c r="L1522" s="108" t="str">
        <f t="shared" si="8"/>
        <v>2024-Q1</v>
      </c>
      <c r="M1522" s="111" t="str">
        <f t="shared" si="9"/>
        <v>2024-03</v>
      </c>
      <c r="N1522" s="112" t="str">
        <f t="shared" si="10"/>
        <v>2024-H1</v>
      </c>
    </row>
    <row r="1523">
      <c r="A1523" s="113" t="s">
        <v>610</v>
      </c>
      <c r="J1523" s="108" t="str">
        <f t="shared" si="6"/>
        <v>2024</v>
      </c>
      <c r="K1523" s="110">
        <f t="shared" si="7"/>
        <v>3</v>
      </c>
      <c r="L1523" s="108" t="str">
        <f t="shared" si="8"/>
        <v>2024-Q1</v>
      </c>
      <c r="M1523" s="111" t="str">
        <f t="shared" si="9"/>
        <v>2024-03</v>
      </c>
      <c r="N1523" s="112" t="str">
        <f t="shared" si="10"/>
        <v>2024-H1</v>
      </c>
    </row>
    <row r="1524">
      <c r="A1524" s="113" t="s">
        <v>610</v>
      </c>
      <c r="J1524" s="108" t="str">
        <f t="shared" si="6"/>
        <v>2024</v>
      </c>
      <c r="K1524" s="110">
        <f t="shared" si="7"/>
        <v>3</v>
      </c>
      <c r="L1524" s="108" t="str">
        <f t="shared" si="8"/>
        <v>2024-Q1</v>
      </c>
      <c r="M1524" s="111" t="str">
        <f t="shared" si="9"/>
        <v>2024-03</v>
      </c>
      <c r="N1524" s="112" t="str">
        <f t="shared" si="10"/>
        <v>2024-H1</v>
      </c>
    </row>
    <row r="1525">
      <c r="A1525" s="113" t="s">
        <v>610</v>
      </c>
      <c r="J1525" s="108" t="str">
        <f t="shared" si="6"/>
        <v>2024</v>
      </c>
      <c r="K1525" s="110">
        <f t="shared" si="7"/>
        <v>3</v>
      </c>
      <c r="L1525" s="108" t="str">
        <f t="shared" si="8"/>
        <v>2024-Q1</v>
      </c>
      <c r="M1525" s="111" t="str">
        <f t="shared" si="9"/>
        <v>2024-03</v>
      </c>
      <c r="N1525" s="112" t="str">
        <f t="shared" si="10"/>
        <v>2024-H1</v>
      </c>
    </row>
    <row r="1526">
      <c r="A1526" s="113" t="s">
        <v>610</v>
      </c>
      <c r="J1526" s="108" t="str">
        <f t="shared" si="6"/>
        <v>2024</v>
      </c>
      <c r="K1526" s="110">
        <f t="shared" si="7"/>
        <v>3</v>
      </c>
      <c r="L1526" s="108" t="str">
        <f t="shared" si="8"/>
        <v>2024-Q1</v>
      </c>
      <c r="M1526" s="111" t="str">
        <f t="shared" si="9"/>
        <v>2024-03</v>
      </c>
      <c r="N1526" s="112" t="str">
        <f t="shared" si="10"/>
        <v>2024-H1</v>
      </c>
    </row>
    <row r="1527">
      <c r="A1527" s="113" t="s">
        <v>610</v>
      </c>
      <c r="J1527" s="108" t="str">
        <f t="shared" si="6"/>
        <v>2024</v>
      </c>
      <c r="K1527" s="110">
        <f t="shared" si="7"/>
        <v>3</v>
      </c>
      <c r="L1527" s="108" t="str">
        <f t="shared" si="8"/>
        <v>2024-Q1</v>
      </c>
      <c r="M1527" s="111" t="str">
        <f t="shared" si="9"/>
        <v>2024-03</v>
      </c>
      <c r="N1527" s="112" t="str">
        <f t="shared" si="10"/>
        <v>2024-H1</v>
      </c>
    </row>
    <row r="1528">
      <c r="A1528" s="113" t="s">
        <v>610</v>
      </c>
      <c r="J1528" s="108" t="str">
        <f t="shared" si="6"/>
        <v>2024</v>
      </c>
      <c r="K1528" s="110">
        <f t="shared" si="7"/>
        <v>3</v>
      </c>
      <c r="L1528" s="108" t="str">
        <f t="shared" si="8"/>
        <v>2024-Q1</v>
      </c>
      <c r="M1528" s="111" t="str">
        <f t="shared" si="9"/>
        <v>2024-03</v>
      </c>
      <c r="N1528" s="112" t="str">
        <f t="shared" si="10"/>
        <v>2024-H1</v>
      </c>
    </row>
    <row r="1529">
      <c r="A1529" s="113" t="s">
        <v>610</v>
      </c>
      <c r="J1529" s="108" t="str">
        <f t="shared" si="6"/>
        <v>2024</v>
      </c>
      <c r="K1529" s="110">
        <f t="shared" si="7"/>
        <v>3</v>
      </c>
      <c r="L1529" s="108" t="str">
        <f t="shared" si="8"/>
        <v>2024-Q1</v>
      </c>
      <c r="M1529" s="111" t="str">
        <f t="shared" si="9"/>
        <v>2024-03</v>
      </c>
      <c r="N1529" s="112" t="str">
        <f t="shared" si="10"/>
        <v>2024-H1</v>
      </c>
    </row>
    <row r="1530">
      <c r="A1530" s="113" t="s">
        <v>610</v>
      </c>
      <c r="J1530" s="108" t="str">
        <f t="shared" si="6"/>
        <v>2024</v>
      </c>
      <c r="K1530" s="110">
        <f t="shared" si="7"/>
        <v>3</v>
      </c>
      <c r="L1530" s="108" t="str">
        <f t="shared" si="8"/>
        <v>2024-Q1</v>
      </c>
      <c r="M1530" s="111" t="str">
        <f t="shared" si="9"/>
        <v>2024-03</v>
      </c>
      <c r="N1530" s="112" t="str">
        <f t="shared" si="10"/>
        <v>2024-H1</v>
      </c>
    </row>
    <row r="1531">
      <c r="A1531" s="113" t="s">
        <v>610</v>
      </c>
      <c r="J1531" s="108" t="str">
        <f t="shared" si="6"/>
        <v>2024</v>
      </c>
      <c r="K1531" s="110">
        <f t="shared" si="7"/>
        <v>3</v>
      </c>
      <c r="L1531" s="108" t="str">
        <f t="shared" si="8"/>
        <v>2024-Q1</v>
      </c>
      <c r="M1531" s="111" t="str">
        <f t="shared" si="9"/>
        <v>2024-03</v>
      </c>
      <c r="N1531" s="112" t="str">
        <f t="shared" si="10"/>
        <v>2024-H1</v>
      </c>
    </row>
    <row r="1532">
      <c r="A1532" s="113" t="s">
        <v>610</v>
      </c>
      <c r="J1532" s="108" t="str">
        <f t="shared" si="6"/>
        <v>2024</v>
      </c>
      <c r="K1532" s="110">
        <f t="shared" si="7"/>
        <v>3</v>
      </c>
      <c r="L1532" s="108" t="str">
        <f t="shared" si="8"/>
        <v>2024-Q1</v>
      </c>
      <c r="M1532" s="111" t="str">
        <f t="shared" si="9"/>
        <v>2024-03</v>
      </c>
      <c r="N1532" s="112" t="str">
        <f t="shared" si="10"/>
        <v>2024-H1</v>
      </c>
    </row>
    <row r="1533">
      <c r="A1533" s="113" t="s">
        <v>610</v>
      </c>
      <c r="J1533" s="108" t="str">
        <f t="shared" si="6"/>
        <v>2024</v>
      </c>
      <c r="K1533" s="110">
        <f t="shared" si="7"/>
        <v>3</v>
      </c>
      <c r="L1533" s="108" t="str">
        <f t="shared" si="8"/>
        <v>2024-Q1</v>
      </c>
      <c r="M1533" s="111" t="str">
        <f t="shared" si="9"/>
        <v>2024-03</v>
      </c>
      <c r="N1533" s="112" t="str">
        <f t="shared" si="10"/>
        <v>2024-H1</v>
      </c>
    </row>
    <row r="1534">
      <c r="A1534" s="113" t="s">
        <v>610</v>
      </c>
      <c r="J1534" s="108" t="str">
        <f t="shared" si="6"/>
        <v>2024</v>
      </c>
      <c r="K1534" s="110">
        <f t="shared" si="7"/>
        <v>3</v>
      </c>
      <c r="L1534" s="108" t="str">
        <f t="shared" si="8"/>
        <v>2024-Q1</v>
      </c>
      <c r="M1534" s="111" t="str">
        <f t="shared" si="9"/>
        <v>2024-03</v>
      </c>
      <c r="N1534" s="112" t="str">
        <f t="shared" si="10"/>
        <v>2024-H1</v>
      </c>
    </row>
    <row r="1535">
      <c r="A1535" s="113" t="s">
        <v>610</v>
      </c>
      <c r="J1535" s="108" t="str">
        <f t="shared" si="6"/>
        <v>2024</v>
      </c>
      <c r="K1535" s="110">
        <f t="shared" si="7"/>
        <v>3</v>
      </c>
      <c r="L1535" s="108" t="str">
        <f t="shared" si="8"/>
        <v>2024-Q1</v>
      </c>
      <c r="M1535" s="111" t="str">
        <f t="shared" si="9"/>
        <v>2024-03</v>
      </c>
      <c r="N1535" s="112" t="str">
        <f t="shared" si="10"/>
        <v>2024-H1</v>
      </c>
    </row>
    <row r="1536">
      <c r="A1536" s="113" t="s">
        <v>610</v>
      </c>
      <c r="J1536" s="108" t="str">
        <f t="shared" si="6"/>
        <v>2024</v>
      </c>
      <c r="K1536" s="110">
        <f t="shared" si="7"/>
        <v>3</v>
      </c>
      <c r="L1536" s="108" t="str">
        <f t="shared" si="8"/>
        <v>2024-Q1</v>
      </c>
      <c r="M1536" s="111" t="str">
        <f t="shared" si="9"/>
        <v>2024-03</v>
      </c>
      <c r="N1536" s="112" t="str">
        <f t="shared" si="10"/>
        <v>2024-H1</v>
      </c>
    </row>
    <row r="1537">
      <c r="A1537" s="113" t="s">
        <v>610</v>
      </c>
      <c r="J1537" s="108" t="str">
        <f t="shared" si="6"/>
        <v>2024</v>
      </c>
      <c r="K1537" s="110">
        <f t="shared" si="7"/>
        <v>3</v>
      </c>
      <c r="L1537" s="108" t="str">
        <f t="shared" si="8"/>
        <v>2024-Q1</v>
      </c>
      <c r="M1537" s="111" t="str">
        <f t="shared" si="9"/>
        <v>2024-03</v>
      </c>
      <c r="N1537" s="112" t="str">
        <f t="shared" si="10"/>
        <v>2024-H1</v>
      </c>
    </row>
    <row r="1538">
      <c r="A1538" s="113" t="s">
        <v>610</v>
      </c>
      <c r="J1538" s="108" t="str">
        <f t="shared" si="6"/>
        <v>2024</v>
      </c>
      <c r="K1538" s="110">
        <f t="shared" si="7"/>
        <v>3</v>
      </c>
      <c r="L1538" s="108" t="str">
        <f t="shared" si="8"/>
        <v>2024-Q1</v>
      </c>
      <c r="M1538" s="111" t="str">
        <f t="shared" si="9"/>
        <v>2024-03</v>
      </c>
      <c r="N1538" s="112" t="str">
        <f t="shared" si="10"/>
        <v>2024-H1</v>
      </c>
    </row>
    <row r="1539">
      <c r="A1539" s="113" t="s">
        <v>610</v>
      </c>
      <c r="J1539" s="108" t="str">
        <f t="shared" si="6"/>
        <v>2024</v>
      </c>
      <c r="K1539" s="110">
        <f t="shared" si="7"/>
        <v>3</v>
      </c>
      <c r="L1539" s="108" t="str">
        <f t="shared" si="8"/>
        <v>2024-Q1</v>
      </c>
      <c r="M1539" s="111" t="str">
        <f t="shared" si="9"/>
        <v>2024-03</v>
      </c>
      <c r="N1539" s="112" t="str">
        <f t="shared" si="10"/>
        <v>2024-H1</v>
      </c>
    </row>
    <row r="1540">
      <c r="A1540" s="113" t="s">
        <v>610</v>
      </c>
      <c r="J1540" s="108" t="str">
        <f t="shared" si="6"/>
        <v>2024</v>
      </c>
      <c r="K1540" s="110">
        <f t="shared" si="7"/>
        <v>3</v>
      </c>
      <c r="L1540" s="108" t="str">
        <f t="shared" si="8"/>
        <v>2024-Q1</v>
      </c>
      <c r="M1540" s="111" t="str">
        <f t="shared" si="9"/>
        <v>2024-03</v>
      </c>
      <c r="N1540" s="112" t="str">
        <f t="shared" si="10"/>
        <v>2024-H1</v>
      </c>
    </row>
    <row r="1541">
      <c r="A1541" s="113" t="s">
        <v>610</v>
      </c>
      <c r="J1541" s="108" t="str">
        <f t="shared" si="6"/>
        <v>2024</v>
      </c>
      <c r="K1541" s="110">
        <f t="shared" si="7"/>
        <v>3</v>
      </c>
      <c r="L1541" s="108" t="str">
        <f t="shared" si="8"/>
        <v>2024-Q1</v>
      </c>
      <c r="M1541" s="111" t="str">
        <f t="shared" si="9"/>
        <v>2024-03</v>
      </c>
      <c r="N1541" s="112" t="str">
        <f t="shared" si="10"/>
        <v>2024-H1</v>
      </c>
    </row>
    <row r="1542">
      <c r="A1542" s="113" t="s">
        <v>610</v>
      </c>
      <c r="J1542" s="108" t="str">
        <f t="shared" si="6"/>
        <v>2024</v>
      </c>
      <c r="K1542" s="110">
        <f t="shared" si="7"/>
        <v>3</v>
      </c>
      <c r="L1542" s="108" t="str">
        <f t="shared" si="8"/>
        <v>2024-Q1</v>
      </c>
      <c r="M1542" s="111" t="str">
        <f t="shared" si="9"/>
        <v>2024-03</v>
      </c>
      <c r="N1542" s="112" t="str">
        <f t="shared" si="10"/>
        <v>2024-H1</v>
      </c>
    </row>
    <row r="1543">
      <c r="A1543" s="113" t="s">
        <v>610</v>
      </c>
      <c r="J1543" s="108" t="str">
        <f t="shared" si="6"/>
        <v>2024</v>
      </c>
      <c r="K1543" s="110">
        <f t="shared" si="7"/>
        <v>3</v>
      </c>
      <c r="L1543" s="108" t="str">
        <f t="shared" si="8"/>
        <v>2024-Q1</v>
      </c>
      <c r="M1543" s="111" t="str">
        <f t="shared" si="9"/>
        <v>2024-03</v>
      </c>
      <c r="N1543" s="112" t="str">
        <f t="shared" si="10"/>
        <v>2024-H1</v>
      </c>
    </row>
    <row r="1544">
      <c r="A1544" s="113" t="s">
        <v>610</v>
      </c>
      <c r="J1544" s="108" t="str">
        <f t="shared" si="6"/>
        <v>2024</v>
      </c>
      <c r="K1544" s="110">
        <f t="shared" si="7"/>
        <v>3</v>
      </c>
      <c r="L1544" s="108" t="str">
        <f t="shared" si="8"/>
        <v>2024-Q1</v>
      </c>
      <c r="M1544" s="111" t="str">
        <f t="shared" si="9"/>
        <v>2024-03</v>
      </c>
      <c r="N1544" s="112" t="str">
        <f t="shared" si="10"/>
        <v>2024-H1</v>
      </c>
    </row>
    <row r="1545">
      <c r="A1545" s="113" t="s">
        <v>610</v>
      </c>
      <c r="J1545" s="108" t="str">
        <f t="shared" si="6"/>
        <v>2024</v>
      </c>
      <c r="K1545" s="110">
        <f t="shared" si="7"/>
        <v>3</v>
      </c>
      <c r="L1545" s="108" t="str">
        <f t="shared" si="8"/>
        <v>2024-Q1</v>
      </c>
      <c r="M1545" s="111" t="str">
        <f t="shared" si="9"/>
        <v>2024-03</v>
      </c>
      <c r="N1545" s="112" t="str">
        <f t="shared" si="10"/>
        <v>2024-H1</v>
      </c>
    </row>
    <row r="1546">
      <c r="A1546" s="113" t="s">
        <v>610</v>
      </c>
      <c r="J1546" s="108" t="str">
        <f t="shared" si="6"/>
        <v>2024</v>
      </c>
      <c r="K1546" s="110">
        <f t="shared" si="7"/>
        <v>3</v>
      </c>
      <c r="L1546" s="108" t="str">
        <f t="shared" si="8"/>
        <v>2024-Q1</v>
      </c>
      <c r="M1546" s="111" t="str">
        <f t="shared" si="9"/>
        <v>2024-03</v>
      </c>
      <c r="N1546" s="112" t="str">
        <f t="shared" si="10"/>
        <v>2024-H1</v>
      </c>
    </row>
    <row r="1547">
      <c r="A1547" s="113" t="s">
        <v>610</v>
      </c>
      <c r="J1547" s="108" t="str">
        <f t="shared" si="6"/>
        <v>2024</v>
      </c>
      <c r="K1547" s="110">
        <f t="shared" si="7"/>
        <v>3</v>
      </c>
      <c r="L1547" s="108" t="str">
        <f t="shared" si="8"/>
        <v>2024-Q1</v>
      </c>
      <c r="M1547" s="111" t="str">
        <f t="shared" si="9"/>
        <v>2024-03</v>
      </c>
      <c r="N1547" s="112" t="str">
        <f t="shared" si="10"/>
        <v>2024-H1</v>
      </c>
    </row>
    <row r="1548">
      <c r="A1548" s="113" t="s">
        <v>610</v>
      </c>
      <c r="J1548" s="108" t="str">
        <f t="shared" si="6"/>
        <v>2024</v>
      </c>
      <c r="K1548" s="110">
        <f t="shared" si="7"/>
        <v>3</v>
      </c>
      <c r="L1548" s="108" t="str">
        <f t="shared" si="8"/>
        <v>2024-Q1</v>
      </c>
      <c r="M1548" s="111" t="str">
        <f t="shared" si="9"/>
        <v>2024-03</v>
      </c>
      <c r="N1548" s="112" t="str">
        <f t="shared" si="10"/>
        <v>2024-H1</v>
      </c>
    </row>
    <row r="1549">
      <c r="A1549" s="113" t="s">
        <v>610</v>
      </c>
      <c r="J1549" s="108" t="str">
        <f t="shared" si="6"/>
        <v>2024</v>
      </c>
      <c r="K1549" s="110">
        <f t="shared" si="7"/>
        <v>3</v>
      </c>
      <c r="L1549" s="108" t="str">
        <f t="shared" si="8"/>
        <v>2024-Q1</v>
      </c>
      <c r="M1549" s="111" t="str">
        <f t="shared" si="9"/>
        <v>2024-03</v>
      </c>
      <c r="N1549" s="112" t="str">
        <f t="shared" si="10"/>
        <v>2024-H1</v>
      </c>
    </row>
    <row r="1550">
      <c r="A1550" s="113" t="s">
        <v>610</v>
      </c>
      <c r="J1550" s="108" t="str">
        <f t="shared" si="6"/>
        <v>2024</v>
      </c>
      <c r="K1550" s="110">
        <f t="shared" si="7"/>
        <v>3</v>
      </c>
      <c r="L1550" s="108" t="str">
        <f t="shared" si="8"/>
        <v>2024-Q1</v>
      </c>
      <c r="M1550" s="111" t="str">
        <f t="shared" si="9"/>
        <v>2024-03</v>
      </c>
      <c r="N1550" s="112" t="str">
        <f t="shared" si="10"/>
        <v>2024-H1</v>
      </c>
    </row>
    <row r="1551">
      <c r="A1551" s="113" t="s">
        <v>610</v>
      </c>
      <c r="J1551" s="108" t="str">
        <f t="shared" si="6"/>
        <v>2024</v>
      </c>
      <c r="K1551" s="110">
        <f t="shared" si="7"/>
        <v>3</v>
      </c>
      <c r="L1551" s="108" t="str">
        <f t="shared" si="8"/>
        <v>2024-Q1</v>
      </c>
      <c r="M1551" s="111" t="str">
        <f t="shared" si="9"/>
        <v>2024-03</v>
      </c>
      <c r="N1551" s="112" t="str">
        <f t="shared" si="10"/>
        <v>2024-H1</v>
      </c>
    </row>
    <row r="1552">
      <c r="A1552" s="113" t="s">
        <v>610</v>
      </c>
      <c r="J1552" s="108" t="str">
        <f t="shared" si="6"/>
        <v>2024</v>
      </c>
      <c r="K1552" s="110">
        <f t="shared" si="7"/>
        <v>3</v>
      </c>
      <c r="L1552" s="108" t="str">
        <f t="shared" si="8"/>
        <v>2024-Q1</v>
      </c>
      <c r="M1552" s="111" t="str">
        <f t="shared" si="9"/>
        <v>2024-03</v>
      </c>
      <c r="N1552" s="112" t="str">
        <f t="shared" si="10"/>
        <v>2024-H1</v>
      </c>
    </row>
    <row r="1553">
      <c r="A1553" s="113" t="s">
        <v>610</v>
      </c>
      <c r="J1553" s="108" t="str">
        <f t="shared" si="6"/>
        <v>2024</v>
      </c>
      <c r="K1553" s="110">
        <f t="shared" si="7"/>
        <v>3</v>
      </c>
      <c r="L1553" s="108" t="str">
        <f t="shared" si="8"/>
        <v>2024-Q1</v>
      </c>
      <c r="M1553" s="111" t="str">
        <f t="shared" si="9"/>
        <v>2024-03</v>
      </c>
      <c r="N1553" s="112" t="str">
        <f t="shared" si="10"/>
        <v>2024-H1</v>
      </c>
    </row>
    <row r="1554">
      <c r="A1554" s="113" t="s">
        <v>610</v>
      </c>
      <c r="J1554" s="108" t="str">
        <f t="shared" si="6"/>
        <v>2024</v>
      </c>
      <c r="K1554" s="110">
        <f t="shared" si="7"/>
        <v>4</v>
      </c>
      <c r="L1554" s="108" t="str">
        <f t="shared" si="8"/>
        <v>2024-Q2</v>
      </c>
      <c r="M1554" s="111" t="str">
        <f t="shared" si="9"/>
        <v>2024-04</v>
      </c>
      <c r="N1554" s="112" t="str">
        <f t="shared" si="10"/>
        <v>2024-H1</v>
      </c>
    </row>
    <row r="1555">
      <c r="A1555" s="113" t="s">
        <v>610</v>
      </c>
      <c r="J1555" s="108" t="str">
        <f t="shared" si="6"/>
        <v>2024</v>
      </c>
      <c r="K1555" s="110">
        <f t="shared" si="7"/>
        <v>4</v>
      </c>
      <c r="L1555" s="108" t="str">
        <f t="shared" si="8"/>
        <v>2024-Q2</v>
      </c>
      <c r="M1555" s="111" t="str">
        <f t="shared" si="9"/>
        <v>2024-04</v>
      </c>
      <c r="N1555" s="112" t="str">
        <f t="shared" si="10"/>
        <v>2024-H1</v>
      </c>
    </row>
    <row r="1556">
      <c r="A1556" s="113" t="s">
        <v>610</v>
      </c>
      <c r="J1556" s="108" t="str">
        <f t="shared" si="6"/>
        <v>2024</v>
      </c>
      <c r="K1556" s="110">
        <f t="shared" si="7"/>
        <v>4</v>
      </c>
      <c r="L1556" s="108" t="str">
        <f t="shared" si="8"/>
        <v>2024-Q2</v>
      </c>
      <c r="M1556" s="111" t="str">
        <f t="shared" si="9"/>
        <v>2024-04</v>
      </c>
      <c r="N1556" s="112" t="str">
        <f t="shared" si="10"/>
        <v>2024-H1</v>
      </c>
    </row>
    <row r="1557">
      <c r="A1557" s="113" t="s">
        <v>610</v>
      </c>
      <c r="J1557" s="108" t="str">
        <f t="shared" si="6"/>
        <v>2024</v>
      </c>
      <c r="K1557" s="110">
        <f t="shared" si="7"/>
        <v>4</v>
      </c>
      <c r="L1557" s="108" t="str">
        <f t="shared" si="8"/>
        <v>2024-Q2</v>
      </c>
      <c r="M1557" s="111" t="str">
        <f t="shared" si="9"/>
        <v>2024-04</v>
      </c>
      <c r="N1557" s="112" t="str">
        <f t="shared" si="10"/>
        <v>2024-H1</v>
      </c>
    </row>
    <row r="1558">
      <c r="A1558" s="113" t="s">
        <v>610</v>
      </c>
      <c r="J1558" s="108" t="str">
        <f t="shared" si="6"/>
        <v>2024</v>
      </c>
      <c r="K1558" s="110">
        <f t="shared" si="7"/>
        <v>4</v>
      </c>
      <c r="L1558" s="108" t="str">
        <f t="shared" si="8"/>
        <v>2024-Q2</v>
      </c>
      <c r="M1558" s="111" t="str">
        <f t="shared" si="9"/>
        <v>2024-04</v>
      </c>
      <c r="N1558" s="112" t="str">
        <f t="shared" si="10"/>
        <v>2024-H1</v>
      </c>
    </row>
    <row r="1559">
      <c r="A1559" s="113" t="s">
        <v>610</v>
      </c>
      <c r="J1559" s="108" t="str">
        <f t="shared" si="6"/>
        <v>2024</v>
      </c>
      <c r="K1559" s="110">
        <f t="shared" si="7"/>
        <v>4</v>
      </c>
      <c r="L1559" s="108" t="str">
        <f t="shared" si="8"/>
        <v>2024-Q2</v>
      </c>
      <c r="M1559" s="111" t="str">
        <f t="shared" si="9"/>
        <v>2024-04</v>
      </c>
      <c r="N1559" s="112" t="str">
        <f t="shared" si="10"/>
        <v>2024-H1</v>
      </c>
    </row>
    <row r="1560">
      <c r="A1560" s="113" t="s">
        <v>610</v>
      </c>
      <c r="J1560" s="108" t="str">
        <f t="shared" si="6"/>
        <v>2024</v>
      </c>
      <c r="K1560" s="110">
        <f t="shared" si="7"/>
        <v>4</v>
      </c>
      <c r="L1560" s="108" t="str">
        <f t="shared" si="8"/>
        <v>2024-Q2</v>
      </c>
      <c r="M1560" s="111" t="str">
        <f t="shared" si="9"/>
        <v>2024-04</v>
      </c>
      <c r="N1560" s="112" t="str">
        <f t="shared" si="10"/>
        <v>2024-H1</v>
      </c>
    </row>
    <row r="1561">
      <c r="A1561" s="113" t="s">
        <v>610</v>
      </c>
      <c r="J1561" s="108" t="str">
        <f t="shared" si="6"/>
        <v>2024</v>
      </c>
      <c r="K1561" s="110">
        <f t="shared" si="7"/>
        <v>4</v>
      </c>
      <c r="L1561" s="108" t="str">
        <f t="shared" si="8"/>
        <v>2024-Q2</v>
      </c>
      <c r="M1561" s="111" t="str">
        <f t="shared" si="9"/>
        <v>2024-04</v>
      </c>
      <c r="N1561" s="112" t="str">
        <f t="shared" si="10"/>
        <v>2024-H1</v>
      </c>
    </row>
    <row r="1562">
      <c r="A1562" s="113" t="s">
        <v>610</v>
      </c>
      <c r="J1562" s="108" t="str">
        <f t="shared" si="6"/>
        <v>2024</v>
      </c>
      <c r="K1562" s="110">
        <f t="shared" si="7"/>
        <v>4</v>
      </c>
      <c r="L1562" s="108" t="str">
        <f t="shared" si="8"/>
        <v>2024-Q2</v>
      </c>
      <c r="M1562" s="111" t="str">
        <f t="shared" si="9"/>
        <v>2024-04</v>
      </c>
      <c r="N1562" s="112" t="str">
        <f t="shared" si="10"/>
        <v>2024-H1</v>
      </c>
    </row>
    <row r="1563">
      <c r="A1563" s="113" t="s">
        <v>610</v>
      </c>
      <c r="J1563" s="108" t="str">
        <f t="shared" si="6"/>
        <v>2024</v>
      </c>
      <c r="K1563" s="110">
        <f t="shared" si="7"/>
        <v>4</v>
      </c>
      <c r="L1563" s="108" t="str">
        <f t="shared" si="8"/>
        <v>2024-Q2</v>
      </c>
      <c r="M1563" s="111" t="str">
        <f t="shared" si="9"/>
        <v>2024-04</v>
      </c>
      <c r="N1563" s="112" t="str">
        <f t="shared" si="10"/>
        <v>2024-H1</v>
      </c>
    </row>
    <row r="1564">
      <c r="A1564" s="113" t="s">
        <v>610</v>
      </c>
      <c r="J1564" s="108" t="str">
        <f t="shared" si="6"/>
        <v>2024</v>
      </c>
      <c r="K1564" s="110">
        <f t="shared" si="7"/>
        <v>4</v>
      </c>
      <c r="L1564" s="108" t="str">
        <f t="shared" si="8"/>
        <v>2024-Q2</v>
      </c>
      <c r="M1564" s="111" t="str">
        <f t="shared" si="9"/>
        <v>2024-04</v>
      </c>
      <c r="N1564" s="112" t="str">
        <f t="shared" si="10"/>
        <v>2024-H1</v>
      </c>
    </row>
    <row r="1565">
      <c r="A1565" s="113" t="s">
        <v>610</v>
      </c>
      <c r="J1565" s="108" t="str">
        <f t="shared" si="6"/>
        <v>2024</v>
      </c>
      <c r="K1565" s="110">
        <f t="shared" si="7"/>
        <v>4</v>
      </c>
      <c r="L1565" s="108" t="str">
        <f t="shared" si="8"/>
        <v>2024-Q2</v>
      </c>
      <c r="M1565" s="111" t="str">
        <f t="shared" si="9"/>
        <v>2024-04</v>
      </c>
      <c r="N1565" s="112" t="str">
        <f t="shared" si="10"/>
        <v>2024-H1</v>
      </c>
    </row>
    <row r="1566">
      <c r="A1566" s="113" t="s">
        <v>610</v>
      </c>
      <c r="J1566" s="108" t="str">
        <f t="shared" si="6"/>
        <v>2024</v>
      </c>
      <c r="K1566" s="110">
        <f t="shared" si="7"/>
        <v>4</v>
      </c>
      <c r="L1566" s="108" t="str">
        <f t="shared" si="8"/>
        <v>2024-Q2</v>
      </c>
      <c r="M1566" s="111" t="str">
        <f t="shared" si="9"/>
        <v>2024-04</v>
      </c>
      <c r="N1566" s="112" t="str">
        <f t="shared" si="10"/>
        <v>2024-H1</v>
      </c>
    </row>
    <row r="1567">
      <c r="A1567" s="113" t="s">
        <v>610</v>
      </c>
      <c r="J1567" s="108" t="str">
        <f t="shared" si="6"/>
        <v>2024</v>
      </c>
      <c r="K1567" s="110">
        <f t="shared" si="7"/>
        <v>4</v>
      </c>
      <c r="L1567" s="108" t="str">
        <f t="shared" si="8"/>
        <v>2024-Q2</v>
      </c>
      <c r="M1567" s="111" t="str">
        <f t="shared" si="9"/>
        <v>2024-04</v>
      </c>
      <c r="N1567" s="112" t="str">
        <f t="shared" si="10"/>
        <v>2024-H1</v>
      </c>
    </row>
    <row r="1568">
      <c r="A1568" s="113" t="s">
        <v>610</v>
      </c>
      <c r="J1568" s="108" t="str">
        <f t="shared" si="6"/>
        <v>2024</v>
      </c>
      <c r="K1568" s="110">
        <f t="shared" si="7"/>
        <v>4</v>
      </c>
      <c r="L1568" s="108" t="str">
        <f t="shared" si="8"/>
        <v>2024-Q2</v>
      </c>
      <c r="M1568" s="111" t="str">
        <f t="shared" si="9"/>
        <v>2024-04</v>
      </c>
      <c r="N1568" s="112" t="str">
        <f t="shared" si="10"/>
        <v>2024-H1</v>
      </c>
    </row>
    <row r="1569">
      <c r="A1569" s="113" t="s">
        <v>610</v>
      </c>
      <c r="J1569" s="108" t="str">
        <f t="shared" si="6"/>
        <v>2024</v>
      </c>
      <c r="K1569" s="110">
        <f t="shared" si="7"/>
        <v>4</v>
      </c>
      <c r="L1569" s="108" t="str">
        <f t="shared" si="8"/>
        <v>2024-Q2</v>
      </c>
      <c r="M1569" s="111" t="str">
        <f t="shared" si="9"/>
        <v>2024-04</v>
      </c>
      <c r="N1569" s="112" t="str">
        <f t="shared" si="10"/>
        <v>2024-H1</v>
      </c>
    </row>
    <row r="1570">
      <c r="A1570" s="113" t="s">
        <v>610</v>
      </c>
      <c r="J1570" s="108" t="str">
        <f t="shared" si="6"/>
        <v>2024</v>
      </c>
      <c r="K1570" s="110">
        <f t="shared" si="7"/>
        <v>4</v>
      </c>
      <c r="L1570" s="108" t="str">
        <f t="shared" si="8"/>
        <v>2024-Q2</v>
      </c>
      <c r="M1570" s="111" t="str">
        <f t="shared" si="9"/>
        <v>2024-04</v>
      </c>
      <c r="N1570" s="112" t="str">
        <f t="shared" si="10"/>
        <v>2024-H1</v>
      </c>
    </row>
    <row r="1571">
      <c r="A1571" s="113" t="s">
        <v>610</v>
      </c>
      <c r="J1571" s="108" t="str">
        <f t="shared" si="6"/>
        <v>2024</v>
      </c>
      <c r="K1571" s="110">
        <f t="shared" si="7"/>
        <v>4</v>
      </c>
      <c r="L1571" s="108" t="str">
        <f t="shared" si="8"/>
        <v>2024-Q2</v>
      </c>
      <c r="M1571" s="111" t="str">
        <f t="shared" si="9"/>
        <v>2024-04</v>
      </c>
      <c r="N1571" s="112" t="str">
        <f t="shared" si="10"/>
        <v>2024-H1</v>
      </c>
    </row>
    <row r="1572">
      <c r="A1572" s="113" t="s">
        <v>610</v>
      </c>
      <c r="J1572" s="108" t="str">
        <f t="shared" si="6"/>
        <v>2024</v>
      </c>
      <c r="K1572" s="110">
        <f t="shared" si="7"/>
        <v>4</v>
      </c>
      <c r="L1572" s="108" t="str">
        <f t="shared" si="8"/>
        <v>2024-Q2</v>
      </c>
      <c r="M1572" s="111" t="str">
        <f t="shared" si="9"/>
        <v>2024-04</v>
      </c>
      <c r="N1572" s="112" t="str">
        <f t="shared" si="10"/>
        <v>2024-H1</v>
      </c>
    </row>
    <row r="1573">
      <c r="A1573" s="113" t="s">
        <v>610</v>
      </c>
      <c r="J1573" s="108" t="str">
        <f t="shared" si="6"/>
        <v>2024</v>
      </c>
      <c r="K1573" s="110">
        <f t="shared" si="7"/>
        <v>4</v>
      </c>
      <c r="L1573" s="108" t="str">
        <f t="shared" si="8"/>
        <v>2024-Q2</v>
      </c>
      <c r="M1573" s="111" t="str">
        <f t="shared" si="9"/>
        <v>2024-04</v>
      </c>
      <c r="N1573" s="112" t="str">
        <f t="shared" si="10"/>
        <v>2024-H1</v>
      </c>
    </row>
    <row r="1574">
      <c r="A1574" s="113" t="s">
        <v>610</v>
      </c>
      <c r="J1574" s="108" t="str">
        <f t="shared" si="6"/>
        <v>2024</v>
      </c>
      <c r="K1574" s="110">
        <f t="shared" si="7"/>
        <v>4</v>
      </c>
      <c r="L1574" s="108" t="str">
        <f t="shared" si="8"/>
        <v>2024-Q2</v>
      </c>
      <c r="M1574" s="111" t="str">
        <f t="shared" si="9"/>
        <v>2024-04</v>
      </c>
      <c r="N1574" s="112" t="str">
        <f t="shared" si="10"/>
        <v>2024-H1</v>
      </c>
    </row>
    <row r="1575">
      <c r="A1575" s="113" t="s">
        <v>610</v>
      </c>
      <c r="J1575" s="108" t="str">
        <f t="shared" si="6"/>
        <v>2024</v>
      </c>
      <c r="K1575" s="110">
        <f t="shared" si="7"/>
        <v>4</v>
      </c>
      <c r="L1575" s="108" t="str">
        <f t="shared" si="8"/>
        <v>2024-Q2</v>
      </c>
      <c r="M1575" s="111" t="str">
        <f t="shared" si="9"/>
        <v>2024-04</v>
      </c>
      <c r="N1575" s="112" t="str">
        <f t="shared" si="10"/>
        <v>2024-H1</v>
      </c>
    </row>
    <row r="1576">
      <c r="A1576" s="113" t="s">
        <v>610</v>
      </c>
      <c r="J1576" s="108" t="str">
        <f t="shared" si="6"/>
        <v>2024</v>
      </c>
      <c r="K1576" s="110">
        <f t="shared" si="7"/>
        <v>4</v>
      </c>
      <c r="L1576" s="108" t="str">
        <f t="shared" si="8"/>
        <v>2024-Q2</v>
      </c>
      <c r="M1576" s="111" t="str">
        <f t="shared" si="9"/>
        <v>2024-04</v>
      </c>
      <c r="N1576" s="112" t="str">
        <f t="shared" si="10"/>
        <v>2024-H1</v>
      </c>
    </row>
    <row r="1577">
      <c r="A1577" s="113" t="s">
        <v>610</v>
      </c>
      <c r="J1577" s="108" t="str">
        <f t="shared" si="6"/>
        <v>2024</v>
      </c>
      <c r="K1577" s="110">
        <f t="shared" si="7"/>
        <v>4</v>
      </c>
      <c r="L1577" s="108" t="str">
        <f t="shared" si="8"/>
        <v>2024-Q2</v>
      </c>
      <c r="M1577" s="111" t="str">
        <f t="shared" si="9"/>
        <v>2024-04</v>
      </c>
      <c r="N1577" s="112" t="str">
        <f t="shared" si="10"/>
        <v>2024-H1</v>
      </c>
    </row>
    <row r="1578">
      <c r="A1578" s="113" t="s">
        <v>610</v>
      </c>
      <c r="J1578" s="108" t="str">
        <f t="shared" si="6"/>
        <v>2024</v>
      </c>
      <c r="K1578" s="110">
        <f t="shared" si="7"/>
        <v>5</v>
      </c>
      <c r="L1578" s="108" t="str">
        <f t="shared" si="8"/>
        <v>2024-Q2</v>
      </c>
      <c r="M1578" s="111" t="str">
        <f t="shared" si="9"/>
        <v>2024-05</v>
      </c>
      <c r="N1578" s="112" t="str">
        <f t="shared" si="10"/>
        <v>2024-H1</v>
      </c>
    </row>
    <row r="1579">
      <c r="A1579" s="113" t="s">
        <v>610</v>
      </c>
      <c r="J1579" s="108" t="str">
        <f t="shared" si="6"/>
        <v>2024</v>
      </c>
      <c r="K1579" s="110">
        <f t="shared" si="7"/>
        <v>4</v>
      </c>
      <c r="L1579" s="108" t="str">
        <f t="shared" si="8"/>
        <v>2024-Q2</v>
      </c>
      <c r="M1579" s="111" t="str">
        <f t="shared" si="9"/>
        <v>2024-04</v>
      </c>
      <c r="N1579" s="112" t="str">
        <f t="shared" si="10"/>
        <v>2024-H1</v>
      </c>
    </row>
    <row r="1580">
      <c r="A1580" s="113" t="s">
        <v>610</v>
      </c>
      <c r="J1580" s="108" t="str">
        <f t="shared" si="6"/>
        <v>2024</v>
      </c>
      <c r="K1580" s="110">
        <f t="shared" si="7"/>
        <v>4</v>
      </c>
      <c r="L1580" s="108" t="str">
        <f t="shared" si="8"/>
        <v>2024-Q2</v>
      </c>
      <c r="M1580" s="111" t="str">
        <f t="shared" si="9"/>
        <v>2024-04</v>
      </c>
      <c r="N1580" s="112" t="str">
        <f t="shared" si="10"/>
        <v>2024-H1</v>
      </c>
    </row>
    <row r="1581">
      <c r="A1581" s="113" t="s">
        <v>610</v>
      </c>
      <c r="J1581" s="108" t="str">
        <f t="shared" si="6"/>
        <v>2024</v>
      </c>
      <c r="K1581" s="110">
        <f t="shared" si="7"/>
        <v>4</v>
      </c>
      <c r="L1581" s="108" t="str">
        <f t="shared" si="8"/>
        <v>2024-Q2</v>
      </c>
      <c r="M1581" s="111" t="str">
        <f t="shared" si="9"/>
        <v>2024-04</v>
      </c>
      <c r="N1581" s="112" t="str">
        <f t="shared" si="10"/>
        <v>2024-H1</v>
      </c>
    </row>
    <row r="1582">
      <c r="A1582" s="113" t="s">
        <v>610</v>
      </c>
      <c r="J1582" s="108" t="str">
        <f t="shared" si="6"/>
        <v>2024</v>
      </c>
      <c r="K1582" s="110">
        <f t="shared" si="7"/>
        <v>9</v>
      </c>
      <c r="L1582" s="108" t="str">
        <f t="shared" si="8"/>
        <v>2024-Q3</v>
      </c>
      <c r="M1582" s="111" t="str">
        <f t="shared" si="9"/>
        <v>2024-09</v>
      </c>
      <c r="N1582" s="112" t="str">
        <f t="shared" si="10"/>
        <v>2024-H2</v>
      </c>
    </row>
    <row r="1583">
      <c r="A1583" s="113" t="s">
        <v>610</v>
      </c>
      <c r="J1583" s="108" t="str">
        <f t="shared" si="6"/>
        <v>2024</v>
      </c>
      <c r="K1583" s="110">
        <f t="shared" si="7"/>
        <v>6</v>
      </c>
      <c r="L1583" s="108" t="str">
        <f t="shared" si="8"/>
        <v>2024-Q2</v>
      </c>
      <c r="M1583" s="111" t="str">
        <f t="shared" si="9"/>
        <v>2024-06</v>
      </c>
      <c r="N1583" s="112" t="str">
        <f t="shared" si="10"/>
        <v>2024-H1</v>
      </c>
    </row>
    <row r="1584">
      <c r="A1584" s="113" t="s">
        <v>610</v>
      </c>
      <c r="J1584" s="108" t="str">
        <f t="shared" si="6"/>
        <v>2024</v>
      </c>
      <c r="K1584" s="110">
        <f t="shared" si="7"/>
        <v>4</v>
      </c>
      <c r="L1584" s="108" t="str">
        <f t="shared" si="8"/>
        <v>2024-Q2</v>
      </c>
      <c r="M1584" s="111" t="str">
        <f t="shared" si="9"/>
        <v>2024-04</v>
      </c>
      <c r="N1584" s="112" t="str">
        <f t="shared" si="10"/>
        <v>2024-H1</v>
      </c>
    </row>
    <row r="1585">
      <c r="A1585" s="113" t="s">
        <v>610</v>
      </c>
      <c r="J1585" s="108" t="str">
        <f t="shared" si="6"/>
        <v>2024</v>
      </c>
      <c r="K1585" s="110">
        <f t="shared" si="7"/>
        <v>5</v>
      </c>
      <c r="L1585" s="108" t="str">
        <f t="shared" si="8"/>
        <v>2024-Q2</v>
      </c>
      <c r="M1585" s="111" t="str">
        <f t="shared" si="9"/>
        <v>2024-05</v>
      </c>
      <c r="N1585" s="112" t="str">
        <f t="shared" si="10"/>
        <v>2024-H1</v>
      </c>
    </row>
    <row r="1586">
      <c r="A1586" s="113" t="s">
        <v>610</v>
      </c>
      <c r="J1586" s="108" t="str">
        <f t="shared" si="6"/>
        <v>2024</v>
      </c>
      <c r="K1586" s="110">
        <f t="shared" si="7"/>
        <v>5</v>
      </c>
      <c r="L1586" s="108" t="str">
        <f t="shared" si="8"/>
        <v>2024-Q2</v>
      </c>
      <c r="M1586" s="111" t="str">
        <f t="shared" si="9"/>
        <v>2024-05</v>
      </c>
      <c r="N1586" s="112" t="str">
        <f t="shared" si="10"/>
        <v>2024-H1</v>
      </c>
    </row>
    <row r="1587">
      <c r="A1587" s="113" t="s">
        <v>610</v>
      </c>
      <c r="J1587" s="108" t="str">
        <f t="shared" si="6"/>
        <v>2024</v>
      </c>
      <c r="K1587" s="110">
        <f t="shared" si="7"/>
        <v>4</v>
      </c>
      <c r="L1587" s="108" t="str">
        <f t="shared" si="8"/>
        <v>2024-Q2</v>
      </c>
      <c r="M1587" s="111" t="str">
        <f t="shared" si="9"/>
        <v>2024-04</v>
      </c>
      <c r="N1587" s="112" t="str">
        <f t="shared" si="10"/>
        <v>2024-H1</v>
      </c>
    </row>
    <row r="1588">
      <c r="A1588" s="113" t="s">
        <v>610</v>
      </c>
      <c r="J1588" s="108" t="str">
        <f t="shared" si="6"/>
        <v>2024</v>
      </c>
      <c r="K1588" s="110">
        <f t="shared" si="7"/>
        <v>4</v>
      </c>
      <c r="L1588" s="108" t="str">
        <f t="shared" si="8"/>
        <v>2024-Q2</v>
      </c>
      <c r="M1588" s="111" t="str">
        <f t="shared" si="9"/>
        <v>2024-04</v>
      </c>
      <c r="N1588" s="112" t="str">
        <f t="shared" si="10"/>
        <v>2024-H1</v>
      </c>
    </row>
    <row r="1589">
      <c r="A1589" s="113" t="s">
        <v>610</v>
      </c>
      <c r="J1589" s="108" t="str">
        <f t="shared" si="6"/>
        <v>2024</v>
      </c>
      <c r="K1589" s="110">
        <f t="shared" si="7"/>
        <v>5</v>
      </c>
      <c r="L1589" s="108" t="str">
        <f t="shared" si="8"/>
        <v>2024-Q2</v>
      </c>
      <c r="M1589" s="111" t="str">
        <f t="shared" si="9"/>
        <v>2024-05</v>
      </c>
      <c r="N1589" s="112" t="str">
        <f t="shared" si="10"/>
        <v>2024-H1</v>
      </c>
    </row>
    <row r="1590">
      <c r="A1590" s="113" t="s">
        <v>610</v>
      </c>
      <c r="J1590" s="108" t="str">
        <f t="shared" si="6"/>
        <v>2024</v>
      </c>
      <c r="K1590" s="110">
        <f t="shared" si="7"/>
        <v>8</v>
      </c>
      <c r="L1590" s="108" t="str">
        <f t="shared" si="8"/>
        <v>2024-Q3</v>
      </c>
      <c r="M1590" s="111" t="str">
        <f t="shared" si="9"/>
        <v>2024-08</v>
      </c>
      <c r="N1590" s="112" t="str">
        <f t="shared" si="10"/>
        <v>2024-H2</v>
      </c>
    </row>
    <row r="1591">
      <c r="A1591" s="113" t="s">
        <v>610</v>
      </c>
      <c r="J1591" s="108" t="str">
        <f t="shared" si="6"/>
        <v>2024</v>
      </c>
      <c r="K1591" s="110">
        <f t="shared" si="7"/>
        <v>5</v>
      </c>
      <c r="L1591" s="108" t="str">
        <f t="shared" si="8"/>
        <v>2024-Q2</v>
      </c>
      <c r="M1591" s="111" t="str">
        <f t="shared" si="9"/>
        <v>2024-05</v>
      </c>
      <c r="N1591" s="112" t="str">
        <f t="shared" si="10"/>
        <v>2024-H1</v>
      </c>
    </row>
    <row r="1592">
      <c r="A1592" s="113" t="s">
        <v>610</v>
      </c>
      <c r="J1592" s="108" t="str">
        <f t="shared" si="6"/>
        <v>2024</v>
      </c>
      <c r="K1592" s="110">
        <f t="shared" si="7"/>
        <v>5</v>
      </c>
      <c r="L1592" s="108" t="str">
        <f t="shared" si="8"/>
        <v>2024-Q2</v>
      </c>
      <c r="M1592" s="111" t="str">
        <f t="shared" si="9"/>
        <v>2024-05</v>
      </c>
      <c r="N1592" s="112" t="str">
        <f t="shared" si="10"/>
        <v>2024-H1</v>
      </c>
    </row>
    <row r="1593">
      <c r="A1593" s="113" t="s">
        <v>610</v>
      </c>
      <c r="J1593" s="108" t="str">
        <f t="shared" si="6"/>
        <v>2024</v>
      </c>
      <c r="K1593" s="110">
        <f t="shared" si="7"/>
        <v>4</v>
      </c>
      <c r="L1593" s="108" t="str">
        <f t="shared" si="8"/>
        <v>2024-Q2</v>
      </c>
      <c r="M1593" s="111" t="str">
        <f t="shared" si="9"/>
        <v>2024-04</v>
      </c>
      <c r="N1593" s="112" t="str">
        <f t="shared" si="10"/>
        <v>2024-H1</v>
      </c>
    </row>
    <row r="1594">
      <c r="A1594" s="113" t="s">
        <v>610</v>
      </c>
      <c r="J1594" s="108" t="str">
        <f t="shared" si="6"/>
        <v>2024</v>
      </c>
      <c r="K1594" s="110">
        <f t="shared" si="7"/>
        <v>5</v>
      </c>
      <c r="L1594" s="108" t="str">
        <f t="shared" si="8"/>
        <v>2024-Q2</v>
      </c>
      <c r="M1594" s="111" t="str">
        <f t="shared" si="9"/>
        <v>2024-05</v>
      </c>
      <c r="N1594" s="112" t="str">
        <f t="shared" si="10"/>
        <v>2024-H1</v>
      </c>
    </row>
    <row r="1595">
      <c r="A1595" s="113" t="s">
        <v>610</v>
      </c>
      <c r="J1595" s="108" t="str">
        <f t="shared" si="6"/>
        <v>2024</v>
      </c>
      <c r="K1595" s="110">
        <f t="shared" si="7"/>
        <v>4</v>
      </c>
      <c r="L1595" s="108" t="str">
        <f t="shared" si="8"/>
        <v>2024-Q2</v>
      </c>
      <c r="M1595" s="111" t="str">
        <f t="shared" si="9"/>
        <v>2024-04</v>
      </c>
      <c r="N1595" s="112" t="str">
        <f t="shared" si="10"/>
        <v>2024-H1</v>
      </c>
    </row>
    <row r="1596">
      <c r="A1596" s="113" t="s">
        <v>610</v>
      </c>
      <c r="J1596" s="108" t="str">
        <f t="shared" si="6"/>
        <v>2024</v>
      </c>
      <c r="K1596" s="110">
        <f t="shared" si="7"/>
        <v>6</v>
      </c>
      <c r="L1596" s="108" t="str">
        <f t="shared" si="8"/>
        <v>2024-Q2</v>
      </c>
      <c r="M1596" s="111" t="str">
        <f t="shared" si="9"/>
        <v>2024-06</v>
      </c>
      <c r="N1596" s="112" t="str">
        <f t="shared" si="10"/>
        <v>2024-H1</v>
      </c>
    </row>
    <row r="1597">
      <c r="A1597" s="113" t="s">
        <v>610</v>
      </c>
      <c r="J1597" s="108" t="str">
        <f t="shared" si="6"/>
        <v>2024</v>
      </c>
      <c r="K1597" s="110">
        <f t="shared" si="7"/>
        <v>5</v>
      </c>
      <c r="L1597" s="108" t="str">
        <f t="shared" si="8"/>
        <v>2024-Q2</v>
      </c>
      <c r="M1597" s="111" t="str">
        <f t="shared" si="9"/>
        <v>2024-05</v>
      </c>
      <c r="N1597" s="112" t="str">
        <f t="shared" si="10"/>
        <v>2024-H1</v>
      </c>
    </row>
    <row r="1598">
      <c r="A1598" s="113" t="s">
        <v>610</v>
      </c>
      <c r="J1598" s="108" t="str">
        <f t="shared" si="6"/>
        <v>2024</v>
      </c>
      <c r="K1598" s="110">
        <f t="shared" si="7"/>
        <v>4</v>
      </c>
      <c r="L1598" s="108" t="str">
        <f t="shared" si="8"/>
        <v>2024-Q2</v>
      </c>
      <c r="M1598" s="111" t="str">
        <f t="shared" si="9"/>
        <v>2024-04</v>
      </c>
      <c r="N1598" s="112" t="str">
        <f t="shared" si="10"/>
        <v>2024-H1</v>
      </c>
    </row>
    <row r="1599">
      <c r="A1599" s="113" t="s">
        <v>610</v>
      </c>
      <c r="J1599" s="108" t="str">
        <f t="shared" si="6"/>
        <v>2024</v>
      </c>
      <c r="K1599" s="110">
        <f t="shared" si="7"/>
        <v>9</v>
      </c>
      <c r="L1599" s="108" t="str">
        <f t="shared" si="8"/>
        <v>2024-Q3</v>
      </c>
      <c r="M1599" s="111" t="str">
        <f t="shared" si="9"/>
        <v>2024-09</v>
      </c>
      <c r="N1599" s="112" t="str">
        <f t="shared" si="10"/>
        <v>2024-H2</v>
      </c>
    </row>
    <row r="1600">
      <c r="A1600" s="113" t="s">
        <v>610</v>
      </c>
      <c r="J1600" s="108" t="str">
        <f t="shared" si="6"/>
        <v>2024</v>
      </c>
      <c r="K1600" s="110">
        <f t="shared" si="7"/>
        <v>4</v>
      </c>
      <c r="L1600" s="108" t="str">
        <f t="shared" si="8"/>
        <v>2024-Q2</v>
      </c>
      <c r="M1600" s="111" t="str">
        <f t="shared" si="9"/>
        <v>2024-04</v>
      </c>
      <c r="N1600" s="112" t="str">
        <f t="shared" si="10"/>
        <v>2024-H1</v>
      </c>
    </row>
    <row r="1601">
      <c r="A1601" s="113" t="s">
        <v>610</v>
      </c>
      <c r="J1601" s="108" t="str">
        <f t="shared" si="6"/>
        <v>2024</v>
      </c>
      <c r="K1601" s="110">
        <f t="shared" si="7"/>
        <v>6</v>
      </c>
      <c r="L1601" s="108" t="str">
        <f t="shared" si="8"/>
        <v>2024-Q2</v>
      </c>
      <c r="M1601" s="111" t="str">
        <f t="shared" si="9"/>
        <v>2024-06</v>
      </c>
      <c r="N1601" s="112" t="str">
        <f t="shared" si="10"/>
        <v>2024-H1</v>
      </c>
    </row>
    <row r="1602">
      <c r="A1602" s="113" t="s">
        <v>610</v>
      </c>
      <c r="J1602" s="108" t="str">
        <f t="shared" si="6"/>
        <v>2024</v>
      </c>
      <c r="K1602" s="110">
        <f t="shared" si="7"/>
        <v>6</v>
      </c>
      <c r="L1602" s="108" t="str">
        <f t="shared" si="8"/>
        <v>2024-Q2</v>
      </c>
      <c r="M1602" s="111" t="str">
        <f t="shared" si="9"/>
        <v>2024-06</v>
      </c>
      <c r="N1602" s="112" t="str">
        <f t="shared" si="10"/>
        <v>2024-H1</v>
      </c>
    </row>
    <row r="1603">
      <c r="A1603" s="113" t="s">
        <v>610</v>
      </c>
      <c r="J1603" s="108" t="str">
        <f t="shared" si="6"/>
        <v>2024</v>
      </c>
      <c r="K1603" s="110">
        <f t="shared" si="7"/>
        <v>4</v>
      </c>
      <c r="L1603" s="108" t="str">
        <f t="shared" si="8"/>
        <v>2024-Q2</v>
      </c>
      <c r="M1603" s="111" t="str">
        <f t="shared" si="9"/>
        <v>2024-04</v>
      </c>
      <c r="N1603" s="112" t="str">
        <f t="shared" si="10"/>
        <v>2024-H1</v>
      </c>
    </row>
    <row r="1604">
      <c r="A1604" s="113" t="s">
        <v>610</v>
      </c>
      <c r="J1604" s="108" t="str">
        <f t="shared" si="6"/>
        <v>2024</v>
      </c>
      <c r="K1604" s="110">
        <f t="shared" si="7"/>
        <v>5</v>
      </c>
      <c r="L1604" s="108" t="str">
        <f t="shared" si="8"/>
        <v>2024-Q2</v>
      </c>
      <c r="M1604" s="111" t="str">
        <f t="shared" si="9"/>
        <v>2024-05</v>
      </c>
      <c r="N1604" s="112" t="str">
        <f t="shared" si="10"/>
        <v>2024-H1</v>
      </c>
    </row>
    <row r="1605">
      <c r="A1605" s="113" t="s">
        <v>610</v>
      </c>
      <c r="J1605" s="108" t="str">
        <f t="shared" si="6"/>
        <v>2024</v>
      </c>
      <c r="K1605" s="110">
        <f t="shared" si="7"/>
        <v>4</v>
      </c>
      <c r="L1605" s="108" t="str">
        <f t="shared" si="8"/>
        <v>2024-Q2</v>
      </c>
      <c r="M1605" s="111" t="str">
        <f t="shared" si="9"/>
        <v>2024-04</v>
      </c>
      <c r="N1605" s="112" t="str">
        <f t="shared" si="10"/>
        <v>2024-H1</v>
      </c>
    </row>
    <row r="1606">
      <c r="A1606" s="113" t="s">
        <v>610</v>
      </c>
      <c r="J1606" s="108" t="str">
        <f t="shared" si="6"/>
        <v>2024</v>
      </c>
      <c r="K1606" s="110">
        <f t="shared" si="7"/>
        <v>4</v>
      </c>
      <c r="L1606" s="108" t="str">
        <f t="shared" si="8"/>
        <v>2024-Q2</v>
      </c>
      <c r="M1606" s="111" t="str">
        <f t="shared" si="9"/>
        <v>2024-04</v>
      </c>
      <c r="N1606" s="112" t="str">
        <f t="shared" si="10"/>
        <v>2024-H1</v>
      </c>
    </row>
    <row r="1607">
      <c r="A1607" s="113" t="s">
        <v>610</v>
      </c>
      <c r="J1607" s="108" t="str">
        <f t="shared" si="6"/>
        <v>2024</v>
      </c>
      <c r="K1607" s="110">
        <f t="shared" si="7"/>
        <v>4</v>
      </c>
      <c r="L1607" s="108" t="str">
        <f t="shared" si="8"/>
        <v>2024-Q2</v>
      </c>
      <c r="M1607" s="111" t="str">
        <f t="shared" si="9"/>
        <v>2024-04</v>
      </c>
      <c r="N1607" s="112" t="str">
        <f t="shared" si="10"/>
        <v>2024-H1</v>
      </c>
    </row>
    <row r="1608">
      <c r="A1608" s="113" t="s">
        <v>610</v>
      </c>
      <c r="J1608" s="108" t="str">
        <f t="shared" si="6"/>
        <v>2024</v>
      </c>
      <c r="K1608" s="110">
        <f t="shared" si="7"/>
        <v>4</v>
      </c>
      <c r="L1608" s="108" t="str">
        <f t="shared" si="8"/>
        <v>2024-Q2</v>
      </c>
      <c r="M1608" s="111" t="str">
        <f t="shared" si="9"/>
        <v>2024-04</v>
      </c>
      <c r="N1608" s="112" t="str">
        <f t="shared" si="10"/>
        <v>2024-H1</v>
      </c>
    </row>
    <row r="1609">
      <c r="A1609" s="113" t="s">
        <v>610</v>
      </c>
      <c r="J1609" s="108" t="str">
        <f t="shared" si="6"/>
        <v>2024</v>
      </c>
      <c r="K1609" s="110">
        <f t="shared" si="7"/>
        <v>4</v>
      </c>
      <c r="L1609" s="108" t="str">
        <f t="shared" si="8"/>
        <v>2024-Q2</v>
      </c>
      <c r="M1609" s="111" t="str">
        <f t="shared" si="9"/>
        <v>2024-04</v>
      </c>
      <c r="N1609" s="112" t="str">
        <f t="shared" si="10"/>
        <v>2024-H1</v>
      </c>
    </row>
    <row r="1610">
      <c r="A1610" s="113" t="s">
        <v>610</v>
      </c>
      <c r="J1610" s="108" t="str">
        <f t="shared" si="6"/>
        <v>2024</v>
      </c>
      <c r="K1610" s="110">
        <f t="shared" si="7"/>
        <v>4</v>
      </c>
      <c r="L1610" s="108" t="str">
        <f t="shared" si="8"/>
        <v>2024-Q2</v>
      </c>
      <c r="M1610" s="111" t="str">
        <f t="shared" si="9"/>
        <v>2024-04</v>
      </c>
      <c r="N1610" s="112" t="str">
        <f t="shared" si="10"/>
        <v>2024-H1</v>
      </c>
    </row>
    <row r="1611">
      <c r="A1611" s="113" t="s">
        <v>610</v>
      </c>
      <c r="J1611" s="108" t="str">
        <f t="shared" si="6"/>
        <v>2024</v>
      </c>
      <c r="K1611" s="110">
        <f t="shared" si="7"/>
        <v>4</v>
      </c>
      <c r="L1611" s="108" t="str">
        <f t="shared" si="8"/>
        <v>2024-Q2</v>
      </c>
      <c r="M1611" s="111" t="str">
        <f t="shared" si="9"/>
        <v>2024-04</v>
      </c>
      <c r="N1611" s="112" t="str">
        <f t="shared" si="10"/>
        <v>2024-H1</v>
      </c>
    </row>
    <row r="1612">
      <c r="A1612" s="113" t="s">
        <v>610</v>
      </c>
      <c r="J1612" s="108" t="str">
        <f t="shared" si="6"/>
        <v>2024</v>
      </c>
      <c r="K1612" s="110">
        <f t="shared" si="7"/>
        <v>5</v>
      </c>
      <c r="L1612" s="108" t="str">
        <f t="shared" si="8"/>
        <v>2024-Q2</v>
      </c>
      <c r="M1612" s="111" t="str">
        <f t="shared" si="9"/>
        <v>2024-05</v>
      </c>
      <c r="N1612" s="112" t="str">
        <f t="shared" si="10"/>
        <v>2024-H1</v>
      </c>
    </row>
    <row r="1613">
      <c r="A1613" s="113" t="s">
        <v>610</v>
      </c>
      <c r="J1613" s="108" t="str">
        <f t="shared" si="6"/>
        <v>2024</v>
      </c>
      <c r="K1613" s="110">
        <f t="shared" si="7"/>
        <v>4</v>
      </c>
      <c r="L1613" s="108" t="str">
        <f t="shared" si="8"/>
        <v>2024-Q2</v>
      </c>
      <c r="M1613" s="111" t="str">
        <f t="shared" si="9"/>
        <v>2024-04</v>
      </c>
      <c r="N1613" s="112" t="str">
        <f t="shared" si="10"/>
        <v>2024-H1</v>
      </c>
    </row>
    <row r="1614">
      <c r="A1614" s="113" t="s">
        <v>610</v>
      </c>
      <c r="J1614" s="108" t="str">
        <f t="shared" si="6"/>
        <v>2024</v>
      </c>
      <c r="K1614" s="110">
        <f t="shared" si="7"/>
        <v>4</v>
      </c>
      <c r="L1614" s="108" t="str">
        <f t="shared" si="8"/>
        <v>2024-Q2</v>
      </c>
      <c r="M1614" s="111" t="str">
        <f t="shared" si="9"/>
        <v>2024-04</v>
      </c>
      <c r="N1614" s="112" t="str">
        <f t="shared" si="10"/>
        <v>2024-H1</v>
      </c>
    </row>
    <row r="1615">
      <c r="A1615" s="113" t="s">
        <v>610</v>
      </c>
      <c r="J1615" s="108" t="str">
        <f t="shared" si="6"/>
        <v>2024</v>
      </c>
      <c r="K1615" s="110">
        <f t="shared" si="7"/>
        <v>4</v>
      </c>
      <c r="L1615" s="108" t="str">
        <f t="shared" si="8"/>
        <v>2024-Q2</v>
      </c>
      <c r="M1615" s="111" t="str">
        <f t="shared" si="9"/>
        <v>2024-04</v>
      </c>
      <c r="N1615" s="112" t="str">
        <f t="shared" si="10"/>
        <v>2024-H1</v>
      </c>
    </row>
    <row r="1616">
      <c r="A1616" s="113" t="s">
        <v>610</v>
      </c>
      <c r="J1616" s="108" t="str">
        <f t="shared" si="6"/>
        <v>2024</v>
      </c>
      <c r="K1616" s="110">
        <f t="shared" si="7"/>
        <v>4</v>
      </c>
      <c r="L1616" s="108" t="str">
        <f t="shared" si="8"/>
        <v>2024-Q2</v>
      </c>
      <c r="M1616" s="111" t="str">
        <f t="shared" si="9"/>
        <v>2024-04</v>
      </c>
      <c r="N1616" s="112" t="str">
        <f t="shared" si="10"/>
        <v>2024-H1</v>
      </c>
    </row>
    <row r="1617">
      <c r="A1617" s="113" t="s">
        <v>610</v>
      </c>
      <c r="J1617" s="108" t="str">
        <f t="shared" si="6"/>
        <v>2024</v>
      </c>
      <c r="K1617" s="110">
        <f t="shared" si="7"/>
        <v>4</v>
      </c>
      <c r="L1617" s="108" t="str">
        <f t="shared" si="8"/>
        <v>2024-Q2</v>
      </c>
      <c r="M1617" s="111" t="str">
        <f t="shared" si="9"/>
        <v>2024-04</v>
      </c>
      <c r="N1617" s="112" t="str">
        <f t="shared" si="10"/>
        <v>2024-H1</v>
      </c>
    </row>
    <row r="1618">
      <c r="A1618" s="113" t="s">
        <v>610</v>
      </c>
      <c r="J1618" s="108" t="str">
        <f t="shared" si="6"/>
        <v>2024</v>
      </c>
      <c r="K1618" s="110">
        <f t="shared" si="7"/>
        <v>4</v>
      </c>
      <c r="L1618" s="108" t="str">
        <f t="shared" si="8"/>
        <v>2024-Q2</v>
      </c>
      <c r="M1618" s="111" t="str">
        <f t="shared" si="9"/>
        <v>2024-04</v>
      </c>
      <c r="N1618" s="112" t="str">
        <f t="shared" si="10"/>
        <v>2024-H1</v>
      </c>
    </row>
    <row r="1619">
      <c r="A1619" s="113" t="s">
        <v>610</v>
      </c>
      <c r="J1619" s="108" t="str">
        <f t="shared" si="6"/>
        <v>2024</v>
      </c>
      <c r="K1619" s="110">
        <f t="shared" si="7"/>
        <v>4</v>
      </c>
      <c r="L1619" s="108" t="str">
        <f t="shared" si="8"/>
        <v>2024-Q2</v>
      </c>
      <c r="M1619" s="111" t="str">
        <f t="shared" si="9"/>
        <v>2024-04</v>
      </c>
      <c r="N1619" s="112" t="str">
        <f t="shared" si="10"/>
        <v>2024-H1</v>
      </c>
    </row>
    <row r="1620">
      <c r="A1620" s="113" t="s">
        <v>610</v>
      </c>
      <c r="J1620" s="108" t="str">
        <f t="shared" si="6"/>
        <v>2024</v>
      </c>
      <c r="K1620" s="110">
        <f t="shared" si="7"/>
        <v>4</v>
      </c>
      <c r="L1620" s="108" t="str">
        <f t="shared" si="8"/>
        <v>2024-Q2</v>
      </c>
      <c r="M1620" s="111" t="str">
        <f t="shared" si="9"/>
        <v>2024-04</v>
      </c>
      <c r="N1620" s="112" t="str">
        <f t="shared" si="10"/>
        <v>2024-H1</v>
      </c>
    </row>
    <row r="1621">
      <c r="A1621" s="113" t="s">
        <v>610</v>
      </c>
      <c r="J1621" s="108" t="str">
        <f t="shared" si="6"/>
        <v>2024</v>
      </c>
      <c r="K1621" s="110">
        <f t="shared" si="7"/>
        <v>4</v>
      </c>
      <c r="L1621" s="108" t="str">
        <f t="shared" si="8"/>
        <v>2024-Q2</v>
      </c>
      <c r="M1621" s="111" t="str">
        <f t="shared" si="9"/>
        <v>2024-04</v>
      </c>
      <c r="N1621" s="112" t="str">
        <f t="shared" si="10"/>
        <v>2024-H1</v>
      </c>
    </row>
    <row r="1622">
      <c r="A1622" s="113" t="s">
        <v>610</v>
      </c>
      <c r="J1622" s="108" t="str">
        <f t="shared" si="6"/>
        <v>2024</v>
      </c>
      <c r="K1622" s="110">
        <f t="shared" si="7"/>
        <v>4</v>
      </c>
      <c r="L1622" s="108" t="str">
        <f t="shared" si="8"/>
        <v>2024-Q2</v>
      </c>
      <c r="M1622" s="111" t="str">
        <f t="shared" si="9"/>
        <v>2024-04</v>
      </c>
      <c r="N1622" s="112" t="str">
        <f t="shared" si="10"/>
        <v>2024-H1</v>
      </c>
    </row>
    <row r="1623">
      <c r="A1623" s="113" t="s">
        <v>610</v>
      </c>
      <c r="J1623" s="108" t="str">
        <f t="shared" si="6"/>
        <v>2024</v>
      </c>
      <c r="K1623" s="110">
        <f t="shared" si="7"/>
        <v>4</v>
      </c>
      <c r="L1623" s="108" t="str">
        <f t="shared" si="8"/>
        <v>2024-Q2</v>
      </c>
      <c r="M1623" s="111" t="str">
        <f t="shared" si="9"/>
        <v>2024-04</v>
      </c>
      <c r="N1623" s="112" t="str">
        <f t="shared" si="10"/>
        <v>2024-H1</v>
      </c>
    </row>
    <row r="1624">
      <c r="A1624" s="113" t="s">
        <v>610</v>
      </c>
      <c r="J1624" s="108" t="str">
        <f t="shared" si="6"/>
        <v>2024</v>
      </c>
      <c r="K1624" s="110">
        <f t="shared" si="7"/>
        <v>4</v>
      </c>
      <c r="L1624" s="108" t="str">
        <f t="shared" si="8"/>
        <v>2024-Q2</v>
      </c>
      <c r="M1624" s="111" t="str">
        <f t="shared" si="9"/>
        <v>2024-04</v>
      </c>
      <c r="N1624" s="112" t="str">
        <f t="shared" si="10"/>
        <v>2024-H1</v>
      </c>
    </row>
    <row r="1625">
      <c r="A1625" s="113" t="s">
        <v>610</v>
      </c>
      <c r="J1625" s="108" t="str">
        <f t="shared" si="6"/>
        <v>2024</v>
      </c>
      <c r="K1625" s="110">
        <f t="shared" si="7"/>
        <v>4</v>
      </c>
      <c r="L1625" s="108" t="str">
        <f t="shared" si="8"/>
        <v>2024-Q2</v>
      </c>
      <c r="M1625" s="111" t="str">
        <f t="shared" si="9"/>
        <v>2024-04</v>
      </c>
      <c r="N1625" s="112" t="str">
        <f t="shared" si="10"/>
        <v>2024-H1</v>
      </c>
    </row>
    <row r="1626">
      <c r="A1626" s="113" t="s">
        <v>610</v>
      </c>
      <c r="J1626" s="108" t="str">
        <f t="shared" si="6"/>
        <v>2024</v>
      </c>
      <c r="K1626" s="110">
        <f t="shared" si="7"/>
        <v>4</v>
      </c>
      <c r="L1626" s="108" t="str">
        <f t="shared" si="8"/>
        <v>2024-Q2</v>
      </c>
      <c r="M1626" s="111" t="str">
        <f t="shared" si="9"/>
        <v>2024-04</v>
      </c>
      <c r="N1626" s="112" t="str">
        <f t="shared" si="10"/>
        <v>2024-H1</v>
      </c>
    </row>
    <row r="1627">
      <c r="A1627" s="113" t="s">
        <v>610</v>
      </c>
      <c r="J1627" s="108" t="str">
        <f t="shared" si="6"/>
        <v>2024</v>
      </c>
      <c r="K1627" s="110">
        <f t="shared" si="7"/>
        <v>4</v>
      </c>
      <c r="L1627" s="108" t="str">
        <f t="shared" si="8"/>
        <v>2024-Q2</v>
      </c>
      <c r="M1627" s="111" t="str">
        <f t="shared" si="9"/>
        <v>2024-04</v>
      </c>
      <c r="N1627" s="112" t="str">
        <f t="shared" si="10"/>
        <v>2024-H1</v>
      </c>
    </row>
    <row r="1628">
      <c r="A1628" s="113" t="s">
        <v>610</v>
      </c>
      <c r="J1628" s="108" t="str">
        <f t="shared" si="6"/>
        <v>2024</v>
      </c>
      <c r="K1628" s="110">
        <f t="shared" si="7"/>
        <v>4</v>
      </c>
      <c r="L1628" s="108" t="str">
        <f t="shared" si="8"/>
        <v>2024-Q2</v>
      </c>
      <c r="M1628" s="111" t="str">
        <f t="shared" si="9"/>
        <v>2024-04</v>
      </c>
      <c r="N1628" s="112" t="str">
        <f t="shared" si="10"/>
        <v>2024-H1</v>
      </c>
    </row>
    <row r="1629">
      <c r="A1629" s="113" t="s">
        <v>610</v>
      </c>
      <c r="J1629" s="108" t="str">
        <f t="shared" si="6"/>
        <v>2024</v>
      </c>
      <c r="K1629" s="110">
        <f t="shared" si="7"/>
        <v>4</v>
      </c>
      <c r="L1629" s="108" t="str">
        <f t="shared" si="8"/>
        <v>2024-Q2</v>
      </c>
      <c r="M1629" s="111" t="str">
        <f t="shared" si="9"/>
        <v>2024-04</v>
      </c>
      <c r="N1629" s="112" t="str">
        <f t="shared" si="10"/>
        <v>2024-H1</v>
      </c>
    </row>
    <row r="1630">
      <c r="A1630" s="113" t="s">
        <v>610</v>
      </c>
      <c r="J1630" s="108" t="str">
        <f t="shared" si="6"/>
        <v>2024</v>
      </c>
      <c r="K1630" s="110">
        <f t="shared" si="7"/>
        <v>4</v>
      </c>
      <c r="L1630" s="108" t="str">
        <f t="shared" si="8"/>
        <v>2024-Q2</v>
      </c>
      <c r="M1630" s="111" t="str">
        <f t="shared" si="9"/>
        <v>2024-04</v>
      </c>
      <c r="N1630" s="112" t="str">
        <f t="shared" si="10"/>
        <v>2024-H1</v>
      </c>
    </row>
    <row r="1631">
      <c r="A1631" s="113" t="s">
        <v>610</v>
      </c>
      <c r="J1631" s="108" t="str">
        <f t="shared" si="6"/>
        <v>2024</v>
      </c>
      <c r="K1631" s="110">
        <f t="shared" si="7"/>
        <v>4</v>
      </c>
      <c r="L1631" s="108" t="str">
        <f t="shared" si="8"/>
        <v>2024-Q2</v>
      </c>
      <c r="M1631" s="111" t="str">
        <f t="shared" si="9"/>
        <v>2024-04</v>
      </c>
      <c r="N1631" s="112" t="str">
        <f t="shared" si="10"/>
        <v>2024-H1</v>
      </c>
    </row>
    <row r="1632">
      <c r="A1632" s="113" t="s">
        <v>610</v>
      </c>
      <c r="J1632" s="108" t="str">
        <f t="shared" si="6"/>
        <v>2024</v>
      </c>
      <c r="K1632" s="110">
        <f t="shared" si="7"/>
        <v>4</v>
      </c>
      <c r="L1632" s="108" t="str">
        <f t="shared" si="8"/>
        <v>2024-Q2</v>
      </c>
      <c r="M1632" s="111" t="str">
        <f t="shared" si="9"/>
        <v>2024-04</v>
      </c>
      <c r="N1632" s="112" t="str">
        <f t="shared" si="10"/>
        <v>2024-H1</v>
      </c>
    </row>
    <row r="1633">
      <c r="A1633" s="113" t="s">
        <v>610</v>
      </c>
      <c r="J1633" s="108" t="str">
        <f t="shared" si="6"/>
        <v>2024</v>
      </c>
      <c r="K1633" s="110">
        <f t="shared" si="7"/>
        <v>4</v>
      </c>
      <c r="L1633" s="108" t="str">
        <f t="shared" si="8"/>
        <v>2024-Q2</v>
      </c>
      <c r="M1633" s="111" t="str">
        <f t="shared" si="9"/>
        <v>2024-04</v>
      </c>
      <c r="N1633" s="112" t="str">
        <f t="shared" si="10"/>
        <v>2024-H1</v>
      </c>
    </row>
    <row r="1634">
      <c r="A1634" s="113" t="s">
        <v>610</v>
      </c>
      <c r="J1634" s="108" t="str">
        <f t="shared" si="6"/>
        <v>2024</v>
      </c>
      <c r="K1634" s="110">
        <f t="shared" si="7"/>
        <v>4</v>
      </c>
      <c r="L1634" s="108" t="str">
        <f t="shared" si="8"/>
        <v>2024-Q2</v>
      </c>
      <c r="M1634" s="111" t="str">
        <f t="shared" si="9"/>
        <v>2024-04</v>
      </c>
      <c r="N1634" s="112" t="str">
        <f t="shared" si="10"/>
        <v>2024-H1</v>
      </c>
    </row>
    <row r="1635">
      <c r="A1635" s="113" t="s">
        <v>610</v>
      </c>
      <c r="J1635" s="108" t="str">
        <f t="shared" si="6"/>
        <v>2024</v>
      </c>
      <c r="K1635" s="110">
        <f t="shared" si="7"/>
        <v>4</v>
      </c>
      <c r="L1635" s="108" t="str">
        <f t="shared" si="8"/>
        <v>2024-Q2</v>
      </c>
      <c r="M1635" s="111" t="str">
        <f t="shared" si="9"/>
        <v>2024-04</v>
      </c>
      <c r="N1635" s="112" t="str">
        <f t="shared" si="10"/>
        <v>2024-H1</v>
      </c>
    </row>
    <row r="1636">
      <c r="A1636" s="113" t="s">
        <v>610</v>
      </c>
      <c r="J1636" s="108" t="str">
        <f t="shared" si="6"/>
        <v>2024</v>
      </c>
      <c r="K1636" s="110">
        <f t="shared" si="7"/>
        <v>4</v>
      </c>
      <c r="L1636" s="108" t="str">
        <f t="shared" si="8"/>
        <v>2024-Q2</v>
      </c>
      <c r="M1636" s="111" t="str">
        <f t="shared" si="9"/>
        <v>2024-04</v>
      </c>
      <c r="N1636" s="112" t="str">
        <f t="shared" si="10"/>
        <v>2024-H1</v>
      </c>
    </row>
    <row r="1637">
      <c r="A1637" s="113" t="s">
        <v>610</v>
      </c>
      <c r="J1637" s="108" t="str">
        <f t="shared" si="6"/>
        <v>2024</v>
      </c>
      <c r="K1637" s="110">
        <f t="shared" si="7"/>
        <v>4</v>
      </c>
      <c r="L1637" s="108" t="str">
        <f t="shared" si="8"/>
        <v>2024-Q2</v>
      </c>
      <c r="M1637" s="111" t="str">
        <f t="shared" si="9"/>
        <v>2024-04</v>
      </c>
      <c r="N1637" s="112" t="str">
        <f t="shared" si="10"/>
        <v>2024-H1</v>
      </c>
    </row>
    <row r="1638">
      <c r="A1638" s="113" t="s">
        <v>610</v>
      </c>
      <c r="J1638" s="108" t="str">
        <f t="shared" si="6"/>
        <v>2024</v>
      </c>
      <c r="K1638" s="110">
        <f t="shared" si="7"/>
        <v>4</v>
      </c>
      <c r="L1638" s="108" t="str">
        <f t="shared" si="8"/>
        <v>2024-Q2</v>
      </c>
      <c r="M1638" s="111" t="str">
        <f t="shared" si="9"/>
        <v>2024-04</v>
      </c>
      <c r="N1638" s="112" t="str">
        <f t="shared" si="10"/>
        <v>2024-H1</v>
      </c>
    </row>
    <row r="1639">
      <c r="A1639" s="113" t="s">
        <v>610</v>
      </c>
      <c r="J1639" s="108" t="str">
        <f t="shared" si="6"/>
        <v>2024</v>
      </c>
      <c r="K1639" s="110">
        <f t="shared" si="7"/>
        <v>4</v>
      </c>
      <c r="L1639" s="108" t="str">
        <f t="shared" si="8"/>
        <v>2024-Q2</v>
      </c>
      <c r="M1639" s="111" t="str">
        <f t="shared" si="9"/>
        <v>2024-04</v>
      </c>
      <c r="N1639" s="112" t="str">
        <f t="shared" si="10"/>
        <v>2024-H1</v>
      </c>
    </row>
    <row r="1640">
      <c r="A1640" s="113" t="s">
        <v>610</v>
      </c>
      <c r="J1640" s="108" t="str">
        <f t="shared" si="6"/>
        <v>2024</v>
      </c>
      <c r="K1640" s="110">
        <f t="shared" si="7"/>
        <v>4</v>
      </c>
      <c r="L1640" s="108" t="str">
        <f t="shared" si="8"/>
        <v>2024-Q2</v>
      </c>
      <c r="M1640" s="111" t="str">
        <f t="shared" si="9"/>
        <v>2024-04</v>
      </c>
      <c r="N1640" s="112" t="str">
        <f t="shared" si="10"/>
        <v>2024-H1</v>
      </c>
    </row>
    <row r="1641">
      <c r="A1641" s="113" t="s">
        <v>610</v>
      </c>
      <c r="J1641" s="108" t="str">
        <f t="shared" si="6"/>
        <v>2024</v>
      </c>
      <c r="K1641" s="110">
        <f t="shared" si="7"/>
        <v>4</v>
      </c>
      <c r="L1641" s="108" t="str">
        <f t="shared" si="8"/>
        <v>2024-Q2</v>
      </c>
      <c r="M1641" s="111" t="str">
        <f t="shared" si="9"/>
        <v>2024-04</v>
      </c>
      <c r="N1641" s="112" t="str">
        <f t="shared" si="10"/>
        <v>2024-H1</v>
      </c>
    </row>
    <row r="1642">
      <c r="A1642" s="113" t="s">
        <v>610</v>
      </c>
      <c r="J1642" s="108" t="str">
        <f t="shared" si="6"/>
        <v>2024</v>
      </c>
      <c r="K1642" s="110">
        <f t="shared" si="7"/>
        <v>4</v>
      </c>
      <c r="L1642" s="108" t="str">
        <f t="shared" si="8"/>
        <v>2024-Q2</v>
      </c>
      <c r="M1642" s="111" t="str">
        <f t="shared" si="9"/>
        <v>2024-04</v>
      </c>
      <c r="N1642" s="112" t="str">
        <f t="shared" si="10"/>
        <v>2024-H1</v>
      </c>
    </row>
    <row r="1643">
      <c r="A1643" s="113" t="s">
        <v>610</v>
      </c>
      <c r="J1643" s="108" t="str">
        <f t="shared" si="6"/>
        <v>2024</v>
      </c>
      <c r="K1643" s="110">
        <f t="shared" si="7"/>
        <v>4</v>
      </c>
      <c r="L1643" s="108" t="str">
        <f t="shared" si="8"/>
        <v>2024-Q2</v>
      </c>
      <c r="M1643" s="111" t="str">
        <f t="shared" si="9"/>
        <v>2024-04</v>
      </c>
      <c r="N1643" s="112" t="str">
        <f t="shared" si="10"/>
        <v>2024-H1</v>
      </c>
    </row>
    <row r="1644">
      <c r="A1644" s="113" t="s">
        <v>610</v>
      </c>
      <c r="J1644" s="108" t="str">
        <f t="shared" si="6"/>
        <v>2024</v>
      </c>
      <c r="K1644" s="110">
        <f t="shared" si="7"/>
        <v>4</v>
      </c>
      <c r="L1644" s="108" t="str">
        <f t="shared" si="8"/>
        <v>2024-Q2</v>
      </c>
      <c r="M1644" s="111" t="str">
        <f t="shared" si="9"/>
        <v>2024-04</v>
      </c>
      <c r="N1644" s="112" t="str">
        <f t="shared" si="10"/>
        <v>2024-H1</v>
      </c>
    </row>
    <row r="1645">
      <c r="A1645" s="113" t="s">
        <v>610</v>
      </c>
      <c r="J1645" s="108" t="str">
        <f t="shared" si="6"/>
        <v>2024</v>
      </c>
      <c r="K1645" s="110">
        <f t="shared" si="7"/>
        <v>4</v>
      </c>
      <c r="L1645" s="108" t="str">
        <f t="shared" si="8"/>
        <v>2024-Q2</v>
      </c>
      <c r="M1645" s="111" t="str">
        <f t="shared" si="9"/>
        <v>2024-04</v>
      </c>
      <c r="N1645" s="112" t="str">
        <f t="shared" si="10"/>
        <v>2024-H1</v>
      </c>
    </row>
    <row r="1646">
      <c r="A1646" s="113" t="s">
        <v>610</v>
      </c>
      <c r="J1646" s="108" t="str">
        <f t="shared" si="6"/>
        <v>2024</v>
      </c>
      <c r="K1646" s="110">
        <f t="shared" si="7"/>
        <v>4</v>
      </c>
      <c r="L1646" s="108" t="str">
        <f t="shared" si="8"/>
        <v>2024-Q2</v>
      </c>
      <c r="M1646" s="111" t="str">
        <f t="shared" si="9"/>
        <v>2024-04</v>
      </c>
      <c r="N1646" s="112" t="str">
        <f t="shared" si="10"/>
        <v>2024-H1</v>
      </c>
    </row>
    <row r="1647">
      <c r="A1647" s="113" t="s">
        <v>610</v>
      </c>
      <c r="J1647" s="108" t="str">
        <f t="shared" si="6"/>
        <v>2024</v>
      </c>
      <c r="K1647" s="110">
        <f t="shared" si="7"/>
        <v>4</v>
      </c>
      <c r="L1647" s="108" t="str">
        <f t="shared" si="8"/>
        <v>2024-Q2</v>
      </c>
      <c r="M1647" s="111" t="str">
        <f t="shared" si="9"/>
        <v>2024-04</v>
      </c>
      <c r="N1647" s="112" t="str">
        <f t="shared" si="10"/>
        <v>2024-H1</v>
      </c>
    </row>
    <row r="1648">
      <c r="A1648" s="113" t="s">
        <v>610</v>
      </c>
      <c r="J1648" s="108" t="str">
        <f t="shared" si="6"/>
        <v>2024</v>
      </c>
      <c r="K1648" s="110">
        <f t="shared" si="7"/>
        <v>4</v>
      </c>
      <c r="L1648" s="108" t="str">
        <f t="shared" si="8"/>
        <v>2024-Q2</v>
      </c>
      <c r="M1648" s="111" t="str">
        <f t="shared" si="9"/>
        <v>2024-04</v>
      </c>
      <c r="N1648" s="112" t="str">
        <f t="shared" si="10"/>
        <v>2024-H1</v>
      </c>
    </row>
    <row r="1649">
      <c r="A1649" s="113" t="s">
        <v>610</v>
      </c>
      <c r="J1649" s="108" t="str">
        <f t="shared" si="6"/>
        <v>2024</v>
      </c>
      <c r="K1649" s="110">
        <f t="shared" si="7"/>
        <v>4</v>
      </c>
      <c r="L1649" s="108" t="str">
        <f t="shared" si="8"/>
        <v>2024-Q2</v>
      </c>
      <c r="M1649" s="111" t="str">
        <f t="shared" si="9"/>
        <v>2024-04</v>
      </c>
      <c r="N1649" s="112" t="str">
        <f t="shared" si="10"/>
        <v>2024-H1</v>
      </c>
    </row>
    <row r="1650">
      <c r="A1650" s="113" t="s">
        <v>610</v>
      </c>
      <c r="J1650" s="108" t="str">
        <f t="shared" si="6"/>
        <v>2024</v>
      </c>
      <c r="K1650" s="110">
        <f t="shared" si="7"/>
        <v>4</v>
      </c>
      <c r="L1650" s="108" t="str">
        <f t="shared" si="8"/>
        <v>2024-Q2</v>
      </c>
      <c r="M1650" s="111" t="str">
        <f t="shared" si="9"/>
        <v>2024-04</v>
      </c>
      <c r="N1650" s="112" t="str">
        <f t="shared" si="10"/>
        <v>2024-H1</v>
      </c>
    </row>
    <row r="1651">
      <c r="A1651" s="113" t="s">
        <v>610</v>
      </c>
      <c r="J1651" s="108" t="str">
        <f t="shared" si="6"/>
        <v>2024</v>
      </c>
      <c r="K1651" s="110">
        <f t="shared" si="7"/>
        <v>4</v>
      </c>
      <c r="L1651" s="108" t="str">
        <f t="shared" si="8"/>
        <v>2024-Q2</v>
      </c>
      <c r="M1651" s="111" t="str">
        <f t="shared" si="9"/>
        <v>2024-04</v>
      </c>
      <c r="N1651" s="112" t="str">
        <f t="shared" si="10"/>
        <v>2024-H1</v>
      </c>
    </row>
    <row r="1652">
      <c r="A1652" s="113" t="s">
        <v>610</v>
      </c>
      <c r="J1652" s="108" t="str">
        <f t="shared" si="6"/>
        <v>2024</v>
      </c>
      <c r="K1652" s="110">
        <f t="shared" si="7"/>
        <v>4</v>
      </c>
      <c r="L1652" s="108" t="str">
        <f t="shared" si="8"/>
        <v>2024-Q2</v>
      </c>
      <c r="M1652" s="111" t="str">
        <f t="shared" si="9"/>
        <v>2024-04</v>
      </c>
      <c r="N1652" s="112" t="str">
        <f t="shared" si="10"/>
        <v>2024-H1</v>
      </c>
    </row>
    <row r="1653">
      <c r="A1653" s="113" t="s">
        <v>610</v>
      </c>
      <c r="J1653" s="108" t="str">
        <f t="shared" si="6"/>
        <v>2024</v>
      </c>
      <c r="K1653" s="110">
        <f t="shared" si="7"/>
        <v>4</v>
      </c>
      <c r="L1653" s="108" t="str">
        <f t="shared" si="8"/>
        <v>2024-Q2</v>
      </c>
      <c r="M1653" s="111" t="str">
        <f t="shared" si="9"/>
        <v>2024-04</v>
      </c>
      <c r="N1653" s="112" t="str">
        <f t="shared" si="10"/>
        <v>2024-H1</v>
      </c>
    </row>
    <row r="1654">
      <c r="A1654" s="113" t="s">
        <v>610</v>
      </c>
      <c r="J1654" s="108" t="str">
        <f t="shared" si="6"/>
        <v>2024</v>
      </c>
      <c r="K1654" s="110">
        <f t="shared" si="7"/>
        <v>4</v>
      </c>
      <c r="L1654" s="108" t="str">
        <f t="shared" si="8"/>
        <v>2024-Q2</v>
      </c>
      <c r="M1654" s="111" t="str">
        <f t="shared" si="9"/>
        <v>2024-04</v>
      </c>
      <c r="N1654" s="112" t="str">
        <f t="shared" si="10"/>
        <v>2024-H1</v>
      </c>
    </row>
    <row r="1655">
      <c r="A1655" s="113" t="s">
        <v>610</v>
      </c>
      <c r="J1655" s="108" t="str">
        <f t="shared" si="6"/>
        <v>2024</v>
      </c>
      <c r="K1655" s="110">
        <f t="shared" si="7"/>
        <v>4</v>
      </c>
      <c r="L1655" s="108" t="str">
        <f t="shared" si="8"/>
        <v>2024-Q2</v>
      </c>
      <c r="M1655" s="111" t="str">
        <f t="shared" si="9"/>
        <v>2024-04</v>
      </c>
      <c r="N1655" s="112" t="str">
        <f t="shared" si="10"/>
        <v>2024-H1</v>
      </c>
    </row>
    <row r="1656">
      <c r="A1656" s="113" t="s">
        <v>610</v>
      </c>
      <c r="J1656" s="108" t="str">
        <f t="shared" si="6"/>
        <v>2024</v>
      </c>
      <c r="K1656" s="110">
        <f t="shared" si="7"/>
        <v>4</v>
      </c>
      <c r="L1656" s="108" t="str">
        <f t="shared" si="8"/>
        <v>2024-Q2</v>
      </c>
      <c r="M1656" s="111" t="str">
        <f t="shared" si="9"/>
        <v>2024-04</v>
      </c>
      <c r="N1656" s="112" t="str">
        <f t="shared" si="10"/>
        <v>2024-H1</v>
      </c>
    </row>
    <row r="1657">
      <c r="A1657" s="113" t="s">
        <v>610</v>
      </c>
      <c r="J1657" s="108" t="str">
        <f t="shared" si="6"/>
        <v>2024</v>
      </c>
      <c r="K1657" s="110">
        <f t="shared" si="7"/>
        <v>4</v>
      </c>
      <c r="L1657" s="108" t="str">
        <f t="shared" si="8"/>
        <v>2024-Q2</v>
      </c>
      <c r="M1657" s="111" t="str">
        <f t="shared" si="9"/>
        <v>2024-04</v>
      </c>
      <c r="N1657" s="112" t="str">
        <f t="shared" si="10"/>
        <v>2024-H1</v>
      </c>
    </row>
    <row r="1658">
      <c r="A1658" s="113" t="s">
        <v>610</v>
      </c>
      <c r="J1658" s="108" t="str">
        <f t="shared" si="6"/>
        <v>2024</v>
      </c>
      <c r="K1658" s="110">
        <f t="shared" si="7"/>
        <v>4</v>
      </c>
      <c r="L1658" s="108" t="str">
        <f t="shared" si="8"/>
        <v>2024-Q2</v>
      </c>
      <c r="M1658" s="111" t="str">
        <f t="shared" si="9"/>
        <v>2024-04</v>
      </c>
      <c r="N1658" s="112" t="str">
        <f t="shared" si="10"/>
        <v>2024-H1</v>
      </c>
    </row>
    <row r="1659">
      <c r="A1659" s="113" t="s">
        <v>610</v>
      </c>
      <c r="J1659" s="108" t="str">
        <f t="shared" si="6"/>
        <v>2024</v>
      </c>
      <c r="K1659" s="110">
        <f t="shared" si="7"/>
        <v>4</v>
      </c>
      <c r="L1659" s="108" t="str">
        <f t="shared" si="8"/>
        <v>2024-Q2</v>
      </c>
      <c r="M1659" s="111" t="str">
        <f t="shared" si="9"/>
        <v>2024-04</v>
      </c>
      <c r="N1659" s="112" t="str">
        <f t="shared" si="10"/>
        <v>2024-H1</v>
      </c>
    </row>
    <row r="1660">
      <c r="A1660" s="113" t="s">
        <v>610</v>
      </c>
      <c r="J1660" s="108" t="str">
        <f t="shared" si="6"/>
        <v>2024</v>
      </c>
      <c r="K1660" s="110">
        <f t="shared" si="7"/>
        <v>4</v>
      </c>
      <c r="L1660" s="108" t="str">
        <f t="shared" si="8"/>
        <v>2024-Q2</v>
      </c>
      <c r="M1660" s="111" t="str">
        <f t="shared" si="9"/>
        <v>2024-04</v>
      </c>
      <c r="N1660" s="112" t="str">
        <f t="shared" si="10"/>
        <v>2024-H1</v>
      </c>
    </row>
    <row r="1661">
      <c r="A1661" s="113" t="s">
        <v>610</v>
      </c>
      <c r="J1661" s="108" t="str">
        <f t="shared" si="6"/>
        <v>2024</v>
      </c>
      <c r="K1661" s="110">
        <f t="shared" si="7"/>
        <v>4</v>
      </c>
      <c r="L1661" s="108" t="str">
        <f t="shared" si="8"/>
        <v>2024-Q2</v>
      </c>
      <c r="M1661" s="111" t="str">
        <f t="shared" si="9"/>
        <v>2024-04</v>
      </c>
      <c r="N1661" s="112" t="str">
        <f t="shared" si="10"/>
        <v>2024-H1</v>
      </c>
    </row>
    <row r="1662">
      <c r="A1662" s="113" t="s">
        <v>610</v>
      </c>
      <c r="J1662" s="108" t="str">
        <f t="shared" si="6"/>
        <v>2024</v>
      </c>
      <c r="K1662" s="110">
        <f t="shared" si="7"/>
        <v>4</v>
      </c>
      <c r="L1662" s="108" t="str">
        <f t="shared" si="8"/>
        <v>2024-Q2</v>
      </c>
      <c r="M1662" s="111" t="str">
        <f t="shared" si="9"/>
        <v>2024-04</v>
      </c>
      <c r="N1662" s="112" t="str">
        <f t="shared" si="10"/>
        <v>2024-H1</v>
      </c>
    </row>
    <row r="1663">
      <c r="A1663" s="113" t="s">
        <v>610</v>
      </c>
      <c r="J1663" s="108" t="str">
        <f t="shared" si="6"/>
        <v>2024</v>
      </c>
      <c r="K1663" s="110">
        <f t="shared" si="7"/>
        <v>4</v>
      </c>
      <c r="L1663" s="108" t="str">
        <f t="shared" si="8"/>
        <v>2024-Q2</v>
      </c>
      <c r="M1663" s="111" t="str">
        <f t="shared" si="9"/>
        <v>2024-04</v>
      </c>
      <c r="N1663" s="112" t="str">
        <f t="shared" si="10"/>
        <v>2024-H1</v>
      </c>
    </row>
    <row r="1664">
      <c r="A1664" s="113" t="s">
        <v>610</v>
      </c>
      <c r="J1664" s="108" t="str">
        <f t="shared" si="6"/>
        <v>2024</v>
      </c>
      <c r="K1664" s="110">
        <f t="shared" si="7"/>
        <v>4</v>
      </c>
      <c r="L1664" s="108" t="str">
        <f t="shared" si="8"/>
        <v>2024-Q2</v>
      </c>
      <c r="M1664" s="111" t="str">
        <f t="shared" si="9"/>
        <v>2024-04</v>
      </c>
      <c r="N1664" s="112" t="str">
        <f t="shared" si="10"/>
        <v>2024-H1</v>
      </c>
    </row>
    <row r="1665">
      <c r="A1665" s="113" t="s">
        <v>610</v>
      </c>
      <c r="J1665" s="108" t="str">
        <f t="shared" si="6"/>
        <v>2024</v>
      </c>
      <c r="K1665" s="110">
        <f t="shared" si="7"/>
        <v>4</v>
      </c>
      <c r="L1665" s="108" t="str">
        <f t="shared" si="8"/>
        <v>2024-Q2</v>
      </c>
      <c r="M1665" s="111" t="str">
        <f t="shared" si="9"/>
        <v>2024-04</v>
      </c>
      <c r="N1665" s="112" t="str">
        <f t="shared" si="10"/>
        <v>2024-H1</v>
      </c>
    </row>
    <row r="1666">
      <c r="A1666" s="113" t="s">
        <v>610</v>
      </c>
      <c r="J1666" s="108" t="str">
        <f t="shared" si="6"/>
        <v>2024</v>
      </c>
      <c r="K1666" s="110">
        <f t="shared" si="7"/>
        <v>4</v>
      </c>
      <c r="L1666" s="108" t="str">
        <f t="shared" si="8"/>
        <v>2024-Q2</v>
      </c>
      <c r="M1666" s="111" t="str">
        <f t="shared" si="9"/>
        <v>2024-04</v>
      </c>
      <c r="N1666" s="112" t="str">
        <f t="shared" si="10"/>
        <v>2024-H1</v>
      </c>
    </row>
    <row r="1667">
      <c r="A1667" s="113" t="s">
        <v>610</v>
      </c>
      <c r="J1667" s="108" t="str">
        <f t="shared" si="6"/>
        <v>2024</v>
      </c>
      <c r="K1667" s="110">
        <f t="shared" si="7"/>
        <v>4</v>
      </c>
      <c r="L1667" s="108" t="str">
        <f t="shared" si="8"/>
        <v>2024-Q2</v>
      </c>
      <c r="M1667" s="111" t="str">
        <f t="shared" si="9"/>
        <v>2024-04</v>
      </c>
      <c r="N1667" s="112" t="str">
        <f t="shared" si="10"/>
        <v>2024-H1</v>
      </c>
    </row>
    <row r="1668">
      <c r="A1668" s="113" t="s">
        <v>610</v>
      </c>
      <c r="J1668" s="108" t="str">
        <f t="shared" si="6"/>
        <v>2024</v>
      </c>
      <c r="K1668" s="110">
        <f t="shared" si="7"/>
        <v>4</v>
      </c>
      <c r="L1668" s="108" t="str">
        <f t="shared" si="8"/>
        <v>2024-Q2</v>
      </c>
      <c r="M1668" s="111" t="str">
        <f t="shared" si="9"/>
        <v>2024-04</v>
      </c>
      <c r="N1668" s="112" t="str">
        <f t="shared" si="10"/>
        <v>2024-H1</v>
      </c>
    </row>
    <row r="1669">
      <c r="A1669" s="113" t="s">
        <v>610</v>
      </c>
      <c r="J1669" s="108" t="str">
        <f t="shared" si="6"/>
        <v>2024</v>
      </c>
      <c r="K1669" s="110">
        <f t="shared" si="7"/>
        <v>4</v>
      </c>
      <c r="L1669" s="108" t="str">
        <f t="shared" si="8"/>
        <v>2024-Q2</v>
      </c>
      <c r="M1669" s="111" t="str">
        <f t="shared" si="9"/>
        <v>2024-04</v>
      </c>
      <c r="N1669" s="112" t="str">
        <f t="shared" si="10"/>
        <v>2024-H1</v>
      </c>
    </row>
    <row r="1670">
      <c r="A1670" s="113" t="s">
        <v>610</v>
      </c>
      <c r="J1670" s="108" t="str">
        <f t="shared" si="6"/>
        <v>2024</v>
      </c>
      <c r="K1670" s="110">
        <f t="shared" si="7"/>
        <v>4</v>
      </c>
      <c r="L1670" s="108" t="str">
        <f t="shared" si="8"/>
        <v>2024-Q2</v>
      </c>
      <c r="M1670" s="111" t="str">
        <f t="shared" si="9"/>
        <v>2024-04</v>
      </c>
      <c r="N1670" s="112" t="str">
        <f t="shared" si="10"/>
        <v>2024-H1</v>
      </c>
    </row>
    <row r="1671">
      <c r="A1671" s="113" t="s">
        <v>610</v>
      </c>
      <c r="J1671" s="108" t="str">
        <f t="shared" si="6"/>
        <v>2024</v>
      </c>
      <c r="K1671" s="110">
        <f t="shared" si="7"/>
        <v>4</v>
      </c>
      <c r="L1671" s="108" t="str">
        <f t="shared" si="8"/>
        <v>2024-Q2</v>
      </c>
      <c r="M1671" s="111" t="str">
        <f t="shared" si="9"/>
        <v>2024-04</v>
      </c>
      <c r="N1671" s="112" t="str">
        <f t="shared" si="10"/>
        <v>2024-H1</v>
      </c>
    </row>
    <row r="1672">
      <c r="A1672" s="113" t="s">
        <v>610</v>
      </c>
      <c r="J1672" s="108" t="str">
        <f t="shared" si="6"/>
        <v>2024</v>
      </c>
      <c r="K1672" s="110">
        <f t="shared" si="7"/>
        <v>4</v>
      </c>
      <c r="L1672" s="108" t="str">
        <f t="shared" si="8"/>
        <v>2024-Q2</v>
      </c>
      <c r="M1672" s="111" t="str">
        <f t="shared" si="9"/>
        <v>2024-04</v>
      </c>
      <c r="N1672" s="112" t="str">
        <f t="shared" si="10"/>
        <v>2024-H1</v>
      </c>
    </row>
    <row r="1673">
      <c r="A1673" s="113" t="s">
        <v>610</v>
      </c>
      <c r="J1673" s="108" t="str">
        <f t="shared" si="6"/>
        <v>2024</v>
      </c>
      <c r="K1673" s="110">
        <f t="shared" si="7"/>
        <v>4</v>
      </c>
      <c r="L1673" s="108" t="str">
        <f t="shared" si="8"/>
        <v>2024-Q2</v>
      </c>
      <c r="M1673" s="111" t="str">
        <f t="shared" si="9"/>
        <v>2024-04</v>
      </c>
      <c r="N1673" s="112" t="str">
        <f t="shared" si="10"/>
        <v>2024-H1</v>
      </c>
    </row>
    <row r="1674">
      <c r="A1674" s="113" t="s">
        <v>610</v>
      </c>
      <c r="J1674" s="108" t="str">
        <f t="shared" si="6"/>
        <v>2024</v>
      </c>
      <c r="K1674" s="110">
        <f t="shared" si="7"/>
        <v>4</v>
      </c>
      <c r="L1674" s="108" t="str">
        <f t="shared" si="8"/>
        <v>2024-Q2</v>
      </c>
      <c r="M1674" s="111" t="str">
        <f t="shared" si="9"/>
        <v>2024-04</v>
      </c>
      <c r="N1674" s="112" t="str">
        <f t="shared" si="10"/>
        <v>2024-H1</v>
      </c>
    </row>
    <row r="1675">
      <c r="A1675" s="113" t="s">
        <v>610</v>
      </c>
      <c r="J1675" s="108" t="str">
        <f t="shared" si="6"/>
        <v>2024</v>
      </c>
      <c r="K1675" s="110">
        <f t="shared" si="7"/>
        <v>4</v>
      </c>
      <c r="L1675" s="108" t="str">
        <f t="shared" si="8"/>
        <v>2024-Q2</v>
      </c>
      <c r="M1675" s="111" t="str">
        <f t="shared" si="9"/>
        <v>2024-04</v>
      </c>
      <c r="N1675" s="112" t="str">
        <f t="shared" si="10"/>
        <v>2024-H1</v>
      </c>
    </row>
    <row r="1676">
      <c r="A1676" s="113" t="s">
        <v>610</v>
      </c>
      <c r="J1676" s="108" t="str">
        <f t="shared" si="6"/>
        <v>2024</v>
      </c>
      <c r="K1676" s="110">
        <f t="shared" si="7"/>
        <v>4</v>
      </c>
      <c r="L1676" s="108" t="str">
        <f t="shared" si="8"/>
        <v>2024-Q2</v>
      </c>
      <c r="M1676" s="111" t="str">
        <f t="shared" si="9"/>
        <v>2024-04</v>
      </c>
      <c r="N1676" s="112" t="str">
        <f t="shared" si="10"/>
        <v>2024-H1</v>
      </c>
    </row>
    <row r="1677">
      <c r="A1677" s="113" t="s">
        <v>610</v>
      </c>
      <c r="J1677" s="108" t="str">
        <f t="shared" si="6"/>
        <v>2024</v>
      </c>
      <c r="K1677" s="110">
        <f t="shared" si="7"/>
        <v>4</v>
      </c>
      <c r="L1677" s="108" t="str">
        <f t="shared" si="8"/>
        <v>2024-Q2</v>
      </c>
      <c r="M1677" s="111" t="str">
        <f t="shared" si="9"/>
        <v>2024-04</v>
      </c>
      <c r="N1677" s="112" t="str">
        <f t="shared" si="10"/>
        <v>2024-H1</v>
      </c>
    </row>
    <row r="1678">
      <c r="A1678" s="113" t="s">
        <v>610</v>
      </c>
      <c r="J1678" s="108" t="str">
        <f t="shared" si="6"/>
        <v>2024</v>
      </c>
      <c r="K1678" s="110">
        <f t="shared" si="7"/>
        <v>4</v>
      </c>
      <c r="L1678" s="108" t="str">
        <f t="shared" si="8"/>
        <v>2024-Q2</v>
      </c>
      <c r="M1678" s="111" t="str">
        <f t="shared" si="9"/>
        <v>2024-04</v>
      </c>
      <c r="N1678" s="112" t="str">
        <f t="shared" si="10"/>
        <v>2024-H1</v>
      </c>
    </row>
    <row r="1679">
      <c r="A1679" s="113" t="s">
        <v>610</v>
      </c>
      <c r="J1679" s="108" t="str">
        <f t="shared" si="6"/>
        <v>2024</v>
      </c>
      <c r="K1679" s="110">
        <f t="shared" si="7"/>
        <v>4</v>
      </c>
      <c r="L1679" s="108" t="str">
        <f t="shared" si="8"/>
        <v>2024-Q2</v>
      </c>
      <c r="M1679" s="111" t="str">
        <f t="shared" si="9"/>
        <v>2024-04</v>
      </c>
      <c r="N1679" s="112" t="str">
        <f t="shared" si="10"/>
        <v>2024-H1</v>
      </c>
    </row>
    <row r="1680">
      <c r="A1680" s="113" t="s">
        <v>610</v>
      </c>
      <c r="J1680" s="108" t="str">
        <f t="shared" si="6"/>
        <v>2024</v>
      </c>
      <c r="K1680" s="110">
        <f t="shared" si="7"/>
        <v>4</v>
      </c>
      <c r="L1680" s="108" t="str">
        <f t="shared" si="8"/>
        <v>2024-Q2</v>
      </c>
      <c r="M1680" s="111" t="str">
        <f t="shared" si="9"/>
        <v>2024-04</v>
      </c>
      <c r="N1680" s="112" t="str">
        <f t="shared" si="10"/>
        <v>2024-H1</v>
      </c>
    </row>
    <row r="1681">
      <c r="A1681" s="113" t="s">
        <v>610</v>
      </c>
      <c r="J1681" s="108" t="str">
        <f t="shared" si="6"/>
        <v>2024</v>
      </c>
      <c r="K1681" s="110">
        <f t="shared" si="7"/>
        <v>4</v>
      </c>
      <c r="L1681" s="108" t="str">
        <f t="shared" si="8"/>
        <v>2024-Q2</v>
      </c>
      <c r="M1681" s="111" t="str">
        <f t="shared" si="9"/>
        <v>2024-04</v>
      </c>
      <c r="N1681" s="112" t="str">
        <f t="shared" si="10"/>
        <v>2024-H1</v>
      </c>
    </row>
    <row r="1682">
      <c r="A1682" s="113" t="s">
        <v>610</v>
      </c>
      <c r="J1682" s="108" t="str">
        <f t="shared" si="6"/>
        <v>2024</v>
      </c>
      <c r="K1682" s="110">
        <f t="shared" si="7"/>
        <v>4</v>
      </c>
      <c r="L1682" s="108" t="str">
        <f t="shared" si="8"/>
        <v>2024-Q2</v>
      </c>
      <c r="M1682" s="111" t="str">
        <f t="shared" si="9"/>
        <v>2024-04</v>
      </c>
      <c r="N1682" s="112" t="str">
        <f t="shared" si="10"/>
        <v>2024-H1</v>
      </c>
    </row>
    <row r="1683">
      <c r="A1683" s="113" t="s">
        <v>610</v>
      </c>
      <c r="J1683" s="108" t="str">
        <f t="shared" si="6"/>
        <v>2024</v>
      </c>
      <c r="K1683" s="110">
        <f t="shared" si="7"/>
        <v>4</v>
      </c>
      <c r="L1683" s="108" t="str">
        <f t="shared" si="8"/>
        <v>2024-Q2</v>
      </c>
      <c r="M1683" s="111" t="str">
        <f t="shared" si="9"/>
        <v>2024-04</v>
      </c>
      <c r="N1683" s="112" t="str">
        <f t="shared" si="10"/>
        <v>2024-H1</v>
      </c>
    </row>
    <row r="1684">
      <c r="A1684" s="113" t="s">
        <v>610</v>
      </c>
      <c r="J1684" s="108" t="str">
        <f t="shared" si="6"/>
        <v>2024</v>
      </c>
      <c r="K1684" s="110">
        <f t="shared" si="7"/>
        <v>4</v>
      </c>
      <c r="L1684" s="108" t="str">
        <f t="shared" si="8"/>
        <v>2024-Q2</v>
      </c>
      <c r="M1684" s="111" t="str">
        <f t="shared" si="9"/>
        <v>2024-04</v>
      </c>
      <c r="N1684" s="112" t="str">
        <f t="shared" si="10"/>
        <v>2024-H1</v>
      </c>
    </row>
    <row r="1685">
      <c r="A1685" s="113" t="s">
        <v>610</v>
      </c>
      <c r="J1685" s="108" t="str">
        <f t="shared" si="6"/>
        <v>2024</v>
      </c>
      <c r="K1685" s="110">
        <f t="shared" si="7"/>
        <v>4</v>
      </c>
      <c r="L1685" s="108" t="str">
        <f t="shared" si="8"/>
        <v>2024-Q2</v>
      </c>
      <c r="M1685" s="111" t="str">
        <f t="shared" si="9"/>
        <v>2024-04</v>
      </c>
      <c r="N1685" s="112" t="str">
        <f t="shared" si="10"/>
        <v>2024-H1</v>
      </c>
    </row>
    <row r="1686">
      <c r="A1686" s="113" t="s">
        <v>610</v>
      </c>
      <c r="J1686" s="108" t="str">
        <f t="shared" si="6"/>
        <v>2024</v>
      </c>
      <c r="K1686" s="110">
        <f t="shared" si="7"/>
        <v>4</v>
      </c>
      <c r="L1686" s="108" t="str">
        <f t="shared" si="8"/>
        <v>2024-Q2</v>
      </c>
      <c r="M1686" s="111" t="str">
        <f t="shared" si="9"/>
        <v>2024-04</v>
      </c>
      <c r="N1686" s="112" t="str">
        <f t="shared" si="10"/>
        <v>2024-H1</v>
      </c>
    </row>
    <row r="1687">
      <c r="A1687" s="113" t="s">
        <v>610</v>
      </c>
      <c r="J1687" s="108" t="str">
        <f t="shared" si="6"/>
        <v>2024</v>
      </c>
      <c r="K1687" s="110">
        <f t="shared" si="7"/>
        <v>4</v>
      </c>
      <c r="L1687" s="108" t="str">
        <f t="shared" si="8"/>
        <v>2024-Q2</v>
      </c>
      <c r="M1687" s="111" t="str">
        <f t="shared" si="9"/>
        <v>2024-04</v>
      </c>
      <c r="N1687" s="112" t="str">
        <f t="shared" si="10"/>
        <v>2024-H1</v>
      </c>
    </row>
    <row r="1688">
      <c r="A1688" s="113" t="s">
        <v>610</v>
      </c>
      <c r="J1688" s="108" t="str">
        <f t="shared" si="6"/>
        <v>2024</v>
      </c>
      <c r="K1688" s="110">
        <f t="shared" si="7"/>
        <v>4</v>
      </c>
      <c r="L1688" s="108" t="str">
        <f t="shared" si="8"/>
        <v>2024-Q2</v>
      </c>
      <c r="M1688" s="111" t="str">
        <f t="shared" si="9"/>
        <v>2024-04</v>
      </c>
      <c r="N1688" s="112" t="str">
        <f t="shared" si="10"/>
        <v>2024-H1</v>
      </c>
    </row>
    <row r="1689">
      <c r="A1689" s="113" t="s">
        <v>610</v>
      </c>
      <c r="J1689" s="108" t="str">
        <f t="shared" si="6"/>
        <v>2024</v>
      </c>
      <c r="K1689" s="110">
        <f t="shared" si="7"/>
        <v>4</v>
      </c>
      <c r="L1689" s="108" t="str">
        <f t="shared" si="8"/>
        <v>2024-Q2</v>
      </c>
      <c r="M1689" s="111" t="str">
        <f t="shared" si="9"/>
        <v>2024-04</v>
      </c>
      <c r="N1689" s="112" t="str">
        <f t="shared" si="10"/>
        <v>2024-H1</v>
      </c>
    </row>
    <row r="1690">
      <c r="A1690" s="113" t="s">
        <v>610</v>
      </c>
      <c r="J1690" s="108" t="str">
        <f t="shared" si="6"/>
        <v>2024</v>
      </c>
      <c r="K1690" s="110">
        <f t="shared" si="7"/>
        <v>4</v>
      </c>
      <c r="L1690" s="108" t="str">
        <f t="shared" si="8"/>
        <v>2024-Q2</v>
      </c>
      <c r="M1690" s="111" t="str">
        <f t="shared" si="9"/>
        <v>2024-04</v>
      </c>
      <c r="N1690" s="112" t="str">
        <f t="shared" si="10"/>
        <v>2024-H1</v>
      </c>
    </row>
    <row r="1691">
      <c r="A1691" s="113" t="s">
        <v>610</v>
      </c>
      <c r="J1691" s="108" t="str">
        <f t="shared" si="6"/>
        <v>2024</v>
      </c>
      <c r="K1691" s="110">
        <f t="shared" si="7"/>
        <v>4</v>
      </c>
      <c r="L1691" s="108" t="str">
        <f t="shared" si="8"/>
        <v>2024-Q2</v>
      </c>
      <c r="M1691" s="111" t="str">
        <f t="shared" si="9"/>
        <v>2024-04</v>
      </c>
      <c r="N1691" s="112" t="str">
        <f t="shared" si="10"/>
        <v>2024-H1</v>
      </c>
    </row>
    <row r="1692">
      <c r="A1692" s="113" t="s">
        <v>610</v>
      </c>
      <c r="J1692" s="108" t="str">
        <f t="shared" si="6"/>
        <v>2024</v>
      </c>
      <c r="K1692" s="110">
        <f t="shared" si="7"/>
        <v>5</v>
      </c>
      <c r="L1692" s="108" t="str">
        <f t="shared" si="8"/>
        <v>2024-Q2</v>
      </c>
      <c r="M1692" s="111" t="str">
        <f t="shared" si="9"/>
        <v>2024-05</v>
      </c>
      <c r="N1692" s="112" t="str">
        <f t="shared" si="10"/>
        <v>2024-H1</v>
      </c>
    </row>
    <row r="1693">
      <c r="A1693" s="113" t="s">
        <v>610</v>
      </c>
      <c r="J1693" s="108" t="str">
        <f t="shared" si="6"/>
        <v>2024</v>
      </c>
      <c r="K1693" s="110">
        <f t="shared" si="7"/>
        <v>4</v>
      </c>
      <c r="L1693" s="108" t="str">
        <f t="shared" si="8"/>
        <v>2024-Q2</v>
      </c>
      <c r="M1693" s="111" t="str">
        <f t="shared" si="9"/>
        <v>2024-04</v>
      </c>
      <c r="N1693" s="112" t="str">
        <f t="shared" si="10"/>
        <v>2024-H1</v>
      </c>
    </row>
    <row r="1694">
      <c r="A1694" s="113" t="s">
        <v>610</v>
      </c>
      <c r="J1694" s="108" t="str">
        <f t="shared" si="6"/>
        <v>2024</v>
      </c>
      <c r="K1694" s="110">
        <f t="shared" si="7"/>
        <v>4</v>
      </c>
      <c r="L1694" s="108" t="str">
        <f t="shared" si="8"/>
        <v>2024-Q2</v>
      </c>
      <c r="M1694" s="111" t="str">
        <f t="shared" si="9"/>
        <v>2024-04</v>
      </c>
      <c r="N1694" s="112" t="str">
        <f t="shared" si="10"/>
        <v>2024-H1</v>
      </c>
    </row>
    <row r="1695">
      <c r="A1695" s="113" t="s">
        <v>610</v>
      </c>
      <c r="J1695" s="108" t="str">
        <f t="shared" si="6"/>
        <v>2024</v>
      </c>
      <c r="K1695" s="110">
        <f t="shared" si="7"/>
        <v>4</v>
      </c>
      <c r="L1695" s="108" t="str">
        <f t="shared" si="8"/>
        <v>2024-Q2</v>
      </c>
      <c r="M1695" s="111" t="str">
        <f t="shared" si="9"/>
        <v>2024-04</v>
      </c>
      <c r="N1695" s="112" t="str">
        <f t="shared" si="10"/>
        <v>2024-H1</v>
      </c>
    </row>
    <row r="1696">
      <c r="A1696" s="113" t="s">
        <v>610</v>
      </c>
      <c r="J1696" s="108" t="str">
        <f t="shared" si="6"/>
        <v>2024</v>
      </c>
      <c r="K1696" s="110">
        <f t="shared" si="7"/>
        <v>4</v>
      </c>
      <c r="L1696" s="108" t="str">
        <f t="shared" si="8"/>
        <v>2024-Q2</v>
      </c>
      <c r="M1696" s="111" t="str">
        <f t="shared" si="9"/>
        <v>2024-04</v>
      </c>
      <c r="N1696" s="112" t="str">
        <f t="shared" si="10"/>
        <v>2024-H1</v>
      </c>
    </row>
    <row r="1697">
      <c r="A1697" s="113" t="s">
        <v>610</v>
      </c>
      <c r="J1697" s="108" t="str">
        <f t="shared" si="6"/>
        <v>2024</v>
      </c>
      <c r="K1697" s="110">
        <f t="shared" si="7"/>
        <v>4</v>
      </c>
      <c r="L1697" s="108" t="str">
        <f t="shared" si="8"/>
        <v>2024-Q2</v>
      </c>
      <c r="M1697" s="111" t="str">
        <f t="shared" si="9"/>
        <v>2024-04</v>
      </c>
      <c r="N1697" s="112" t="str">
        <f t="shared" si="10"/>
        <v>2024-H1</v>
      </c>
    </row>
    <row r="1698">
      <c r="A1698" s="113" t="s">
        <v>610</v>
      </c>
      <c r="J1698" s="108" t="str">
        <f t="shared" si="6"/>
        <v>2024</v>
      </c>
      <c r="K1698" s="110">
        <f t="shared" si="7"/>
        <v>4</v>
      </c>
      <c r="L1698" s="108" t="str">
        <f t="shared" si="8"/>
        <v>2024-Q2</v>
      </c>
      <c r="M1698" s="111" t="str">
        <f t="shared" si="9"/>
        <v>2024-04</v>
      </c>
      <c r="N1698" s="112" t="str">
        <f t="shared" si="10"/>
        <v>2024-H1</v>
      </c>
    </row>
    <row r="1699">
      <c r="A1699" s="113" t="s">
        <v>610</v>
      </c>
      <c r="J1699" s="108" t="str">
        <f t="shared" si="6"/>
        <v>2024</v>
      </c>
      <c r="K1699" s="110">
        <f t="shared" si="7"/>
        <v>5</v>
      </c>
      <c r="L1699" s="108" t="str">
        <f t="shared" si="8"/>
        <v>2024-Q2</v>
      </c>
      <c r="M1699" s="111" t="str">
        <f t="shared" si="9"/>
        <v>2024-05</v>
      </c>
      <c r="N1699" s="112" t="str">
        <f t="shared" si="10"/>
        <v>2024-H1</v>
      </c>
    </row>
    <row r="1700">
      <c r="A1700" s="113" t="s">
        <v>610</v>
      </c>
      <c r="J1700" s="108" t="str">
        <f t="shared" si="6"/>
        <v>2024</v>
      </c>
      <c r="K1700" s="110">
        <f t="shared" si="7"/>
        <v>4</v>
      </c>
      <c r="L1700" s="108" t="str">
        <f t="shared" si="8"/>
        <v>2024-Q2</v>
      </c>
      <c r="M1700" s="111" t="str">
        <f t="shared" si="9"/>
        <v>2024-04</v>
      </c>
      <c r="N1700" s="112" t="str">
        <f t="shared" si="10"/>
        <v>2024-H1</v>
      </c>
    </row>
    <row r="1701">
      <c r="A1701" s="113" t="s">
        <v>610</v>
      </c>
      <c r="J1701" s="108" t="str">
        <f t="shared" si="6"/>
        <v>2024</v>
      </c>
      <c r="K1701" s="110">
        <f t="shared" si="7"/>
        <v>4</v>
      </c>
      <c r="L1701" s="108" t="str">
        <f t="shared" si="8"/>
        <v>2024-Q2</v>
      </c>
      <c r="M1701" s="111" t="str">
        <f t="shared" si="9"/>
        <v>2024-04</v>
      </c>
      <c r="N1701" s="112" t="str">
        <f t="shared" si="10"/>
        <v>2024-H1</v>
      </c>
    </row>
    <row r="1702">
      <c r="A1702" s="113" t="s">
        <v>610</v>
      </c>
      <c r="J1702" s="108" t="str">
        <f t="shared" si="6"/>
        <v>2024</v>
      </c>
      <c r="K1702" s="110">
        <f t="shared" si="7"/>
        <v>4</v>
      </c>
      <c r="L1702" s="108" t="str">
        <f t="shared" si="8"/>
        <v>2024-Q2</v>
      </c>
      <c r="M1702" s="111" t="str">
        <f t="shared" si="9"/>
        <v>2024-04</v>
      </c>
      <c r="N1702" s="112" t="str">
        <f t="shared" si="10"/>
        <v>2024-H1</v>
      </c>
    </row>
    <row r="1703">
      <c r="A1703" s="113" t="s">
        <v>610</v>
      </c>
      <c r="J1703" s="108" t="str">
        <f t="shared" si="6"/>
        <v>2024</v>
      </c>
      <c r="K1703" s="110">
        <f t="shared" si="7"/>
        <v>4</v>
      </c>
      <c r="L1703" s="108" t="str">
        <f t="shared" si="8"/>
        <v>2024-Q2</v>
      </c>
      <c r="M1703" s="111" t="str">
        <f t="shared" si="9"/>
        <v>2024-04</v>
      </c>
      <c r="N1703" s="112" t="str">
        <f t="shared" si="10"/>
        <v>2024-H1</v>
      </c>
    </row>
    <row r="1704">
      <c r="A1704" s="113" t="s">
        <v>610</v>
      </c>
      <c r="J1704" s="108" t="str">
        <f t="shared" si="6"/>
        <v>2024</v>
      </c>
      <c r="K1704" s="110">
        <f t="shared" si="7"/>
        <v>5</v>
      </c>
      <c r="L1704" s="108" t="str">
        <f t="shared" si="8"/>
        <v>2024-Q2</v>
      </c>
      <c r="M1704" s="111" t="str">
        <f t="shared" si="9"/>
        <v>2024-05</v>
      </c>
      <c r="N1704" s="112" t="str">
        <f t="shared" si="10"/>
        <v>2024-H1</v>
      </c>
    </row>
    <row r="1705">
      <c r="A1705" s="113" t="s">
        <v>610</v>
      </c>
      <c r="J1705" s="108" t="str">
        <f t="shared" si="6"/>
        <v>2024</v>
      </c>
      <c r="K1705" s="110">
        <f t="shared" si="7"/>
        <v>4</v>
      </c>
      <c r="L1705" s="108" t="str">
        <f t="shared" si="8"/>
        <v>2024-Q2</v>
      </c>
      <c r="M1705" s="111" t="str">
        <f t="shared" si="9"/>
        <v>2024-04</v>
      </c>
      <c r="N1705" s="112" t="str">
        <f t="shared" si="10"/>
        <v>2024-H1</v>
      </c>
    </row>
    <row r="1706">
      <c r="A1706" s="113" t="s">
        <v>610</v>
      </c>
      <c r="J1706" s="108" t="str">
        <f t="shared" si="6"/>
        <v>2024</v>
      </c>
      <c r="K1706" s="110">
        <f t="shared" si="7"/>
        <v>4</v>
      </c>
      <c r="L1706" s="108" t="str">
        <f t="shared" si="8"/>
        <v>2024-Q2</v>
      </c>
      <c r="M1706" s="111" t="str">
        <f t="shared" si="9"/>
        <v>2024-04</v>
      </c>
      <c r="N1706" s="112" t="str">
        <f t="shared" si="10"/>
        <v>2024-H1</v>
      </c>
    </row>
    <row r="1707">
      <c r="A1707" s="113" t="s">
        <v>610</v>
      </c>
      <c r="J1707" s="108" t="str">
        <f t="shared" si="6"/>
        <v>2024</v>
      </c>
      <c r="K1707" s="110">
        <f t="shared" si="7"/>
        <v>5</v>
      </c>
      <c r="L1707" s="108" t="str">
        <f t="shared" si="8"/>
        <v>2024-Q2</v>
      </c>
      <c r="M1707" s="111" t="str">
        <f t="shared" si="9"/>
        <v>2024-05</v>
      </c>
      <c r="N1707" s="112" t="str">
        <f t="shared" si="10"/>
        <v>2024-H1</v>
      </c>
    </row>
    <row r="1708">
      <c r="A1708" s="113" t="s">
        <v>610</v>
      </c>
      <c r="J1708" s="108" t="str">
        <f t="shared" si="6"/>
        <v>2024</v>
      </c>
      <c r="K1708" s="110">
        <f t="shared" si="7"/>
        <v>5</v>
      </c>
      <c r="L1708" s="108" t="str">
        <f t="shared" si="8"/>
        <v>2024-Q2</v>
      </c>
      <c r="M1708" s="111" t="str">
        <f t="shared" si="9"/>
        <v>2024-05</v>
      </c>
      <c r="N1708" s="112" t="str">
        <f t="shared" si="10"/>
        <v>2024-H1</v>
      </c>
    </row>
    <row r="1709">
      <c r="A1709" s="113" t="s">
        <v>610</v>
      </c>
      <c r="J1709" s="108" t="str">
        <f t="shared" si="6"/>
        <v>2024</v>
      </c>
      <c r="K1709" s="110">
        <f t="shared" si="7"/>
        <v>7</v>
      </c>
      <c r="L1709" s="108" t="str">
        <f t="shared" si="8"/>
        <v>2024-Q3</v>
      </c>
      <c r="M1709" s="111" t="str">
        <f t="shared" si="9"/>
        <v>2024-07</v>
      </c>
      <c r="N1709" s="112" t="str">
        <f t="shared" si="10"/>
        <v>2024-H2</v>
      </c>
    </row>
    <row r="1710">
      <c r="A1710" s="113" t="s">
        <v>610</v>
      </c>
      <c r="J1710" s="108" t="str">
        <f t="shared" si="6"/>
        <v>2024</v>
      </c>
      <c r="K1710" s="110">
        <f t="shared" si="7"/>
        <v>5</v>
      </c>
      <c r="L1710" s="108" t="str">
        <f t="shared" si="8"/>
        <v>2024-Q2</v>
      </c>
      <c r="M1710" s="111" t="str">
        <f t="shared" si="9"/>
        <v>2024-05</v>
      </c>
      <c r="N1710" s="112" t="str">
        <f t="shared" si="10"/>
        <v>2024-H1</v>
      </c>
    </row>
    <row r="1711">
      <c r="A1711" s="113" t="s">
        <v>610</v>
      </c>
      <c r="J1711" s="108" t="str">
        <f t="shared" si="6"/>
        <v>2024</v>
      </c>
      <c r="K1711" s="110">
        <f t="shared" si="7"/>
        <v>4</v>
      </c>
      <c r="L1711" s="108" t="str">
        <f t="shared" si="8"/>
        <v>2024-Q2</v>
      </c>
      <c r="M1711" s="111" t="str">
        <f t="shared" si="9"/>
        <v>2024-04</v>
      </c>
      <c r="N1711" s="112" t="str">
        <f t="shared" si="10"/>
        <v>2024-H1</v>
      </c>
    </row>
    <row r="1712">
      <c r="A1712" s="113" t="s">
        <v>610</v>
      </c>
      <c r="J1712" s="108" t="str">
        <f t="shared" si="6"/>
        <v>2024</v>
      </c>
      <c r="K1712" s="110">
        <f t="shared" si="7"/>
        <v>4</v>
      </c>
      <c r="L1712" s="108" t="str">
        <f t="shared" si="8"/>
        <v>2024-Q2</v>
      </c>
      <c r="M1712" s="111" t="str">
        <f t="shared" si="9"/>
        <v>2024-04</v>
      </c>
      <c r="N1712" s="112" t="str">
        <f t="shared" si="10"/>
        <v>2024-H1</v>
      </c>
    </row>
    <row r="1713">
      <c r="A1713" s="113" t="s">
        <v>610</v>
      </c>
      <c r="J1713" s="108" t="str">
        <f t="shared" si="6"/>
        <v>2024</v>
      </c>
      <c r="K1713" s="110">
        <f t="shared" si="7"/>
        <v>5</v>
      </c>
      <c r="L1713" s="108" t="str">
        <f t="shared" si="8"/>
        <v>2024-Q2</v>
      </c>
      <c r="M1713" s="111" t="str">
        <f t="shared" si="9"/>
        <v>2024-05</v>
      </c>
      <c r="N1713" s="112" t="str">
        <f t="shared" si="10"/>
        <v>2024-H1</v>
      </c>
    </row>
    <row r="1714">
      <c r="A1714" s="113" t="s">
        <v>610</v>
      </c>
      <c r="J1714" s="108" t="str">
        <f t="shared" si="6"/>
        <v>2024</v>
      </c>
      <c r="K1714" s="110">
        <f t="shared" si="7"/>
        <v>5</v>
      </c>
      <c r="L1714" s="108" t="str">
        <f t="shared" si="8"/>
        <v>2024-Q2</v>
      </c>
      <c r="M1714" s="111" t="str">
        <f t="shared" si="9"/>
        <v>2024-05</v>
      </c>
      <c r="N1714" s="112" t="str">
        <f t="shared" si="10"/>
        <v>2024-H1</v>
      </c>
    </row>
    <row r="1715">
      <c r="A1715" s="113" t="s">
        <v>610</v>
      </c>
      <c r="J1715" s="108" t="str">
        <f t="shared" si="6"/>
        <v>2024</v>
      </c>
      <c r="K1715" s="110">
        <f t="shared" si="7"/>
        <v>5</v>
      </c>
      <c r="L1715" s="108" t="str">
        <f t="shared" si="8"/>
        <v>2024-Q2</v>
      </c>
      <c r="M1715" s="111" t="str">
        <f t="shared" si="9"/>
        <v>2024-05</v>
      </c>
      <c r="N1715" s="112" t="str">
        <f t="shared" si="10"/>
        <v>2024-H1</v>
      </c>
    </row>
    <row r="1716">
      <c r="A1716" s="113" t="s">
        <v>610</v>
      </c>
      <c r="J1716" s="108" t="str">
        <f t="shared" si="6"/>
        <v>2024</v>
      </c>
      <c r="K1716" s="110">
        <f t="shared" si="7"/>
        <v>5</v>
      </c>
      <c r="L1716" s="108" t="str">
        <f t="shared" si="8"/>
        <v>2024-Q2</v>
      </c>
      <c r="M1716" s="111" t="str">
        <f t="shared" si="9"/>
        <v>2024-05</v>
      </c>
      <c r="N1716" s="112" t="str">
        <f t="shared" si="10"/>
        <v>2024-H1</v>
      </c>
    </row>
    <row r="1717">
      <c r="A1717" s="113" t="s">
        <v>610</v>
      </c>
      <c r="J1717" s="108" t="str">
        <f t="shared" si="6"/>
        <v>2024</v>
      </c>
      <c r="K1717" s="110">
        <f t="shared" si="7"/>
        <v>5</v>
      </c>
      <c r="L1717" s="108" t="str">
        <f t="shared" si="8"/>
        <v>2024-Q2</v>
      </c>
      <c r="M1717" s="111" t="str">
        <f t="shared" si="9"/>
        <v>2024-05</v>
      </c>
      <c r="N1717" s="112" t="str">
        <f t="shared" si="10"/>
        <v>2024-H1</v>
      </c>
    </row>
    <row r="1718">
      <c r="A1718" s="113" t="s">
        <v>610</v>
      </c>
      <c r="J1718" s="108" t="str">
        <f t="shared" si="6"/>
        <v>2024</v>
      </c>
      <c r="K1718" s="110">
        <f t="shared" si="7"/>
        <v>5</v>
      </c>
      <c r="L1718" s="108" t="str">
        <f t="shared" si="8"/>
        <v>2024-Q2</v>
      </c>
      <c r="M1718" s="111" t="str">
        <f t="shared" si="9"/>
        <v>2024-05</v>
      </c>
      <c r="N1718" s="112" t="str">
        <f t="shared" si="10"/>
        <v>2024-H1</v>
      </c>
    </row>
    <row r="1719">
      <c r="A1719" s="113" t="s">
        <v>610</v>
      </c>
      <c r="J1719" s="108" t="str">
        <f t="shared" si="6"/>
        <v>2024</v>
      </c>
      <c r="K1719" s="110">
        <f t="shared" si="7"/>
        <v>5</v>
      </c>
      <c r="L1719" s="108" t="str">
        <f t="shared" si="8"/>
        <v>2024-Q2</v>
      </c>
      <c r="M1719" s="111" t="str">
        <f t="shared" si="9"/>
        <v>2024-05</v>
      </c>
      <c r="N1719" s="112" t="str">
        <f t="shared" si="10"/>
        <v>2024-H1</v>
      </c>
    </row>
    <row r="1720">
      <c r="A1720" s="113" t="s">
        <v>610</v>
      </c>
      <c r="J1720" s="108" t="str">
        <f t="shared" si="6"/>
        <v>2024</v>
      </c>
      <c r="K1720" s="110">
        <f t="shared" si="7"/>
        <v>5</v>
      </c>
      <c r="L1720" s="108" t="str">
        <f t="shared" si="8"/>
        <v>2024-Q2</v>
      </c>
      <c r="M1720" s="111" t="str">
        <f t="shared" si="9"/>
        <v>2024-05</v>
      </c>
      <c r="N1720" s="112" t="str">
        <f t="shared" si="10"/>
        <v>2024-H1</v>
      </c>
    </row>
    <row r="1721">
      <c r="A1721" s="113" t="s">
        <v>610</v>
      </c>
      <c r="J1721" s="108" t="str">
        <f t="shared" si="6"/>
        <v>2024</v>
      </c>
      <c r="K1721" s="110">
        <f t="shared" si="7"/>
        <v>5</v>
      </c>
      <c r="L1721" s="108" t="str">
        <f t="shared" si="8"/>
        <v>2024-Q2</v>
      </c>
      <c r="M1721" s="111" t="str">
        <f t="shared" si="9"/>
        <v>2024-05</v>
      </c>
      <c r="N1721" s="112" t="str">
        <f t="shared" si="10"/>
        <v>2024-H1</v>
      </c>
    </row>
    <row r="1722">
      <c r="A1722" s="113" t="s">
        <v>610</v>
      </c>
      <c r="J1722" s="108" t="str">
        <f t="shared" si="6"/>
        <v>2024</v>
      </c>
      <c r="K1722" s="110">
        <f t="shared" si="7"/>
        <v>5</v>
      </c>
      <c r="L1722" s="108" t="str">
        <f t="shared" si="8"/>
        <v>2024-Q2</v>
      </c>
      <c r="M1722" s="111" t="str">
        <f t="shared" si="9"/>
        <v>2024-05</v>
      </c>
      <c r="N1722" s="112" t="str">
        <f t="shared" si="10"/>
        <v>2024-H1</v>
      </c>
    </row>
    <row r="1723">
      <c r="A1723" s="113" t="s">
        <v>610</v>
      </c>
      <c r="J1723" s="108" t="str">
        <f t="shared" si="6"/>
        <v>2024</v>
      </c>
      <c r="K1723" s="110">
        <f t="shared" si="7"/>
        <v>5</v>
      </c>
      <c r="L1723" s="108" t="str">
        <f t="shared" si="8"/>
        <v>2024-Q2</v>
      </c>
      <c r="M1723" s="111" t="str">
        <f t="shared" si="9"/>
        <v>2024-05</v>
      </c>
      <c r="N1723" s="112" t="str">
        <f t="shared" si="10"/>
        <v>2024-H1</v>
      </c>
    </row>
    <row r="1724">
      <c r="A1724" s="113" t="s">
        <v>610</v>
      </c>
      <c r="J1724" s="108" t="str">
        <f t="shared" si="6"/>
        <v>2024</v>
      </c>
      <c r="K1724" s="110">
        <f t="shared" si="7"/>
        <v>5</v>
      </c>
      <c r="L1724" s="108" t="str">
        <f t="shared" si="8"/>
        <v>2024-Q2</v>
      </c>
      <c r="M1724" s="111" t="str">
        <f t="shared" si="9"/>
        <v>2024-05</v>
      </c>
      <c r="N1724" s="112" t="str">
        <f t="shared" si="10"/>
        <v>2024-H1</v>
      </c>
    </row>
    <row r="1725">
      <c r="A1725" s="113" t="s">
        <v>610</v>
      </c>
      <c r="J1725" s="108" t="str">
        <f t="shared" si="6"/>
        <v>2024</v>
      </c>
      <c r="K1725" s="110">
        <f t="shared" si="7"/>
        <v>5</v>
      </c>
      <c r="L1725" s="108" t="str">
        <f t="shared" si="8"/>
        <v>2024-Q2</v>
      </c>
      <c r="M1725" s="111" t="str">
        <f t="shared" si="9"/>
        <v>2024-05</v>
      </c>
      <c r="N1725" s="112" t="str">
        <f t="shared" si="10"/>
        <v>2024-H1</v>
      </c>
    </row>
    <row r="1726">
      <c r="A1726" s="113" t="s">
        <v>610</v>
      </c>
      <c r="J1726" s="108" t="str">
        <f t="shared" si="6"/>
        <v>2024</v>
      </c>
      <c r="K1726" s="110">
        <f t="shared" si="7"/>
        <v>5</v>
      </c>
      <c r="L1726" s="108" t="str">
        <f t="shared" si="8"/>
        <v>2024-Q2</v>
      </c>
      <c r="M1726" s="111" t="str">
        <f t="shared" si="9"/>
        <v>2024-05</v>
      </c>
      <c r="N1726" s="112" t="str">
        <f t="shared" si="10"/>
        <v>2024-H1</v>
      </c>
    </row>
    <row r="1727">
      <c r="A1727" s="113" t="s">
        <v>610</v>
      </c>
      <c r="J1727" s="108" t="str">
        <f t="shared" si="6"/>
        <v>2024</v>
      </c>
      <c r="K1727" s="110">
        <f t="shared" si="7"/>
        <v>5</v>
      </c>
      <c r="L1727" s="108" t="str">
        <f t="shared" si="8"/>
        <v>2024-Q2</v>
      </c>
      <c r="M1727" s="111" t="str">
        <f t="shared" si="9"/>
        <v>2024-05</v>
      </c>
      <c r="N1727" s="112" t="str">
        <f t="shared" si="10"/>
        <v>2024-H1</v>
      </c>
    </row>
    <row r="1728">
      <c r="A1728" s="113" t="s">
        <v>610</v>
      </c>
      <c r="J1728" s="108" t="str">
        <f t="shared" si="6"/>
        <v>2024</v>
      </c>
      <c r="K1728" s="110">
        <f t="shared" si="7"/>
        <v>5</v>
      </c>
      <c r="L1728" s="108" t="str">
        <f t="shared" si="8"/>
        <v>2024-Q2</v>
      </c>
      <c r="M1728" s="111" t="str">
        <f t="shared" si="9"/>
        <v>2024-05</v>
      </c>
      <c r="N1728" s="112" t="str">
        <f t="shared" si="10"/>
        <v>2024-H1</v>
      </c>
    </row>
    <row r="1729">
      <c r="A1729" s="113" t="s">
        <v>610</v>
      </c>
      <c r="J1729" s="108" t="str">
        <f t="shared" si="6"/>
        <v>2024</v>
      </c>
      <c r="K1729" s="110">
        <f t="shared" si="7"/>
        <v>5</v>
      </c>
      <c r="L1729" s="108" t="str">
        <f t="shared" si="8"/>
        <v>2024-Q2</v>
      </c>
      <c r="M1729" s="111" t="str">
        <f t="shared" si="9"/>
        <v>2024-05</v>
      </c>
      <c r="N1729" s="112" t="str">
        <f t="shared" si="10"/>
        <v>2024-H1</v>
      </c>
    </row>
    <row r="1730">
      <c r="A1730" s="113" t="s">
        <v>610</v>
      </c>
      <c r="J1730" s="108" t="str">
        <f t="shared" si="6"/>
        <v>2024</v>
      </c>
      <c r="K1730" s="110">
        <f t="shared" si="7"/>
        <v>5</v>
      </c>
      <c r="L1730" s="108" t="str">
        <f t="shared" si="8"/>
        <v>2024-Q2</v>
      </c>
      <c r="M1730" s="111" t="str">
        <f t="shared" si="9"/>
        <v>2024-05</v>
      </c>
      <c r="N1730" s="112" t="str">
        <f t="shared" si="10"/>
        <v>2024-H1</v>
      </c>
    </row>
    <row r="1731">
      <c r="A1731" s="113" t="s">
        <v>610</v>
      </c>
      <c r="J1731" s="108" t="str">
        <f t="shared" si="6"/>
        <v>2024</v>
      </c>
      <c r="K1731" s="110">
        <f t="shared" si="7"/>
        <v>6</v>
      </c>
      <c r="L1731" s="108" t="str">
        <f t="shared" si="8"/>
        <v>2024-Q2</v>
      </c>
      <c r="M1731" s="111" t="str">
        <f t="shared" si="9"/>
        <v>2024-06</v>
      </c>
      <c r="N1731" s="112" t="str">
        <f t="shared" si="10"/>
        <v>2024-H1</v>
      </c>
    </row>
    <row r="1732">
      <c r="A1732" s="113" t="s">
        <v>610</v>
      </c>
      <c r="J1732" s="108" t="str">
        <f t="shared" si="6"/>
        <v>2024</v>
      </c>
      <c r="K1732" s="110">
        <f t="shared" si="7"/>
        <v>5</v>
      </c>
      <c r="L1732" s="108" t="str">
        <f t="shared" si="8"/>
        <v>2024-Q2</v>
      </c>
      <c r="M1732" s="111" t="str">
        <f t="shared" si="9"/>
        <v>2024-05</v>
      </c>
      <c r="N1732" s="112" t="str">
        <f t="shared" si="10"/>
        <v>2024-H1</v>
      </c>
    </row>
    <row r="1733">
      <c r="A1733" s="113" t="s">
        <v>610</v>
      </c>
      <c r="J1733" s="108" t="str">
        <f t="shared" si="6"/>
        <v>2024</v>
      </c>
      <c r="K1733" s="110">
        <f t="shared" si="7"/>
        <v>5</v>
      </c>
      <c r="L1733" s="108" t="str">
        <f t="shared" si="8"/>
        <v>2024-Q2</v>
      </c>
      <c r="M1733" s="111" t="str">
        <f t="shared" si="9"/>
        <v>2024-05</v>
      </c>
      <c r="N1733" s="112" t="str">
        <f t="shared" si="10"/>
        <v>2024-H1</v>
      </c>
    </row>
    <row r="1734">
      <c r="A1734" s="113" t="s">
        <v>610</v>
      </c>
      <c r="J1734" s="108" t="str">
        <f t="shared" si="6"/>
        <v>2024</v>
      </c>
      <c r="K1734" s="110">
        <f t="shared" si="7"/>
        <v>5</v>
      </c>
      <c r="L1734" s="108" t="str">
        <f t="shared" si="8"/>
        <v>2024-Q2</v>
      </c>
      <c r="M1734" s="111" t="str">
        <f t="shared" si="9"/>
        <v>2024-05</v>
      </c>
      <c r="N1734" s="112" t="str">
        <f t="shared" si="10"/>
        <v>2024-H1</v>
      </c>
    </row>
    <row r="1735">
      <c r="A1735" s="113" t="s">
        <v>610</v>
      </c>
      <c r="J1735" s="108" t="str">
        <f t="shared" si="6"/>
        <v>2024</v>
      </c>
      <c r="K1735" s="110">
        <f t="shared" si="7"/>
        <v>5</v>
      </c>
      <c r="L1735" s="108" t="str">
        <f t="shared" si="8"/>
        <v>2024-Q2</v>
      </c>
      <c r="M1735" s="111" t="str">
        <f t="shared" si="9"/>
        <v>2024-05</v>
      </c>
      <c r="N1735" s="112" t="str">
        <f t="shared" si="10"/>
        <v>2024-H1</v>
      </c>
    </row>
    <row r="1736">
      <c r="A1736" s="113" t="s">
        <v>610</v>
      </c>
      <c r="J1736" s="108" t="str">
        <f t="shared" si="6"/>
        <v>2024</v>
      </c>
      <c r="K1736" s="110">
        <f t="shared" si="7"/>
        <v>5</v>
      </c>
      <c r="L1736" s="108" t="str">
        <f t="shared" si="8"/>
        <v>2024-Q2</v>
      </c>
      <c r="M1736" s="111" t="str">
        <f t="shared" si="9"/>
        <v>2024-05</v>
      </c>
      <c r="N1736" s="112" t="str">
        <f t="shared" si="10"/>
        <v>2024-H1</v>
      </c>
    </row>
    <row r="1737">
      <c r="A1737" s="113" t="s">
        <v>610</v>
      </c>
      <c r="J1737" s="108" t="str">
        <f t="shared" si="6"/>
        <v>2024</v>
      </c>
      <c r="K1737" s="110">
        <f t="shared" si="7"/>
        <v>6</v>
      </c>
      <c r="L1737" s="108" t="str">
        <f t="shared" si="8"/>
        <v>2024-Q2</v>
      </c>
      <c r="M1737" s="111" t="str">
        <f t="shared" si="9"/>
        <v>2024-06</v>
      </c>
      <c r="N1737" s="112" t="str">
        <f t="shared" si="10"/>
        <v>2024-H1</v>
      </c>
    </row>
    <row r="1738">
      <c r="A1738" s="113" t="s">
        <v>610</v>
      </c>
      <c r="J1738" s="108" t="str">
        <f t="shared" si="6"/>
        <v>2024</v>
      </c>
      <c r="K1738" s="110">
        <f t="shared" si="7"/>
        <v>5</v>
      </c>
      <c r="L1738" s="108" t="str">
        <f t="shared" si="8"/>
        <v>2024-Q2</v>
      </c>
      <c r="M1738" s="111" t="str">
        <f t="shared" si="9"/>
        <v>2024-05</v>
      </c>
      <c r="N1738" s="112" t="str">
        <f t="shared" si="10"/>
        <v>2024-H1</v>
      </c>
    </row>
    <row r="1739">
      <c r="A1739" s="113" t="s">
        <v>610</v>
      </c>
      <c r="J1739" s="108" t="str">
        <f t="shared" si="6"/>
        <v>2024</v>
      </c>
      <c r="K1739" s="110">
        <f t="shared" si="7"/>
        <v>5</v>
      </c>
      <c r="L1739" s="108" t="str">
        <f t="shared" si="8"/>
        <v>2024-Q2</v>
      </c>
      <c r="M1739" s="111" t="str">
        <f t="shared" si="9"/>
        <v>2024-05</v>
      </c>
      <c r="N1739" s="112" t="str">
        <f t="shared" si="10"/>
        <v>2024-H1</v>
      </c>
    </row>
    <row r="1740">
      <c r="A1740" s="113" t="s">
        <v>610</v>
      </c>
      <c r="J1740" s="108" t="str">
        <f t="shared" si="6"/>
        <v>2024</v>
      </c>
      <c r="K1740" s="110">
        <f t="shared" si="7"/>
        <v>5</v>
      </c>
      <c r="L1740" s="108" t="str">
        <f t="shared" si="8"/>
        <v>2024-Q2</v>
      </c>
      <c r="M1740" s="111" t="str">
        <f t="shared" si="9"/>
        <v>2024-05</v>
      </c>
      <c r="N1740" s="112" t="str">
        <f t="shared" si="10"/>
        <v>2024-H1</v>
      </c>
    </row>
    <row r="1741">
      <c r="A1741" s="113" t="s">
        <v>610</v>
      </c>
      <c r="J1741" s="108" t="str">
        <f t="shared" si="6"/>
        <v>2024</v>
      </c>
      <c r="K1741" s="110">
        <f t="shared" si="7"/>
        <v>5</v>
      </c>
      <c r="L1741" s="108" t="str">
        <f t="shared" si="8"/>
        <v>2024-Q2</v>
      </c>
      <c r="M1741" s="111" t="str">
        <f t="shared" si="9"/>
        <v>2024-05</v>
      </c>
      <c r="N1741" s="112" t="str">
        <f t="shared" si="10"/>
        <v>2024-H1</v>
      </c>
    </row>
    <row r="1742">
      <c r="A1742" s="113" t="s">
        <v>610</v>
      </c>
      <c r="J1742" s="108" t="str">
        <f t="shared" si="6"/>
        <v>2024</v>
      </c>
      <c r="K1742" s="110">
        <f t="shared" si="7"/>
        <v>5</v>
      </c>
      <c r="L1742" s="108" t="str">
        <f t="shared" si="8"/>
        <v>2024-Q2</v>
      </c>
      <c r="M1742" s="111" t="str">
        <f t="shared" si="9"/>
        <v>2024-05</v>
      </c>
      <c r="N1742" s="112" t="str">
        <f t="shared" si="10"/>
        <v>2024-H1</v>
      </c>
    </row>
    <row r="1743">
      <c r="A1743" s="113" t="s">
        <v>610</v>
      </c>
      <c r="J1743" s="108" t="str">
        <f t="shared" si="6"/>
        <v>2024</v>
      </c>
      <c r="K1743" s="110">
        <f t="shared" si="7"/>
        <v>5</v>
      </c>
      <c r="L1743" s="108" t="str">
        <f t="shared" si="8"/>
        <v>2024-Q2</v>
      </c>
      <c r="M1743" s="111" t="str">
        <f t="shared" si="9"/>
        <v>2024-05</v>
      </c>
      <c r="N1743" s="112" t="str">
        <f t="shared" si="10"/>
        <v>2024-H1</v>
      </c>
    </row>
    <row r="1744">
      <c r="A1744" s="113" t="s">
        <v>610</v>
      </c>
      <c r="J1744" s="108" t="str">
        <f t="shared" si="6"/>
        <v>2024</v>
      </c>
      <c r="K1744" s="110">
        <f t="shared" si="7"/>
        <v>5</v>
      </c>
      <c r="L1744" s="108" t="str">
        <f t="shared" si="8"/>
        <v>2024-Q2</v>
      </c>
      <c r="M1744" s="111" t="str">
        <f t="shared" si="9"/>
        <v>2024-05</v>
      </c>
      <c r="N1744" s="112" t="str">
        <f t="shared" si="10"/>
        <v>2024-H1</v>
      </c>
    </row>
    <row r="1745">
      <c r="A1745" s="113" t="s">
        <v>610</v>
      </c>
      <c r="J1745" s="108" t="str">
        <f t="shared" si="6"/>
        <v>2024</v>
      </c>
      <c r="K1745" s="110">
        <f t="shared" si="7"/>
        <v>6</v>
      </c>
      <c r="L1745" s="108" t="str">
        <f t="shared" si="8"/>
        <v>2024-Q2</v>
      </c>
      <c r="M1745" s="111" t="str">
        <f t="shared" si="9"/>
        <v>2024-06</v>
      </c>
      <c r="N1745" s="112" t="str">
        <f t="shared" si="10"/>
        <v>2024-H1</v>
      </c>
    </row>
    <row r="1746">
      <c r="A1746" s="113" t="s">
        <v>610</v>
      </c>
      <c r="J1746" s="108" t="str">
        <f t="shared" si="6"/>
        <v>2024</v>
      </c>
      <c r="K1746" s="110">
        <f t="shared" si="7"/>
        <v>5</v>
      </c>
      <c r="L1746" s="108" t="str">
        <f t="shared" si="8"/>
        <v>2024-Q2</v>
      </c>
      <c r="M1746" s="111" t="str">
        <f t="shared" si="9"/>
        <v>2024-05</v>
      </c>
      <c r="N1746" s="112" t="str">
        <f t="shared" si="10"/>
        <v>2024-H1</v>
      </c>
    </row>
    <row r="1747">
      <c r="A1747" s="113" t="s">
        <v>610</v>
      </c>
      <c r="J1747" s="108" t="str">
        <f t="shared" si="6"/>
        <v>2024</v>
      </c>
      <c r="K1747" s="110">
        <f t="shared" si="7"/>
        <v>5</v>
      </c>
      <c r="L1747" s="108" t="str">
        <f t="shared" si="8"/>
        <v>2024-Q2</v>
      </c>
      <c r="M1747" s="111" t="str">
        <f t="shared" si="9"/>
        <v>2024-05</v>
      </c>
      <c r="N1747" s="112" t="str">
        <f t="shared" si="10"/>
        <v>2024-H1</v>
      </c>
    </row>
    <row r="1748">
      <c r="A1748" s="113" t="s">
        <v>610</v>
      </c>
      <c r="J1748" s="108" t="str">
        <f t="shared" si="6"/>
        <v>2024</v>
      </c>
      <c r="K1748" s="110">
        <f t="shared" si="7"/>
        <v>5</v>
      </c>
      <c r="L1748" s="108" t="str">
        <f t="shared" si="8"/>
        <v>2024-Q2</v>
      </c>
      <c r="M1748" s="111" t="str">
        <f t="shared" si="9"/>
        <v>2024-05</v>
      </c>
      <c r="N1748" s="112" t="str">
        <f t="shared" si="10"/>
        <v>2024-H1</v>
      </c>
    </row>
    <row r="1749">
      <c r="A1749" s="113" t="s">
        <v>610</v>
      </c>
      <c r="J1749" s="108" t="str">
        <f t="shared" si="6"/>
        <v>2024</v>
      </c>
      <c r="K1749" s="110">
        <f t="shared" si="7"/>
        <v>5</v>
      </c>
      <c r="L1749" s="108" t="str">
        <f t="shared" si="8"/>
        <v>2024-Q2</v>
      </c>
      <c r="M1749" s="111" t="str">
        <f t="shared" si="9"/>
        <v>2024-05</v>
      </c>
      <c r="N1749" s="112" t="str">
        <f t="shared" si="10"/>
        <v>2024-H1</v>
      </c>
    </row>
    <row r="1750">
      <c r="A1750" s="113" t="s">
        <v>610</v>
      </c>
      <c r="J1750" s="108" t="str">
        <f t="shared" si="6"/>
        <v>2024</v>
      </c>
      <c r="K1750" s="110">
        <f t="shared" si="7"/>
        <v>5</v>
      </c>
      <c r="L1750" s="108" t="str">
        <f t="shared" si="8"/>
        <v>2024-Q2</v>
      </c>
      <c r="M1750" s="111" t="str">
        <f t="shared" si="9"/>
        <v>2024-05</v>
      </c>
      <c r="N1750" s="112" t="str">
        <f t="shared" si="10"/>
        <v>2024-H1</v>
      </c>
    </row>
    <row r="1751">
      <c r="A1751" s="113" t="s">
        <v>610</v>
      </c>
      <c r="J1751" s="108" t="str">
        <f t="shared" si="6"/>
        <v>2024</v>
      </c>
      <c r="K1751" s="110">
        <f t="shared" si="7"/>
        <v>5</v>
      </c>
      <c r="L1751" s="108" t="str">
        <f t="shared" si="8"/>
        <v>2024-Q2</v>
      </c>
      <c r="M1751" s="111" t="str">
        <f t="shared" si="9"/>
        <v>2024-05</v>
      </c>
      <c r="N1751" s="112" t="str">
        <f t="shared" si="10"/>
        <v>2024-H1</v>
      </c>
    </row>
    <row r="1752">
      <c r="A1752" s="113" t="s">
        <v>610</v>
      </c>
      <c r="J1752" s="108" t="str">
        <f t="shared" si="6"/>
        <v>2024</v>
      </c>
      <c r="K1752" s="110">
        <f t="shared" si="7"/>
        <v>5</v>
      </c>
      <c r="L1752" s="108" t="str">
        <f t="shared" si="8"/>
        <v>2024-Q2</v>
      </c>
      <c r="M1752" s="111" t="str">
        <f t="shared" si="9"/>
        <v>2024-05</v>
      </c>
      <c r="N1752" s="112" t="str">
        <f t="shared" si="10"/>
        <v>2024-H1</v>
      </c>
    </row>
    <row r="1753">
      <c r="A1753" s="113" t="s">
        <v>610</v>
      </c>
      <c r="J1753" s="108" t="str">
        <f t="shared" si="6"/>
        <v>2024</v>
      </c>
      <c r="K1753" s="110">
        <f t="shared" si="7"/>
        <v>5</v>
      </c>
      <c r="L1753" s="108" t="str">
        <f t="shared" si="8"/>
        <v>2024-Q2</v>
      </c>
      <c r="M1753" s="111" t="str">
        <f t="shared" si="9"/>
        <v>2024-05</v>
      </c>
      <c r="N1753" s="112" t="str">
        <f t="shared" si="10"/>
        <v>2024-H1</v>
      </c>
    </row>
    <row r="1754">
      <c r="A1754" s="113" t="s">
        <v>610</v>
      </c>
      <c r="J1754" s="108" t="str">
        <f t="shared" si="6"/>
        <v>2024</v>
      </c>
      <c r="K1754" s="110">
        <f t="shared" si="7"/>
        <v>5</v>
      </c>
      <c r="L1754" s="108" t="str">
        <f t="shared" si="8"/>
        <v>2024-Q2</v>
      </c>
      <c r="M1754" s="111" t="str">
        <f t="shared" si="9"/>
        <v>2024-05</v>
      </c>
      <c r="N1754" s="112" t="str">
        <f t="shared" si="10"/>
        <v>2024-H1</v>
      </c>
    </row>
    <row r="1755">
      <c r="A1755" s="113" t="s">
        <v>610</v>
      </c>
      <c r="J1755" s="108" t="str">
        <f t="shared" si="6"/>
        <v>2024</v>
      </c>
      <c r="K1755" s="110">
        <f t="shared" si="7"/>
        <v>5</v>
      </c>
      <c r="L1755" s="108" t="str">
        <f t="shared" si="8"/>
        <v>2024-Q2</v>
      </c>
      <c r="M1755" s="111" t="str">
        <f t="shared" si="9"/>
        <v>2024-05</v>
      </c>
      <c r="N1755" s="112" t="str">
        <f t="shared" si="10"/>
        <v>2024-H1</v>
      </c>
    </row>
    <row r="1756">
      <c r="A1756" s="113" t="s">
        <v>610</v>
      </c>
      <c r="J1756" s="108" t="str">
        <f t="shared" si="6"/>
        <v>2024</v>
      </c>
      <c r="K1756" s="110">
        <f t="shared" si="7"/>
        <v>5</v>
      </c>
      <c r="L1756" s="108" t="str">
        <f t="shared" si="8"/>
        <v>2024-Q2</v>
      </c>
      <c r="M1756" s="111" t="str">
        <f t="shared" si="9"/>
        <v>2024-05</v>
      </c>
      <c r="N1756" s="112" t="str">
        <f t="shared" si="10"/>
        <v>2024-H1</v>
      </c>
    </row>
    <row r="1757">
      <c r="A1757" s="113" t="s">
        <v>610</v>
      </c>
      <c r="J1757" s="108" t="str">
        <f t="shared" si="6"/>
        <v>2024</v>
      </c>
      <c r="K1757" s="110">
        <f t="shared" si="7"/>
        <v>5</v>
      </c>
      <c r="L1757" s="108" t="str">
        <f t="shared" si="8"/>
        <v>2024-Q2</v>
      </c>
      <c r="M1757" s="111" t="str">
        <f t="shared" si="9"/>
        <v>2024-05</v>
      </c>
      <c r="N1757" s="112" t="str">
        <f t="shared" si="10"/>
        <v>2024-H1</v>
      </c>
    </row>
    <row r="1758">
      <c r="A1758" s="113" t="s">
        <v>610</v>
      </c>
      <c r="J1758" s="108" t="str">
        <f t="shared" si="6"/>
        <v>2024</v>
      </c>
      <c r="K1758" s="110">
        <f t="shared" si="7"/>
        <v>5</v>
      </c>
      <c r="L1758" s="108" t="str">
        <f t="shared" si="8"/>
        <v>2024-Q2</v>
      </c>
      <c r="M1758" s="111" t="str">
        <f t="shared" si="9"/>
        <v>2024-05</v>
      </c>
      <c r="N1758" s="112" t="str">
        <f t="shared" si="10"/>
        <v>2024-H1</v>
      </c>
    </row>
    <row r="1759">
      <c r="A1759" s="113" t="s">
        <v>610</v>
      </c>
      <c r="J1759" s="108" t="str">
        <f t="shared" si="6"/>
        <v>2024</v>
      </c>
      <c r="K1759" s="110">
        <f t="shared" si="7"/>
        <v>5</v>
      </c>
      <c r="L1759" s="108" t="str">
        <f t="shared" si="8"/>
        <v>2024-Q2</v>
      </c>
      <c r="M1759" s="111" t="str">
        <f t="shared" si="9"/>
        <v>2024-05</v>
      </c>
      <c r="N1759" s="112" t="str">
        <f t="shared" si="10"/>
        <v>2024-H1</v>
      </c>
    </row>
    <row r="1760">
      <c r="A1760" s="113" t="s">
        <v>610</v>
      </c>
      <c r="J1760" s="108" t="str">
        <f t="shared" si="6"/>
        <v>2024</v>
      </c>
      <c r="K1760" s="110">
        <f t="shared" si="7"/>
        <v>5</v>
      </c>
      <c r="L1760" s="108" t="str">
        <f t="shared" si="8"/>
        <v>2024-Q2</v>
      </c>
      <c r="M1760" s="111" t="str">
        <f t="shared" si="9"/>
        <v>2024-05</v>
      </c>
      <c r="N1760" s="112" t="str">
        <f t="shared" si="10"/>
        <v>2024-H1</v>
      </c>
    </row>
    <row r="1761">
      <c r="A1761" s="113" t="s">
        <v>610</v>
      </c>
      <c r="J1761" s="108" t="str">
        <f t="shared" si="6"/>
        <v>2024</v>
      </c>
      <c r="K1761" s="110">
        <f t="shared" si="7"/>
        <v>5</v>
      </c>
      <c r="L1761" s="108" t="str">
        <f t="shared" si="8"/>
        <v>2024-Q2</v>
      </c>
      <c r="M1761" s="111" t="str">
        <f t="shared" si="9"/>
        <v>2024-05</v>
      </c>
      <c r="N1761" s="112" t="str">
        <f t="shared" si="10"/>
        <v>2024-H1</v>
      </c>
    </row>
    <row r="1762">
      <c r="A1762" s="113" t="s">
        <v>610</v>
      </c>
      <c r="J1762" s="108" t="str">
        <f t="shared" si="6"/>
        <v>2024</v>
      </c>
      <c r="K1762" s="110">
        <f t="shared" si="7"/>
        <v>5</v>
      </c>
      <c r="L1762" s="108" t="str">
        <f t="shared" si="8"/>
        <v>2024-Q2</v>
      </c>
      <c r="M1762" s="111" t="str">
        <f t="shared" si="9"/>
        <v>2024-05</v>
      </c>
      <c r="N1762" s="112" t="str">
        <f t="shared" si="10"/>
        <v>2024-H1</v>
      </c>
    </row>
    <row r="1763">
      <c r="A1763" s="113" t="s">
        <v>610</v>
      </c>
      <c r="J1763" s="108" t="str">
        <f t="shared" si="6"/>
        <v>2024</v>
      </c>
      <c r="K1763" s="110">
        <f t="shared" si="7"/>
        <v>5</v>
      </c>
      <c r="L1763" s="108" t="str">
        <f t="shared" si="8"/>
        <v>2024-Q2</v>
      </c>
      <c r="M1763" s="111" t="str">
        <f t="shared" si="9"/>
        <v>2024-05</v>
      </c>
      <c r="N1763" s="112" t="str">
        <f t="shared" si="10"/>
        <v>2024-H1</v>
      </c>
    </row>
    <row r="1764">
      <c r="A1764" s="113" t="s">
        <v>610</v>
      </c>
      <c r="J1764" s="108" t="str">
        <f t="shared" si="6"/>
        <v>2024</v>
      </c>
      <c r="K1764" s="110">
        <f t="shared" si="7"/>
        <v>5</v>
      </c>
      <c r="L1764" s="108" t="str">
        <f t="shared" si="8"/>
        <v>2024-Q2</v>
      </c>
      <c r="M1764" s="111" t="str">
        <f t="shared" si="9"/>
        <v>2024-05</v>
      </c>
      <c r="N1764" s="112" t="str">
        <f t="shared" si="10"/>
        <v>2024-H1</v>
      </c>
    </row>
    <row r="1765">
      <c r="A1765" s="113" t="s">
        <v>610</v>
      </c>
      <c r="J1765" s="108" t="str">
        <f t="shared" si="6"/>
        <v>2024</v>
      </c>
      <c r="K1765" s="110">
        <f t="shared" si="7"/>
        <v>5</v>
      </c>
      <c r="L1765" s="108" t="str">
        <f t="shared" si="8"/>
        <v>2024-Q2</v>
      </c>
      <c r="M1765" s="111" t="str">
        <f t="shared" si="9"/>
        <v>2024-05</v>
      </c>
      <c r="N1765" s="112" t="str">
        <f t="shared" si="10"/>
        <v>2024-H1</v>
      </c>
    </row>
    <row r="1766">
      <c r="A1766" s="113" t="s">
        <v>610</v>
      </c>
      <c r="J1766" s="108" t="str">
        <f t="shared" si="6"/>
        <v>2024</v>
      </c>
      <c r="K1766" s="110">
        <f t="shared" si="7"/>
        <v>5</v>
      </c>
      <c r="L1766" s="108" t="str">
        <f t="shared" si="8"/>
        <v>2024-Q2</v>
      </c>
      <c r="M1766" s="111" t="str">
        <f t="shared" si="9"/>
        <v>2024-05</v>
      </c>
      <c r="N1766" s="112" t="str">
        <f t="shared" si="10"/>
        <v>2024-H1</v>
      </c>
    </row>
    <row r="1767">
      <c r="A1767" s="113" t="s">
        <v>610</v>
      </c>
      <c r="J1767" s="108" t="str">
        <f t="shared" si="6"/>
        <v>2024</v>
      </c>
      <c r="K1767" s="110">
        <f t="shared" si="7"/>
        <v>5</v>
      </c>
      <c r="L1767" s="108" t="str">
        <f t="shared" si="8"/>
        <v>2024-Q2</v>
      </c>
      <c r="M1767" s="111" t="str">
        <f t="shared" si="9"/>
        <v>2024-05</v>
      </c>
      <c r="N1767" s="112" t="str">
        <f t="shared" si="10"/>
        <v>2024-H1</v>
      </c>
    </row>
    <row r="1768">
      <c r="A1768" s="113" t="s">
        <v>610</v>
      </c>
      <c r="J1768" s="108" t="str">
        <f t="shared" si="6"/>
        <v>2024</v>
      </c>
      <c r="K1768" s="110">
        <f t="shared" si="7"/>
        <v>5</v>
      </c>
      <c r="L1768" s="108" t="str">
        <f t="shared" si="8"/>
        <v>2024-Q2</v>
      </c>
      <c r="M1768" s="111" t="str">
        <f t="shared" si="9"/>
        <v>2024-05</v>
      </c>
      <c r="N1768" s="112" t="str">
        <f t="shared" si="10"/>
        <v>2024-H1</v>
      </c>
    </row>
    <row r="1769">
      <c r="A1769" s="113" t="s">
        <v>610</v>
      </c>
      <c r="J1769" s="108" t="str">
        <f t="shared" si="6"/>
        <v>2024</v>
      </c>
      <c r="K1769" s="110">
        <f t="shared" si="7"/>
        <v>5</v>
      </c>
      <c r="L1769" s="108" t="str">
        <f t="shared" si="8"/>
        <v>2024-Q2</v>
      </c>
      <c r="M1769" s="111" t="str">
        <f t="shared" si="9"/>
        <v>2024-05</v>
      </c>
      <c r="N1769" s="112" t="str">
        <f t="shared" si="10"/>
        <v>2024-H1</v>
      </c>
    </row>
    <row r="1770">
      <c r="A1770" s="113" t="s">
        <v>610</v>
      </c>
      <c r="J1770" s="108" t="str">
        <f t="shared" si="6"/>
        <v>2024</v>
      </c>
      <c r="K1770" s="110">
        <f t="shared" si="7"/>
        <v>5</v>
      </c>
      <c r="L1770" s="108" t="str">
        <f t="shared" si="8"/>
        <v>2024-Q2</v>
      </c>
      <c r="M1770" s="111" t="str">
        <f t="shared" si="9"/>
        <v>2024-05</v>
      </c>
      <c r="N1770" s="112" t="str">
        <f t="shared" si="10"/>
        <v>2024-H1</v>
      </c>
    </row>
    <row r="1771">
      <c r="A1771" s="113" t="s">
        <v>610</v>
      </c>
      <c r="J1771" s="108" t="str">
        <f t="shared" si="6"/>
        <v>2024</v>
      </c>
      <c r="K1771" s="110">
        <f t="shared" si="7"/>
        <v>5</v>
      </c>
      <c r="L1771" s="108" t="str">
        <f t="shared" si="8"/>
        <v>2024-Q2</v>
      </c>
      <c r="M1771" s="111" t="str">
        <f t="shared" si="9"/>
        <v>2024-05</v>
      </c>
      <c r="N1771" s="112" t="str">
        <f t="shared" si="10"/>
        <v>2024-H1</v>
      </c>
    </row>
    <row r="1772">
      <c r="A1772" s="113" t="s">
        <v>610</v>
      </c>
      <c r="J1772" s="108" t="str">
        <f t="shared" si="6"/>
        <v>2024</v>
      </c>
      <c r="K1772" s="110">
        <f t="shared" si="7"/>
        <v>5</v>
      </c>
      <c r="L1772" s="108" t="str">
        <f t="shared" si="8"/>
        <v>2024-Q2</v>
      </c>
      <c r="M1772" s="111" t="str">
        <f t="shared" si="9"/>
        <v>2024-05</v>
      </c>
      <c r="N1772" s="112" t="str">
        <f t="shared" si="10"/>
        <v>2024-H1</v>
      </c>
    </row>
    <row r="1773">
      <c r="A1773" s="113" t="s">
        <v>610</v>
      </c>
      <c r="J1773" s="108" t="str">
        <f t="shared" si="6"/>
        <v>2024</v>
      </c>
      <c r="K1773" s="110">
        <f t="shared" si="7"/>
        <v>5</v>
      </c>
      <c r="L1773" s="108" t="str">
        <f t="shared" si="8"/>
        <v>2024-Q2</v>
      </c>
      <c r="M1773" s="111" t="str">
        <f t="shared" si="9"/>
        <v>2024-05</v>
      </c>
      <c r="N1773" s="112" t="str">
        <f t="shared" si="10"/>
        <v>2024-H1</v>
      </c>
    </row>
    <row r="1774">
      <c r="A1774" s="113" t="s">
        <v>610</v>
      </c>
      <c r="J1774" s="108" t="str">
        <f t="shared" si="6"/>
        <v>2024</v>
      </c>
      <c r="K1774" s="110">
        <f t="shared" si="7"/>
        <v>5</v>
      </c>
      <c r="L1774" s="108" t="str">
        <f t="shared" si="8"/>
        <v>2024-Q2</v>
      </c>
      <c r="M1774" s="111" t="str">
        <f t="shared" si="9"/>
        <v>2024-05</v>
      </c>
      <c r="N1774" s="112" t="str">
        <f t="shared" si="10"/>
        <v>2024-H1</v>
      </c>
    </row>
    <row r="1775">
      <c r="A1775" s="113" t="s">
        <v>610</v>
      </c>
      <c r="J1775" s="108" t="str">
        <f t="shared" si="6"/>
        <v>2024</v>
      </c>
      <c r="K1775" s="110">
        <f t="shared" si="7"/>
        <v>5</v>
      </c>
      <c r="L1775" s="108" t="str">
        <f t="shared" si="8"/>
        <v>2024-Q2</v>
      </c>
      <c r="M1775" s="111" t="str">
        <f t="shared" si="9"/>
        <v>2024-05</v>
      </c>
      <c r="N1775" s="112" t="str">
        <f t="shared" si="10"/>
        <v>2024-H1</v>
      </c>
    </row>
    <row r="1776">
      <c r="A1776" s="113" t="s">
        <v>610</v>
      </c>
      <c r="J1776" s="108" t="str">
        <f t="shared" si="6"/>
        <v>2024</v>
      </c>
      <c r="K1776" s="110">
        <f t="shared" si="7"/>
        <v>5</v>
      </c>
      <c r="L1776" s="108" t="str">
        <f t="shared" si="8"/>
        <v>2024-Q2</v>
      </c>
      <c r="M1776" s="111" t="str">
        <f t="shared" si="9"/>
        <v>2024-05</v>
      </c>
      <c r="N1776" s="112" t="str">
        <f t="shared" si="10"/>
        <v>2024-H1</v>
      </c>
    </row>
    <row r="1777">
      <c r="A1777" s="113" t="s">
        <v>610</v>
      </c>
      <c r="J1777" s="108" t="str">
        <f t="shared" si="6"/>
        <v>2024</v>
      </c>
      <c r="K1777" s="110">
        <f t="shared" si="7"/>
        <v>5</v>
      </c>
      <c r="L1777" s="108" t="str">
        <f t="shared" si="8"/>
        <v>2024-Q2</v>
      </c>
      <c r="M1777" s="111" t="str">
        <f t="shared" si="9"/>
        <v>2024-05</v>
      </c>
      <c r="N1777" s="112" t="str">
        <f t="shared" si="10"/>
        <v>2024-H1</v>
      </c>
    </row>
    <row r="1778">
      <c r="A1778" s="113" t="s">
        <v>610</v>
      </c>
      <c r="J1778" s="108" t="str">
        <f t="shared" si="6"/>
        <v>2024</v>
      </c>
      <c r="K1778" s="110">
        <f t="shared" si="7"/>
        <v>5</v>
      </c>
      <c r="L1778" s="108" t="str">
        <f t="shared" si="8"/>
        <v>2024-Q2</v>
      </c>
      <c r="M1778" s="111" t="str">
        <f t="shared" si="9"/>
        <v>2024-05</v>
      </c>
      <c r="N1778" s="112" t="str">
        <f t="shared" si="10"/>
        <v>2024-H1</v>
      </c>
    </row>
    <row r="1779">
      <c r="A1779" s="113" t="s">
        <v>610</v>
      </c>
      <c r="J1779" s="108" t="str">
        <f t="shared" si="6"/>
        <v>2024</v>
      </c>
      <c r="K1779" s="110">
        <f t="shared" si="7"/>
        <v>6</v>
      </c>
      <c r="L1779" s="108" t="str">
        <f t="shared" si="8"/>
        <v>2024-Q2</v>
      </c>
      <c r="M1779" s="111" t="str">
        <f t="shared" si="9"/>
        <v>2024-06</v>
      </c>
      <c r="N1779" s="112" t="str">
        <f t="shared" si="10"/>
        <v>2024-H1</v>
      </c>
    </row>
    <row r="1780">
      <c r="A1780" s="113" t="s">
        <v>610</v>
      </c>
      <c r="J1780" s="108" t="str">
        <f t="shared" si="6"/>
        <v>2024</v>
      </c>
      <c r="K1780" s="110">
        <f t="shared" si="7"/>
        <v>5</v>
      </c>
      <c r="L1780" s="108" t="str">
        <f t="shared" si="8"/>
        <v>2024-Q2</v>
      </c>
      <c r="M1780" s="111" t="str">
        <f t="shared" si="9"/>
        <v>2024-05</v>
      </c>
      <c r="N1780" s="112" t="str">
        <f t="shared" si="10"/>
        <v>2024-H1</v>
      </c>
    </row>
    <row r="1781">
      <c r="A1781" s="113" t="s">
        <v>610</v>
      </c>
      <c r="J1781" s="108" t="str">
        <f t="shared" si="6"/>
        <v>2024</v>
      </c>
      <c r="K1781" s="110">
        <f t="shared" si="7"/>
        <v>5</v>
      </c>
      <c r="L1781" s="108" t="str">
        <f t="shared" si="8"/>
        <v>2024-Q2</v>
      </c>
      <c r="M1781" s="111" t="str">
        <f t="shared" si="9"/>
        <v>2024-05</v>
      </c>
      <c r="N1781" s="112" t="str">
        <f t="shared" si="10"/>
        <v>2024-H1</v>
      </c>
    </row>
    <row r="1782">
      <c r="A1782" s="113" t="s">
        <v>610</v>
      </c>
      <c r="J1782" s="108" t="str">
        <f t="shared" si="6"/>
        <v>2024</v>
      </c>
      <c r="K1782" s="110">
        <f t="shared" si="7"/>
        <v>5</v>
      </c>
      <c r="L1782" s="108" t="str">
        <f t="shared" si="8"/>
        <v>2024-Q2</v>
      </c>
      <c r="M1782" s="111" t="str">
        <f t="shared" si="9"/>
        <v>2024-05</v>
      </c>
      <c r="N1782" s="112" t="str">
        <f t="shared" si="10"/>
        <v>2024-H1</v>
      </c>
    </row>
    <row r="1783">
      <c r="A1783" s="113" t="s">
        <v>610</v>
      </c>
      <c r="J1783" s="108" t="str">
        <f t="shared" si="6"/>
        <v>2024</v>
      </c>
      <c r="K1783" s="110">
        <f t="shared" si="7"/>
        <v>5</v>
      </c>
      <c r="L1783" s="108" t="str">
        <f t="shared" si="8"/>
        <v>2024-Q2</v>
      </c>
      <c r="M1783" s="111" t="str">
        <f t="shared" si="9"/>
        <v>2024-05</v>
      </c>
      <c r="N1783" s="112" t="str">
        <f t="shared" si="10"/>
        <v>2024-H1</v>
      </c>
    </row>
    <row r="1784">
      <c r="A1784" s="113" t="s">
        <v>610</v>
      </c>
      <c r="J1784" s="108" t="str">
        <f t="shared" si="6"/>
        <v>2024</v>
      </c>
      <c r="K1784" s="110">
        <f t="shared" si="7"/>
        <v>6</v>
      </c>
      <c r="L1784" s="108" t="str">
        <f t="shared" si="8"/>
        <v>2024-Q2</v>
      </c>
      <c r="M1784" s="111" t="str">
        <f t="shared" si="9"/>
        <v>2024-06</v>
      </c>
      <c r="N1784" s="112" t="str">
        <f t="shared" si="10"/>
        <v>2024-H1</v>
      </c>
    </row>
    <row r="1785">
      <c r="A1785" s="113" t="s">
        <v>610</v>
      </c>
      <c r="J1785" s="108" t="str">
        <f t="shared" si="6"/>
        <v>2024</v>
      </c>
      <c r="K1785" s="110">
        <f t="shared" si="7"/>
        <v>8</v>
      </c>
      <c r="L1785" s="108" t="str">
        <f t="shared" si="8"/>
        <v>2024-Q3</v>
      </c>
      <c r="M1785" s="111" t="str">
        <f t="shared" si="9"/>
        <v>2024-08</v>
      </c>
      <c r="N1785" s="112" t="str">
        <f t="shared" si="10"/>
        <v>2024-H2</v>
      </c>
    </row>
    <row r="1786">
      <c r="A1786" s="113" t="s">
        <v>610</v>
      </c>
      <c r="J1786" s="108" t="str">
        <f t="shared" si="6"/>
        <v>2024</v>
      </c>
      <c r="K1786" s="110">
        <f t="shared" si="7"/>
        <v>5</v>
      </c>
      <c r="L1786" s="108" t="str">
        <f t="shared" si="8"/>
        <v>2024-Q2</v>
      </c>
      <c r="M1786" s="111" t="str">
        <f t="shared" si="9"/>
        <v>2024-05</v>
      </c>
      <c r="N1786" s="112" t="str">
        <f t="shared" si="10"/>
        <v>2024-H1</v>
      </c>
    </row>
    <row r="1787">
      <c r="A1787" s="113" t="s">
        <v>610</v>
      </c>
      <c r="J1787" s="108" t="str">
        <f t="shared" si="6"/>
        <v>2024</v>
      </c>
      <c r="K1787" s="110">
        <f t="shared" si="7"/>
        <v>5</v>
      </c>
      <c r="L1787" s="108" t="str">
        <f t="shared" si="8"/>
        <v>2024-Q2</v>
      </c>
      <c r="M1787" s="111" t="str">
        <f t="shared" si="9"/>
        <v>2024-05</v>
      </c>
      <c r="N1787" s="112" t="str">
        <f t="shared" si="10"/>
        <v>2024-H1</v>
      </c>
    </row>
    <row r="1788">
      <c r="A1788" s="113" t="s">
        <v>610</v>
      </c>
      <c r="J1788" s="108" t="str">
        <f t="shared" si="6"/>
        <v>2024</v>
      </c>
      <c r="K1788" s="110">
        <f t="shared" si="7"/>
        <v>5</v>
      </c>
      <c r="L1788" s="108" t="str">
        <f t="shared" si="8"/>
        <v>2024-Q2</v>
      </c>
      <c r="M1788" s="111" t="str">
        <f t="shared" si="9"/>
        <v>2024-05</v>
      </c>
      <c r="N1788" s="112" t="str">
        <f t="shared" si="10"/>
        <v>2024-H1</v>
      </c>
    </row>
    <row r="1789">
      <c r="A1789" s="113" t="s">
        <v>610</v>
      </c>
      <c r="J1789" s="108" t="str">
        <f t="shared" si="6"/>
        <v>2024</v>
      </c>
      <c r="K1789" s="110">
        <f t="shared" si="7"/>
        <v>5</v>
      </c>
      <c r="L1789" s="108" t="str">
        <f t="shared" si="8"/>
        <v>2024-Q2</v>
      </c>
      <c r="M1789" s="111" t="str">
        <f t="shared" si="9"/>
        <v>2024-05</v>
      </c>
      <c r="N1789" s="112" t="str">
        <f t="shared" si="10"/>
        <v>2024-H1</v>
      </c>
    </row>
    <row r="1790">
      <c r="A1790" s="113" t="s">
        <v>610</v>
      </c>
      <c r="J1790" s="108" t="str">
        <f t="shared" si="6"/>
        <v>2024</v>
      </c>
      <c r="K1790" s="110">
        <f t="shared" si="7"/>
        <v>5</v>
      </c>
      <c r="L1790" s="108" t="str">
        <f t="shared" si="8"/>
        <v>2024-Q2</v>
      </c>
      <c r="M1790" s="111" t="str">
        <f t="shared" si="9"/>
        <v>2024-05</v>
      </c>
      <c r="N1790" s="112" t="str">
        <f t="shared" si="10"/>
        <v>2024-H1</v>
      </c>
    </row>
    <row r="1791">
      <c r="A1791" s="113" t="s">
        <v>610</v>
      </c>
      <c r="J1791" s="108" t="str">
        <f t="shared" si="6"/>
        <v>2024</v>
      </c>
      <c r="K1791" s="110">
        <f t="shared" si="7"/>
        <v>5</v>
      </c>
      <c r="L1791" s="108" t="str">
        <f t="shared" si="8"/>
        <v>2024-Q2</v>
      </c>
      <c r="M1791" s="111" t="str">
        <f t="shared" si="9"/>
        <v>2024-05</v>
      </c>
      <c r="N1791" s="112" t="str">
        <f t="shared" si="10"/>
        <v>2024-H1</v>
      </c>
    </row>
    <row r="1792">
      <c r="A1792" s="113" t="s">
        <v>610</v>
      </c>
      <c r="J1792" s="108" t="str">
        <f t="shared" si="6"/>
        <v>2024</v>
      </c>
      <c r="K1792" s="110">
        <f t="shared" si="7"/>
        <v>5</v>
      </c>
      <c r="L1792" s="108" t="str">
        <f t="shared" si="8"/>
        <v>2024-Q2</v>
      </c>
      <c r="M1792" s="111" t="str">
        <f t="shared" si="9"/>
        <v>2024-05</v>
      </c>
      <c r="N1792" s="112" t="str">
        <f t="shared" si="10"/>
        <v>2024-H1</v>
      </c>
    </row>
    <row r="1793">
      <c r="A1793" s="113" t="s">
        <v>610</v>
      </c>
      <c r="J1793" s="108" t="str">
        <f t="shared" si="6"/>
        <v>2024</v>
      </c>
      <c r="K1793" s="110">
        <f t="shared" si="7"/>
        <v>5</v>
      </c>
      <c r="L1793" s="108" t="str">
        <f t="shared" si="8"/>
        <v>2024-Q2</v>
      </c>
      <c r="M1793" s="111" t="str">
        <f t="shared" si="9"/>
        <v>2024-05</v>
      </c>
      <c r="N1793" s="112" t="str">
        <f t="shared" si="10"/>
        <v>2024-H1</v>
      </c>
    </row>
    <row r="1794">
      <c r="A1794" s="113" t="s">
        <v>610</v>
      </c>
      <c r="J1794" s="108" t="str">
        <f t="shared" si="6"/>
        <v>2024</v>
      </c>
      <c r="K1794" s="110">
        <f t="shared" si="7"/>
        <v>5</v>
      </c>
      <c r="L1794" s="108" t="str">
        <f t="shared" si="8"/>
        <v>2024-Q2</v>
      </c>
      <c r="M1794" s="111" t="str">
        <f t="shared" si="9"/>
        <v>2024-05</v>
      </c>
      <c r="N1794" s="112" t="str">
        <f t="shared" si="10"/>
        <v>2024-H1</v>
      </c>
    </row>
    <row r="1795">
      <c r="A1795" s="113" t="s">
        <v>610</v>
      </c>
      <c r="J1795" s="108" t="str">
        <f t="shared" si="6"/>
        <v>2024</v>
      </c>
      <c r="K1795" s="110">
        <f t="shared" si="7"/>
        <v>5</v>
      </c>
      <c r="L1795" s="108" t="str">
        <f t="shared" si="8"/>
        <v>2024-Q2</v>
      </c>
      <c r="M1795" s="111" t="str">
        <f t="shared" si="9"/>
        <v>2024-05</v>
      </c>
      <c r="N1795" s="112" t="str">
        <f t="shared" si="10"/>
        <v>2024-H1</v>
      </c>
    </row>
    <row r="1796">
      <c r="A1796" s="113" t="s">
        <v>610</v>
      </c>
      <c r="J1796" s="108" t="str">
        <f t="shared" si="6"/>
        <v>2024</v>
      </c>
      <c r="K1796" s="110">
        <f t="shared" si="7"/>
        <v>5</v>
      </c>
      <c r="L1796" s="108" t="str">
        <f t="shared" si="8"/>
        <v>2024-Q2</v>
      </c>
      <c r="M1796" s="111" t="str">
        <f t="shared" si="9"/>
        <v>2024-05</v>
      </c>
      <c r="N1796" s="112" t="str">
        <f t="shared" si="10"/>
        <v>2024-H1</v>
      </c>
    </row>
    <row r="1797">
      <c r="A1797" s="113" t="s">
        <v>610</v>
      </c>
      <c r="J1797" s="108" t="str">
        <f t="shared" si="6"/>
        <v>2024</v>
      </c>
      <c r="K1797" s="110">
        <f t="shared" si="7"/>
        <v>5</v>
      </c>
      <c r="L1797" s="108" t="str">
        <f t="shared" si="8"/>
        <v>2024-Q2</v>
      </c>
      <c r="M1797" s="111" t="str">
        <f t="shared" si="9"/>
        <v>2024-05</v>
      </c>
      <c r="N1797" s="112" t="str">
        <f t="shared" si="10"/>
        <v>2024-H1</v>
      </c>
    </row>
    <row r="1798">
      <c r="A1798" s="113" t="s">
        <v>610</v>
      </c>
      <c r="J1798" s="108" t="str">
        <f t="shared" si="6"/>
        <v>2024</v>
      </c>
      <c r="K1798" s="110">
        <f t="shared" si="7"/>
        <v>5</v>
      </c>
      <c r="L1798" s="108" t="str">
        <f t="shared" si="8"/>
        <v>2024-Q2</v>
      </c>
      <c r="M1798" s="111" t="str">
        <f t="shared" si="9"/>
        <v>2024-05</v>
      </c>
      <c r="N1798" s="112" t="str">
        <f t="shared" si="10"/>
        <v>2024-H1</v>
      </c>
    </row>
    <row r="1799">
      <c r="A1799" s="113" t="s">
        <v>610</v>
      </c>
      <c r="J1799" s="108" t="str">
        <f t="shared" si="6"/>
        <v>2024</v>
      </c>
      <c r="K1799" s="110">
        <f t="shared" si="7"/>
        <v>5</v>
      </c>
      <c r="L1799" s="108" t="str">
        <f t="shared" si="8"/>
        <v>2024-Q2</v>
      </c>
      <c r="M1799" s="111" t="str">
        <f t="shared" si="9"/>
        <v>2024-05</v>
      </c>
      <c r="N1799" s="112" t="str">
        <f t="shared" si="10"/>
        <v>2024-H1</v>
      </c>
    </row>
    <row r="1800">
      <c r="A1800" s="113" t="s">
        <v>610</v>
      </c>
      <c r="J1800" s="108" t="str">
        <f t="shared" si="6"/>
        <v>2024</v>
      </c>
      <c r="K1800" s="110">
        <f t="shared" si="7"/>
        <v>5</v>
      </c>
      <c r="L1800" s="108" t="str">
        <f t="shared" si="8"/>
        <v>2024-Q2</v>
      </c>
      <c r="M1800" s="111" t="str">
        <f t="shared" si="9"/>
        <v>2024-05</v>
      </c>
      <c r="N1800" s="112" t="str">
        <f t="shared" si="10"/>
        <v>2024-H1</v>
      </c>
    </row>
    <row r="1801">
      <c r="A1801" s="113" t="s">
        <v>610</v>
      </c>
      <c r="J1801" s="108" t="str">
        <f t="shared" si="6"/>
        <v>2024</v>
      </c>
      <c r="K1801" s="110">
        <f t="shared" si="7"/>
        <v>5</v>
      </c>
      <c r="L1801" s="108" t="str">
        <f t="shared" si="8"/>
        <v>2024-Q2</v>
      </c>
      <c r="M1801" s="111" t="str">
        <f t="shared" si="9"/>
        <v>2024-05</v>
      </c>
      <c r="N1801" s="112" t="str">
        <f t="shared" si="10"/>
        <v>2024-H1</v>
      </c>
    </row>
    <row r="1802">
      <c r="A1802" s="113" t="s">
        <v>610</v>
      </c>
      <c r="J1802" s="108" t="str">
        <f t="shared" si="6"/>
        <v>2024</v>
      </c>
      <c r="K1802" s="110">
        <f t="shared" si="7"/>
        <v>5</v>
      </c>
      <c r="L1802" s="108" t="str">
        <f t="shared" si="8"/>
        <v>2024-Q2</v>
      </c>
      <c r="M1802" s="111" t="str">
        <f t="shared" si="9"/>
        <v>2024-05</v>
      </c>
      <c r="N1802" s="112" t="str">
        <f t="shared" si="10"/>
        <v>2024-H1</v>
      </c>
    </row>
    <row r="1803">
      <c r="A1803" s="113" t="s">
        <v>610</v>
      </c>
      <c r="J1803" s="108" t="str">
        <f t="shared" si="6"/>
        <v>2024</v>
      </c>
      <c r="K1803" s="110">
        <f t="shared" si="7"/>
        <v>5</v>
      </c>
      <c r="L1803" s="108" t="str">
        <f t="shared" si="8"/>
        <v>2024-Q2</v>
      </c>
      <c r="M1803" s="111" t="str">
        <f t="shared" si="9"/>
        <v>2024-05</v>
      </c>
      <c r="N1803" s="112" t="str">
        <f t="shared" si="10"/>
        <v>2024-H1</v>
      </c>
    </row>
    <row r="1804">
      <c r="A1804" s="113" t="s">
        <v>610</v>
      </c>
      <c r="J1804" s="108" t="str">
        <f t="shared" si="6"/>
        <v>2024</v>
      </c>
      <c r="K1804" s="110">
        <f t="shared" si="7"/>
        <v>5</v>
      </c>
      <c r="L1804" s="108" t="str">
        <f t="shared" si="8"/>
        <v>2024-Q2</v>
      </c>
      <c r="M1804" s="111" t="str">
        <f t="shared" si="9"/>
        <v>2024-05</v>
      </c>
      <c r="N1804" s="112" t="str">
        <f t="shared" si="10"/>
        <v>2024-H1</v>
      </c>
    </row>
    <row r="1805">
      <c r="A1805" s="113" t="s">
        <v>610</v>
      </c>
      <c r="J1805" s="108" t="str">
        <f t="shared" si="6"/>
        <v>2024</v>
      </c>
      <c r="K1805" s="110">
        <f t="shared" si="7"/>
        <v>5</v>
      </c>
      <c r="L1805" s="108" t="str">
        <f t="shared" si="8"/>
        <v>2024-Q2</v>
      </c>
      <c r="M1805" s="111" t="str">
        <f t="shared" si="9"/>
        <v>2024-05</v>
      </c>
      <c r="N1805" s="112" t="str">
        <f t="shared" si="10"/>
        <v>2024-H1</v>
      </c>
    </row>
    <row r="1806">
      <c r="A1806" s="113" t="s">
        <v>610</v>
      </c>
      <c r="J1806" s="108" t="str">
        <f t="shared" si="6"/>
        <v>2024</v>
      </c>
      <c r="K1806" s="110">
        <f t="shared" si="7"/>
        <v>5</v>
      </c>
      <c r="L1806" s="108" t="str">
        <f t="shared" si="8"/>
        <v>2024-Q2</v>
      </c>
      <c r="M1806" s="111" t="str">
        <f t="shared" si="9"/>
        <v>2024-05</v>
      </c>
      <c r="N1806" s="112" t="str">
        <f t="shared" si="10"/>
        <v>2024-H1</v>
      </c>
    </row>
    <row r="1807">
      <c r="A1807" s="113" t="s">
        <v>610</v>
      </c>
      <c r="J1807" s="108" t="str">
        <f t="shared" si="6"/>
        <v>2024</v>
      </c>
      <c r="K1807" s="110">
        <f t="shared" si="7"/>
        <v>5</v>
      </c>
      <c r="L1807" s="108" t="str">
        <f t="shared" si="8"/>
        <v>2024-Q2</v>
      </c>
      <c r="M1807" s="111" t="str">
        <f t="shared" si="9"/>
        <v>2024-05</v>
      </c>
      <c r="N1807" s="112" t="str">
        <f t="shared" si="10"/>
        <v>2024-H1</v>
      </c>
    </row>
    <row r="1808">
      <c r="A1808" s="113" t="s">
        <v>610</v>
      </c>
      <c r="J1808" s="108" t="str">
        <f t="shared" si="6"/>
        <v>2024</v>
      </c>
      <c r="K1808" s="110">
        <f t="shared" si="7"/>
        <v>5</v>
      </c>
      <c r="L1808" s="108" t="str">
        <f t="shared" si="8"/>
        <v>2024-Q2</v>
      </c>
      <c r="M1808" s="111" t="str">
        <f t="shared" si="9"/>
        <v>2024-05</v>
      </c>
      <c r="N1808" s="112" t="str">
        <f t="shared" si="10"/>
        <v>2024-H1</v>
      </c>
    </row>
    <row r="1809">
      <c r="A1809" s="113" t="s">
        <v>610</v>
      </c>
      <c r="J1809" s="108" t="str">
        <f t="shared" si="6"/>
        <v>2024</v>
      </c>
      <c r="K1809" s="110">
        <f t="shared" si="7"/>
        <v>5</v>
      </c>
      <c r="L1809" s="108" t="str">
        <f t="shared" si="8"/>
        <v>2024-Q2</v>
      </c>
      <c r="M1809" s="111" t="str">
        <f t="shared" si="9"/>
        <v>2024-05</v>
      </c>
      <c r="N1809" s="112" t="str">
        <f t="shared" si="10"/>
        <v>2024-H1</v>
      </c>
    </row>
    <row r="1810">
      <c r="A1810" s="113" t="s">
        <v>610</v>
      </c>
      <c r="J1810" s="108" t="str">
        <f t="shared" si="6"/>
        <v>2024</v>
      </c>
      <c r="K1810" s="110">
        <f t="shared" si="7"/>
        <v>5</v>
      </c>
      <c r="L1810" s="108" t="str">
        <f t="shared" si="8"/>
        <v>2024-Q2</v>
      </c>
      <c r="M1810" s="111" t="str">
        <f t="shared" si="9"/>
        <v>2024-05</v>
      </c>
      <c r="N1810" s="112" t="str">
        <f t="shared" si="10"/>
        <v>2024-H1</v>
      </c>
    </row>
    <row r="1811">
      <c r="A1811" s="113" t="s">
        <v>610</v>
      </c>
      <c r="J1811" s="108" t="str">
        <f t="shared" si="6"/>
        <v>2024</v>
      </c>
      <c r="K1811" s="110">
        <f t="shared" si="7"/>
        <v>5</v>
      </c>
      <c r="L1811" s="108" t="str">
        <f t="shared" si="8"/>
        <v>2024-Q2</v>
      </c>
      <c r="M1811" s="111" t="str">
        <f t="shared" si="9"/>
        <v>2024-05</v>
      </c>
      <c r="N1811" s="112" t="str">
        <f t="shared" si="10"/>
        <v>2024-H1</v>
      </c>
    </row>
    <row r="1812">
      <c r="A1812" s="113" t="s">
        <v>610</v>
      </c>
      <c r="J1812" s="108" t="str">
        <f t="shared" si="6"/>
        <v>2024</v>
      </c>
      <c r="K1812" s="110">
        <f t="shared" si="7"/>
        <v>5</v>
      </c>
      <c r="L1812" s="108" t="str">
        <f t="shared" si="8"/>
        <v>2024-Q2</v>
      </c>
      <c r="M1812" s="111" t="str">
        <f t="shared" si="9"/>
        <v>2024-05</v>
      </c>
      <c r="N1812" s="112" t="str">
        <f t="shared" si="10"/>
        <v>2024-H1</v>
      </c>
    </row>
    <row r="1813">
      <c r="A1813" s="113" t="s">
        <v>610</v>
      </c>
      <c r="J1813" s="108" t="str">
        <f t="shared" si="6"/>
        <v>2024</v>
      </c>
      <c r="K1813" s="110">
        <f t="shared" si="7"/>
        <v>5</v>
      </c>
      <c r="L1813" s="108" t="str">
        <f t="shared" si="8"/>
        <v>2024-Q2</v>
      </c>
      <c r="M1813" s="111" t="str">
        <f t="shared" si="9"/>
        <v>2024-05</v>
      </c>
      <c r="N1813" s="112" t="str">
        <f t="shared" si="10"/>
        <v>2024-H1</v>
      </c>
    </row>
    <row r="1814">
      <c r="A1814" s="113" t="s">
        <v>610</v>
      </c>
      <c r="J1814" s="108" t="str">
        <f t="shared" si="6"/>
        <v>2024</v>
      </c>
      <c r="K1814" s="110">
        <f t="shared" si="7"/>
        <v>5</v>
      </c>
      <c r="L1814" s="108" t="str">
        <f t="shared" si="8"/>
        <v>2024-Q2</v>
      </c>
      <c r="M1814" s="111" t="str">
        <f t="shared" si="9"/>
        <v>2024-05</v>
      </c>
      <c r="N1814" s="112" t="str">
        <f t="shared" si="10"/>
        <v>2024-H1</v>
      </c>
    </row>
    <row r="1815">
      <c r="A1815" s="113" t="s">
        <v>610</v>
      </c>
      <c r="J1815" s="108" t="str">
        <f t="shared" si="6"/>
        <v>2024</v>
      </c>
      <c r="K1815" s="110">
        <f t="shared" si="7"/>
        <v>5</v>
      </c>
      <c r="L1815" s="108" t="str">
        <f t="shared" si="8"/>
        <v>2024-Q2</v>
      </c>
      <c r="M1815" s="111" t="str">
        <f t="shared" si="9"/>
        <v>2024-05</v>
      </c>
      <c r="N1815" s="112" t="str">
        <f t="shared" si="10"/>
        <v>2024-H1</v>
      </c>
    </row>
    <row r="1816">
      <c r="A1816" s="113" t="s">
        <v>610</v>
      </c>
      <c r="J1816" s="108" t="str">
        <f t="shared" si="6"/>
        <v>2024</v>
      </c>
      <c r="K1816" s="110">
        <f t="shared" si="7"/>
        <v>5</v>
      </c>
      <c r="L1816" s="108" t="str">
        <f t="shared" si="8"/>
        <v>2024-Q2</v>
      </c>
      <c r="M1816" s="111" t="str">
        <f t="shared" si="9"/>
        <v>2024-05</v>
      </c>
      <c r="N1816" s="112" t="str">
        <f t="shared" si="10"/>
        <v>2024-H1</v>
      </c>
    </row>
    <row r="1817">
      <c r="A1817" s="113" t="s">
        <v>610</v>
      </c>
      <c r="J1817" s="108" t="str">
        <f t="shared" si="6"/>
        <v>2024</v>
      </c>
      <c r="K1817" s="110">
        <f t="shared" si="7"/>
        <v>5</v>
      </c>
      <c r="L1817" s="108" t="str">
        <f t="shared" si="8"/>
        <v>2024-Q2</v>
      </c>
      <c r="M1817" s="111" t="str">
        <f t="shared" si="9"/>
        <v>2024-05</v>
      </c>
      <c r="N1817" s="112" t="str">
        <f t="shared" si="10"/>
        <v>2024-H1</v>
      </c>
    </row>
    <row r="1818">
      <c r="A1818" s="113" t="s">
        <v>610</v>
      </c>
      <c r="J1818" s="108" t="str">
        <f t="shared" si="6"/>
        <v>2024</v>
      </c>
      <c r="K1818" s="110">
        <f t="shared" si="7"/>
        <v>5</v>
      </c>
      <c r="L1818" s="108" t="str">
        <f t="shared" si="8"/>
        <v>2024-Q2</v>
      </c>
      <c r="M1818" s="111" t="str">
        <f t="shared" si="9"/>
        <v>2024-05</v>
      </c>
      <c r="N1818" s="112" t="str">
        <f t="shared" si="10"/>
        <v>2024-H1</v>
      </c>
    </row>
    <row r="1819">
      <c r="A1819" s="113" t="s">
        <v>610</v>
      </c>
      <c r="J1819" s="108" t="str">
        <f t="shared" si="6"/>
        <v>2024</v>
      </c>
      <c r="K1819" s="110">
        <f t="shared" si="7"/>
        <v>5</v>
      </c>
      <c r="L1819" s="108" t="str">
        <f t="shared" si="8"/>
        <v>2024-Q2</v>
      </c>
      <c r="M1819" s="111" t="str">
        <f t="shared" si="9"/>
        <v>2024-05</v>
      </c>
      <c r="N1819" s="112" t="str">
        <f t="shared" si="10"/>
        <v>2024-H1</v>
      </c>
    </row>
    <row r="1820">
      <c r="A1820" s="113" t="s">
        <v>610</v>
      </c>
      <c r="J1820" s="108" t="str">
        <f t="shared" si="6"/>
        <v>2024</v>
      </c>
      <c r="K1820" s="110">
        <f t="shared" si="7"/>
        <v>5</v>
      </c>
      <c r="L1820" s="108" t="str">
        <f t="shared" si="8"/>
        <v>2024-Q2</v>
      </c>
      <c r="M1820" s="111" t="str">
        <f t="shared" si="9"/>
        <v>2024-05</v>
      </c>
      <c r="N1820" s="112" t="str">
        <f t="shared" si="10"/>
        <v>2024-H1</v>
      </c>
    </row>
    <row r="1821">
      <c r="A1821" s="113" t="s">
        <v>610</v>
      </c>
      <c r="J1821" s="108" t="str">
        <f t="shared" si="6"/>
        <v>2024</v>
      </c>
      <c r="K1821" s="110">
        <f t="shared" si="7"/>
        <v>5</v>
      </c>
      <c r="L1821" s="108" t="str">
        <f t="shared" si="8"/>
        <v>2024-Q2</v>
      </c>
      <c r="M1821" s="111" t="str">
        <f t="shared" si="9"/>
        <v>2024-05</v>
      </c>
      <c r="N1821" s="112" t="str">
        <f t="shared" si="10"/>
        <v>2024-H1</v>
      </c>
    </row>
    <row r="1822">
      <c r="A1822" s="113" t="s">
        <v>610</v>
      </c>
      <c r="J1822" s="108" t="str">
        <f t="shared" si="6"/>
        <v>2024</v>
      </c>
      <c r="K1822" s="110">
        <f t="shared" si="7"/>
        <v>5</v>
      </c>
      <c r="L1822" s="108" t="str">
        <f t="shared" si="8"/>
        <v>2024-Q2</v>
      </c>
      <c r="M1822" s="111" t="str">
        <f t="shared" si="9"/>
        <v>2024-05</v>
      </c>
      <c r="N1822" s="112" t="str">
        <f t="shared" si="10"/>
        <v>2024-H1</v>
      </c>
    </row>
    <row r="1823">
      <c r="A1823" s="113" t="s">
        <v>610</v>
      </c>
      <c r="J1823" s="108" t="str">
        <f t="shared" si="6"/>
        <v>2024</v>
      </c>
      <c r="K1823" s="110">
        <f t="shared" si="7"/>
        <v>5</v>
      </c>
      <c r="L1823" s="108" t="str">
        <f t="shared" si="8"/>
        <v>2024-Q2</v>
      </c>
      <c r="M1823" s="111" t="str">
        <f t="shared" si="9"/>
        <v>2024-05</v>
      </c>
      <c r="N1823" s="112" t="str">
        <f t="shared" si="10"/>
        <v>2024-H1</v>
      </c>
    </row>
    <row r="1824">
      <c r="A1824" s="113" t="s">
        <v>610</v>
      </c>
      <c r="J1824" s="108" t="str">
        <f t="shared" si="6"/>
        <v>2024</v>
      </c>
      <c r="K1824" s="110">
        <f t="shared" si="7"/>
        <v>5</v>
      </c>
      <c r="L1824" s="108" t="str">
        <f t="shared" si="8"/>
        <v>2024-Q2</v>
      </c>
      <c r="M1824" s="111" t="str">
        <f t="shared" si="9"/>
        <v>2024-05</v>
      </c>
      <c r="N1824" s="112" t="str">
        <f t="shared" si="10"/>
        <v>2024-H1</v>
      </c>
    </row>
    <row r="1825">
      <c r="A1825" s="113" t="s">
        <v>610</v>
      </c>
      <c r="J1825" s="108" t="str">
        <f t="shared" si="6"/>
        <v>2024</v>
      </c>
      <c r="K1825" s="110">
        <f t="shared" si="7"/>
        <v>5</v>
      </c>
      <c r="L1825" s="108" t="str">
        <f t="shared" si="8"/>
        <v>2024-Q2</v>
      </c>
      <c r="M1825" s="111" t="str">
        <f t="shared" si="9"/>
        <v>2024-05</v>
      </c>
      <c r="N1825" s="112" t="str">
        <f t="shared" si="10"/>
        <v>2024-H1</v>
      </c>
    </row>
    <row r="1826">
      <c r="A1826" s="113" t="s">
        <v>610</v>
      </c>
      <c r="J1826" s="108" t="str">
        <f t="shared" si="6"/>
        <v>2024</v>
      </c>
      <c r="K1826" s="110">
        <f t="shared" si="7"/>
        <v>5</v>
      </c>
      <c r="L1826" s="108" t="str">
        <f t="shared" si="8"/>
        <v>2024-Q2</v>
      </c>
      <c r="M1826" s="111" t="str">
        <f t="shared" si="9"/>
        <v>2024-05</v>
      </c>
      <c r="N1826" s="112" t="str">
        <f t="shared" si="10"/>
        <v>2024-H1</v>
      </c>
    </row>
    <row r="1827">
      <c r="A1827" s="113" t="s">
        <v>610</v>
      </c>
      <c r="J1827" s="108" t="str">
        <f t="shared" si="6"/>
        <v>2024</v>
      </c>
      <c r="K1827" s="110">
        <f t="shared" si="7"/>
        <v>5</v>
      </c>
      <c r="L1827" s="108" t="str">
        <f t="shared" si="8"/>
        <v>2024-Q2</v>
      </c>
      <c r="M1827" s="111" t="str">
        <f t="shared" si="9"/>
        <v>2024-05</v>
      </c>
      <c r="N1827" s="112" t="str">
        <f t="shared" si="10"/>
        <v>2024-H1</v>
      </c>
    </row>
    <row r="1828">
      <c r="A1828" s="113" t="s">
        <v>610</v>
      </c>
      <c r="J1828" s="108" t="str">
        <f t="shared" si="6"/>
        <v>2024</v>
      </c>
      <c r="K1828" s="110">
        <f t="shared" si="7"/>
        <v>5</v>
      </c>
      <c r="L1828" s="108" t="str">
        <f t="shared" si="8"/>
        <v>2024-Q2</v>
      </c>
      <c r="M1828" s="111" t="str">
        <f t="shared" si="9"/>
        <v>2024-05</v>
      </c>
      <c r="N1828" s="112" t="str">
        <f t="shared" si="10"/>
        <v>2024-H1</v>
      </c>
    </row>
    <row r="1829">
      <c r="A1829" s="113" t="s">
        <v>610</v>
      </c>
      <c r="J1829" s="108" t="str">
        <f t="shared" si="6"/>
        <v>2024</v>
      </c>
      <c r="K1829" s="110">
        <f t="shared" si="7"/>
        <v>5</v>
      </c>
      <c r="L1829" s="108" t="str">
        <f t="shared" si="8"/>
        <v>2024-Q2</v>
      </c>
      <c r="M1829" s="111" t="str">
        <f t="shared" si="9"/>
        <v>2024-05</v>
      </c>
      <c r="N1829" s="112" t="str">
        <f t="shared" si="10"/>
        <v>2024-H1</v>
      </c>
    </row>
    <row r="1830">
      <c r="A1830" s="113" t="s">
        <v>610</v>
      </c>
      <c r="J1830" s="108" t="str">
        <f t="shared" si="6"/>
        <v>2024</v>
      </c>
      <c r="K1830" s="110">
        <f t="shared" si="7"/>
        <v>5</v>
      </c>
      <c r="L1830" s="108" t="str">
        <f t="shared" si="8"/>
        <v>2024-Q2</v>
      </c>
      <c r="M1830" s="111" t="str">
        <f t="shared" si="9"/>
        <v>2024-05</v>
      </c>
      <c r="N1830" s="112" t="str">
        <f t="shared" si="10"/>
        <v>2024-H1</v>
      </c>
    </row>
    <row r="1831">
      <c r="A1831" s="113" t="s">
        <v>610</v>
      </c>
      <c r="J1831" s="108" t="str">
        <f t="shared" si="6"/>
        <v>2024</v>
      </c>
      <c r="K1831" s="110">
        <f t="shared" si="7"/>
        <v>5</v>
      </c>
      <c r="L1831" s="108" t="str">
        <f t="shared" si="8"/>
        <v>2024-Q2</v>
      </c>
      <c r="M1831" s="111" t="str">
        <f t="shared" si="9"/>
        <v>2024-05</v>
      </c>
      <c r="N1831" s="112" t="str">
        <f t="shared" si="10"/>
        <v>2024-H1</v>
      </c>
    </row>
    <row r="1832">
      <c r="A1832" s="113" t="s">
        <v>610</v>
      </c>
      <c r="J1832" s="108" t="str">
        <f t="shared" si="6"/>
        <v>2024</v>
      </c>
      <c r="K1832" s="110">
        <f t="shared" si="7"/>
        <v>5</v>
      </c>
      <c r="L1832" s="108" t="str">
        <f t="shared" si="8"/>
        <v>2024-Q2</v>
      </c>
      <c r="M1832" s="111" t="str">
        <f t="shared" si="9"/>
        <v>2024-05</v>
      </c>
      <c r="N1832" s="112" t="str">
        <f t="shared" si="10"/>
        <v>2024-H1</v>
      </c>
    </row>
    <row r="1833">
      <c r="A1833" s="113" t="s">
        <v>610</v>
      </c>
      <c r="J1833" s="108" t="str">
        <f t="shared" si="6"/>
        <v>2024</v>
      </c>
      <c r="K1833" s="110">
        <f t="shared" si="7"/>
        <v>5</v>
      </c>
      <c r="L1833" s="108" t="str">
        <f t="shared" si="8"/>
        <v>2024-Q2</v>
      </c>
      <c r="M1833" s="111" t="str">
        <f t="shared" si="9"/>
        <v>2024-05</v>
      </c>
      <c r="N1833" s="112" t="str">
        <f t="shared" si="10"/>
        <v>2024-H1</v>
      </c>
    </row>
    <row r="1834">
      <c r="A1834" s="113" t="s">
        <v>610</v>
      </c>
      <c r="J1834" s="108" t="str">
        <f t="shared" si="6"/>
        <v>2024</v>
      </c>
      <c r="K1834" s="110">
        <f t="shared" si="7"/>
        <v>5</v>
      </c>
      <c r="L1834" s="108" t="str">
        <f t="shared" si="8"/>
        <v>2024-Q2</v>
      </c>
      <c r="M1834" s="111" t="str">
        <f t="shared" si="9"/>
        <v>2024-05</v>
      </c>
      <c r="N1834" s="112" t="str">
        <f t="shared" si="10"/>
        <v>2024-H1</v>
      </c>
    </row>
    <row r="1835">
      <c r="A1835" s="113" t="s">
        <v>610</v>
      </c>
      <c r="J1835" s="108" t="str">
        <f t="shared" si="6"/>
        <v>2024</v>
      </c>
      <c r="K1835" s="110">
        <f t="shared" si="7"/>
        <v>5</v>
      </c>
      <c r="L1835" s="108" t="str">
        <f t="shared" si="8"/>
        <v>2024-Q2</v>
      </c>
      <c r="M1835" s="111" t="str">
        <f t="shared" si="9"/>
        <v>2024-05</v>
      </c>
      <c r="N1835" s="112" t="str">
        <f t="shared" si="10"/>
        <v>2024-H1</v>
      </c>
    </row>
    <row r="1836">
      <c r="A1836" s="113" t="s">
        <v>610</v>
      </c>
      <c r="J1836" s="108" t="str">
        <f t="shared" si="6"/>
        <v>2024</v>
      </c>
      <c r="K1836" s="110">
        <f t="shared" si="7"/>
        <v>5</v>
      </c>
      <c r="L1836" s="108" t="str">
        <f t="shared" si="8"/>
        <v>2024-Q2</v>
      </c>
      <c r="M1836" s="111" t="str">
        <f t="shared" si="9"/>
        <v>2024-05</v>
      </c>
      <c r="N1836" s="112" t="str">
        <f t="shared" si="10"/>
        <v>2024-H1</v>
      </c>
    </row>
    <row r="1837">
      <c r="A1837" s="113" t="s">
        <v>610</v>
      </c>
      <c r="J1837" s="108" t="str">
        <f t="shared" si="6"/>
        <v>2024</v>
      </c>
      <c r="K1837" s="110">
        <f t="shared" si="7"/>
        <v>5</v>
      </c>
      <c r="L1837" s="108" t="str">
        <f t="shared" si="8"/>
        <v>2024-Q2</v>
      </c>
      <c r="M1837" s="111" t="str">
        <f t="shared" si="9"/>
        <v>2024-05</v>
      </c>
      <c r="N1837" s="112" t="str">
        <f t="shared" si="10"/>
        <v>2024-H1</v>
      </c>
    </row>
    <row r="1838">
      <c r="A1838" s="113" t="s">
        <v>610</v>
      </c>
      <c r="J1838" s="108" t="str">
        <f t="shared" si="6"/>
        <v>2024</v>
      </c>
      <c r="K1838" s="110">
        <f t="shared" si="7"/>
        <v>5</v>
      </c>
      <c r="L1838" s="108" t="str">
        <f t="shared" si="8"/>
        <v>2024-Q2</v>
      </c>
      <c r="M1838" s="111" t="str">
        <f t="shared" si="9"/>
        <v>2024-05</v>
      </c>
      <c r="N1838" s="112" t="str">
        <f t="shared" si="10"/>
        <v>2024-H1</v>
      </c>
    </row>
    <row r="1839">
      <c r="A1839" s="113" t="s">
        <v>610</v>
      </c>
      <c r="J1839" s="108" t="str">
        <f t="shared" si="6"/>
        <v>2024</v>
      </c>
      <c r="K1839" s="110">
        <f t="shared" si="7"/>
        <v>5</v>
      </c>
      <c r="L1839" s="108" t="str">
        <f t="shared" si="8"/>
        <v>2024-Q2</v>
      </c>
      <c r="M1839" s="111" t="str">
        <f t="shared" si="9"/>
        <v>2024-05</v>
      </c>
      <c r="N1839" s="112" t="str">
        <f t="shared" si="10"/>
        <v>2024-H1</v>
      </c>
    </row>
    <row r="1840">
      <c r="A1840" s="113" t="s">
        <v>610</v>
      </c>
      <c r="J1840" s="108" t="str">
        <f t="shared" si="6"/>
        <v>2024</v>
      </c>
      <c r="K1840" s="110">
        <f t="shared" si="7"/>
        <v>5</v>
      </c>
      <c r="L1840" s="108" t="str">
        <f t="shared" si="8"/>
        <v>2024-Q2</v>
      </c>
      <c r="M1840" s="111" t="str">
        <f t="shared" si="9"/>
        <v>2024-05</v>
      </c>
      <c r="N1840" s="112" t="str">
        <f t="shared" si="10"/>
        <v>2024-H1</v>
      </c>
    </row>
    <row r="1841">
      <c r="A1841" s="113" t="s">
        <v>610</v>
      </c>
      <c r="J1841" s="108" t="str">
        <f t="shared" si="6"/>
        <v>2024</v>
      </c>
      <c r="K1841" s="110">
        <f t="shared" si="7"/>
        <v>5</v>
      </c>
      <c r="L1841" s="108" t="str">
        <f t="shared" si="8"/>
        <v>2024-Q2</v>
      </c>
      <c r="M1841" s="111" t="str">
        <f t="shared" si="9"/>
        <v>2024-05</v>
      </c>
      <c r="N1841" s="112" t="str">
        <f t="shared" si="10"/>
        <v>2024-H1</v>
      </c>
    </row>
    <row r="1842">
      <c r="A1842" s="113" t="s">
        <v>610</v>
      </c>
      <c r="J1842" s="108" t="str">
        <f t="shared" si="6"/>
        <v>2024</v>
      </c>
      <c r="K1842" s="110">
        <f t="shared" si="7"/>
        <v>5</v>
      </c>
      <c r="L1842" s="108" t="str">
        <f t="shared" si="8"/>
        <v>2024-Q2</v>
      </c>
      <c r="M1842" s="111" t="str">
        <f t="shared" si="9"/>
        <v>2024-05</v>
      </c>
      <c r="N1842" s="112" t="str">
        <f t="shared" si="10"/>
        <v>2024-H1</v>
      </c>
    </row>
    <row r="1843">
      <c r="A1843" s="113" t="s">
        <v>610</v>
      </c>
      <c r="J1843" s="108" t="str">
        <f t="shared" si="6"/>
        <v>2024</v>
      </c>
      <c r="K1843" s="110">
        <f t="shared" si="7"/>
        <v>5</v>
      </c>
      <c r="L1843" s="108" t="str">
        <f t="shared" si="8"/>
        <v>2024-Q2</v>
      </c>
      <c r="M1843" s="111" t="str">
        <f t="shared" si="9"/>
        <v>2024-05</v>
      </c>
      <c r="N1843" s="112" t="str">
        <f t="shared" si="10"/>
        <v>2024-H1</v>
      </c>
    </row>
    <row r="1844">
      <c r="A1844" s="113" t="s">
        <v>610</v>
      </c>
      <c r="J1844" s="108" t="str">
        <f t="shared" si="6"/>
        <v>2024</v>
      </c>
      <c r="K1844" s="110">
        <f t="shared" si="7"/>
        <v>5</v>
      </c>
      <c r="L1844" s="108" t="str">
        <f t="shared" si="8"/>
        <v>2024-Q2</v>
      </c>
      <c r="M1844" s="111" t="str">
        <f t="shared" si="9"/>
        <v>2024-05</v>
      </c>
      <c r="N1844" s="112" t="str">
        <f t="shared" si="10"/>
        <v>2024-H1</v>
      </c>
    </row>
    <row r="1845">
      <c r="A1845" s="113" t="s">
        <v>610</v>
      </c>
      <c r="J1845" s="108" t="str">
        <f t="shared" si="6"/>
        <v>2024</v>
      </c>
      <c r="K1845" s="110">
        <f t="shared" si="7"/>
        <v>5</v>
      </c>
      <c r="L1845" s="108" t="str">
        <f t="shared" si="8"/>
        <v>2024-Q2</v>
      </c>
      <c r="M1845" s="111" t="str">
        <f t="shared" si="9"/>
        <v>2024-05</v>
      </c>
      <c r="N1845" s="112" t="str">
        <f t="shared" si="10"/>
        <v>2024-H1</v>
      </c>
    </row>
    <row r="1846">
      <c r="A1846" s="113" t="s">
        <v>610</v>
      </c>
      <c r="J1846" s="108" t="str">
        <f t="shared" si="6"/>
        <v>2024</v>
      </c>
      <c r="K1846" s="110">
        <f t="shared" si="7"/>
        <v>5</v>
      </c>
      <c r="L1846" s="108" t="str">
        <f t="shared" si="8"/>
        <v>2024-Q2</v>
      </c>
      <c r="M1846" s="111" t="str">
        <f t="shared" si="9"/>
        <v>2024-05</v>
      </c>
      <c r="N1846" s="112" t="str">
        <f t="shared" si="10"/>
        <v>2024-H1</v>
      </c>
    </row>
    <row r="1847">
      <c r="A1847" s="113" t="s">
        <v>610</v>
      </c>
      <c r="J1847" s="108" t="str">
        <f t="shared" si="6"/>
        <v>2024</v>
      </c>
      <c r="K1847" s="110">
        <f t="shared" si="7"/>
        <v>5</v>
      </c>
      <c r="L1847" s="108" t="str">
        <f t="shared" si="8"/>
        <v>2024-Q2</v>
      </c>
      <c r="M1847" s="111" t="str">
        <f t="shared" si="9"/>
        <v>2024-05</v>
      </c>
      <c r="N1847" s="112" t="str">
        <f t="shared" si="10"/>
        <v>2024-H1</v>
      </c>
    </row>
    <row r="1848">
      <c r="A1848" s="113" t="s">
        <v>610</v>
      </c>
      <c r="J1848" s="108" t="str">
        <f t="shared" si="6"/>
        <v>2024</v>
      </c>
      <c r="K1848" s="110">
        <f t="shared" si="7"/>
        <v>5</v>
      </c>
      <c r="L1848" s="108" t="str">
        <f t="shared" si="8"/>
        <v>2024-Q2</v>
      </c>
      <c r="M1848" s="111" t="str">
        <f t="shared" si="9"/>
        <v>2024-05</v>
      </c>
      <c r="N1848" s="112" t="str">
        <f t="shared" si="10"/>
        <v>2024-H1</v>
      </c>
    </row>
    <row r="1849">
      <c r="A1849" s="113" t="s">
        <v>610</v>
      </c>
      <c r="J1849" s="108" t="str">
        <f t="shared" si="6"/>
        <v>2024</v>
      </c>
      <c r="K1849" s="110">
        <f t="shared" si="7"/>
        <v>5</v>
      </c>
      <c r="L1849" s="108" t="str">
        <f t="shared" si="8"/>
        <v>2024-Q2</v>
      </c>
      <c r="M1849" s="111" t="str">
        <f t="shared" si="9"/>
        <v>2024-05</v>
      </c>
      <c r="N1849" s="112" t="str">
        <f t="shared" si="10"/>
        <v>2024-H1</v>
      </c>
    </row>
    <row r="1850">
      <c r="A1850" s="113" t="s">
        <v>610</v>
      </c>
      <c r="J1850" s="108" t="str">
        <f t="shared" si="6"/>
        <v>2024</v>
      </c>
      <c r="K1850" s="110">
        <f t="shared" si="7"/>
        <v>5</v>
      </c>
      <c r="L1850" s="108" t="str">
        <f t="shared" si="8"/>
        <v>2024-Q2</v>
      </c>
      <c r="M1850" s="111" t="str">
        <f t="shared" si="9"/>
        <v>2024-05</v>
      </c>
      <c r="N1850" s="112" t="str">
        <f t="shared" si="10"/>
        <v>2024-H1</v>
      </c>
    </row>
    <row r="1851">
      <c r="A1851" s="113" t="s">
        <v>610</v>
      </c>
      <c r="J1851" s="108" t="str">
        <f t="shared" si="6"/>
        <v>2024</v>
      </c>
      <c r="K1851" s="110">
        <f t="shared" si="7"/>
        <v>5</v>
      </c>
      <c r="L1851" s="108" t="str">
        <f t="shared" si="8"/>
        <v>2024-Q2</v>
      </c>
      <c r="M1851" s="111" t="str">
        <f t="shared" si="9"/>
        <v>2024-05</v>
      </c>
      <c r="N1851" s="112" t="str">
        <f t="shared" si="10"/>
        <v>2024-H1</v>
      </c>
    </row>
    <row r="1852">
      <c r="A1852" s="113" t="s">
        <v>610</v>
      </c>
      <c r="J1852" s="108" t="str">
        <f t="shared" si="6"/>
        <v>2024</v>
      </c>
      <c r="K1852" s="110">
        <f t="shared" si="7"/>
        <v>5</v>
      </c>
      <c r="L1852" s="108" t="str">
        <f t="shared" si="8"/>
        <v>2024-Q2</v>
      </c>
      <c r="M1852" s="111" t="str">
        <f t="shared" si="9"/>
        <v>2024-05</v>
      </c>
      <c r="N1852" s="112" t="str">
        <f t="shared" si="10"/>
        <v>2024-H1</v>
      </c>
    </row>
    <row r="1853">
      <c r="A1853" s="113" t="s">
        <v>610</v>
      </c>
      <c r="J1853" s="108" t="str">
        <f t="shared" si="6"/>
        <v>2024</v>
      </c>
      <c r="K1853" s="110">
        <f t="shared" si="7"/>
        <v>5</v>
      </c>
      <c r="L1853" s="108" t="str">
        <f t="shared" si="8"/>
        <v>2024-Q2</v>
      </c>
      <c r="M1853" s="111" t="str">
        <f t="shared" si="9"/>
        <v>2024-05</v>
      </c>
      <c r="N1853" s="112" t="str">
        <f t="shared" si="10"/>
        <v>2024-H1</v>
      </c>
    </row>
    <row r="1854">
      <c r="A1854" s="113" t="s">
        <v>610</v>
      </c>
      <c r="J1854" s="108" t="str">
        <f t="shared" si="6"/>
        <v>2024</v>
      </c>
      <c r="K1854" s="110">
        <f t="shared" si="7"/>
        <v>5</v>
      </c>
      <c r="L1854" s="108" t="str">
        <f t="shared" si="8"/>
        <v>2024-Q2</v>
      </c>
      <c r="M1854" s="111" t="str">
        <f t="shared" si="9"/>
        <v>2024-05</v>
      </c>
      <c r="N1854" s="112" t="str">
        <f t="shared" si="10"/>
        <v>2024-H1</v>
      </c>
    </row>
    <row r="1855">
      <c r="A1855" s="113" t="s">
        <v>610</v>
      </c>
      <c r="J1855" s="108" t="str">
        <f t="shared" si="6"/>
        <v>2024</v>
      </c>
      <c r="K1855" s="110">
        <f t="shared" si="7"/>
        <v>5</v>
      </c>
      <c r="L1855" s="108" t="str">
        <f t="shared" si="8"/>
        <v>2024-Q2</v>
      </c>
      <c r="M1855" s="111" t="str">
        <f t="shared" si="9"/>
        <v>2024-05</v>
      </c>
      <c r="N1855" s="112" t="str">
        <f t="shared" si="10"/>
        <v>2024-H1</v>
      </c>
    </row>
    <row r="1856">
      <c r="A1856" s="113" t="s">
        <v>610</v>
      </c>
      <c r="J1856" s="108" t="str">
        <f t="shared" si="6"/>
        <v>2024</v>
      </c>
      <c r="K1856" s="110">
        <f t="shared" si="7"/>
        <v>5</v>
      </c>
      <c r="L1856" s="108" t="str">
        <f t="shared" si="8"/>
        <v>2024-Q2</v>
      </c>
      <c r="M1856" s="111" t="str">
        <f t="shared" si="9"/>
        <v>2024-05</v>
      </c>
      <c r="N1856" s="112" t="str">
        <f t="shared" si="10"/>
        <v>2024-H1</v>
      </c>
    </row>
    <row r="1857">
      <c r="A1857" s="113" t="s">
        <v>610</v>
      </c>
      <c r="J1857" s="108" t="str">
        <f t="shared" si="6"/>
        <v>2024</v>
      </c>
      <c r="K1857" s="110">
        <f t="shared" si="7"/>
        <v>5</v>
      </c>
      <c r="L1857" s="108" t="str">
        <f t="shared" si="8"/>
        <v>2024-Q2</v>
      </c>
      <c r="M1857" s="111" t="str">
        <f t="shared" si="9"/>
        <v>2024-05</v>
      </c>
      <c r="N1857" s="112" t="str">
        <f t="shared" si="10"/>
        <v>2024-H1</v>
      </c>
    </row>
    <row r="1858">
      <c r="A1858" s="113" t="s">
        <v>610</v>
      </c>
      <c r="J1858" s="108" t="str">
        <f t="shared" si="6"/>
        <v>2024</v>
      </c>
      <c r="K1858" s="110">
        <f t="shared" si="7"/>
        <v>5</v>
      </c>
      <c r="L1858" s="108" t="str">
        <f t="shared" si="8"/>
        <v>2024-Q2</v>
      </c>
      <c r="M1858" s="111" t="str">
        <f t="shared" si="9"/>
        <v>2024-05</v>
      </c>
      <c r="N1858" s="112" t="str">
        <f t="shared" si="10"/>
        <v>2024-H1</v>
      </c>
    </row>
    <row r="1859">
      <c r="A1859" s="113" t="s">
        <v>610</v>
      </c>
      <c r="J1859" s="108" t="str">
        <f t="shared" si="6"/>
        <v>2024</v>
      </c>
      <c r="K1859" s="110">
        <f t="shared" si="7"/>
        <v>5</v>
      </c>
      <c r="L1859" s="108" t="str">
        <f t="shared" si="8"/>
        <v>2024-Q2</v>
      </c>
      <c r="M1859" s="111" t="str">
        <f t="shared" si="9"/>
        <v>2024-05</v>
      </c>
      <c r="N1859" s="112" t="str">
        <f t="shared" si="10"/>
        <v>2024-H1</v>
      </c>
    </row>
    <row r="1860">
      <c r="A1860" s="113" t="s">
        <v>610</v>
      </c>
      <c r="J1860" s="108" t="str">
        <f t="shared" si="6"/>
        <v>2024</v>
      </c>
      <c r="K1860" s="110">
        <f t="shared" si="7"/>
        <v>5</v>
      </c>
      <c r="L1860" s="108" t="str">
        <f t="shared" si="8"/>
        <v>2024-Q2</v>
      </c>
      <c r="M1860" s="111" t="str">
        <f t="shared" si="9"/>
        <v>2024-05</v>
      </c>
      <c r="N1860" s="112" t="str">
        <f t="shared" si="10"/>
        <v>2024-H1</v>
      </c>
    </row>
    <row r="1861">
      <c r="A1861" s="113" t="s">
        <v>610</v>
      </c>
      <c r="J1861" s="108" t="str">
        <f t="shared" si="6"/>
        <v>2024</v>
      </c>
      <c r="K1861" s="110">
        <f t="shared" si="7"/>
        <v>5</v>
      </c>
      <c r="L1861" s="108" t="str">
        <f t="shared" si="8"/>
        <v>2024-Q2</v>
      </c>
      <c r="M1861" s="111" t="str">
        <f t="shared" si="9"/>
        <v>2024-05</v>
      </c>
      <c r="N1861" s="112" t="str">
        <f t="shared" si="10"/>
        <v>2024-H1</v>
      </c>
    </row>
    <row r="1862">
      <c r="A1862" s="113" t="s">
        <v>610</v>
      </c>
      <c r="J1862" s="108" t="str">
        <f t="shared" si="6"/>
        <v>2024</v>
      </c>
      <c r="K1862" s="110">
        <f t="shared" si="7"/>
        <v>5</v>
      </c>
      <c r="L1862" s="108" t="str">
        <f t="shared" si="8"/>
        <v>2024-Q2</v>
      </c>
      <c r="M1862" s="111" t="str">
        <f t="shared" si="9"/>
        <v>2024-05</v>
      </c>
      <c r="N1862" s="112" t="str">
        <f t="shared" si="10"/>
        <v>2024-H1</v>
      </c>
    </row>
    <row r="1863">
      <c r="A1863" s="113" t="s">
        <v>610</v>
      </c>
      <c r="J1863" s="108" t="str">
        <f t="shared" si="6"/>
        <v>2024</v>
      </c>
      <c r="K1863" s="110">
        <f t="shared" si="7"/>
        <v>7</v>
      </c>
      <c r="L1863" s="108" t="str">
        <f t="shared" si="8"/>
        <v>2024-Q3</v>
      </c>
      <c r="M1863" s="111" t="str">
        <f t="shared" si="9"/>
        <v>2024-07</v>
      </c>
      <c r="N1863" s="112" t="str">
        <f t="shared" si="10"/>
        <v>2024-H2</v>
      </c>
    </row>
    <row r="1864">
      <c r="A1864" s="113" t="s">
        <v>610</v>
      </c>
      <c r="J1864" s="108" t="str">
        <f t="shared" si="6"/>
        <v>2024</v>
      </c>
      <c r="K1864" s="110">
        <f t="shared" si="7"/>
        <v>5</v>
      </c>
      <c r="L1864" s="108" t="str">
        <f t="shared" si="8"/>
        <v>2024-Q2</v>
      </c>
      <c r="M1864" s="111" t="str">
        <f t="shared" si="9"/>
        <v>2024-05</v>
      </c>
      <c r="N1864" s="112" t="str">
        <f t="shared" si="10"/>
        <v>2024-H1</v>
      </c>
    </row>
    <row r="1865">
      <c r="A1865" s="113" t="s">
        <v>610</v>
      </c>
      <c r="J1865" s="108" t="str">
        <f t="shared" si="6"/>
        <v>2024</v>
      </c>
      <c r="K1865" s="110">
        <f t="shared" si="7"/>
        <v>6</v>
      </c>
      <c r="L1865" s="108" t="str">
        <f t="shared" si="8"/>
        <v>2024-Q2</v>
      </c>
      <c r="M1865" s="111" t="str">
        <f t="shared" si="9"/>
        <v>2024-06</v>
      </c>
      <c r="N1865" s="112" t="str">
        <f t="shared" si="10"/>
        <v>2024-H1</v>
      </c>
    </row>
    <row r="1866">
      <c r="A1866" s="113" t="s">
        <v>610</v>
      </c>
      <c r="J1866" s="108" t="str">
        <f t="shared" si="6"/>
        <v>2024</v>
      </c>
      <c r="K1866" s="110">
        <f t="shared" si="7"/>
        <v>5</v>
      </c>
      <c r="L1866" s="108" t="str">
        <f t="shared" si="8"/>
        <v>2024-Q2</v>
      </c>
      <c r="M1866" s="111" t="str">
        <f t="shared" si="9"/>
        <v>2024-05</v>
      </c>
      <c r="N1866" s="112" t="str">
        <f t="shared" si="10"/>
        <v>2024-H1</v>
      </c>
    </row>
    <row r="1867">
      <c r="A1867" s="113" t="s">
        <v>610</v>
      </c>
      <c r="J1867" s="108" t="str">
        <f t="shared" si="6"/>
        <v>2024</v>
      </c>
      <c r="K1867" s="110">
        <f t="shared" si="7"/>
        <v>5</v>
      </c>
      <c r="L1867" s="108" t="str">
        <f t="shared" si="8"/>
        <v>2024-Q2</v>
      </c>
      <c r="M1867" s="111" t="str">
        <f t="shared" si="9"/>
        <v>2024-05</v>
      </c>
      <c r="N1867" s="112" t="str">
        <f t="shared" si="10"/>
        <v>2024-H1</v>
      </c>
    </row>
    <row r="1868">
      <c r="A1868" s="113" t="s">
        <v>610</v>
      </c>
      <c r="J1868" s="108" t="str">
        <f t="shared" si="6"/>
        <v>2024</v>
      </c>
      <c r="K1868" s="110">
        <f t="shared" si="7"/>
        <v>5</v>
      </c>
      <c r="L1868" s="108" t="str">
        <f t="shared" si="8"/>
        <v>2024-Q2</v>
      </c>
      <c r="M1868" s="111" t="str">
        <f t="shared" si="9"/>
        <v>2024-05</v>
      </c>
      <c r="N1868" s="112" t="str">
        <f t="shared" si="10"/>
        <v>2024-H1</v>
      </c>
    </row>
    <row r="1869">
      <c r="A1869" s="113" t="s">
        <v>610</v>
      </c>
      <c r="J1869" s="108" t="str">
        <f t="shared" si="6"/>
        <v>2024</v>
      </c>
      <c r="K1869" s="110">
        <f t="shared" si="7"/>
        <v>5</v>
      </c>
      <c r="L1869" s="108" t="str">
        <f t="shared" si="8"/>
        <v>2024-Q2</v>
      </c>
      <c r="M1869" s="111" t="str">
        <f t="shared" si="9"/>
        <v>2024-05</v>
      </c>
      <c r="N1869" s="112" t="str">
        <f t="shared" si="10"/>
        <v>2024-H1</v>
      </c>
    </row>
    <row r="1870">
      <c r="A1870" s="113" t="s">
        <v>610</v>
      </c>
      <c r="J1870" s="108" t="str">
        <f t="shared" si="6"/>
        <v>2024</v>
      </c>
      <c r="K1870" s="110">
        <f t="shared" si="7"/>
        <v>5</v>
      </c>
      <c r="L1870" s="108" t="str">
        <f t="shared" si="8"/>
        <v>2024-Q2</v>
      </c>
      <c r="M1870" s="111" t="str">
        <f t="shared" si="9"/>
        <v>2024-05</v>
      </c>
      <c r="N1870" s="112" t="str">
        <f t="shared" si="10"/>
        <v>2024-H1</v>
      </c>
    </row>
    <row r="1871">
      <c r="A1871" s="113" t="s">
        <v>610</v>
      </c>
      <c r="J1871" s="108" t="str">
        <f t="shared" si="6"/>
        <v>2024</v>
      </c>
      <c r="K1871" s="110">
        <f t="shared" si="7"/>
        <v>5</v>
      </c>
      <c r="L1871" s="108" t="str">
        <f t="shared" si="8"/>
        <v>2024-Q2</v>
      </c>
      <c r="M1871" s="111" t="str">
        <f t="shared" si="9"/>
        <v>2024-05</v>
      </c>
      <c r="N1871" s="112" t="str">
        <f t="shared" si="10"/>
        <v>2024-H1</v>
      </c>
    </row>
    <row r="1872">
      <c r="A1872" s="113" t="s">
        <v>610</v>
      </c>
      <c r="J1872" s="108" t="str">
        <f t="shared" si="6"/>
        <v>2024</v>
      </c>
      <c r="K1872" s="110">
        <f t="shared" si="7"/>
        <v>5</v>
      </c>
      <c r="L1872" s="108" t="str">
        <f t="shared" si="8"/>
        <v>2024-Q2</v>
      </c>
      <c r="M1872" s="111" t="str">
        <f t="shared" si="9"/>
        <v>2024-05</v>
      </c>
      <c r="N1872" s="112" t="str">
        <f t="shared" si="10"/>
        <v>2024-H1</v>
      </c>
    </row>
    <row r="1873">
      <c r="A1873" s="113" t="s">
        <v>610</v>
      </c>
      <c r="J1873" s="108" t="str">
        <f t="shared" si="6"/>
        <v>2024</v>
      </c>
      <c r="K1873" s="110">
        <f t="shared" si="7"/>
        <v>5</v>
      </c>
      <c r="L1873" s="108" t="str">
        <f t="shared" si="8"/>
        <v>2024-Q2</v>
      </c>
      <c r="M1873" s="111" t="str">
        <f t="shared" si="9"/>
        <v>2024-05</v>
      </c>
      <c r="N1873" s="112" t="str">
        <f t="shared" si="10"/>
        <v>2024-H1</v>
      </c>
    </row>
    <row r="1874">
      <c r="A1874" s="113" t="s">
        <v>610</v>
      </c>
      <c r="J1874" s="108" t="str">
        <f t="shared" si="6"/>
        <v>2024</v>
      </c>
      <c r="K1874" s="110">
        <f t="shared" si="7"/>
        <v>6</v>
      </c>
      <c r="L1874" s="108" t="str">
        <f t="shared" si="8"/>
        <v>2024-Q2</v>
      </c>
      <c r="M1874" s="111" t="str">
        <f t="shared" si="9"/>
        <v>2024-06</v>
      </c>
      <c r="N1874" s="112" t="str">
        <f t="shared" si="10"/>
        <v>2024-H1</v>
      </c>
    </row>
    <row r="1875">
      <c r="A1875" s="113" t="s">
        <v>610</v>
      </c>
      <c r="J1875" s="108" t="str">
        <f t="shared" si="6"/>
        <v>2024</v>
      </c>
      <c r="K1875" s="110">
        <f t="shared" si="7"/>
        <v>8</v>
      </c>
      <c r="L1875" s="108" t="str">
        <f t="shared" si="8"/>
        <v>2024-Q3</v>
      </c>
      <c r="M1875" s="111" t="str">
        <f t="shared" si="9"/>
        <v>2024-08</v>
      </c>
      <c r="N1875" s="112" t="str">
        <f t="shared" si="10"/>
        <v>2024-H2</v>
      </c>
    </row>
    <row r="1876">
      <c r="A1876" s="113" t="s">
        <v>610</v>
      </c>
      <c r="J1876" s="108" t="str">
        <f t="shared" si="6"/>
        <v>2024</v>
      </c>
      <c r="K1876" s="110">
        <f t="shared" si="7"/>
        <v>5</v>
      </c>
      <c r="L1876" s="108" t="str">
        <f t="shared" si="8"/>
        <v>2024-Q2</v>
      </c>
      <c r="M1876" s="111" t="str">
        <f t="shared" si="9"/>
        <v>2024-05</v>
      </c>
      <c r="N1876" s="112" t="str">
        <f t="shared" si="10"/>
        <v>2024-H1</v>
      </c>
    </row>
    <row r="1877">
      <c r="A1877" s="113" t="s">
        <v>610</v>
      </c>
      <c r="J1877" s="108" t="str">
        <f t="shared" si="6"/>
        <v>2024</v>
      </c>
      <c r="K1877" s="110">
        <f t="shared" si="7"/>
        <v>5</v>
      </c>
      <c r="L1877" s="108" t="str">
        <f t="shared" si="8"/>
        <v>2024-Q2</v>
      </c>
      <c r="M1877" s="111" t="str">
        <f t="shared" si="9"/>
        <v>2024-05</v>
      </c>
      <c r="N1877" s="112" t="str">
        <f t="shared" si="10"/>
        <v>2024-H1</v>
      </c>
    </row>
    <row r="1878">
      <c r="A1878" s="113" t="s">
        <v>610</v>
      </c>
      <c r="J1878" s="108" t="str">
        <f t="shared" si="6"/>
        <v>2024</v>
      </c>
      <c r="K1878" s="110">
        <f t="shared" si="7"/>
        <v>5</v>
      </c>
      <c r="L1878" s="108" t="str">
        <f t="shared" si="8"/>
        <v>2024-Q2</v>
      </c>
      <c r="M1878" s="111" t="str">
        <f t="shared" si="9"/>
        <v>2024-05</v>
      </c>
      <c r="N1878" s="112" t="str">
        <f t="shared" si="10"/>
        <v>2024-H1</v>
      </c>
    </row>
    <row r="1879">
      <c r="A1879" s="113" t="s">
        <v>610</v>
      </c>
      <c r="J1879" s="108" t="str">
        <f t="shared" si="6"/>
        <v>2024</v>
      </c>
      <c r="K1879" s="110">
        <f t="shared" si="7"/>
        <v>5</v>
      </c>
      <c r="L1879" s="108" t="str">
        <f t="shared" si="8"/>
        <v>2024-Q2</v>
      </c>
      <c r="M1879" s="111" t="str">
        <f t="shared" si="9"/>
        <v>2024-05</v>
      </c>
      <c r="N1879" s="112" t="str">
        <f t="shared" si="10"/>
        <v>2024-H1</v>
      </c>
    </row>
    <row r="1880">
      <c r="A1880" s="113" t="s">
        <v>610</v>
      </c>
      <c r="J1880" s="108" t="str">
        <f t="shared" si="6"/>
        <v>2024</v>
      </c>
      <c r="K1880" s="110">
        <f t="shared" si="7"/>
        <v>5</v>
      </c>
      <c r="L1880" s="108" t="str">
        <f t="shared" si="8"/>
        <v>2024-Q2</v>
      </c>
      <c r="M1880" s="111" t="str">
        <f t="shared" si="9"/>
        <v>2024-05</v>
      </c>
      <c r="N1880" s="112" t="str">
        <f t="shared" si="10"/>
        <v>2024-H1</v>
      </c>
    </row>
    <row r="1881">
      <c r="A1881" s="113" t="s">
        <v>610</v>
      </c>
      <c r="J1881" s="108" t="str">
        <f t="shared" si="6"/>
        <v>2024</v>
      </c>
      <c r="K1881" s="110">
        <f t="shared" si="7"/>
        <v>5</v>
      </c>
      <c r="L1881" s="108" t="str">
        <f t="shared" si="8"/>
        <v>2024-Q2</v>
      </c>
      <c r="M1881" s="111" t="str">
        <f t="shared" si="9"/>
        <v>2024-05</v>
      </c>
      <c r="N1881" s="112" t="str">
        <f t="shared" si="10"/>
        <v>2024-H1</v>
      </c>
    </row>
    <row r="1882">
      <c r="A1882" s="113" t="s">
        <v>610</v>
      </c>
      <c r="J1882" s="108" t="str">
        <f t="shared" si="6"/>
        <v>2024</v>
      </c>
      <c r="K1882" s="110">
        <f t="shared" si="7"/>
        <v>5</v>
      </c>
      <c r="L1882" s="108" t="str">
        <f t="shared" si="8"/>
        <v>2024-Q2</v>
      </c>
      <c r="M1882" s="111" t="str">
        <f t="shared" si="9"/>
        <v>2024-05</v>
      </c>
      <c r="N1882" s="112" t="str">
        <f t="shared" si="10"/>
        <v>2024-H1</v>
      </c>
    </row>
    <row r="1883">
      <c r="A1883" s="113" t="s">
        <v>610</v>
      </c>
      <c r="J1883" s="108" t="str">
        <f t="shared" si="6"/>
        <v>2024</v>
      </c>
      <c r="K1883" s="110">
        <f t="shared" si="7"/>
        <v>5</v>
      </c>
      <c r="L1883" s="108" t="str">
        <f t="shared" si="8"/>
        <v>2024-Q2</v>
      </c>
      <c r="M1883" s="111" t="str">
        <f t="shared" si="9"/>
        <v>2024-05</v>
      </c>
      <c r="N1883" s="112" t="str">
        <f t="shared" si="10"/>
        <v>2024-H1</v>
      </c>
    </row>
    <row r="1884">
      <c r="A1884" s="113" t="s">
        <v>610</v>
      </c>
      <c r="J1884" s="108" t="str">
        <f t="shared" si="6"/>
        <v>2024</v>
      </c>
      <c r="K1884" s="110">
        <f t="shared" si="7"/>
        <v>5</v>
      </c>
      <c r="L1884" s="108" t="str">
        <f t="shared" si="8"/>
        <v>2024-Q2</v>
      </c>
      <c r="M1884" s="111" t="str">
        <f t="shared" si="9"/>
        <v>2024-05</v>
      </c>
      <c r="N1884" s="112" t="str">
        <f t="shared" si="10"/>
        <v>2024-H1</v>
      </c>
    </row>
    <row r="1885">
      <c r="A1885" s="113" t="s">
        <v>610</v>
      </c>
      <c r="J1885" s="108" t="str">
        <f t="shared" si="6"/>
        <v>2024</v>
      </c>
      <c r="K1885" s="110">
        <f t="shared" si="7"/>
        <v>5</v>
      </c>
      <c r="L1885" s="108" t="str">
        <f t="shared" si="8"/>
        <v>2024-Q2</v>
      </c>
      <c r="M1885" s="111" t="str">
        <f t="shared" si="9"/>
        <v>2024-05</v>
      </c>
      <c r="N1885" s="112" t="str">
        <f t="shared" si="10"/>
        <v>2024-H1</v>
      </c>
    </row>
    <row r="1886">
      <c r="A1886" s="113" t="s">
        <v>610</v>
      </c>
      <c r="J1886" s="108" t="str">
        <f t="shared" si="6"/>
        <v>2024</v>
      </c>
      <c r="K1886" s="110">
        <f t="shared" si="7"/>
        <v>5</v>
      </c>
      <c r="L1886" s="108" t="str">
        <f t="shared" si="8"/>
        <v>2024-Q2</v>
      </c>
      <c r="M1886" s="111" t="str">
        <f t="shared" si="9"/>
        <v>2024-05</v>
      </c>
      <c r="N1886" s="112" t="str">
        <f t="shared" si="10"/>
        <v>2024-H1</v>
      </c>
    </row>
    <row r="1887">
      <c r="A1887" s="113" t="s">
        <v>610</v>
      </c>
      <c r="J1887" s="108" t="str">
        <f t="shared" si="6"/>
        <v>2024</v>
      </c>
      <c r="K1887" s="110">
        <f t="shared" si="7"/>
        <v>5</v>
      </c>
      <c r="L1887" s="108" t="str">
        <f t="shared" si="8"/>
        <v>2024-Q2</v>
      </c>
      <c r="M1887" s="111" t="str">
        <f t="shared" si="9"/>
        <v>2024-05</v>
      </c>
      <c r="N1887" s="112" t="str">
        <f t="shared" si="10"/>
        <v>2024-H1</v>
      </c>
    </row>
    <row r="1888">
      <c r="A1888" s="113" t="s">
        <v>610</v>
      </c>
      <c r="J1888" s="108" t="str">
        <f t="shared" si="6"/>
        <v>2024</v>
      </c>
      <c r="K1888" s="110">
        <f t="shared" si="7"/>
        <v>5</v>
      </c>
      <c r="L1888" s="108" t="str">
        <f t="shared" si="8"/>
        <v>2024-Q2</v>
      </c>
      <c r="M1888" s="111" t="str">
        <f t="shared" si="9"/>
        <v>2024-05</v>
      </c>
      <c r="N1888" s="112" t="str">
        <f t="shared" si="10"/>
        <v>2024-H1</v>
      </c>
    </row>
    <row r="1889">
      <c r="A1889" s="113" t="s">
        <v>610</v>
      </c>
      <c r="J1889" s="108" t="str">
        <f t="shared" si="6"/>
        <v>2024</v>
      </c>
      <c r="K1889" s="110">
        <f t="shared" si="7"/>
        <v>5</v>
      </c>
      <c r="L1889" s="108" t="str">
        <f t="shared" si="8"/>
        <v>2024-Q2</v>
      </c>
      <c r="M1889" s="111" t="str">
        <f t="shared" si="9"/>
        <v>2024-05</v>
      </c>
      <c r="N1889" s="112" t="str">
        <f t="shared" si="10"/>
        <v>2024-H1</v>
      </c>
    </row>
    <row r="1890">
      <c r="A1890" s="113" t="s">
        <v>610</v>
      </c>
      <c r="J1890" s="108" t="str">
        <f t="shared" si="6"/>
        <v>2024</v>
      </c>
      <c r="K1890" s="110">
        <f t="shared" si="7"/>
        <v>5</v>
      </c>
      <c r="L1890" s="108" t="str">
        <f t="shared" si="8"/>
        <v>2024-Q2</v>
      </c>
      <c r="M1890" s="111" t="str">
        <f t="shared" si="9"/>
        <v>2024-05</v>
      </c>
      <c r="N1890" s="112" t="str">
        <f t="shared" si="10"/>
        <v>2024-H1</v>
      </c>
    </row>
    <row r="1891">
      <c r="A1891" s="113" t="s">
        <v>610</v>
      </c>
      <c r="J1891" s="108" t="str">
        <f t="shared" si="6"/>
        <v>2024</v>
      </c>
      <c r="K1891" s="110">
        <f t="shared" si="7"/>
        <v>5</v>
      </c>
      <c r="L1891" s="108" t="str">
        <f t="shared" si="8"/>
        <v>2024-Q2</v>
      </c>
      <c r="M1891" s="111" t="str">
        <f t="shared" si="9"/>
        <v>2024-05</v>
      </c>
      <c r="N1891" s="112" t="str">
        <f t="shared" si="10"/>
        <v>2024-H1</v>
      </c>
    </row>
    <row r="1892">
      <c r="A1892" s="113" t="s">
        <v>610</v>
      </c>
      <c r="J1892" s="108" t="str">
        <f t="shared" si="6"/>
        <v>2024</v>
      </c>
      <c r="K1892" s="110">
        <f t="shared" si="7"/>
        <v>5</v>
      </c>
      <c r="L1892" s="108" t="str">
        <f t="shared" si="8"/>
        <v>2024-Q2</v>
      </c>
      <c r="M1892" s="111" t="str">
        <f t="shared" si="9"/>
        <v>2024-05</v>
      </c>
      <c r="N1892" s="112" t="str">
        <f t="shared" si="10"/>
        <v>2024-H1</v>
      </c>
    </row>
    <row r="1893">
      <c r="A1893" s="113" t="s">
        <v>610</v>
      </c>
      <c r="J1893" s="108" t="str">
        <f t="shared" si="6"/>
        <v>2024</v>
      </c>
      <c r="K1893" s="110">
        <f t="shared" si="7"/>
        <v>5</v>
      </c>
      <c r="L1893" s="108" t="str">
        <f t="shared" si="8"/>
        <v>2024-Q2</v>
      </c>
      <c r="M1893" s="111" t="str">
        <f t="shared" si="9"/>
        <v>2024-05</v>
      </c>
      <c r="N1893" s="112" t="str">
        <f t="shared" si="10"/>
        <v>2024-H1</v>
      </c>
    </row>
    <row r="1894">
      <c r="A1894" s="113" t="s">
        <v>610</v>
      </c>
      <c r="J1894" s="108" t="str">
        <f t="shared" si="6"/>
        <v>2024</v>
      </c>
      <c r="K1894" s="110">
        <f t="shared" si="7"/>
        <v>6</v>
      </c>
      <c r="L1894" s="108" t="str">
        <f t="shared" si="8"/>
        <v>2024-Q2</v>
      </c>
      <c r="M1894" s="111" t="str">
        <f t="shared" si="9"/>
        <v>2024-06</v>
      </c>
      <c r="N1894" s="112" t="str">
        <f t="shared" si="10"/>
        <v>2024-H1</v>
      </c>
    </row>
    <row r="1895">
      <c r="A1895" s="113" t="s">
        <v>610</v>
      </c>
      <c r="J1895" s="108" t="str">
        <f t="shared" si="6"/>
        <v>2024</v>
      </c>
      <c r="K1895" s="110">
        <f t="shared" si="7"/>
        <v>5</v>
      </c>
      <c r="L1895" s="108" t="str">
        <f t="shared" si="8"/>
        <v>2024-Q2</v>
      </c>
      <c r="M1895" s="111" t="str">
        <f t="shared" si="9"/>
        <v>2024-05</v>
      </c>
      <c r="N1895" s="112" t="str">
        <f t="shared" si="10"/>
        <v>2024-H1</v>
      </c>
    </row>
    <row r="1896">
      <c r="A1896" s="113" t="s">
        <v>610</v>
      </c>
      <c r="J1896" s="108" t="str">
        <f t="shared" si="6"/>
        <v>2024</v>
      </c>
      <c r="K1896" s="110">
        <f t="shared" si="7"/>
        <v>5</v>
      </c>
      <c r="L1896" s="108" t="str">
        <f t="shared" si="8"/>
        <v>2024-Q2</v>
      </c>
      <c r="M1896" s="111" t="str">
        <f t="shared" si="9"/>
        <v>2024-05</v>
      </c>
      <c r="N1896" s="112" t="str">
        <f t="shared" si="10"/>
        <v>2024-H1</v>
      </c>
    </row>
    <row r="1897">
      <c r="A1897" s="113" t="s">
        <v>610</v>
      </c>
      <c r="J1897" s="108" t="str">
        <f t="shared" si="6"/>
        <v>2024</v>
      </c>
      <c r="K1897" s="110">
        <f t="shared" si="7"/>
        <v>5</v>
      </c>
      <c r="L1897" s="108" t="str">
        <f t="shared" si="8"/>
        <v>2024-Q2</v>
      </c>
      <c r="M1897" s="111" t="str">
        <f t="shared" si="9"/>
        <v>2024-05</v>
      </c>
      <c r="N1897" s="112" t="str">
        <f t="shared" si="10"/>
        <v>2024-H1</v>
      </c>
    </row>
    <row r="1898">
      <c r="A1898" s="113" t="s">
        <v>610</v>
      </c>
      <c r="J1898" s="108" t="str">
        <f t="shared" si="6"/>
        <v>2024</v>
      </c>
      <c r="K1898" s="110">
        <f t="shared" si="7"/>
        <v>6</v>
      </c>
      <c r="L1898" s="108" t="str">
        <f t="shared" si="8"/>
        <v>2024-Q2</v>
      </c>
      <c r="M1898" s="111" t="str">
        <f t="shared" si="9"/>
        <v>2024-06</v>
      </c>
      <c r="N1898" s="112" t="str">
        <f t="shared" si="10"/>
        <v>2024-H1</v>
      </c>
    </row>
    <row r="1899">
      <c r="A1899" s="113" t="s">
        <v>610</v>
      </c>
      <c r="J1899" s="108" t="str">
        <f t="shared" si="6"/>
        <v>2024</v>
      </c>
      <c r="K1899" s="110">
        <f t="shared" si="7"/>
        <v>6</v>
      </c>
      <c r="L1899" s="108" t="str">
        <f t="shared" si="8"/>
        <v>2024-Q2</v>
      </c>
      <c r="M1899" s="111" t="str">
        <f t="shared" si="9"/>
        <v>2024-06</v>
      </c>
      <c r="N1899" s="112" t="str">
        <f t="shared" si="10"/>
        <v>2024-H1</v>
      </c>
    </row>
    <row r="1900">
      <c r="A1900" s="113" t="s">
        <v>610</v>
      </c>
      <c r="J1900" s="108" t="str">
        <f t="shared" si="6"/>
        <v>2024</v>
      </c>
      <c r="K1900" s="110">
        <f t="shared" si="7"/>
        <v>6</v>
      </c>
      <c r="L1900" s="108" t="str">
        <f t="shared" si="8"/>
        <v>2024-Q2</v>
      </c>
      <c r="M1900" s="111" t="str">
        <f t="shared" si="9"/>
        <v>2024-06</v>
      </c>
      <c r="N1900" s="112" t="str">
        <f t="shared" si="10"/>
        <v>2024-H1</v>
      </c>
    </row>
    <row r="1901">
      <c r="A1901" s="113" t="s">
        <v>610</v>
      </c>
      <c r="J1901" s="108" t="str">
        <f t="shared" si="6"/>
        <v>2024</v>
      </c>
      <c r="K1901" s="110">
        <f t="shared" si="7"/>
        <v>6</v>
      </c>
      <c r="L1901" s="108" t="str">
        <f t="shared" si="8"/>
        <v>2024-Q2</v>
      </c>
      <c r="M1901" s="111" t="str">
        <f t="shared" si="9"/>
        <v>2024-06</v>
      </c>
      <c r="N1901" s="112" t="str">
        <f t="shared" si="10"/>
        <v>2024-H1</v>
      </c>
    </row>
    <row r="1902">
      <c r="A1902" s="113" t="s">
        <v>610</v>
      </c>
      <c r="J1902" s="108" t="str">
        <f t="shared" si="6"/>
        <v>2024</v>
      </c>
      <c r="K1902" s="110">
        <f t="shared" si="7"/>
        <v>6</v>
      </c>
      <c r="L1902" s="108" t="str">
        <f t="shared" si="8"/>
        <v>2024-Q2</v>
      </c>
      <c r="M1902" s="111" t="str">
        <f t="shared" si="9"/>
        <v>2024-06</v>
      </c>
      <c r="N1902" s="112" t="str">
        <f t="shared" si="10"/>
        <v>2024-H1</v>
      </c>
    </row>
    <row r="1903">
      <c r="A1903" s="113" t="s">
        <v>610</v>
      </c>
      <c r="J1903" s="108" t="str">
        <f t="shared" si="6"/>
        <v>2024</v>
      </c>
      <c r="K1903" s="110">
        <f t="shared" si="7"/>
        <v>6</v>
      </c>
      <c r="L1903" s="108" t="str">
        <f t="shared" si="8"/>
        <v>2024-Q2</v>
      </c>
      <c r="M1903" s="111" t="str">
        <f t="shared" si="9"/>
        <v>2024-06</v>
      </c>
      <c r="N1903" s="112" t="str">
        <f t="shared" si="10"/>
        <v>2024-H1</v>
      </c>
    </row>
    <row r="1904">
      <c r="A1904" s="113" t="s">
        <v>610</v>
      </c>
      <c r="J1904" s="108" t="str">
        <f t="shared" si="6"/>
        <v>2024</v>
      </c>
      <c r="K1904" s="110">
        <f t="shared" si="7"/>
        <v>6</v>
      </c>
      <c r="L1904" s="108" t="str">
        <f t="shared" si="8"/>
        <v>2024-Q2</v>
      </c>
      <c r="M1904" s="111" t="str">
        <f t="shared" si="9"/>
        <v>2024-06</v>
      </c>
      <c r="N1904" s="112" t="str">
        <f t="shared" si="10"/>
        <v>2024-H1</v>
      </c>
    </row>
    <row r="1905">
      <c r="A1905" s="113" t="s">
        <v>610</v>
      </c>
      <c r="J1905" s="108" t="str">
        <f t="shared" si="6"/>
        <v>2024</v>
      </c>
      <c r="K1905" s="110">
        <f t="shared" si="7"/>
        <v>6</v>
      </c>
      <c r="L1905" s="108" t="str">
        <f t="shared" si="8"/>
        <v>2024-Q2</v>
      </c>
      <c r="M1905" s="111" t="str">
        <f t="shared" si="9"/>
        <v>2024-06</v>
      </c>
      <c r="N1905" s="112" t="str">
        <f t="shared" si="10"/>
        <v>2024-H1</v>
      </c>
    </row>
    <row r="1906">
      <c r="A1906" s="113" t="s">
        <v>610</v>
      </c>
      <c r="J1906" s="108" t="str">
        <f t="shared" si="6"/>
        <v>2024</v>
      </c>
      <c r="K1906" s="110">
        <f t="shared" si="7"/>
        <v>6</v>
      </c>
      <c r="L1906" s="108" t="str">
        <f t="shared" si="8"/>
        <v>2024-Q2</v>
      </c>
      <c r="M1906" s="111" t="str">
        <f t="shared" si="9"/>
        <v>2024-06</v>
      </c>
      <c r="N1906" s="112" t="str">
        <f t="shared" si="10"/>
        <v>2024-H1</v>
      </c>
    </row>
    <row r="1907">
      <c r="A1907" s="113" t="s">
        <v>610</v>
      </c>
      <c r="J1907" s="108" t="str">
        <f t="shared" si="6"/>
        <v>2024</v>
      </c>
      <c r="K1907" s="110">
        <f t="shared" si="7"/>
        <v>6</v>
      </c>
      <c r="L1907" s="108" t="str">
        <f t="shared" si="8"/>
        <v>2024-Q2</v>
      </c>
      <c r="M1907" s="111" t="str">
        <f t="shared" si="9"/>
        <v>2024-06</v>
      </c>
      <c r="N1907" s="112" t="str">
        <f t="shared" si="10"/>
        <v>2024-H1</v>
      </c>
    </row>
    <row r="1908">
      <c r="A1908" s="113" t="s">
        <v>610</v>
      </c>
      <c r="J1908" s="108" t="str">
        <f t="shared" si="6"/>
        <v>2024</v>
      </c>
      <c r="K1908" s="110">
        <f t="shared" si="7"/>
        <v>6</v>
      </c>
      <c r="L1908" s="108" t="str">
        <f t="shared" si="8"/>
        <v>2024-Q2</v>
      </c>
      <c r="M1908" s="111" t="str">
        <f t="shared" si="9"/>
        <v>2024-06</v>
      </c>
      <c r="N1908" s="112" t="str">
        <f t="shared" si="10"/>
        <v>2024-H1</v>
      </c>
    </row>
    <row r="1909">
      <c r="A1909" s="113" t="s">
        <v>610</v>
      </c>
      <c r="J1909" s="108" t="str">
        <f t="shared" si="6"/>
        <v>2024</v>
      </c>
      <c r="K1909" s="110">
        <f t="shared" si="7"/>
        <v>6</v>
      </c>
      <c r="L1909" s="108" t="str">
        <f t="shared" si="8"/>
        <v>2024-Q2</v>
      </c>
      <c r="M1909" s="111" t="str">
        <f t="shared" si="9"/>
        <v>2024-06</v>
      </c>
      <c r="N1909" s="112" t="str">
        <f t="shared" si="10"/>
        <v>2024-H1</v>
      </c>
    </row>
    <row r="1910">
      <c r="A1910" s="113" t="s">
        <v>610</v>
      </c>
      <c r="J1910" s="108" t="str">
        <f t="shared" si="6"/>
        <v>2024</v>
      </c>
      <c r="K1910" s="110">
        <f t="shared" si="7"/>
        <v>6</v>
      </c>
      <c r="L1910" s="108" t="str">
        <f t="shared" si="8"/>
        <v>2024-Q2</v>
      </c>
      <c r="M1910" s="111" t="str">
        <f t="shared" si="9"/>
        <v>2024-06</v>
      </c>
      <c r="N1910" s="112" t="str">
        <f t="shared" si="10"/>
        <v>2024-H1</v>
      </c>
    </row>
    <row r="1911">
      <c r="A1911" s="113" t="s">
        <v>610</v>
      </c>
      <c r="J1911" s="108" t="str">
        <f t="shared" si="6"/>
        <v>2024</v>
      </c>
      <c r="K1911" s="110">
        <f t="shared" si="7"/>
        <v>6</v>
      </c>
      <c r="L1911" s="108" t="str">
        <f t="shared" si="8"/>
        <v>2024-Q2</v>
      </c>
      <c r="M1911" s="111" t="str">
        <f t="shared" si="9"/>
        <v>2024-06</v>
      </c>
      <c r="N1911" s="112" t="str">
        <f t="shared" si="10"/>
        <v>2024-H1</v>
      </c>
    </row>
    <row r="1912">
      <c r="A1912" s="113" t="s">
        <v>610</v>
      </c>
      <c r="J1912" s="108" t="str">
        <f t="shared" si="6"/>
        <v>2024</v>
      </c>
      <c r="K1912" s="110">
        <f t="shared" si="7"/>
        <v>7</v>
      </c>
      <c r="L1912" s="108" t="str">
        <f t="shared" si="8"/>
        <v>2024-Q3</v>
      </c>
      <c r="M1912" s="111" t="str">
        <f t="shared" si="9"/>
        <v>2024-07</v>
      </c>
      <c r="N1912" s="112" t="str">
        <f t="shared" si="10"/>
        <v>2024-H2</v>
      </c>
    </row>
    <row r="1913">
      <c r="A1913" s="113" t="s">
        <v>610</v>
      </c>
      <c r="J1913" s="108" t="str">
        <f t="shared" si="6"/>
        <v>2024</v>
      </c>
      <c r="K1913" s="110">
        <f t="shared" si="7"/>
        <v>6</v>
      </c>
      <c r="L1913" s="108" t="str">
        <f t="shared" si="8"/>
        <v>2024-Q2</v>
      </c>
      <c r="M1913" s="111" t="str">
        <f t="shared" si="9"/>
        <v>2024-06</v>
      </c>
      <c r="N1913" s="112" t="str">
        <f t="shared" si="10"/>
        <v>2024-H1</v>
      </c>
    </row>
    <row r="1914">
      <c r="A1914" s="113" t="s">
        <v>610</v>
      </c>
      <c r="J1914" s="108" t="str">
        <f t="shared" si="6"/>
        <v>2024</v>
      </c>
      <c r="K1914" s="110">
        <f t="shared" si="7"/>
        <v>6</v>
      </c>
      <c r="L1914" s="108" t="str">
        <f t="shared" si="8"/>
        <v>2024-Q2</v>
      </c>
      <c r="M1914" s="111" t="str">
        <f t="shared" si="9"/>
        <v>2024-06</v>
      </c>
      <c r="N1914" s="112" t="str">
        <f t="shared" si="10"/>
        <v>2024-H1</v>
      </c>
    </row>
    <row r="1915">
      <c r="A1915" s="113" t="s">
        <v>610</v>
      </c>
      <c r="J1915" s="108" t="str">
        <f t="shared" si="6"/>
        <v>2024</v>
      </c>
      <c r="K1915" s="110">
        <f t="shared" si="7"/>
        <v>6</v>
      </c>
      <c r="L1915" s="108" t="str">
        <f t="shared" si="8"/>
        <v>2024-Q2</v>
      </c>
      <c r="M1915" s="111" t="str">
        <f t="shared" si="9"/>
        <v>2024-06</v>
      </c>
      <c r="N1915" s="112" t="str">
        <f t="shared" si="10"/>
        <v>2024-H1</v>
      </c>
    </row>
    <row r="1916">
      <c r="A1916" s="113" t="s">
        <v>610</v>
      </c>
      <c r="J1916" s="108" t="str">
        <f t="shared" si="6"/>
        <v>2024</v>
      </c>
      <c r="K1916" s="110">
        <f t="shared" si="7"/>
        <v>6</v>
      </c>
      <c r="L1916" s="108" t="str">
        <f t="shared" si="8"/>
        <v>2024-Q2</v>
      </c>
      <c r="M1916" s="111" t="str">
        <f t="shared" si="9"/>
        <v>2024-06</v>
      </c>
      <c r="N1916" s="112" t="str">
        <f t="shared" si="10"/>
        <v>2024-H1</v>
      </c>
    </row>
    <row r="1917">
      <c r="A1917" s="113" t="s">
        <v>610</v>
      </c>
      <c r="J1917" s="108" t="str">
        <f t="shared" si="6"/>
        <v>2024</v>
      </c>
      <c r="K1917" s="110">
        <f t="shared" si="7"/>
        <v>6</v>
      </c>
      <c r="L1917" s="108" t="str">
        <f t="shared" si="8"/>
        <v>2024-Q2</v>
      </c>
      <c r="M1917" s="111" t="str">
        <f t="shared" si="9"/>
        <v>2024-06</v>
      </c>
      <c r="N1917" s="112" t="str">
        <f t="shared" si="10"/>
        <v>2024-H1</v>
      </c>
    </row>
    <row r="1918">
      <c r="A1918" s="113" t="s">
        <v>610</v>
      </c>
      <c r="J1918" s="108" t="str">
        <f t="shared" si="6"/>
        <v>2024</v>
      </c>
      <c r="K1918" s="110">
        <f t="shared" si="7"/>
        <v>6</v>
      </c>
      <c r="L1918" s="108" t="str">
        <f t="shared" si="8"/>
        <v>2024-Q2</v>
      </c>
      <c r="M1918" s="111" t="str">
        <f t="shared" si="9"/>
        <v>2024-06</v>
      </c>
      <c r="N1918" s="112" t="str">
        <f t="shared" si="10"/>
        <v>2024-H1</v>
      </c>
    </row>
    <row r="1919">
      <c r="A1919" s="113" t="s">
        <v>610</v>
      </c>
      <c r="J1919" s="108" t="str">
        <f t="shared" si="6"/>
        <v>2024</v>
      </c>
      <c r="K1919" s="110">
        <f t="shared" si="7"/>
        <v>6</v>
      </c>
      <c r="L1919" s="108" t="str">
        <f t="shared" si="8"/>
        <v>2024-Q2</v>
      </c>
      <c r="M1919" s="111" t="str">
        <f t="shared" si="9"/>
        <v>2024-06</v>
      </c>
      <c r="N1919" s="112" t="str">
        <f t="shared" si="10"/>
        <v>2024-H1</v>
      </c>
    </row>
    <row r="1920">
      <c r="A1920" s="113" t="s">
        <v>610</v>
      </c>
      <c r="J1920" s="108" t="str">
        <f t="shared" si="6"/>
        <v>2024</v>
      </c>
      <c r="K1920" s="110">
        <f t="shared" si="7"/>
        <v>6</v>
      </c>
      <c r="L1920" s="108" t="str">
        <f t="shared" si="8"/>
        <v>2024-Q2</v>
      </c>
      <c r="M1920" s="111" t="str">
        <f t="shared" si="9"/>
        <v>2024-06</v>
      </c>
      <c r="N1920" s="112" t="str">
        <f t="shared" si="10"/>
        <v>2024-H1</v>
      </c>
    </row>
    <row r="1921">
      <c r="A1921" s="113" t="s">
        <v>610</v>
      </c>
      <c r="J1921" s="108" t="str">
        <f t="shared" si="6"/>
        <v>2024</v>
      </c>
      <c r="K1921" s="110">
        <f t="shared" si="7"/>
        <v>6</v>
      </c>
      <c r="L1921" s="108" t="str">
        <f t="shared" si="8"/>
        <v>2024-Q2</v>
      </c>
      <c r="M1921" s="111" t="str">
        <f t="shared" si="9"/>
        <v>2024-06</v>
      </c>
      <c r="N1921" s="112" t="str">
        <f t="shared" si="10"/>
        <v>2024-H1</v>
      </c>
    </row>
    <row r="1922">
      <c r="A1922" s="113" t="s">
        <v>610</v>
      </c>
      <c r="J1922" s="108" t="str">
        <f t="shared" si="6"/>
        <v>2024</v>
      </c>
      <c r="K1922" s="110">
        <f t="shared" si="7"/>
        <v>6</v>
      </c>
      <c r="L1922" s="108" t="str">
        <f t="shared" si="8"/>
        <v>2024-Q2</v>
      </c>
      <c r="M1922" s="111" t="str">
        <f t="shared" si="9"/>
        <v>2024-06</v>
      </c>
      <c r="N1922" s="112" t="str">
        <f t="shared" si="10"/>
        <v>2024-H1</v>
      </c>
    </row>
    <row r="1923">
      <c r="A1923" s="113" t="s">
        <v>610</v>
      </c>
      <c r="J1923" s="108" t="str">
        <f t="shared" si="6"/>
        <v>2024</v>
      </c>
      <c r="K1923" s="110">
        <f t="shared" si="7"/>
        <v>6</v>
      </c>
      <c r="L1923" s="108" t="str">
        <f t="shared" si="8"/>
        <v>2024-Q2</v>
      </c>
      <c r="M1923" s="111" t="str">
        <f t="shared" si="9"/>
        <v>2024-06</v>
      </c>
      <c r="N1923" s="112" t="str">
        <f t="shared" si="10"/>
        <v>2024-H1</v>
      </c>
    </row>
    <row r="1924">
      <c r="A1924" s="113" t="s">
        <v>610</v>
      </c>
      <c r="J1924" s="108" t="str">
        <f t="shared" si="6"/>
        <v>2024</v>
      </c>
      <c r="K1924" s="110">
        <f t="shared" si="7"/>
        <v>6</v>
      </c>
      <c r="L1924" s="108" t="str">
        <f t="shared" si="8"/>
        <v>2024-Q2</v>
      </c>
      <c r="M1924" s="111" t="str">
        <f t="shared" si="9"/>
        <v>2024-06</v>
      </c>
      <c r="N1924" s="112" t="str">
        <f t="shared" si="10"/>
        <v>2024-H1</v>
      </c>
    </row>
    <row r="1925">
      <c r="A1925" s="113" t="s">
        <v>610</v>
      </c>
      <c r="J1925" s="108" t="str">
        <f t="shared" si="6"/>
        <v>2024</v>
      </c>
      <c r="K1925" s="110">
        <f t="shared" si="7"/>
        <v>6</v>
      </c>
      <c r="L1925" s="108" t="str">
        <f t="shared" si="8"/>
        <v>2024-Q2</v>
      </c>
      <c r="M1925" s="111" t="str">
        <f t="shared" si="9"/>
        <v>2024-06</v>
      </c>
      <c r="N1925" s="112" t="str">
        <f t="shared" si="10"/>
        <v>2024-H1</v>
      </c>
    </row>
    <row r="1926">
      <c r="A1926" s="113" t="s">
        <v>610</v>
      </c>
      <c r="J1926" s="108" t="str">
        <f t="shared" si="6"/>
        <v>2024</v>
      </c>
      <c r="K1926" s="110">
        <f t="shared" si="7"/>
        <v>6</v>
      </c>
      <c r="L1926" s="108" t="str">
        <f t="shared" si="8"/>
        <v>2024-Q2</v>
      </c>
      <c r="M1926" s="111" t="str">
        <f t="shared" si="9"/>
        <v>2024-06</v>
      </c>
      <c r="N1926" s="112" t="str">
        <f t="shared" si="10"/>
        <v>2024-H1</v>
      </c>
    </row>
    <row r="1927">
      <c r="A1927" s="113" t="s">
        <v>610</v>
      </c>
      <c r="J1927" s="108" t="str">
        <f t="shared" si="6"/>
        <v>2024</v>
      </c>
      <c r="K1927" s="110">
        <f t="shared" si="7"/>
        <v>6</v>
      </c>
      <c r="L1927" s="108" t="str">
        <f t="shared" si="8"/>
        <v>2024-Q2</v>
      </c>
      <c r="M1927" s="111" t="str">
        <f t="shared" si="9"/>
        <v>2024-06</v>
      </c>
      <c r="N1927" s="112" t="str">
        <f t="shared" si="10"/>
        <v>2024-H1</v>
      </c>
    </row>
    <row r="1928">
      <c r="A1928" s="113" t="s">
        <v>610</v>
      </c>
      <c r="J1928" s="108" t="str">
        <f t="shared" si="6"/>
        <v>2024</v>
      </c>
      <c r="K1928" s="110">
        <f t="shared" si="7"/>
        <v>6</v>
      </c>
      <c r="L1928" s="108" t="str">
        <f t="shared" si="8"/>
        <v>2024-Q2</v>
      </c>
      <c r="M1928" s="111" t="str">
        <f t="shared" si="9"/>
        <v>2024-06</v>
      </c>
      <c r="N1928" s="112" t="str">
        <f t="shared" si="10"/>
        <v>2024-H1</v>
      </c>
    </row>
    <row r="1929">
      <c r="A1929" s="113" t="s">
        <v>610</v>
      </c>
      <c r="J1929" s="108" t="str">
        <f t="shared" si="6"/>
        <v>2024</v>
      </c>
      <c r="K1929" s="110">
        <f t="shared" si="7"/>
        <v>6</v>
      </c>
      <c r="L1929" s="108" t="str">
        <f t="shared" si="8"/>
        <v>2024-Q2</v>
      </c>
      <c r="M1929" s="111" t="str">
        <f t="shared" si="9"/>
        <v>2024-06</v>
      </c>
      <c r="N1929" s="112" t="str">
        <f t="shared" si="10"/>
        <v>2024-H1</v>
      </c>
    </row>
    <row r="1930">
      <c r="A1930" s="113" t="s">
        <v>610</v>
      </c>
      <c r="J1930" s="108" t="str">
        <f t="shared" si="6"/>
        <v>2024</v>
      </c>
      <c r="K1930" s="110">
        <f t="shared" si="7"/>
        <v>6</v>
      </c>
      <c r="L1930" s="108" t="str">
        <f t="shared" si="8"/>
        <v>2024-Q2</v>
      </c>
      <c r="M1930" s="111" t="str">
        <f t="shared" si="9"/>
        <v>2024-06</v>
      </c>
      <c r="N1930" s="112" t="str">
        <f t="shared" si="10"/>
        <v>2024-H1</v>
      </c>
    </row>
    <row r="1931">
      <c r="A1931" s="113" t="s">
        <v>610</v>
      </c>
      <c r="J1931" s="108" t="str">
        <f t="shared" si="6"/>
        <v>2024</v>
      </c>
      <c r="K1931" s="110">
        <f t="shared" si="7"/>
        <v>6</v>
      </c>
      <c r="L1931" s="108" t="str">
        <f t="shared" si="8"/>
        <v>2024-Q2</v>
      </c>
      <c r="M1931" s="111" t="str">
        <f t="shared" si="9"/>
        <v>2024-06</v>
      </c>
      <c r="N1931" s="112" t="str">
        <f t="shared" si="10"/>
        <v>2024-H1</v>
      </c>
    </row>
    <row r="1932">
      <c r="A1932" s="113" t="s">
        <v>610</v>
      </c>
      <c r="J1932" s="108" t="str">
        <f t="shared" si="6"/>
        <v>2024</v>
      </c>
      <c r="K1932" s="110">
        <f t="shared" si="7"/>
        <v>6</v>
      </c>
      <c r="L1932" s="108" t="str">
        <f t="shared" si="8"/>
        <v>2024-Q2</v>
      </c>
      <c r="M1932" s="111" t="str">
        <f t="shared" si="9"/>
        <v>2024-06</v>
      </c>
      <c r="N1932" s="112" t="str">
        <f t="shared" si="10"/>
        <v>2024-H1</v>
      </c>
    </row>
    <row r="1933">
      <c r="A1933" s="113" t="s">
        <v>610</v>
      </c>
      <c r="J1933" s="108" t="str">
        <f t="shared" si="6"/>
        <v>2024</v>
      </c>
      <c r="K1933" s="110">
        <f t="shared" si="7"/>
        <v>6</v>
      </c>
      <c r="L1933" s="108" t="str">
        <f t="shared" si="8"/>
        <v>2024-Q2</v>
      </c>
      <c r="M1933" s="111" t="str">
        <f t="shared" si="9"/>
        <v>2024-06</v>
      </c>
      <c r="N1933" s="112" t="str">
        <f t="shared" si="10"/>
        <v>2024-H1</v>
      </c>
    </row>
    <row r="1934">
      <c r="A1934" s="113" t="s">
        <v>610</v>
      </c>
      <c r="J1934" s="108" t="str">
        <f t="shared" si="6"/>
        <v>2024</v>
      </c>
      <c r="K1934" s="110">
        <f t="shared" si="7"/>
        <v>6</v>
      </c>
      <c r="L1934" s="108" t="str">
        <f t="shared" si="8"/>
        <v>2024-Q2</v>
      </c>
      <c r="M1934" s="111" t="str">
        <f t="shared" si="9"/>
        <v>2024-06</v>
      </c>
      <c r="N1934" s="112" t="str">
        <f t="shared" si="10"/>
        <v>2024-H1</v>
      </c>
    </row>
    <row r="1935">
      <c r="A1935" s="113" t="s">
        <v>610</v>
      </c>
      <c r="J1935" s="108" t="str">
        <f t="shared" si="6"/>
        <v>2024</v>
      </c>
      <c r="K1935" s="110">
        <f t="shared" si="7"/>
        <v>6</v>
      </c>
      <c r="L1935" s="108" t="str">
        <f t="shared" si="8"/>
        <v>2024-Q2</v>
      </c>
      <c r="M1935" s="111" t="str">
        <f t="shared" si="9"/>
        <v>2024-06</v>
      </c>
      <c r="N1935" s="112" t="str">
        <f t="shared" si="10"/>
        <v>2024-H1</v>
      </c>
    </row>
    <row r="1936">
      <c r="A1936" s="113" t="s">
        <v>610</v>
      </c>
      <c r="J1936" s="108" t="str">
        <f t="shared" si="6"/>
        <v>2024</v>
      </c>
      <c r="K1936" s="110">
        <f t="shared" si="7"/>
        <v>7</v>
      </c>
      <c r="L1936" s="108" t="str">
        <f t="shared" si="8"/>
        <v>2024-Q3</v>
      </c>
      <c r="M1936" s="111" t="str">
        <f t="shared" si="9"/>
        <v>2024-07</v>
      </c>
      <c r="N1936" s="112" t="str">
        <f t="shared" si="10"/>
        <v>2024-H2</v>
      </c>
    </row>
    <row r="1937">
      <c r="A1937" s="113" t="s">
        <v>610</v>
      </c>
      <c r="J1937" s="108" t="str">
        <f t="shared" si="6"/>
        <v>2024</v>
      </c>
      <c r="K1937" s="110">
        <f t="shared" si="7"/>
        <v>6</v>
      </c>
      <c r="L1937" s="108" t="str">
        <f t="shared" si="8"/>
        <v>2024-Q2</v>
      </c>
      <c r="M1937" s="111" t="str">
        <f t="shared" si="9"/>
        <v>2024-06</v>
      </c>
      <c r="N1937" s="112" t="str">
        <f t="shared" si="10"/>
        <v>2024-H1</v>
      </c>
    </row>
    <row r="1938">
      <c r="A1938" s="113" t="s">
        <v>610</v>
      </c>
      <c r="J1938" s="108" t="str">
        <f t="shared" si="6"/>
        <v>2024</v>
      </c>
      <c r="K1938" s="110">
        <f t="shared" si="7"/>
        <v>6</v>
      </c>
      <c r="L1938" s="108" t="str">
        <f t="shared" si="8"/>
        <v>2024-Q2</v>
      </c>
      <c r="M1938" s="111" t="str">
        <f t="shared" si="9"/>
        <v>2024-06</v>
      </c>
      <c r="N1938" s="112" t="str">
        <f t="shared" si="10"/>
        <v>2024-H1</v>
      </c>
    </row>
    <row r="1939">
      <c r="A1939" s="113" t="s">
        <v>610</v>
      </c>
      <c r="J1939" s="108" t="str">
        <f t="shared" si="6"/>
        <v>2024</v>
      </c>
      <c r="K1939" s="110">
        <f t="shared" si="7"/>
        <v>6</v>
      </c>
      <c r="L1939" s="108" t="str">
        <f t="shared" si="8"/>
        <v>2024-Q2</v>
      </c>
      <c r="M1939" s="111" t="str">
        <f t="shared" si="9"/>
        <v>2024-06</v>
      </c>
      <c r="N1939" s="112" t="str">
        <f t="shared" si="10"/>
        <v>2024-H1</v>
      </c>
    </row>
    <row r="1940">
      <c r="A1940" s="113" t="s">
        <v>610</v>
      </c>
      <c r="J1940" s="108" t="str">
        <f t="shared" si="6"/>
        <v>2024</v>
      </c>
      <c r="K1940" s="110">
        <f t="shared" si="7"/>
        <v>6</v>
      </c>
      <c r="L1940" s="108" t="str">
        <f t="shared" si="8"/>
        <v>2024-Q2</v>
      </c>
      <c r="M1940" s="111" t="str">
        <f t="shared" si="9"/>
        <v>2024-06</v>
      </c>
      <c r="N1940" s="112" t="str">
        <f t="shared" si="10"/>
        <v>2024-H1</v>
      </c>
    </row>
    <row r="1941">
      <c r="A1941" s="113" t="s">
        <v>610</v>
      </c>
      <c r="J1941" s="108" t="str">
        <f t="shared" si="6"/>
        <v>2024</v>
      </c>
      <c r="K1941" s="110">
        <f t="shared" si="7"/>
        <v>7</v>
      </c>
      <c r="L1941" s="108" t="str">
        <f t="shared" si="8"/>
        <v>2024-Q3</v>
      </c>
      <c r="M1941" s="111" t="str">
        <f t="shared" si="9"/>
        <v>2024-07</v>
      </c>
      <c r="N1941" s="112" t="str">
        <f t="shared" si="10"/>
        <v>2024-H2</v>
      </c>
    </row>
    <row r="1942">
      <c r="A1942" s="113" t="s">
        <v>610</v>
      </c>
      <c r="J1942" s="108" t="str">
        <f t="shared" si="6"/>
        <v>2024</v>
      </c>
      <c r="K1942" s="110">
        <f t="shared" si="7"/>
        <v>6</v>
      </c>
      <c r="L1942" s="108" t="str">
        <f t="shared" si="8"/>
        <v>2024-Q2</v>
      </c>
      <c r="M1942" s="111" t="str">
        <f t="shared" si="9"/>
        <v>2024-06</v>
      </c>
      <c r="N1942" s="112" t="str">
        <f t="shared" si="10"/>
        <v>2024-H1</v>
      </c>
    </row>
    <row r="1943">
      <c r="A1943" s="113" t="s">
        <v>610</v>
      </c>
      <c r="J1943" s="108" t="str">
        <f t="shared" si="6"/>
        <v>2024</v>
      </c>
      <c r="K1943" s="110">
        <f t="shared" si="7"/>
        <v>6</v>
      </c>
      <c r="L1943" s="108" t="str">
        <f t="shared" si="8"/>
        <v>2024-Q2</v>
      </c>
      <c r="M1943" s="111" t="str">
        <f t="shared" si="9"/>
        <v>2024-06</v>
      </c>
      <c r="N1943" s="112" t="str">
        <f t="shared" si="10"/>
        <v>2024-H1</v>
      </c>
    </row>
    <row r="1944">
      <c r="A1944" s="113" t="s">
        <v>610</v>
      </c>
      <c r="J1944" s="108" t="str">
        <f t="shared" si="6"/>
        <v>2024</v>
      </c>
      <c r="K1944" s="110">
        <f t="shared" si="7"/>
        <v>6</v>
      </c>
      <c r="L1944" s="108" t="str">
        <f t="shared" si="8"/>
        <v>2024-Q2</v>
      </c>
      <c r="M1944" s="111" t="str">
        <f t="shared" si="9"/>
        <v>2024-06</v>
      </c>
      <c r="N1944" s="112" t="str">
        <f t="shared" si="10"/>
        <v>2024-H1</v>
      </c>
    </row>
    <row r="1945">
      <c r="A1945" s="113" t="s">
        <v>610</v>
      </c>
      <c r="J1945" s="108" t="str">
        <f t="shared" si="6"/>
        <v>2024</v>
      </c>
      <c r="K1945" s="110">
        <f t="shared" si="7"/>
        <v>6</v>
      </c>
      <c r="L1945" s="108" t="str">
        <f t="shared" si="8"/>
        <v>2024-Q2</v>
      </c>
      <c r="M1945" s="111" t="str">
        <f t="shared" si="9"/>
        <v>2024-06</v>
      </c>
      <c r="N1945" s="112" t="str">
        <f t="shared" si="10"/>
        <v>2024-H1</v>
      </c>
    </row>
    <row r="1946">
      <c r="A1946" s="113" t="s">
        <v>610</v>
      </c>
      <c r="J1946" s="108" t="str">
        <f t="shared" si="6"/>
        <v>2024</v>
      </c>
      <c r="K1946" s="110">
        <f t="shared" si="7"/>
        <v>6</v>
      </c>
      <c r="L1946" s="108" t="str">
        <f t="shared" si="8"/>
        <v>2024-Q2</v>
      </c>
      <c r="M1946" s="111" t="str">
        <f t="shared" si="9"/>
        <v>2024-06</v>
      </c>
      <c r="N1946" s="112" t="str">
        <f t="shared" si="10"/>
        <v>2024-H1</v>
      </c>
    </row>
    <row r="1947">
      <c r="A1947" s="113" t="s">
        <v>610</v>
      </c>
      <c r="J1947" s="108" t="str">
        <f t="shared" si="6"/>
        <v>2024</v>
      </c>
      <c r="K1947" s="110">
        <f t="shared" si="7"/>
        <v>6</v>
      </c>
      <c r="L1947" s="108" t="str">
        <f t="shared" si="8"/>
        <v>2024-Q2</v>
      </c>
      <c r="M1947" s="111" t="str">
        <f t="shared" si="9"/>
        <v>2024-06</v>
      </c>
      <c r="N1947" s="112" t="str">
        <f t="shared" si="10"/>
        <v>2024-H1</v>
      </c>
    </row>
    <row r="1948">
      <c r="A1948" s="113" t="s">
        <v>610</v>
      </c>
      <c r="J1948" s="108" t="str">
        <f t="shared" si="6"/>
        <v>2024</v>
      </c>
      <c r="K1948" s="110">
        <f t="shared" si="7"/>
        <v>6</v>
      </c>
      <c r="L1948" s="108" t="str">
        <f t="shared" si="8"/>
        <v>2024-Q2</v>
      </c>
      <c r="M1948" s="111" t="str">
        <f t="shared" si="9"/>
        <v>2024-06</v>
      </c>
      <c r="N1948" s="112" t="str">
        <f t="shared" si="10"/>
        <v>2024-H1</v>
      </c>
    </row>
    <row r="1949">
      <c r="A1949" s="113" t="s">
        <v>610</v>
      </c>
      <c r="J1949" s="108" t="str">
        <f t="shared" si="6"/>
        <v>2024</v>
      </c>
      <c r="K1949" s="110">
        <f t="shared" si="7"/>
        <v>6</v>
      </c>
      <c r="L1949" s="108" t="str">
        <f t="shared" si="8"/>
        <v>2024-Q2</v>
      </c>
      <c r="M1949" s="111" t="str">
        <f t="shared" si="9"/>
        <v>2024-06</v>
      </c>
      <c r="N1949" s="112" t="str">
        <f t="shared" si="10"/>
        <v>2024-H1</v>
      </c>
    </row>
    <row r="1950">
      <c r="A1950" s="113" t="s">
        <v>610</v>
      </c>
      <c r="J1950" s="108" t="str">
        <f t="shared" si="6"/>
        <v>2024</v>
      </c>
      <c r="K1950" s="110">
        <f t="shared" si="7"/>
        <v>6</v>
      </c>
      <c r="L1950" s="108" t="str">
        <f t="shared" si="8"/>
        <v>2024-Q2</v>
      </c>
      <c r="M1950" s="111" t="str">
        <f t="shared" si="9"/>
        <v>2024-06</v>
      </c>
      <c r="N1950" s="112" t="str">
        <f t="shared" si="10"/>
        <v>2024-H1</v>
      </c>
    </row>
    <row r="1951">
      <c r="A1951" s="113" t="s">
        <v>610</v>
      </c>
      <c r="J1951" s="108" t="str">
        <f t="shared" si="6"/>
        <v>2024</v>
      </c>
      <c r="K1951" s="110">
        <f t="shared" si="7"/>
        <v>6</v>
      </c>
      <c r="L1951" s="108" t="str">
        <f t="shared" si="8"/>
        <v>2024-Q2</v>
      </c>
      <c r="M1951" s="111" t="str">
        <f t="shared" si="9"/>
        <v>2024-06</v>
      </c>
      <c r="N1951" s="112" t="str">
        <f t="shared" si="10"/>
        <v>2024-H1</v>
      </c>
    </row>
    <row r="1952">
      <c r="A1952" s="113" t="s">
        <v>610</v>
      </c>
      <c r="J1952" s="108" t="str">
        <f t="shared" si="6"/>
        <v>2024</v>
      </c>
      <c r="K1952" s="110">
        <f t="shared" si="7"/>
        <v>6</v>
      </c>
      <c r="L1952" s="108" t="str">
        <f t="shared" si="8"/>
        <v>2024-Q2</v>
      </c>
      <c r="M1952" s="111" t="str">
        <f t="shared" si="9"/>
        <v>2024-06</v>
      </c>
      <c r="N1952" s="112" t="str">
        <f t="shared" si="10"/>
        <v>2024-H1</v>
      </c>
    </row>
    <row r="1953">
      <c r="A1953" s="113" t="s">
        <v>610</v>
      </c>
      <c r="J1953" s="108" t="str">
        <f t="shared" si="6"/>
        <v>2024</v>
      </c>
      <c r="K1953" s="110">
        <f t="shared" si="7"/>
        <v>6</v>
      </c>
      <c r="L1953" s="108" t="str">
        <f t="shared" si="8"/>
        <v>2024-Q2</v>
      </c>
      <c r="M1953" s="111" t="str">
        <f t="shared" si="9"/>
        <v>2024-06</v>
      </c>
      <c r="N1953" s="112" t="str">
        <f t="shared" si="10"/>
        <v>2024-H1</v>
      </c>
    </row>
    <row r="1954">
      <c r="A1954" s="113" t="s">
        <v>610</v>
      </c>
      <c r="J1954" s="108" t="str">
        <f t="shared" si="6"/>
        <v>2024</v>
      </c>
      <c r="K1954" s="110">
        <f t="shared" si="7"/>
        <v>6</v>
      </c>
      <c r="L1954" s="108" t="str">
        <f t="shared" si="8"/>
        <v>2024-Q2</v>
      </c>
      <c r="M1954" s="111" t="str">
        <f t="shared" si="9"/>
        <v>2024-06</v>
      </c>
      <c r="N1954" s="112" t="str">
        <f t="shared" si="10"/>
        <v>2024-H1</v>
      </c>
    </row>
    <row r="1955">
      <c r="A1955" s="113" t="s">
        <v>610</v>
      </c>
      <c r="J1955" s="108" t="str">
        <f t="shared" si="6"/>
        <v>2024</v>
      </c>
      <c r="K1955" s="110">
        <f t="shared" si="7"/>
        <v>6</v>
      </c>
      <c r="L1955" s="108" t="str">
        <f t="shared" si="8"/>
        <v>2024-Q2</v>
      </c>
      <c r="M1955" s="111" t="str">
        <f t="shared" si="9"/>
        <v>2024-06</v>
      </c>
      <c r="N1955" s="112" t="str">
        <f t="shared" si="10"/>
        <v>2024-H1</v>
      </c>
    </row>
    <row r="1956">
      <c r="A1956" s="113" t="s">
        <v>610</v>
      </c>
      <c r="J1956" s="108" t="str">
        <f t="shared" si="6"/>
        <v>2024</v>
      </c>
      <c r="K1956" s="110">
        <f t="shared" si="7"/>
        <v>6</v>
      </c>
      <c r="L1956" s="108" t="str">
        <f t="shared" si="8"/>
        <v>2024-Q2</v>
      </c>
      <c r="M1956" s="111" t="str">
        <f t="shared" si="9"/>
        <v>2024-06</v>
      </c>
      <c r="N1956" s="112" t="str">
        <f t="shared" si="10"/>
        <v>2024-H1</v>
      </c>
    </row>
    <row r="1957">
      <c r="A1957" s="113" t="s">
        <v>610</v>
      </c>
      <c r="J1957" s="108" t="str">
        <f t="shared" si="6"/>
        <v>2024</v>
      </c>
      <c r="K1957" s="110">
        <f t="shared" si="7"/>
        <v>6</v>
      </c>
      <c r="L1957" s="108" t="str">
        <f t="shared" si="8"/>
        <v>2024-Q2</v>
      </c>
      <c r="M1957" s="111" t="str">
        <f t="shared" si="9"/>
        <v>2024-06</v>
      </c>
      <c r="N1957" s="112" t="str">
        <f t="shared" si="10"/>
        <v>2024-H1</v>
      </c>
    </row>
    <row r="1958">
      <c r="A1958" s="113" t="s">
        <v>610</v>
      </c>
      <c r="J1958" s="108" t="str">
        <f t="shared" si="6"/>
        <v>2024</v>
      </c>
      <c r="K1958" s="110">
        <f t="shared" si="7"/>
        <v>6</v>
      </c>
      <c r="L1958" s="108" t="str">
        <f t="shared" si="8"/>
        <v>2024-Q2</v>
      </c>
      <c r="M1958" s="111" t="str">
        <f t="shared" si="9"/>
        <v>2024-06</v>
      </c>
      <c r="N1958" s="112" t="str">
        <f t="shared" si="10"/>
        <v>2024-H1</v>
      </c>
    </row>
    <row r="1959">
      <c r="A1959" s="113" t="s">
        <v>610</v>
      </c>
      <c r="J1959" s="108" t="str">
        <f t="shared" si="6"/>
        <v>2024</v>
      </c>
      <c r="K1959" s="110">
        <f t="shared" si="7"/>
        <v>6</v>
      </c>
      <c r="L1959" s="108" t="str">
        <f t="shared" si="8"/>
        <v>2024-Q2</v>
      </c>
      <c r="M1959" s="111" t="str">
        <f t="shared" si="9"/>
        <v>2024-06</v>
      </c>
      <c r="N1959" s="112" t="str">
        <f t="shared" si="10"/>
        <v>2024-H1</v>
      </c>
    </row>
    <row r="1960">
      <c r="A1960" s="113" t="s">
        <v>610</v>
      </c>
      <c r="J1960" s="108" t="str">
        <f t="shared" si="6"/>
        <v>2024</v>
      </c>
      <c r="K1960" s="110">
        <f t="shared" si="7"/>
        <v>6</v>
      </c>
      <c r="L1960" s="108" t="str">
        <f t="shared" si="8"/>
        <v>2024-Q2</v>
      </c>
      <c r="M1960" s="111" t="str">
        <f t="shared" si="9"/>
        <v>2024-06</v>
      </c>
      <c r="N1960" s="112" t="str">
        <f t="shared" si="10"/>
        <v>2024-H1</v>
      </c>
    </row>
    <row r="1961">
      <c r="A1961" s="113" t="s">
        <v>610</v>
      </c>
      <c r="J1961" s="108" t="str">
        <f t="shared" si="6"/>
        <v>2024</v>
      </c>
      <c r="K1961" s="110">
        <f t="shared" si="7"/>
        <v>6</v>
      </c>
      <c r="L1961" s="108" t="str">
        <f t="shared" si="8"/>
        <v>2024-Q2</v>
      </c>
      <c r="M1961" s="111" t="str">
        <f t="shared" si="9"/>
        <v>2024-06</v>
      </c>
      <c r="N1961" s="112" t="str">
        <f t="shared" si="10"/>
        <v>2024-H1</v>
      </c>
    </row>
    <row r="1962">
      <c r="A1962" s="113" t="s">
        <v>610</v>
      </c>
      <c r="J1962" s="108" t="str">
        <f t="shared" si="6"/>
        <v>2024</v>
      </c>
      <c r="K1962" s="110">
        <f t="shared" si="7"/>
        <v>6</v>
      </c>
      <c r="L1962" s="108" t="str">
        <f t="shared" si="8"/>
        <v>2024-Q2</v>
      </c>
      <c r="M1962" s="111" t="str">
        <f t="shared" si="9"/>
        <v>2024-06</v>
      </c>
      <c r="N1962" s="112" t="str">
        <f t="shared" si="10"/>
        <v>2024-H1</v>
      </c>
    </row>
    <row r="1963">
      <c r="A1963" s="113" t="s">
        <v>610</v>
      </c>
      <c r="J1963" s="108" t="str">
        <f t="shared" si="6"/>
        <v>2024</v>
      </c>
      <c r="K1963" s="110">
        <f t="shared" si="7"/>
        <v>6</v>
      </c>
      <c r="L1963" s="108" t="str">
        <f t="shared" si="8"/>
        <v>2024-Q2</v>
      </c>
      <c r="M1963" s="111" t="str">
        <f t="shared" si="9"/>
        <v>2024-06</v>
      </c>
      <c r="N1963" s="112" t="str">
        <f t="shared" si="10"/>
        <v>2024-H1</v>
      </c>
    </row>
    <row r="1964">
      <c r="A1964" s="113" t="s">
        <v>610</v>
      </c>
      <c r="J1964" s="108" t="str">
        <f t="shared" si="6"/>
        <v>2024</v>
      </c>
      <c r="K1964" s="110">
        <f t="shared" si="7"/>
        <v>6</v>
      </c>
      <c r="L1964" s="108" t="str">
        <f t="shared" si="8"/>
        <v>2024-Q2</v>
      </c>
      <c r="M1964" s="111" t="str">
        <f t="shared" si="9"/>
        <v>2024-06</v>
      </c>
      <c r="N1964" s="112" t="str">
        <f t="shared" si="10"/>
        <v>2024-H1</v>
      </c>
    </row>
    <row r="1965">
      <c r="A1965" s="113" t="s">
        <v>610</v>
      </c>
      <c r="J1965" s="108" t="str">
        <f t="shared" si="6"/>
        <v>2024</v>
      </c>
      <c r="K1965" s="110">
        <f t="shared" si="7"/>
        <v>6</v>
      </c>
      <c r="L1965" s="108" t="str">
        <f t="shared" si="8"/>
        <v>2024-Q2</v>
      </c>
      <c r="M1965" s="111" t="str">
        <f t="shared" si="9"/>
        <v>2024-06</v>
      </c>
      <c r="N1965" s="112" t="str">
        <f t="shared" si="10"/>
        <v>2024-H1</v>
      </c>
    </row>
    <row r="1966">
      <c r="A1966" s="113" t="s">
        <v>610</v>
      </c>
      <c r="J1966" s="108" t="str">
        <f t="shared" si="6"/>
        <v>2024</v>
      </c>
      <c r="K1966" s="110">
        <f t="shared" si="7"/>
        <v>6</v>
      </c>
      <c r="L1966" s="108" t="str">
        <f t="shared" si="8"/>
        <v>2024-Q2</v>
      </c>
      <c r="M1966" s="111" t="str">
        <f t="shared" si="9"/>
        <v>2024-06</v>
      </c>
      <c r="N1966" s="112" t="str">
        <f t="shared" si="10"/>
        <v>2024-H1</v>
      </c>
    </row>
    <row r="1967">
      <c r="A1967" s="113" t="s">
        <v>610</v>
      </c>
      <c r="J1967" s="108" t="str">
        <f t="shared" si="6"/>
        <v>2024</v>
      </c>
      <c r="K1967" s="110">
        <f t="shared" si="7"/>
        <v>6</v>
      </c>
      <c r="L1967" s="108" t="str">
        <f t="shared" si="8"/>
        <v>2024-Q2</v>
      </c>
      <c r="M1967" s="111" t="str">
        <f t="shared" si="9"/>
        <v>2024-06</v>
      </c>
      <c r="N1967" s="112" t="str">
        <f t="shared" si="10"/>
        <v>2024-H1</v>
      </c>
    </row>
    <row r="1968">
      <c r="A1968" s="113" t="s">
        <v>610</v>
      </c>
      <c r="J1968" s="108" t="str">
        <f t="shared" si="6"/>
        <v>2024</v>
      </c>
      <c r="K1968" s="110">
        <f t="shared" si="7"/>
        <v>6</v>
      </c>
      <c r="L1968" s="108" t="str">
        <f t="shared" si="8"/>
        <v>2024-Q2</v>
      </c>
      <c r="M1968" s="111" t="str">
        <f t="shared" si="9"/>
        <v>2024-06</v>
      </c>
      <c r="N1968" s="112" t="str">
        <f t="shared" si="10"/>
        <v>2024-H1</v>
      </c>
    </row>
    <row r="1969">
      <c r="A1969" s="113" t="s">
        <v>610</v>
      </c>
      <c r="J1969" s="108" t="str">
        <f t="shared" si="6"/>
        <v>2024</v>
      </c>
      <c r="K1969" s="110">
        <f t="shared" si="7"/>
        <v>6</v>
      </c>
      <c r="L1969" s="108" t="str">
        <f t="shared" si="8"/>
        <v>2024-Q2</v>
      </c>
      <c r="M1969" s="111" t="str">
        <f t="shared" si="9"/>
        <v>2024-06</v>
      </c>
      <c r="N1969" s="112" t="str">
        <f t="shared" si="10"/>
        <v>2024-H1</v>
      </c>
    </row>
    <row r="1970">
      <c r="A1970" s="113" t="s">
        <v>610</v>
      </c>
      <c r="J1970" s="108" t="str">
        <f t="shared" si="6"/>
        <v>2024</v>
      </c>
      <c r="K1970" s="110">
        <f t="shared" si="7"/>
        <v>6</v>
      </c>
      <c r="L1970" s="108" t="str">
        <f t="shared" si="8"/>
        <v>2024-Q2</v>
      </c>
      <c r="M1970" s="111" t="str">
        <f t="shared" si="9"/>
        <v>2024-06</v>
      </c>
      <c r="N1970" s="112" t="str">
        <f t="shared" si="10"/>
        <v>2024-H1</v>
      </c>
    </row>
    <row r="1971">
      <c r="A1971" s="113" t="s">
        <v>610</v>
      </c>
      <c r="J1971" s="108" t="str">
        <f t="shared" si="6"/>
        <v>2024</v>
      </c>
      <c r="K1971" s="110">
        <f t="shared" si="7"/>
        <v>6</v>
      </c>
      <c r="L1971" s="108" t="str">
        <f t="shared" si="8"/>
        <v>2024-Q2</v>
      </c>
      <c r="M1971" s="111" t="str">
        <f t="shared" si="9"/>
        <v>2024-06</v>
      </c>
      <c r="N1971" s="112" t="str">
        <f t="shared" si="10"/>
        <v>2024-H1</v>
      </c>
    </row>
    <row r="1972">
      <c r="A1972" s="113" t="s">
        <v>610</v>
      </c>
      <c r="J1972" s="108" t="str">
        <f t="shared" si="6"/>
        <v>2024</v>
      </c>
      <c r="K1972" s="110">
        <f t="shared" si="7"/>
        <v>6</v>
      </c>
      <c r="L1972" s="108" t="str">
        <f t="shared" si="8"/>
        <v>2024-Q2</v>
      </c>
      <c r="M1972" s="111" t="str">
        <f t="shared" si="9"/>
        <v>2024-06</v>
      </c>
      <c r="N1972" s="112" t="str">
        <f t="shared" si="10"/>
        <v>2024-H1</v>
      </c>
    </row>
    <row r="1973">
      <c r="A1973" s="113" t="s">
        <v>610</v>
      </c>
      <c r="J1973" s="108" t="str">
        <f t="shared" si="6"/>
        <v>2024</v>
      </c>
      <c r="K1973" s="110">
        <f t="shared" si="7"/>
        <v>6</v>
      </c>
      <c r="L1973" s="108" t="str">
        <f t="shared" si="8"/>
        <v>2024-Q2</v>
      </c>
      <c r="M1973" s="111" t="str">
        <f t="shared" si="9"/>
        <v>2024-06</v>
      </c>
      <c r="N1973" s="112" t="str">
        <f t="shared" si="10"/>
        <v>2024-H1</v>
      </c>
    </row>
    <row r="1974">
      <c r="A1974" s="113" t="s">
        <v>610</v>
      </c>
      <c r="J1974" s="108" t="str">
        <f t="shared" si="6"/>
        <v>2024</v>
      </c>
      <c r="K1974" s="110">
        <f t="shared" si="7"/>
        <v>6</v>
      </c>
      <c r="L1974" s="108" t="str">
        <f t="shared" si="8"/>
        <v>2024-Q2</v>
      </c>
      <c r="M1974" s="111" t="str">
        <f t="shared" si="9"/>
        <v>2024-06</v>
      </c>
      <c r="N1974" s="112" t="str">
        <f t="shared" si="10"/>
        <v>2024-H1</v>
      </c>
    </row>
    <row r="1975">
      <c r="A1975" s="113" t="s">
        <v>610</v>
      </c>
      <c r="J1975" s="108" t="str">
        <f t="shared" si="6"/>
        <v>2024</v>
      </c>
      <c r="K1975" s="110">
        <f t="shared" si="7"/>
        <v>6</v>
      </c>
      <c r="L1975" s="108" t="str">
        <f t="shared" si="8"/>
        <v>2024-Q2</v>
      </c>
      <c r="M1975" s="111" t="str">
        <f t="shared" si="9"/>
        <v>2024-06</v>
      </c>
      <c r="N1975" s="112" t="str">
        <f t="shared" si="10"/>
        <v>2024-H1</v>
      </c>
    </row>
    <row r="1976">
      <c r="A1976" s="113" t="s">
        <v>610</v>
      </c>
      <c r="J1976" s="108" t="str">
        <f t="shared" si="6"/>
        <v>2024</v>
      </c>
      <c r="K1976" s="110">
        <f t="shared" si="7"/>
        <v>6</v>
      </c>
      <c r="L1976" s="108" t="str">
        <f t="shared" si="8"/>
        <v>2024-Q2</v>
      </c>
      <c r="M1976" s="111" t="str">
        <f t="shared" si="9"/>
        <v>2024-06</v>
      </c>
      <c r="N1976" s="112" t="str">
        <f t="shared" si="10"/>
        <v>2024-H1</v>
      </c>
    </row>
    <row r="1977">
      <c r="A1977" s="113" t="s">
        <v>610</v>
      </c>
      <c r="J1977" s="108" t="str">
        <f t="shared" si="6"/>
        <v>2024</v>
      </c>
      <c r="K1977" s="110">
        <f t="shared" si="7"/>
        <v>6</v>
      </c>
      <c r="L1977" s="108" t="str">
        <f t="shared" si="8"/>
        <v>2024-Q2</v>
      </c>
      <c r="M1977" s="111" t="str">
        <f t="shared" si="9"/>
        <v>2024-06</v>
      </c>
      <c r="N1977" s="112" t="str">
        <f t="shared" si="10"/>
        <v>2024-H1</v>
      </c>
    </row>
    <row r="1978">
      <c r="A1978" s="113" t="s">
        <v>610</v>
      </c>
      <c r="J1978" s="108" t="str">
        <f t="shared" si="6"/>
        <v>2024</v>
      </c>
      <c r="K1978" s="110">
        <f t="shared" si="7"/>
        <v>6</v>
      </c>
      <c r="L1978" s="108" t="str">
        <f t="shared" si="8"/>
        <v>2024-Q2</v>
      </c>
      <c r="M1978" s="111" t="str">
        <f t="shared" si="9"/>
        <v>2024-06</v>
      </c>
      <c r="N1978" s="112" t="str">
        <f t="shared" si="10"/>
        <v>2024-H1</v>
      </c>
    </row>
    <row r="1979">
      <c r="A1979" s="113" t="s">
        <v>610</v>
      </c>
      <c r="J1979" s="108" t="str">
        <f t="shared" si="6"/>
        <v>2024</v>
      </c>
      <c r="K1979" s="110">
        <f t="shared" si="7"/>
        <v>6</v>
      </c>
      <c r="L1979" s="108" t="str">
        <f t="shared" si="8"/>
        <v>2024-Q2</v>
      </c>
      <c r="M1979" s="111" t="str">
        <f t="shared" si="9"/>
        <v>2024-06</v>
      </c>
      <c r="N1979" s="112" t="str">
        <f t="shared" si="10"/>
        <v>2024-H1</v>
      </c>
    </row>
    <row r="1980">
      <c r="A1980" s="113" t="s">
        <v>610</v>
      </c>
      <c r="J1980" s="108" t="str">
        <f t="shared" si="6"/>
        <v>2024</v>
      </c>
      <c r="K1980" s="110">
        <f t="shared" si="7"/>
        <v>6</v>
      </c>
      <c r="L1980" s="108" t="str">
        <f t="shared" si="8"/>
        <v>2024-Q2</v>
      </c>
      <c r="M1980" s="111" t="str">
        <f t="shared" si="9"/>
        <v>2024-06</v>
      </c>
      <c r="N1980" s="112" t="str">
        <f t="shared" si="10"/>
        <v>2024-H1</v>
      </c>
    </row>
    <row r="1981">
      <c r="A1981" s="113" t="s">
        <v>610</v>
      </c>
      <c r="J1981" s="108" t="str">
        <f t="shared" si="6"/>
        <v>2024</v>
      </c>
      <c r="K1981" s="110">
        <f t="shared" si="7"/>
        <v>6</v>
      </c>
      <c r="L1981" s="108" t="str">
        <f t="shared" si="8"/>
        <v>2024-Q2</v>
      </c>
      <c r="M1981" s="111" t="str">
        <f t="shared" si="9"/>
        <v>2024-06</v>
      </c>
      <c r="N1981" s="112" t="str">
        <f t="shared" si="10"/>
        <v>2024-H1</v>
      </c>
    </row>
    <row r="1982">
      <c r="A1982" s="113" t="s">
        <v>610</v>
      </c>
      <c r="J1982" s="108" t="str">
        <f t="shared" si="6"/>
        <v>2024</v>
      </c>
      <c r="K1982" s="110">
        <f t="shared" si="7"/>
        <v>6</v>
      </c>
      <c r="L1982" s="108" t="str">
        <f t="shared" si="8"/>
        <v>2024-Q2</v>
      </c>
      <c r="M1982" s="111" t="str">
        <f t="shared" si="9"/>
        <v>2024-06</v>
      </c>
      <c r="N1982" s="112" t="str">
        <f t="shared" si="10"/>
        <v>2024-H1</v>
      </c>
    </row>
    <row r="1983">
      <c r="A1983" s="113" t="s">
        <v>610</v>
      </c>
      <c r="J1983" s="108" t="str">
        <f t="shared" si="6"/>
        <v>2024</v>
      </c>
      <c r="K1983" s="110">
        <f t="shared" si="7"/>
        <v>6</v>
      </c>
      <c r="L1983" s="108" t="str">
        <f t="shared" si="8"/>
        <v>2024-Q2</v>
      </c>
      <c r="M1983" s="111" t="str">
        <f t="shared" si="9"/>
        <v>2024-06</v>
      </c>
      <c r="N1983" s="112" t="str">
        <f t="shared" si="10"/>
        <v>2024-H1</v>
      </c>
    </row>
    <row r="1984">
      <c r="A1984" s="113" t="s">
        <v>610</v>
      </c>
      <c r="J1984" s="108" t="str">
        <f t="shared" si="6"/>
        <v>2024</v>
      </c>
      <c r="K1984" s="110">
        <f t="shared" si="7"/>
        <v>6</v>
      </c>
      <c r="L1984" s="108" t="str">
        <f t="shared" si="8"/>
        <v>2024-Q2</v>
      </c>
      <c r="M1984" s="111" t="str">
        <f t="shared" si="9"/>
        <v>2024-06</v>
      </c>
      <c r="N1984" s="112" t="str">
        <f t="shared" si="10"/>
        <v>2024-H1</v>
      </c>
    </row>
    <row r="1985">
      <c r="A1985" s="113" t="s">
        <v>610</v>
      </c>
      <c r="J1985" s="108" t="str">
        <f t="shared" si="6"/>
        <v>2024</v>
      </c>
      <c r="K1985" s="110">
        <f t="shared" si="7"/>
        <v>6</v>
      </c>
      <c r="L1985" s="108" t="str">
        <f t="shared" si="8"/>
        <v>2024-Q2</v>
      </c>
      <c r="M1985" s="111" t="str">
        <f t="shared" si="9"/>
        <v>2024-06</v>
      </c>
      <c r="N1985" s="112" t="str">
        <f t="shared" si="10"/>
        <v>2024-H1</v>
      </c>
    </row>
    <row r="1986">
      <c r="A1986" s="113" t="s">
        <v>610</v>
      </c>
      <c r="J1986" s="108" t="str">
        <f t="shared" si="6"/>
        <v>2024</v>
      </c>
      <c r="K1986" s="110">
        <f t="shared" si="7"/>
        <v>6</v>
      </c>
      <c r="L1986" s="108" t="str">
        <f t="shared" si="8"/>
        <v>2024-Q2</v>
      </c>
      <c r="M1986" s="111" t="str">
        <f t="shared" si="9"/>
        <v>2024-06</v>
      </c>
      <c r="N1986" s="112" t="str">
        <f t="shared" si="10"/>
        <v>2024-H1</v>
      </c>
    </row>
    <row r="1987">
      <c r="A1987" s="113" t="s">
        <v>610</v>
      </c>
      <c r="J1987" s="108" t="str">
        <f t="shared" si="6"/>
        <v>2024</v>
      </c>
      <c r="K1987" s="110">
        <f t="shared" si="7"/>
        <v>6</v>
      </c>
      <c r="L1987" s="108" t="str">
        <f t="shared" si="8"/>
        <v>2024-Q2</v>
      </c>
      <c r="M1987" s="111" t="str">
        <f t="shared" si="9"/>
        <v>2024-06</v>
      </c>
      <c r="N1987" s="112" t="str">
        <f t="shared" si="10"/>
        <v>2024-H1</v>
      </c>
    </row>
    <row r="1988">
      <c r="A1988" s="113" t="s">
        <v>610</v>
      </c>
      <c r="J1988" s="108" t="str">
        <f t="shared" si="6"/>
        <v>2024</v>
      </c>
      <c r="K1988" s="110">
        <f t="shared" si="7"/>
        <v>6</v>
      </c>
      <c r="L1988" s="108" t="str">
        <f t="shared" si="8"/>
        <v>2024-Q2</v>
      </c>
      <c r="M1988" s="111" t="str">
        <f t="shared" si="9"/>
        <v>2024-06</v>
      </c>
      <c r="N1988" s="112" t="str">
        <f t="shared" si="10"/>
        <v>2024-H1</v>
      </c>
    </row>
    <row r="1989">
      <c r="A1989" s="113" t="s">
        <v>610</v>
      </c>
      <c r="J1989" s="108" t="str">
        <f t="shared" si="6"/>
        <v>2024</v>
      </c>
      <c r="K1989" s="110">
        <f t="shared" si="7"/>
        <v>6</v>
      </c>
      <c r="L1989" s="108" t="str">
        <f t="shared" si="8"/>
        <v>2024-Q2</v>
      </c>
      <c r="M1989" s="111" t="str">
        <f t="shared" si="9"/>
        <v>2024-06</v>
      </c>
      <c r="N1989" s="112" t="str">
        <f t="shared" si="10"/>
        <v>2024-H1</v>
      </c>
    </row>
    <row r="1990">
      <c r="A1990" s="113" t="s">
        <v>610</v>
      </c>
      <c r="J1990" s="108" t="str">
        <f t="shared" si="6"/>
        <v>2024</v>
      </c>
      <c r="K1990" s="110">
        <f t="shared" si="7"/>
        <v>6</v>
      </c>
      <c r="L1990" s="108" t="str">
        <f t="shared" si="8"/>
        <v>2024-Q2</v>
      </c>
      <c r="M1990" s="111" t="str">
        <f t="shared" si="9"/>
        <v>2024-06</v>
      </c>
      <c r="N1990" s="112" t="str">
        <f t="shared" si="10"/>
        <v>2024-H1</v>
      </c>
    </row>
    <row r="1991">
      <c r="A1991" s="113" t="s">
        <v>610</v>
      </c>
      <c r="J1991" s="108" t="str">
        <f t="shared" si="6"/>
        <v>2024</v>
      </c>
      <c r="K1991" s="110">
        <f t="shared" si="7"/>
        <v>8</v>
      </c>
      <c r="L1991" s="108" t="str">
        <f t="shared" si="8"/>
        <v>2024-Q3</v>
      </c>
      <c r="M1991" s="111" t="str">
        <f t="shared" si="9"/>
        <v>2024-08</v>
      </c>
      <c r="N1991" s="112" t="str">
        <f t="shared" si="10"/>
        <v>2024-H2</v>
      </c>
    </row>
    <row r="1992">
      <c r="A1992" s="113" t="s">
        <v>610</v>
      </c>
      <c r="J1992" s="108" t="str">
        <f t="shared" si="6"/>
        <v>2024</v>
      </c>
      <c r="K1992" s="110">
        <f t="shared" si="7"/>
        <v>9</v>
      </c>
      <c r="L1992" s="108" t="str">
        <f t="shared" si="8"/>
        <v>2024-Q3</v>
      </c>
      <c r="M1992" s="111" t="str">
        <f t="shared" si="9"/>
        <v>2024-09</v>
      </c>
      <c r="N1992" s="112" t="str">
        <f t="shared" si="10"/>
        <v>2024-H2</v>
      </c>
    </row>
    <row r="1993">
      <c r="A1993" s="113" t="s">
        <v>610</v>
      </c>
      <c r="J1993" s="108" t="str">
        <f t="shared" si="6"/>
        <v>2024</v>
      </c>
      <c r="K1993" s="110">
        <f t="shared" si="7"/>
        <v>6</v>
      </c>
      <c r="L1993" s="108" t="str">
        <f t="shared" si="8"/>
        <v>2024-Q2</v>
      </c>
      <c r="M1993" s="111" t="str">
        <f t="shared" si="9"/>
        <v>2024-06</v>
      </c>
      <c r="N1993" s="112" t="str">
        <f t="shared" si="10"/>
        <v>2024-H1</v>
      </c>
    </row>
    <row r="1994">
      <c r="A1994" s="113" t="s">
        <v>610</v>
      </c>
      <c r="J1994" s="108" t="str">
        <f t="shared" si="6"/>
        <v>2024</v>
      </c>
      <c r="K1994" s="110">
        <f t="shared" si="7"/>
        <v>6</v>
      </c>
      <c r="L1994" s="108" t="str">
        <f t="shared" si="8"/>
        <v>2024-Q2</v>
      </c>
      <c r="M1994" s="111" t="str">
        <f t="shared" si="9"/>
        <v>2024-06</v>
      </c>
      <c r="N1994" s="112" t="str">
        <f t="shared" si="10"/>
        <v>2024-H1</v>
      </c>
    </row>
    <row r="1995">
      <c r="A1995" s="113" t="s">
        <v>610</v>
      </c>
      <c r="J1995" s="108" t="str">
        <f t="shared" si="6"/>
        <v>2024</v>
      </c>
      <c r="K1995" s="110">
        <f t="shared" si="7"/>
        <v>7</v>
      </c>
      <c r="L1995" s="108" t="str">
        <f t="shared" si="8"/>
        <v>2024-Q3</v>
      </c>
      <c r="M1995" s="111" t="str">
        <f t="shared" si="9"/>
        <v>2024-07</v>
      </c>
      <c r="N1995" s="112" t="str">
        <f t="shared" si="10"/>
        <v>2024-H2</v>
      </c>
    </row>
    <row r="1996">
      <c r="A1996" s="113" t="s">
        <v>610</v>
      </c>
      <c r="J1996" s="108" t="str">
        <f t="shared" si="6"/>
        <v>2024</v>
      </c>
      <c r="K1996" s="110">
        <f t="shared" si="7"/>
        <v>7</v>
      </c>
      <c r="L1996" s="108" t="str">
        <f t="shared" si="8"/>
        <v>2024-Q3</v>
      </c>
      <c r="M1996" s="111" t="str">
        <f t="shared" si="9"/>
        <v>2024-07</v>
      </c>
      <c r="N1996" s="112" t="str">
        <f t="shared" si="10"/>
        <v>2024-H2</v>
      </c>
    </row>
    <row r="1997">
      <c r="A1997" s="113" t="s">
        <v>610</v>
      </c>
      <c r="J1997" s="108" t="str">
        <f t="shared" si="6"/>
        <v>2024</v>
      </c>
      <c r="K1997" s="110">
        <f t="shared" si="7"/>
        <v>6</v>
      </c>
      <c r="L1997" s="108" t="str">
        <f t="shared" si="8"/>
        <v>2024-Q2</v>
      </c>
      <c r="M1997" s="111" t="str">
        <f t="shared" si="9"/>
        <v>2024-06</v>
      </c>
      <c r="N1997" s="112" t="str">
        <f t="shared" si="10"/>
        <v>2024-H1</v>
      </c>
    </row>
    <row r="1998">
      <c r="A1998" s="113" t="s">
        <v>610</v>
      </c>
      <c r="J1998" s="108" t="str">
        <f t="shared" si="6"/>
        <v>2024</v>
      </c>
      <c r="K1998" s="110">
        <f t="shared" si="7"/>
        <v>6</v>
      </c>
      <c r="L1998" s="108" t="str">
        <f t="shared" si="8"/>
        <v>2024-Q2</v>
      </c>
      <c r="M1998" s="111" t="str">
        <f t="shared" si="9"/>
        <v>2024-06</v>
      </c>
      <c r="N1998" s="112" t="str">
        <f t="shared" si="10"/>
        <v>2024-H1</v>
      </c>
    </row>
    <row r="1999">
      <c r="A1999" s="113" t="s">
        <v>610</v>
      </c>
      <c r="J1999" s="108" t="str">
        <f t="shared" si="6"/>
        <v>2024</v>
      </c>
      <c r="K1999" s="110">
        <f t="shared" si="7"/>
        <v>6</v>
      </c>
      <c r="L1999" s="108" t="str">
        <f t="shared" si="8"/>
        <v>2024-Q2</v>
      </c>
      <c r="M1999" s="111" t="str">
        <f t="shared" si="9"/>
        <v>2024-06</v>
      </c>
      <c r="N1999" s="112" t="str">
        <f t="shared" si="10"/>
        <v>2024-H1</v>
      </c>
    </row>
    <row r="2000">
      <c r="A2000" s="113" t="s">
        <v>610</v>
      </c>
      <c r="J2000" s="108" t="str">
        <f t="shared" si="6"/>
        <v>2024</v>
      </c>
      <c r="K2000" s="110">
        <f t="shared" si="7"/>
        <v>6</v>
      </c>
      <c r="L2000" s="108" t="str">
        <f t="shared" si="8"/>
        <v>2024-Q2</v>
      </c>
      <c r="M2000" s="111" t="str">
        <f t="shared" si="9"/>
        <v>2024-06</v>
      </c>
      <c r="N2000" s="112" t="str">
        <f t="shared" si="10"/>
        <v>2024-H1</v>
      </c>
    </row>
    <row r="2001">
      <c r="A2001" s="113" t="s">
        <v>610</v>
      </c>
      <c r="J2001" s="108" t="str">
        <f t="shared" si="6"/>
        <v>2024</v>
      </c>
      <c r="K2001" s="110">
        <f t="shared" si="7"/>
        <v>6</v>
      </c>
      <c r="L2001" s="108" t="str">
        <f t="shared" si="8"/>
        <v>2024-Q2</v>
      </c>
      <c r="M2001" s="111" t="str">
        <f t="shared" si="9"/>
        <v>2024-06</v>
      </c>
      <c r="N2001" s="112" t="str">
        <f t="shared" si="10"/>
        <v>2024-H1</v>
      </c>
    </row>
    <row r="2002">
      <c r="A2002" s="113" t="s">
        <v>610</v>
      </c>
      <c r="J2002" s="108" t="str">
        <f t="shared" si="6"/>
        <v>2024</v>
      </c>
      <c r="K2002" s="110">
        <f t="shared" si="7"/>
        <v>6</v>
      </c>
      <c r="L2002" s="108" t="str">
        <f t="shared" si="8"/>
        <v>2024-Q2</v>
      </c>
      <c r="M2002" s="111" t="str">
        <f t="shared" si="9"/>
        <v>2024-06</v>
      </c>
      <c r="N2002" s="112" t="str">
        <f t="shared" si="10"/>
        <v>2024-H1</v>
      </c>
    </row>
    <row r="2003">
      <c r="A2003" s="113" t="s">
        <v>610</v>
      </c>
      <c r="J2003" s="108" t="str">
        <f t="shared" si="6"/>
        <v>2024</v>
      </c>
      <c r="K2003" s="110">
        <f t="shared" si="7"/>
        <v>6</v>
      </c>
      <c r="L2003" s="108" t="str">
        <f t="shared" si="8"/>
        <v>2024-Q2</v>
      </c>
      <c r="M2003" s="111" t="str">
        <f t="shared" si="9"/>
        <v>2024-06</v>
      </c>
      <c r="N2003" s="112" t="str">
        <f t="shared" si="10"/>
        <v>2024-H1</v>
      </c>
    </row>
    <row r="2004">
      <c r="A2004" s="113" t="s">
        <v>610</v>
      </c>
      <c r="J2004" s="108" t="str">
        <f t="shared" si="6"/>
        <v>2024</v>
      </c>
      <c r="K2004" s="110">
        <f t="shared" si="7"/>
        <v>6</v>
      </c>
      <c r="L2004" s="108" t="str">
        <f t="shared" si="8"/>
        <v>2024-Q2</v>
      </c>
      <c r="M2004" s="111" t="str">
        <f t="shared" si="9"/>
        <v>2024-06</v>
      </c>
      <c r="N2004" s="112" t="str">
        <f t="shared" si="10"/>
        <v>2024-H1</v>
      </c>
    </row>
    <row r="2005">
      <c r="A2005" s="113" t="s">
        <v>610</v>
      </c>
      <c r="J2005" s="108" t="str">
        <f t="shared" si="6"/>
        <v>2024</v>
      </c>
      <c r="K2005" s="110">
        <f t="shared" si="7"/>
        <v>6</v>
      </c>
      <c r="L2005" s="108" t="str">
        <f t="shared" si="8"/>
        <v>2024-Q2</v>
      </c>
      <c r="M2005" s="111" t="str">
        <f t="shared" si="9"/>
        <v>2024-06</v>
      </c>
      <c r="N2005" s="112" t="str">
        <f t="shared" si="10"/>
        <v>2024-H1</v>
      </c>
    </row>
    <row r="2006">
      <c r="A2006" s="113" t="s">
        <v>610</v>
      </c>
      <c r="J2006" s="108" t="str">
        <f t="shared" si="6"/>
        <v>2024</v>
      </c>
      <c r="K2006" s="110">
        <f t="shared" si="7"/>
        <v>6</v>
      </c>
      <c r="L2006" s="108" t="str">
        <f t="shared" si="8"/>
        <v>2024-Q2</v>
      </c>
      <c r="M2006" s="111" t="str">
        <f t="shared" si="9"/>
        <v>2024-06</v>
      </c>
      <c r="N2006" s="112" t="str">
        <f t="shared" si="10"/>
        <v>2024-H1</v>
      </c>
    </row>
    <row r="2007">
      <c r="A2007" s="113" t="s">
        <v>610</v>
      </c>
      <c r="J2007" s="108" t="str">
        <f t="shared" si="6"/>
        <v>2024</v>
      </c>
      <c r="K2007" s="110">
        <f t="shared" si="7"/>
        <v>6</v>
      </c>
      <c r="L2007" s="108" t="str">
        <f t="shared" si="8"/>
        <v>2024-Q2</v>
      </c>
      <c r="M2007" s="111" t="str">
        <f t="shared" si="9"/>
        <v>2024-06</v>
      </c>
      <c r="N2007" s="112" t="str">
        <f t="shared" si="10"/>
        <v>2024-H1</v>
      </c>
    </row>
    <row r="2008">
      <c r="A2008" s="113" t="s">
        <v>610</v>
      </c>
      <c r="J2008" s="108" t="str">
        <f t="shared" si="6"/>
        <v>2024</v>
      </c>
      <c r="K2008" s="110">
        <f t="shared" si="7"/>
        <v>6</v>
      </c>
      <c r="L2008" s="108" t="str">
        <f t="shared" si="8"/>
        <v>2024-Q2</v>
      </c>
      <c r="M2008" s="111" t="str">
        <f t="shared" si="9"/>
        <v>2024-06</v>
      </c>
      <c r="N2008" s="112" t="str">
        <f t="shared" si="10"/>
        <v>2024-H1</v>
      </c>
    </row>
    <row r="2009">
      <c r="A2009" s="113" t="s">
        <v>610</v>
      </c>
      <c r="J2009" s="108" t="str">
        <f t="shared" si="6"/>
        <v>2024</v>
      </c>
      <c r="K2009" s="110">
        <f t="shared" si="7"/>
        <v>6</v>
      </c>
      <c r="L2009" s="108" t="str">
        <f t="shared" si="8"/>
        <v>2024-Q2</v>
      </c>
      <c r="M2009" s="111" t="str">
        <f t="shared" si="9"/>
        <v>2024-06</v>
      </c>
      <c r="N2009" s="112" t="str">
        <f t="shared" si="10"/>
        <v>2024-H1</v>
      </c>
    </row>
    <row r="2010">
      <c r="A2010" s="113" t="s">
        <v>610</v>
      </c>
      <c r="J2010" s="108" t="str">
        <f t="shared" si="6"/>
        <v>2024</v>
      </c>
      <c r="K2010" s="110">
        <f t="shared" si="7"/>
        <v>6</v>
      </c>
      <c r="L2010" s="108" t="str">
        <f t="shared" si="8"/>
        <v>2024-Q2</v>
      </c>
      <c r="M2010" s="111" t="str">
        <f t="shared" si="9"/>
        <v>2024-06</v>
      </c>
      <c r="N2010" s="112" t="str">
        <f t="shared" si="10"/>
        <v>2024-H1</v>
      </c>
    </row>
    <row r="2011">
      <c r="A2011" s="113" t="s">
        <v>610</v>
      </c>
      <c r="J2011" s="108" t="str">
        <f t="shared" si="6"/>
        <v>2024</v>
      </c>
      <c r="K2011" s="110">
        <f t="shared" si="7"/>
        <v>6</v>
      </c>
      <c r="L2011" s="108" t="str">
        <f t="shared" si="8"/>
        <v>2024-Q2</v>
      </c>
      <c r="M2011" s="111" t="str">
        <f t="shared" si="9"/>
        <v>2024-06</v>
      </c>
      <c r="N2011" s="112" t="str">
        <f t="shared" si="10"/>
        <v>2024-H1</v>
      </c>
    </row>
    <row r="2012">
      <c r="A2012" s="113" t="s">
        <v>610</v>
      </c>
      <c r="J2012" s="108" t="str">
        <f t="shared" si="6"/>
        <v>2024</v>
      </c>
      <c r="K2012" s="110">
        <f t="shared" si="7"/>
        <v>6</v>
      </c>
      <c r="L2012" s="108" t="str">
        <f t="shared" si="8"/>
        <v>2024-Q2</v>
      </c>
      <c r="M2012" s="111" t="str">
        <f t="shared" si="9"/>
        <v>2024-06</v>
      </c>
      <c r="N2012" s="112" t="str">
        <f t="shared" si="10"/>
        <v>2024-H1</v>
      </c>
    </row>
    <row r="2013">
      <c r="A2013" s="113" t="s">
        <v>610</v>
      </c>
      <c r="J2013" s="108" t="str">
        <f t="shared" si="6"/>
        <v>2024</v>
      </c>
      <c r="K2013" s="110">
        <f t="shared" si="7"/>
        <v>6</v>
      </c>
      <c r="L2013" s="108" t="str">
        <f t="shared" si="8"/>
        <v>2024-Q2</v>
      </c>
      <c r="M2013" s="111" t="str">
        <f t="shared" si="9"/>
        <v>2024-06</v>
      </c>
      <c r="N2013" s="112" t="str">
        <f t="shared" si="10"/>
        <v>2024-H1</v>
      </c>
    </row>
    <row r="2014">
      <c r="A2014" s="113" t="s">
        <v>610</v>
      </c>
      <c r="J2014" s="108" t="str">
        <f t="shared" si="6"/>
        <v>2024</v>
      </c>
      <c r="K2014" s="110">
        <f t="shared" si="7"/>
        <v>6</v>
      </c>
      <c r="L2014" s="108" t="str">
        <f t="shared" si="8"/>
        <v>2024-Q2</v>
      </c>
      <c r="M2014" s="111" t="str">
        <f t="shared" si="9"/>
        <v>2024-06</v>
      </c>
      <c r="N2014" s="112" t="str">
        <f t="shared" si="10"/>
        <v>2024-H1</v>
      </c>
    </row>
    <row r="2015">
      <c r="A2015" s="113" t="s">
        <v>610</v>
      </c>
      <c r="J2015" s="108" t="str">
        <f t="shared" si="6"/>
        <v>2024</v>
      </c>
      <c r="K2015" s="110">
        <f t="shared" si="7"/>
        <v>6</v>
      </c>
      <c r="L2015" s="108" t="str">
        <f t="shared" si="8"/>
        <v>2024-Q2</v>
      </c>
      <c r="M2015" s="111" t="str">
        <f t="shared" si="9"/>
        <v>2024-06</v>
      </c>
      <c r="N2015" s="112" t="str">
        <f t="shared" si="10"/>
        <v>2024-H1</v>
      </c>
    </row>
    <row r="2016">
      <c r="A2016" s="113" t="s">
        <v>610</v>
      </c>
      <c r="J2016" s="108" t="str">
        <f t="shared" si="6"/>
        <v>2024</v>
      </c>
      <c r="K2016" s="110">
        <f t="shared" si="7"/>
        <v>6</v>
      </c>
      <c r="L2016" s="108" t="str">
        <f t="shared" si="8"/>
        <v>2024-Q2</v>
      </c>
      <c r="M2016" s="111" t="str">
        <f t="shared" si="9"/>
        <v>2024-06</v>
      </c>
      <c r="N2016" s="112" t="str">
        <f t="shared" si="10"/>
        <v>2024-H1</v>
      </c>
    </row>
    <row r="2017">
      <c r="A2017" s="113" t="s">
        <v>610</v>
      </c>
      <c r="J2017" s="108" t="str">
        <f t="shared" si="6"/>
        <v>2024</v>
      </c>
      <c r="K2017" s="110">
        <f t="shared" si="7"/>
        <v>6</v>
      </c>
      <c r="L2017" s="108" t="str">
        <f t="shared" si="8"/>
        <v>2024-Q2</v>
      </c>
      <c r="M2017" s="111" t="str">
        <f t="shared" si="9"/>
        <v>2024-06</v>
      </c>
      <c r="N2017" s="112" t="str">
        <f t="shared" si="10"/>
        <v>2024-H1</v>
      </c>
    </row>
    <row r="2018">
      <c r="A2018" s="113" t="s">
        <v>610</v>
      </c>
      <c r="J2018" s="108" t="str">
        <f t="shared" si="6"/>
        <v>2024</v>
      </c>
      <c r="K2018" s="110">
        <f t="shared" si="7"/>
        <v>6</v>
      </c>
      <c r="L2018" s="108" t="str">
        <f t="shared" si="8"/>
        <v>2024-Q2</v>
      </c>
      <c r="M2018" s="111" t="str">
        <f t="shared" si="9"/>
        <v>2024-06</v>
      </c>
      <c r="N2018" s="112" t="str">
        <f t="shared" si="10"/>
        <v>2024-H1</v>
      </c>
    </row>
    <row r="2019">
      <c r="A2019" s="113" t="s">
        <v>610</v>
      </c>
      <c r="J2019" s="108" t="str">
        <f t="shared" si="6"/>
        <v>2024</v>
      </c>
      <c r="K2019" s="110">
        <f t="shared" si="7"/>
        <v>6</v>
      </c>
      <c r="L2019" s="108" t="str">
        <f t="shared" si="8"/>
        <v>2024-Q2</v>
      </c>
      <c r="M2019" s="111" t="str">
        <f t="shared" si="9"/>
        <v>2024-06</v>
      </c>
      <c r="N2019" s="112" t="str">
        <f t="shared" si="10"/>
        <v>2024-H1</v>
      </c>
    </row>
    <row r="2020">
      <c r="A2020" s="113" t="s">
        <v>610</v>
      </c>
      <c r="J2020" s="108" t="str">
        <f t="shared" si="6"/>
        <v>2024</v>
      </c>
      <c r="K2020" s="110">
        <f t="shared" si="7"/>
        <v>6</v>
      </c>
      <c r="L2020" s="108" t="str">
        <f t="shared" si="8"/>
        <v>2024-Q2</v>
      </c>
      <c r="M2020" s="111" t="str">
        <f t="shared" si="9"/>
        <v>2024-06</v>
      </c>
      <c r="N2020" s="112" t="str">
        <f t="shared" si="10"/>
        <v>2024-H1</v>
      </c>
    </row>
    <row r="2021">
      <c r="A2021" s="113" t="s">
        <v>610</v>
      </c>
      <c r="J2021" s="108" t="str">
        <f t="shared" si="6"/>
        <v>2024</v>
      </c>
      <c r="K2021" s="110">
        <f t="shared" si="7"/>
        <v>6</v>
      </c>
      <c r="L2021" s="108" t="str">
        <f t="shared" si="8"/>
        <v>2024-Q2</v>
      </c>
      <c r="M2021" s="111" t="str">
        <f t="shared" si="9"/>
        <v>2024-06</v>
      </c>
      <c r="N2021" s="112" t="str">
        <f t="shared" si="10"/>
        <v>2024-H1</v>
      </c>
    </row>
    <row r="2022">
      <c r="A2022" s="113" t="s">
        <v>610</v>
      </c>
      <c r="J2022" s="108" t="str">
        <f t="shared" si="6"/>
        <v>2024</v>
      </c>
      <c r="K2022" s="110">
        <f t="shared" si="7"/>
        <v>6</v>
      </c>
      <c r="L2022" s="108" t="str">
        <f t="shared" si="8"/>
        <v>2024-Q2</v>
      </c>
      <c r="M2022" s="111" t="str">
        <f t="shared" si="9"/>
        <v>2024-06</v>
      </c>
      <c r="N2022" s="112" t="str">
        <f t="shared" si="10"/>
        <v>2024-H1</v>
      </c>
    </row>
    <row r="2023">
      <c r="A2023" s="113" t="s">
        <v>610</v>
      </c>
      <c r="J2023" s="108" t="str">
        <f t="shared" si="6"/>
        <v>2024</v>
      </c>
      <c r="K2023" s="110">
        <f t="shared" si="7"/>
        <v>6</v>
      </c>
      <c r="L2023" s="108" t="str">
        <f t="shared" si="8"/>
        <v>2024-Q2</v>
      </c>
      <c r="M2023" s="111" t="str">
        <f t="shared" si="9"/>
        <v>2024-06</v>
      </c>
      <c r="N2023" s="112" t="str">
        <f t="shared" si="10"/>
        <v>2024-H1</v>
      </c>
    </row>
    <row r="2024">
      <c r="A2024" s="113" t="s">
        <v>610</v>
      </c>
      <c r="J2024" s="108" t="str">
        <f t="shared" si="6"/>
        <v>2024</v>
      </c>
      <c r="K2024" s="110">
        <f t="shared" si="7"/>
        <v>6</v>
      </c>
      <c r="L2024" s="108" t="str">
        <f t="shared" si="8"/>
        <v>2024-Q2</v>
      </c>
      <c r="M2024" s="111" t="str">
        <f t="shared" si="9"/>
        <v>2024-06</v>
      </c>
      <c r="N2024" s="112" t="str">
        <f t="shared" si="10"/>
        <v>2024-H1</v>
      </c>
    </row>
    <row r="2025">
      <c r="A2025" s="113" t="s">
        <v>610</v>
      </c>
      <c r="J2025" s="108" t="str">
        <f t="shared" si="6"/>
        <v>2024</v>
      </c>
      <c r="K2025" s="110">
        <f t="shared" si="7"/>
        <v>6</v>
      </c>
      <c r="L2025" s="108" t="str">
        <f t="shared" si="8"/>
        <v>2024-Q2</v>
      </c>
      <c r="M2025" s="111" t="str">
        <f t="shared" si="9"/>
        <v>2024-06</v>
      </c>
      <c r="N2025" s="112" t="str">
        <f t="shared" si="10"/>
        <v>2024-H1</v>
      </c>
    </row>
    <row r="2026">
      <c r="A2026" s="113" t="s">
        <v>610</v>
      </c>
      <c r="J2026" s="108" t="str">
        <f t="shared" si="6"/>
        <v>2024</v>
      </c>
      <c r="K2026" s="110">
        <f t="shared" si="7"/>
        <v>6</v>
      </c>
      <c r="L2026" s="108" t="str">
        <f t="shared" si="8"/>
        <v>2024-Q2</v>
      </c>
      <c r="M2026" s="111" t="str">
        <f t="shared" si="9"/>
        <v>2024-06</v>
      </c>
      <c r="N2026" s="112" t="str">
        <f t="shared" si="10"/>
        <v>2024-H1</v>
      </c>
    </row>
    <row r="2027">
      <c r="A2027" s="113" t="s">
        <v>610</v>
      </c>
      <c r="J2027" s="108" t="str">
        <f t="shared" si="6"/>
        <v>2024</v>
      </c>
      <c r="K2027" s="110">
        <f t="shared" si="7"/>
        <v>6</v>
      </c>
      <c r="L2027" s="108" t="str">
        <f t="shared" si="8"/>
        <v>2024-Q2</v>
      </c>
      <c r="M2027" s="111" t="str">
        <f t="shared" si="9"/>
        <v>2024-06</v>
      </c>
      <c r="N2027" s="112" t="str">
        <f t="shared" si="10"/>
        <v>2024-H1</v>
      </c>
    </row>
    <row r="2028">
      <c r="A2028" s="113" t="s">
        <v>610</v>
      </c>
      <c r="J2028" s="108" t="str">
        <f t="shared" si="6"/>
        <v>2024</v>
      </c>
      <c r="K2028" s="110">
        <f t="shared" si="7"/>
        <v>7</v>
      </c>
      <c r="L2028" s="108" t="str">
        <f t="shared" si="8"/>
        <v>2024-Q3</v>
      </c>
      <c r="M2028" s="111" t="str">
        <f t="shared" si="9"/>
        <v>2024-07</v>
      </c>
      <c r="N2028" s="112" t="str">
        <f t="shared" si="10"/>
        <v>2024-H2</v>
      </c>
    </row>
    <row r="2029">
      <c r="A2029" s="113" t="s">
        <v>610</v>
      </c>
      <c r="J2029" s="108" t="str">
        <f t="shared" si="6"/>
        <v>2024</v>
      </c>
      <c r="K2029" s="110">
        <f t="shared" si="7"/>
        <v>7</v>
      </c>
      <c r="L2029" s="108" t="str">
        <f t="shared" si="8"/>
        <v>2024-Q3</v>
      </c>
      <c r="M2029" s="111" t="str">
        <f t="shared" si="9"/>
        <v>2024-07</v>
      </c>
      <c r="N2029" s="112" t="str">
        <f t="shared" si="10"/>
        <v>2024-H2</v>
      </c>
    </row>
    <row r="2030">
      <c r="A2030" s="113" t="s">
        <v>610</v>
      </c>
      <c r="J2030" s="108" t="str">
        <f t="shared" si="6"/>
        <v>2024</v>
      </c>
      <c r="K2030" s="110">
        <f t="shared" si="7"/>
        <v>6</v>
      </c>
      <c r="L2030" s="108" t="str">
        <f t="shared" si="8"/>
        <v>2024-Q2</v>
      </c>
      <c r="M2030" s="111" t="str">
        <f t="shared" si="9"/>
        <v>2024-06</v>
      </c>
      <c r="N2030" s="112" t="str">
        <f t="shared" si="10"/>
        <v>2024-H1</v>
      </c>
    </row>
    <row r="2031">
      <c r="A2031" s="113" t="s">
        <v>610</v>
      </c>
      <c r="J2031" s="108" t="str">
        <f t="shared" si="6"/>
        <v>2024</v>
      </c>
      <c r="K2031" s="110">
        <f t="shared" si="7"/>
        <v>7</v>
      </c>
      <c r="L2031" s="108" t="str">
        <f t="shared" si="8"/>
        <v>2024-Q3</v>
      </c>
      <c r="M2031" s="111" t="str">
        <f t="shared" si="9"/>
        <v>2024-07</v>
      </c>
      <c r="N2031" s="112" t="str">
        <f t="shared" si="10"/>
        <v>2024-H2</v>
      </c>
    </row>
    <row r="2032">
      <c r="A2032" s="113" t="s">
        <v>610</v>
      </c>
      <c r="J2032" s="108" t="str">
        <f t="shared" si="6"/>
        <v>2024</v>
      </c>
      <c r="K2032" s="110">
        <f t="shared" si="7"/>
        <v>7</v>
      </c>
      <c r="L2032" s="108" t="str">
        <f t="shared" si="8"/>
        <v>2024-Q3</v>
      </c>
      <c r="M2032" s="111" t="str">
        <f t="shared" si="9"/>
        <v>2024-07</v>
      </c>
      <c r="N2032" s="112" t="str">
        <f t="shared" si="10"/>
        <v>2024-H2</v>
      </c>
    </row>
    <row r="2033">
      <c r="A2033" s="113" t="s">
        <v>610</v>
      </c>
      <c r="J2033" s="108" t="str">
        <f t="shared" si="6"/>
        <v>2024</v>
      </c>
      <c r="K2033" s="110">
        <f t="shared" si="7"/>
        <v>7</v>
      </c>
      <c r="L2033" s="108" t="str">
        <f t="shared" si="8"/>
        <v>2024-Q3</v>
      </c>
      <c r="M2033" s="111" t="str">
        <f t="shared" si="9"/>
        <v>2024-07</v>
      </c>
      <c r="N2033" s="112" t="str">
        <f t="shared" si="10"/>
        <v>2024-H2</v>
      </c>
    </row>
    <row r="2034">
      <c r="A2034" s="113" t="s">
        <v>610</v>
      </c>
      <c r="J2034" s="108" t="str">
        <f t="shared" si="6"/>
        <v>2024</v>
      </c>
      <c r="K2034" s="110">
        <f t="shared" si="7"/>
        <v>6</v>
      </c>
      <c r="L2034" s="108" t="str">
        <f t="shared" si="8"/>
        <v>2024-Q2</v>
      </c>
      <c r="M2034" s="111" t="str">
        <f t="shared" si="9"/>
        <v>2024-06</v>
      </c>
      <c r="N2034" s="112" t="str">
        <f t="shared" si="10"/>
        <v>2024-H1</v>
      </c>
    </row>
    <row r="2035">
      <c r="A2035" s="113" t="s">
        <v>610</v>
      </c>
      <c r="J2035" s="108" t="str">
        <f t="shared" si="6"/>
        <v>2024</v>
      </c>
      <c r="K2035" s="110">
        <f t="shared" si="7"/>
        <v>7</v>
      </c>
      <c r="L2035" s="108" t="str">
        <f t="shared" si="8"/>
        <v>2024-Q3</v>
      </c>
      <c r="M2035" s="111" t="str">
        <f t="shared" si="9"/>
        <v>2024-07</v>
      </c>
      <c r="N2035" s="112" t="str">
        <f t="shared" si="10"/>
        <v>2024-H2</v>
      </c>
    </row>
    <row r="2036">
      <c r="A2036" s="113" t="s">
        <v>610</v>
      </c>
      <c r="J2036" s="108" t="str">
        <f t="shared" si="6"/>
        <v>2024</v>
      </c>
      <c r="K2036" s="110">
        <f t="shared" si="7"/>
        <v>6</v>
      </c>
      <c r="L2036" s="108" t="str">
        <f t="shared" si="8"/>
        <v>2024-Q2</v>
      </c>
      <c r="M2036" s="111" t="str">
        <f t="shared" si="9"/>
        <v>2024-06</v>
      </c>
      <c r="N2036" s="112" t="str">
        <f t="shared" si="10"/>
        <v>2024-H1</v>
      </c>
    </row>
    <row r="2037">
      <c r="A2037" s="113" t="s">
        <v>610</v>
      </c>
      <c r="J2037" s="108" t="str">
        <f t="shared" si="6"/>
        <v>2024</v>
      </c>
      <c r="K2037" s="110">
        <f t="shared" si="7"/>
        <v>7</v>
      </c>
      <c r="L2037" s="108" t="str">
        <f t="shared" si="8"/>
        <v>2024-Q3</v>
      </c>
      <c r="M2037" s="111" t="str">
        <f t="shared" si="9"/>
        <v>2024-07</v>
      </c>
      <c r="N2037" s="112" t="str">
        <f t="shared" si="10"/>
        <v>2024-H2</v>
      </c>
    </row>
    <row r="2038">
      <c r="A2038" s="113" t="s">
        <v>610</v>
      </c>
      <c r="J2038" s="108" t="str">
        <f t="shared" si="6"/>
        <v>2024</v>
      </c>
      <c r="K2038" s="110">
        <f t="shared" si="7"/>
        <v>6</v>
      </c>
      <c r="L2038" s="108" t="str">
        <f t="shared" si="8"/>
        <v>2024-Q2</v>
      </c>
      <c r="M2038" s="111" t="str">
        <f t="shared" si="9"/>
        <v>2024-06</v>
      </c>
      <c r="N2038" s="112" t="str">
        <f t="shared" si="10"/>
        <v>2024-H1</v>
      </c>
    </row>
    <row r="2039">
      <c r="A2039" s="113" t="s">
        <v>610</v>
      </c>
      <c r="J2039" s="108" t="str">
        <f t="shared" si="6"/>
        <v>2024</v>
      </c>
      <c r="K2039" s="110">
        <f t="shared" si="7"/>
        <v>7</v>
      </c>
      <c r="L2039" s="108" t="str">
        <f t="shared" si="8"/>
        <v>2024-Q3</v>
      </c>
      <c r="M2039" s="111" t="str">
        <f t="shared" si="9"/>
        <v>2024-07</v>
      </c>
      <c r="N2039" s="112" t="str">
        <f t="shared" si="10"/>
        <v>2024-H2</v>
      </c>
    </row>
    <row r="2040">
      <c r="A2040" s="113" t="s">
        <v>610</v>
      </c>
      <c r="J2040" s="108" t="str">
        <f t="shared" si="6"/>
        <v>2024</v>
      </c>
      <c r="K2040" s="110">
        <f t="shared" si="7"/>
        <v>6</v>
      </c>
      <c r="L2040" s="108" t="str">
        <f t="shared" si="8"/>
        <v>2024-Q2</v>
      </c>
      <c r="M2040" s="111" t="str">
        <f t="shared" si="9"/>
        <v>2024-06</v>
      </c>
      <c r="N2040" s="112" t="str">
        <f t="shared" si="10"/>
        <v>2024-H1</v>
      </c>
    </row>
    <row r="2041">
      <c r="A2041" s="113" t="s">
        <v>610</v>
      </c>
      <c r="J2041" s="108" t="str">
        <f t="shared" si="6"/>
        <v>2024</v>
      </c>
      <c r="K2041" s="110">
        <f t="shared" si="7"/>
        <v>6</v>
      </c>
      <c r="L2041" s="108" t="str">
        <f t="shared" si="8"/>
        <v>2024-Q2</v>
      </c>
      <c r="M2041" s="111" t="str">
        <f t="shared" si="9"/>
        <v>2024-06</v>
      </c>
      <c r="N2041" s="112" t="str">
        <f t="shared" si="10"/>
        <v>2024-H1</v>
      </c>
    </row>
    <row r="2042">
      <c r="A2042" s="113" t="s">
        <v>610</v>
      </c>
      <c r="J2042" s="108" t="str">
        <f t="shared" si="6"/>
        <v>2024</v>
      </c>
      <c r="K2042" s="110">
        <f t="shared" si="7"/>
        <v>6</v>
      </c>
      <c r="L2042" s="108" t="str">
        <f t="shared" si="8"/>
        <v>2024-Q2</v>
      </c>
      <c r="M2042" s="111" t="str">
        <f t="shared" si="9"/>
        <v>2024-06</v>
      </c>
      <c r="N2042" s="112" t="str">
        <f t="shared" si="10"/>
        <v>2024-H1</v>
      </c>
    </row>
    <row r="2043">
      <c r="A2043" s="113" t="s">
        <v>610</v>
      </c>
      <c r="J2043" s="108" t="str">
        <f t="shared" si="6"/>
        <v>2024</v>
      </c>
      <c r="K2043" s="110">
        <f t="shared" si="7"/>
        <v>6</v>
      </c>
      <c r="L2043" s="108" t="str">
        <f t="shared" si="8"/>
        <v>2024-Q2</v>
      </c>
      <c r="M2043" s="111" t="str">
        <f t="shared" si="9"/>
        <v>2024-06</v>
      </c>
      <c r="N2043" s="112" t="str">
        <f t="shared" si="10"/>
        <v>2024-H1</v>
      </c>
    </row>
    <row r="2044">
      <c r="A2044" s="113" t="s">
        <v>610</v>
      </c>
      <c r="J2044" s="108" t="str">
        <f t="shared" si="6"/>
        <v>2024</v>
      </c>
      <c r="K2044" s="110">
        <f t="shared" si="7"/>
        <v>7</v>
      </c>
      <c r="L2044" s="108" t="str">
        <f t="shared" si="8"/>
        <v>2024-Q3</v>
      </c>
      <c r="M2044" s="111" t="str">
        <f t="shared" si="9"/>
        <v>2024-07</v>
      </c>
      <c r="N2044" s="112" t="str">
        <f t="shared" si="10"/>
        <v>2024-H2</v>
      </c>
    </row>
    <row r="2045">
      <c r="A2045" s="113" t="s">
        <v>610</v>
      </c>
      <c r="J2045" s="108" t="str">
        <f t="shared" si="6"/>
        <v>2024</v>
      </c>
      <c r="K2045" s="110">
        <f t="shared" si="7"/>
        <v>6</v>
      </c>
      <c r="L2045" s="108" t="str">
        <f t="shared" si="8"/>
        <v>2024-Q2</v>
      </c>
      <c r="M2045" s="111" t="str">
        <f t="shared" si="9"/>
        <v>2024-06</v>
      </c>
      <c r="N2045" s="112" t="str">
        <f t="shared" si="10"/>
        <v>2024-H1</v>
      </c>
    </row>
    <row r="2046">
      <c r="A2046" s="113" t="s">
        <v>610</v>
      </c>
      <c r="J2046" s="108" t="str">
        <f t="shared" si="6"/>
        <v>2024</v>
      </c>
      <c r="K2046" s="110">
        <f t="shared" si="7"/>
        <v>6</v>
      </c>
      <c r="L2046" s="108" t="str">
        <f t="shared" si="8"/>
        <v>2024-Q2</v>
      </c>
      <c r="M2046" s="111" t="str">
        <f t="shared" si="9"/>
        <v>2024-06</v>
      </c>
      <c r="N2046" s="112" t="str">
        <f t="shared" si="10"/>
        <v>2024-H1</v>
      </c>
    </row>
    <row r="2047">
      <c r="A2047" s="113" t="s">
        <v>610</v>
      </c>
      <c r="J2047" s="108" t="str">
        <f t="shared" si="6"/>
        <v>2024</v>
      </c>
      <c r="K2047" s="110">
        <f t="shared" si="7"/>
        <v>6</v>
      </c>
      <c r="L2047" s="108" t="str">
        <f t="shared" si="8"/>
        <v>2024-Q2</v>
      </c>
      <c r="M2047" s="111" t="str">
        <f t="shared" si="9"/>
        <v>2024-06</v>
      </c>
      <c r="N2047" s="112" t="str">
        <f t="shared" si="10"/>
        <v>2024-H1</v>
      </c>
    </row>
    <row r="2048">
      <c r="A2048" s="113" t="s">
        <v>610</v>
      </c>
      <c r="J2048" s="108" t="str">
        <f t="shared" si="6"/>
        <v>2024</v>
      </c>
      <c r="K2048" s="110">
        <f t="shared" si="7"/>
        <v>6</v>
      </c>
      <c r="L2048" s="108" t="str">
        <f t="shared" si="8"/>
        <v>2024-Q2</v>
      </c>
      <c r="M2048" s="111" t="str">
        <f t="shared" si="9"/>
        <v>2024-06</v>
      </c>
      <c r="N2048" s="112" t="str">
        <f t="shared" si="10"/>
        <v>2024-H1</v>
      </c>
    </row>
    <row r="2049">
      <c r="A2049" s="113" t="s">
        <v>610</v>
      </c>
      <c r="J2049" s="108" t="str">
        <f t="shared" si="6"/>
        <v>2024</v>
      </c>
      <c r="K2049" s="110">
        <f t="shared" si="7"/>
        <v>7</v>
      </c>
      <c r="L2049" s="108" t="str">
        <f t="shared" si="8"/>
        <v>2024-Q3</v>
      </c>
      <c r="M2049" s="111" t="str">
        <f t="shared" si="9"/>
        <v>2024-07</v>
      </c>
      <c r="N2049" s="112" t="str">
        <f t="shared" si="10"/>
        <v>2024-H2</v>
      </c>
    </row>
    <row r="2050">
      <c r="A2050" s="113" t="s">
        <v>610</v>
      </c>
      <c r="J2050" s="108" t="str">
        <f t="shared" si="6"/>
        <v>2024</v>
      </c>
      <c r="K2050" s="110">
        <f t="shared" si="7"/>
        <v>7</v>
      </c>
      <c r="L2050" s="108" t="str">
        <f t="shared" si="8"/>
        <v>2024-Q3</v>
      </c>
      <c r="M2050" s="111" t="str">
        <f t="shared" si="9"/>
        <v>2024-07</v>
      </c>
      <c r="N2050" s="112" t="str">
        <f t="shared" si="10"/>
        <v>2024-H2</v>
      </c>
    </row>
    <row r="2051">
      <c r="A2051" s="113" t="s">
        <v>610</v>
      </c>
      <c r="J2051" s="108" t="str">
        <f t="shared" si="6"/>
        <v>2024</v>
      </c>
      <c r="K2051" s="110">
        <f t="shared" si="7"/>
        <v>7</v>
      </c>
      <c r="L2051" s="108" t="str">
        <f t="shared" si="8"/>
        <v>2024-Q3</v>
      </c>
      <c r="M2051" s="111" t="str">
        <f t="shared" si="9"/>
        <v>2024-07</v>
      </c>
      <c r="N2051" s="112" t="str">
        <f t="shared" si="10"/>
        <v>2024-H2</v>
      </c>
    </row>
    <row r="2052">
      <c r="A2052" s="113" t="s">
        <v>610</v>
      </c>
      <c r="J2052" s="108" t="str">
        <f t="shared" si="6"/>
        <v>2024</v>
      </c>
      <c r="K2052" s="110">
        <f t="shared" si="7"/>
        <v>7</v>
      </c>
      <c r="L2052" s="108" t="str">
        <f t="shared" si="8"/>
        <v>2024-Q3</v>
      </c>
      <c r="M2052" s="111" t="str">
        <f t="shared" si="9"/>
        <v>2024-07</v>
      </c>
      <c r="N2052" s="112" t="str">
        <f t="shared" si="10"/>
        <v>2024-H2</v>
      </c>
    </row>
    <row r="2053">
      <c r="A2053" s="113" t="s">
        <v>610</v>
      </c>
      <c r="J2053" s="108" t="str">
        <f t="shared" si="6"/>
        <v>2024</v>
      </c>
      <c r="K2053" s="110">
        <f t="shared" si="7"/>
        <v>6</v>
      </c>
      <c r="L2053" s="108" t="str">
        <f t="shared" si="8"/>
        <v>2024-Q2</v>
      </c>
      <c r="M2053" s="111" t="str">
        <f t="shared" si="9"/>
        <v>2024-06</v>
      </c>
      <c r="N2053" s="112" t="str">
        <f t="shared" si="10"/>
        <v>2024-H1</v>
      </c>
    </row>
    <row r="2054">
      <c r="A2054" s="113" t="s">
        <v>610</v>
      </c>
      <c r="J2054" s="108" t="str">
        <f t="shared" si="6"/>
        <v>2024</v>
      </c>
      <c r="K2054" s="110">
        <f t="shared" si="7"/>
        <v>6</v>
      </c>
      <c r="L2054" s="108" t="str">
        <f t="shared" si="8"/>
        <v>2024-Q2</v>
      </c>
      <c r="M2054" s="111" t="str">
        <f t="shared" si="9"/>
        <v>2024-06</v>
      </c>
      <c r="N2054" s="112" t="str">
        <f t="shared" si="10"/>
        <v>2024-H1</v>
      </c>
    </row>
    <row r="2055">
      <c r="A2055" s="113" t="s">
        <v>610</v>
      </c>
      <c r="J2055" s="108" t="str">
        <f t="shared" si="6"/>
        <v>2024</v>
      </c>
      <c r="K2055" s="110">
        <f t="shared" si="7"/>
        <v>7</v>
      </c>
      <c r="L2055" s="108" t="str">
        <f t="shared" si="8"/>
        <v>2024-Q3</v>
      </c>
      <c r="M2055" s="111" t="str">
        <f t="shared" si="9"/>
        <v>2024-07</v>
      </c>
      <c r="N2055" s="112" t="str">
        <f t="shared" si="10"/>
        <v>2024-H2</v>
      </c>
    </row>
    <row r="2056">
      <c r="A2056" s="113" t="s">
        <v>610</v>
      </c>
      <c r="J2056" s="108" t="str">
        <f t="shared" si="6"/>
        <v>2024</v>
      </c>
      <c r="K2056" s="110">
        <f t="shared" si="7"/>
        <v>6</v>
      </c>
      <c r="L2056" s="108" t="str">
        <f t="shared" si="8"/>
        <v>2024-Q2</v>
      </c>
      <c r="M2056" s="111" t="str">
        <f t="shared" si="9"/>
        <v>2024-06</v>
      </c>
      <c r="N2056" s="112" t="str">
        <f t="shared" si="10"/>
        <v>2024-H1</v>
      </c>
    </row>
    <row r="2057">
      <c r="A2057" s="113" t="s">
        <v>610</v>
      </c>
      <c r="J2057" s="108" t="str">
        <f t="shared" si="6"/>
        <v>2024</v>
      </c>
      <c r="K2057" s="110">
        <f t="shared" si="7"/>
        <v>6</v>
      </c>
      <c r="L2057" s="108" t="str">
        <f t="shared" si="8"/>
        <v>2024-Q2</v>
      </c>
      <c r="M2057" s="111" t="str">
        <f t="shared" si="9"/>
        <v>2024-06</v>
      </c>
      <c r="N2057" s="112" t="str">
        <f t="shared" si="10"/>
        <v>2024-H1</v>
      </c>
    </row>
    <row r="2058">
      <c r="A2058" s="113" t="s">
        <v>610</v>
      </c>
      <c r="J2058" s="108" t="str">
        <f t="shared" si="6"/>
        <v>2024</v>
      </c>
      <c r="K2058" s="110">
        <f t="shared" si="7"/>
        <v>6</v>
      </c>
      <c r="L2058" s="108" t="str">
        <f t="shared" si="8"/>
        <v>2024-Q2</v>
      </c>
      <c r="M2058" s="111" t="str">
        <f t="shared" si="9"/>
        <v>2024-06</v>
      </c>
      <c r="N2058" s="112" t="str">
        <f t="shared" si="10"/>
        <v>2024-H1</v>
      </c>
    </row>
    <row r="2059">
      <c r="A2059" s="113" t="s">
        <v>610</v>
      </c>
      <c r="J2059" s="108" t="str">
        <f t="shared" si="6"/>
        <v>2024</v>
      </c>
      <c r="K2059" s="110">
        <f t="shared" si="7"/>
        <v>6</v>
      </c>
      <c r="L2059" s="108" t="str">
        <f t="shared" si="8"/>
        <v>2024-Q2</v>
      </c>
      <c r="M2059" s="111" t="str">
        <f t="shared" si="9"/>
        <v>2024-06</v>
      </c>
      <c r="N2059" s="112" t="str">
        <f t="shared" si="10"/>
        <v>2024-H1</v>
      </c>
    </row>
    <row r="2060">
      <c r="A2060" s="113" t="s">
        <v>610</v>
      </c>
      <c r="J2060" s="108" t="str">
        <f t="shared" si="6"/>
        <v>2024</v>
      </c>
      <c r="K2060" s="110">
        <f t="shared" si="7"/>
        <v>6</v>
      </c>
      <c r="L2060" s="108" t="str">
        <f t="shared" si="8"/>
        <v>2024-Q2</v>
      </c>
      <c r="M2060" s="111" t="str">
        <f t="shared" si="9"/>
        <v>2024-06</v>
      </c>
      <c r="N2060" s="112" t="str">
        <f t="shared" si="10"/>
        <v>2024-H1</v>
      </c>
    </row>
    <row r="2061">
      <c r="A2061" s="113" t="s">
        <v>610</v>
      </c>
      <c r="J2061" s="108" t="str">
        <f t="shared" si="6"/>
        <v>2024</v>
      </c>
      <c r="K2061" s="110">
        <f t="shared" si="7"/>
        <v>6</v>
      </c>
      <c r="L2061" s="108" t="str">
        <f t="shared" si="8"/>
        <v>2024-Q2</v>
      </c>
      <c r="M2061" s="111" t="str">
        <f t="shared" si="9"/>
        <v>2024-06</v>
      </c>
      <c r="N2061" s="112" t="str">
        <f t="shared" si="10"/>
        <v>2024-H1</v>
      </c>
    </row>
    <row r="2062">
      <c r="A2062" s="113" t="s">
        <v>610</v>
      </c>
      <c r="J2062" s="108" t="str">
        <f t="shared" si="6"/>
        <v>2024</v>
      </c>
      <c r="K2062" s="110">
        <f t="shared" si="7"/>
        <v>6</v>
      </c>
      <c r="L2062" s="108" t="str">
        <f t="shared" si="8"/>
        <v>2024-Q2</v>
      </c>
      <c r="M2062" s="111" t="str">
        <f t="shared" si="9"/>
        <v>2024-06</v>
      </c>
      <c r="N2062" s="112" t="str">
        <f t="shared" si="10"/>
        <v>2024-H1</v>
      </c>
    </row>
    <row r="2063">
      <c r="A2063" s="113" t="s">
        <v>610</v>
      </c>
      <c r="J2063" s="108" t="str">
        <f t="shared" si="6"/>
        <v>2024</v>
      </c>
      <c r="K2063" s="110">
        <f t="shared" si="7"/>
        <v>6</v>
      </c>
      <c r="L2063" s="108" t="str">
        <f t="shared" si="8"/>
        <v>2024-Q2</v>
      </c>
      <c r="M2063" s="111" t="str">
        <f t="shared" si="9"/>
        <v>2024-06</v>
      </c>
      <c r="N2063" s="112" t="str">
        <f t="shared" si="10"/>
        <v>2024-H1</v>
      </c>
    </row>
    <row r="2064">
      <c r="A2064" s="113" t="s">
        <v>610</v>
      </c>
      <c r="J2064" s="108" t="str">
        <f t="shared" si="6"/>
        <v>2024</v>
      </c>
      <c r="K2064" s="110">
        <f t="shared" si="7"/>
        <v>6</v>
      </c>
      <c r="L2064" s="108" t="str">
        <f t="shared" si="8"/>
        <v>2024-Q2</v>
      </c>
      <c r="M2064" s="111" t="str">
        <f t="shared" si="9"/>
        <v>2024-06</v>
      </c>
      <c r="N2064" s="112" t="str">
        <f t="shared" si="10"/>
        <v>2024-H1</v>
      </c>
    </row>
    <row r="2065">
      <c r="A2065" s="113" t="s">
        <v>610</v>
      </c>
      <c r="J2065" s="108" t="str">
        <f t="shared" si="6"/>
        <v>2024</v>
      </c>
      <c r="K2065" s="110">
        <f t="shared" si="7"/>
        <v>6</v>
      </c>
      <c r="L2065" s="108" t="str">
        <f t="shared" si="8"/>
        <v>2024-Q2</v>
      </c>
      <c r="M2065" s="111" t="str">
        <f t="shared" si="9"/>
        <v>2024-06</v>
      </c>
      <c r="N2065" s="112" t="str">
        <f t="shared" si="10"/>
        <v>2024-H1</v>
      </c>
    </row>
    <row r="2066">
      <c r="A2066" s="113" t="s">
        <v>610</v>
      </c>
      <c r="J2066" s="108" t="str">
        <f t="shared" si="6"/>
        <v>2024</v>
      </c>
      <c r="K2066" s="110">
        <f t="shared" si="7"/>
        <v>6</v>
      </c>
      <c r="L2066" s="108" t="str">
        <f t="shared" si="8"/>
        <v>2024-Q2</v>
      </c>
      <c r="M2066" s="111" t="str">
        <f t="shared" si="9"/>
        <v>2024-06</v>
      </c>
      <c r="N2066" s="112" t="str">
        <f t="shared" si="10"/>
        <v>2024-H1</v>
      </c>
    </row>
    <row r="2067">
      <c r="A2067" s="113" t="s">
        <v>610</v>
      </c>
      <c r="J2067" s="108" t="str">
        <f t="shared" si="6"/>
        <v>2024</v>
      </c>
      <c r="K2067" s="110">
        <f t="shared" si="7"/>
        <v>6</v>
      </c>
      <c r="L2067" s="108" t="str">
        <f t="shared" si="8"/>
        <v>2024-Q2</v>
      </c>
      <c r="M2067" s="111" t="str">
        <f t="shared" si="9"/>
        <v>2024-06</v>
      </c>
      <c r="N2067" s="112" t="str">
        <f t="shared" si="10"/>
        <v>2024-H1</v>
      </c>
    </row>
    <row r="2068">
      <c r="A2068" s="113" t="s">
        <v>610</v>
      </c>
      <c r="J2068" s="108" t="str">
        <f t="shared" si="6"/>
        <v>2024</v>
      </c>
      <c r="K2068" s="110">
        <f t="shared" si="7"/>
        <v>6</v>
      </c>
      <c r="L2068" s="108" t="str">
        <f t="shared" si="8"/>
        <v>2024-Q2</v>
      </c>
      <c r="M2068" s="111" t="str">
        <f t="shared" si="9"/>
        <v>2024-06</v>
      </c>
      <c r="N2068" s="112" t="str">
        <f t="shared" si="10"/>
        <v>2024-H1</v>
      </c>
    </row>
    <row r="2069">
      <c r="A2069" s="113" t="s">
        <v>610</v>
      </c>
      <c r="J2069" s="108" t="str">
        <f t="shared" si="6"/>
        <v>2024</v>
      </c>
      <c r="K2069" s="110">
        <f t="shared" si="7"/>
        <v>6</v>
      </c>
      <c r="L2069" s="108" t="str">
        <f t="shared" si="8"/>
        <v>2024-Q2</v>
      </c>
      <c r="M2069" s="111" t="str">
        <f t="shared" si="9"/>
        <v>2024-06</v>
      </c>
      <c r="N2069" s="112" t="str">
        <f t="shared" si="10"/>
        <v>2024-H1</v>
      </c>
    </row>
    <row r="2070">
      <c r="A2070" s="113" t="s">
        <v>610</v>
      </c>
      <c r="J2070" s="108" t="str">
        <f t="shared" si="6"/>
        <v>2024</v>
      </c>
      <c r="K2070" s="110">
        <f t="shared" si="7"/>
        <v>6</v>
      </c>
      <c r="L2070" s="108" t="str">
        <f t="shared" si="8"/>
        <v>2024-Q2</v>
      </c>
      <c r="M2070" s="111" t="str">
        <f t="shared" si="9"/>
        <v>2024-06</v>
      </c>
      <c r="N2070" s="112" t="str">
        <f t="shared" si="10"/>
        <v>2024-H1</v>
      </c>
    </row>
    <row r="2071">
      <c r="A2071" s="113" t="s">
        <v>610</v>
      </c>
      <c r="J2071" s="108" t="str">
        <f t="shared" si="6"/>
        <v>2024</v>
      </c>
      <c r="K2071" s="110">
        <f t="shared" si="7"/>
        <v>6</v>
      </c>
      <c r="L2071" s="108" t="str">
        <f t="shared" si="8"/>
        <v>2024-Q2</v>
      </c>
      <c r="M2071" s="111" t="str">
        <f t="shared" si="9"/>
        <v>2024-06</v>
      </c>
      <c r="N2071" s="112" t="str">
        <f t="shared" si="10"/>
        <v>2024-H1</v>
      </c>
    </row>
    <row r="2072">
      <c r="A2072" s="113" t="s">
        <v>610</v>
      </c>
      <c r="J2072" s="108" t="str">
        <f t="shared" si="6"/>
        <v>2024</v>
      </c>
      <c r="K2072" s="110">
        <f t="shared" si="7"/>
        <v>6</v>
      </c>
      <c r="L2072" s="108" t="str">
        <f t="shared" si="8"/>
        <v>2024-Q2</v>
      </c>
      <c r="M2072" s="111" t="str">
        <f t="shared" si="9"/>
        <v>2024-06</v>
      </c>
      <c r="N2072" s="112" t="str">
        <f t="shared" si="10"/>
        <v>2024-H1</v>
      </c>
    </row>
    <row r="2073">
      <c r="A2073" s="113" t="s">
        <v>610</v>
      </c>
      <c r="J2073" s="108" t="str">
        <f t="shared" si="6"/>
        <v>2024</v>
      </c>
      <c r="K2073" s="110">
        <f t="shared" si="7"/>
        <v>6</v>
      </c>
      <c r="L2073" s="108" t="str">
        <f t="shared" si="8"/>
        <v>2024-Q2</v>
      </c>
      <c r="M2073" s="111" t="str">
        <f t="shared" si="9"/>
        <v>2024-06</v>
      </c>
      <c r="N2073" s="112" t="str">
        <f t="shared" si="10"/>
        <v>2024-H1</v>
      </c>
    </row>
    <row r="2074">
      <c r="A2074" s="113" t="s">
        <v>610</v>
      </c>
      <c r="J2074" s="108" t="str">
        <f t="shared" si="6"/>
        <v>2024</v>
      </c>
      <c r="K2074" s="110">
        <f t="shared" si="7"/>
        <v>6</v>
      </c>
      <c r="L2074" s="108" t="str">
        <f t="shared" si="8"/>
        <v>2024-Q2</v>
      </c>
      <c r="M2074" s="111" t="str">
        <f t="shared" si="9"/>
        <v>2024-06</v>
      </c>
      <c r="N2074" s="112" t="str">
        <f t="shared" si="10"/>
        <v>2024-H1</v>
      </c>
    </row>
    <row r="2075">
      <c r="A2075" s="113" t="s">
        <v>610</v>
      </c>
      <c r="J2075" s="108" t="str">
        <f t="shared" si="6"/>
        <v>2024</v>
      </c>
      <c r="K2075" s="110">
        <f t="shared" si="7"/>
        <v>6</v>
      </c>
      <c r="L2075" s="108" t="str">
        <f t="shared" si="8"/>
        <v>2024-Q2</v>
      </c>
      <c r="M2075" s="111" t="str">
        <f t="shared" si="9"/>
        <v>2024-06</v>
      </c>
      <c r="N2075" s="112" t="str">
        <f t="shared" si="10"/>
        <v>2024-H1</v>
      </c>
    </row>
    <row r="2076">
      <c r="A2076" s="113" t="s">
        <v>610</v>
      </c>
      <c r="J2076" s="108" t="str">
        <f t="shared" si="6"/>
        <v>2024</v>
      </c>
      <c r="K2076" s="110">
        <f t="shared" si="7"/>
        <v>6</v>
      </c>
      <c r="L2076" s="108" t="str">
        <f t="shared" si="8"/>
        <v>2024-Q2</v>
      </c>
      <c r="M2076" s="111" t="str">
        <f t="shared" si="9"/>
        <v>2024-06</v>
      </c>
      <c r="N2076" s="112" t="str">
        <f t="shared" si="10"/>
        <v>2024-H1</v>
      </c>
    </row>
    <row r="2077">
      <c r="A2077" s="113" t="s">
        <v>610</v>
      </c>
      <c r="J2077" s="108" t="str">
        <f t="shared" si="6"/>
        <v>2024</v>
      </c>
      <c r="K2077" s="110">
        <f t="shared" si="7"/>
        <v>9</v>
      </c>
      <c r="L2077" s="108" t="str">
        <f t="shared" si="8"/>
        <v>2024-Q3</v>
      </c>
      <c r="M2077" s="111" t="str">
        <f t="shared" si="9"/>
        <v>2024-09</v>
      </c>
      <c r="N2077" s="112" t="str">
        <f t="shared" si="10"/>
        <v>2024-H2</v>
      </c>
    </row>
    <row r="2078">
      <c r="A2078" s="113" t="s">
        <v>610</v>
      </c>
      <c r="J2078" s="108" t="str">
        <f t="shared" si="6"/>
        <v>2024</v>
      </c>
      <c r="K2078" s="110">
        <f t="shared" si="7"/>
        <v>7</v>
      </c>
      <c r="L2078" s="108" t="str">
        <f t="shared" si="8"/>
        <v>2024-Q3</v>
      </c>
      <c r="M2078" s="111" t="str">
        <f t="shared" si="9"/>
        <v>2024-07</v>
      </c>
      <c r="N2078" s="112" t="str">
        <f t="shared" si="10"/>
        <v>2024-H2</v>
      </c>
    </row>
    <row r="2079">
      <c r="A2079" s="113" t="s">
        <v>610</v>
      </c>
      <c r="J2079" s="108" t="str">
        <f t="shared" si="6"/>
        <v>2024</v>
      </c>
      <c r="K2079" s="110">
        <f t="shared" si="7"/>
        <v>6</v>
      </c>
      <c r="L2079" s="108" t="str">
        <f t="shared" si="8"/>
        <v>2024-Q2</v>
      </c>
      <c r="M2079" s="111" t="str">
        <f t="shared" si="9"/>
        <v>2024-06</v>
      </c>
      <c r="N2079" s="112" t="str">
        <f t="shared" si="10"/>
        <v>2024-H1</v>
      </c>
    </row>
    <row r="2080">
      <c r="A2080" s="113" t="s">
        <v>610</v>
      </c>
      <c r="J2080" s="108" t="str">
        <f t="shared" si="6"/>
        <v>2024</v>
      </c>
      <c r="K2080" s="110">
        <f t="shared" si="7"/>
        <v>6</v>
      </c>
      <c r="L2080" s="108" t="str">
        <f t="shared" si="8"/>
        <v>2024-Q2</v>
      </c>
      <c r="M2080" s="111" t="str">
        <f t="shared" si="9"/>
        <v>2024-06</v>
      </c>
      <c r="N2080" s="112" t="str">
        <f t="shared" si="10"/>
        <v>2024-H1</v>
      </c>
    </row>
    <row r="2081">
      <c r="A2081" s="113" t="s">
        <v>610</v>
      </c>
      <c r="J2081" s="108" t="str">
        <f t="shared" si="6"/>
        <v>2024</v>
      </c>
      <c r="K2081" s="110">
        <f t="shared" si="7"/>
        <v>7</v>
      </c>
      <c r="L2081" s="108" t="str">
        <f t="shared" si="8"/>
        <v>2024-Q3</v>
      </c>
      <c r="M2081" s="111" t="str">
        <f t="shared" si="9"/>
        <v>2024-07</v>
      </c>
      <c r="N2081" s="112" t="str">
        <f t="shared" si="10"/>
        <v>2024-H2</v>
      </c>
    </row>
    <row r="2082">
      <c r="A2082" s="113" t="s">
        <v>610</v>
      </c>
      <c r="J2082" s="108" t="str">
        <f t="shared" si="6"/>
        <v>2024</v>
      </c>
      <c r="K2082" s="110">
        <f t="shared" si="7"/>
        <v>6</v>
      </c>
      <c r="L2082" s="108" t="str">
        <f t="shared" si="8"/>
        <v>2024-Q2</v>
      </c>
      <c r="M2082" s="111" t="str">
        <f t="shared" si="9"/>
        <v>2024-06</v>
      </c>
      <c r="N2082" s="112" t="str">
        <f t="shared" si="10"/>
        <v>2024-H1</v>
      </c>
    </row>
    <row r="2083">
      <c r="A2083" s="113" t="s">
        <v>610</v>
      </c>
      <c r="J2083" s="108" t="str">
        <f t="shared" si="6"/>
        <v>2024</v>
      </c>
      <c r="K2083" s="110">
        <f t="shared" si="7"/>
        <v>6</v>
      </c>
      <c r="L2083" s="108" t="str">
        <f t="shared" si="8"/>
        <v>2024-Q2</v>
      </c>
      <c r="M2083" s="111" t="str">
        <f t="shared" si="9"/>
        <v>2024-06</v>
      </c>
      <c r="N2083" s="112" t="str">
        <f t="shared" si="10"/>
        <v>2024-H1</v>
      </c>
    </row>
    <row r="2084">
      <c r="A2084" s="113" t="s">
        <v>610</v>
      </c>
      <c r="J2084" s="108" t="str">
        <f t="shared" si="6"/>
        <v>2024</v>
      </c>
      <c r="K2084" s="110">
        <f t="shared" si="7"/>
        <v>6</v>
      </c>
      <c r="L2084" s="108" t="str">
        <f t="shared" si="8"/>
        <v>2024-Q2</v>
      </c>
      <c r="M2084" s="111" t="str">
        <f t="shared" si="9"/>
        <v>2024-06</v>
      </c>
      <c r="N2084" s="112" t="str">
        <f t="shared" si="10"/>
        <v>2024-H1</v>
      </c>
    </row>
    <row r="2085">
      <c r="A2085" s="113" t="s">
        <v>610</v>
      </c>
      <c r="J2085" s="108" t="str">
        <f t="shared" si="6"/>
        <v>2024</v>
      </c>
      <c r="K2085" s="110">
        <f t="shared" si="7"/>
        <v>7</v>
      </c>
      <c r="L2085" s="108" t="str">
        <f t="shared" si="8"/>
        <v>2024-Q3</v>
      </c>
      <c r="M2085" s="111" t="str">
        <f t="shared" si="9"/>
        <v>2024-07</v>
      </c>
      <c r="N2085" s="112" t="str">
        <f t="shared" si="10"/>
        <v>2024-H2</v>
      </c>
    </row>
    <row r="2086">
      <c r="A2086" s="113" t="s">
        <v>610</v>
      </c>
      <c r="J2086" s="108" t="str">
        <f t="shared" si="6"/>
        <v>2024</v>
      </c>
      <c r="K2086" s="110">
        <f t="shared" si="7"/>
        <v>6</v>
      </c>
      <c r="L2086" s="108" t="str">
        <f t="shared" si="8"/>
        <v>2024-Q2</v>
      </c>
      <c r="M2086" s="111" t="str">
        <f t="shared" si="9"/>
        <v>2024-06</v>
      </c>
      <c r="N2086" s="112" t="str">
        <f t="shared" si="10"/>
        <v>2024-H1</v>
      </c>
    </row>
    <row r="2087">
      <c r="A2087" s="113" t="s">
        <v>610</v>
      </c>
      <c r="J2087" s="108" t="str">
        <f t="shared" si="6"/>
        <v>2024</v>
      </c>
      <c r="K2087" s="110">
        <f t="shared" si="7"/>
        <v>7</v>
      </c>
      <c r="L2087" s="108" t="str">
        <f t="shared" si="8"/>
        <v>2024-Q3</v>
      </c>
      <c r="M2087" s="111" t="str">
        <f t="shared" si="9"/>
        <v>2024-07</v>
      </c>
      <c r="N2087" s="112" t="str">
        <f t="shared" si="10"/>
        <v>2024-H2</v>
      </c>
    </row>
    <row r="2088">
      <c r="A2088" s="113" t="s">
        <v>610</v>
      </c>
      <c r="J2088" s="108" t="str">
        <f t="shared" si="6"/>
        <v>2024</v>
      </c>
      <c r="K2088" s="110">
        <f t="shared" si="7"/>
        <v>7</v>
      </c>
      <c r="L2088" s="108" t="str">
        <f t="shared" si="8"/>
        <v>2024-Q3</v>
      </c>
      <c r="M2088" s="111" t="str">
        <f t="shared" si="9"/>
        <v>2024-07</v>
      </c>
      <c r="N2088" s="112" t="str">
        <f t="shared" si="10"/>
        <v>2024-H2</v>
      </c>
    </row>
    <row r="2089">
      <c r="A2089" s="113" t="s">
        <v>610</v>
      </c>
      <c r="J2089" s="108" t="str">
        <f t="shared" si="6"/>
        <v>2024</v>
      </c>
      <c r="K2089" s="110">
        <f t="shared" si="7"/>
        <v>6</v>
      </c>
      <c r="L2089" s="108" t="str">
        <f t="shared" si="8"/>
        <v>2024-Q2</v>
      </c>
      <c r="M2089" s="111" t="str">
        <f t="shared" si="9"/>
        <v>2024-06</v>
      </c>
      <c r="N2089" s="112" t="str">
        <f t="shared" si="10"/>
        <v>2024-H1</v>
      </c>
    </row>
    <row r="2090">
      <c r="A2090" s="113" t="s">
        <v>610</v>
      </c>
      <c r="J2090" s="108" t="str">
        <f t="shared" si="6"/>
        <v>2024</v>
      </c>
      <c r="K2090" s="110">
        <f t="shared" si="7"/>
        <v>6</v>
      </c>
      <c r="L2090" s="108" t="str">
        <f t="shared" si="8"/>
        <v>2024-Q2</v>
      </c>
      <c r="M2090" s="111" t="str">
        <f t="shared" si="9"/>
        <v>2024-06</v>
      </c>
      <c r="N2090" s="112" t="str">
        <f t="shared" si="10"/>
        <v>2024-H1</v>
      </c>
    </row>
    <row r="2091">
      <c r="A2091" s="113" t="s">
        <v>610</v>
      </c>
      <c r="J2091" s="108" t="str">
        <f t="shared" si="6"/>
        <v>2024</v>
      </c>
      <c r="K2091" s="110">
        <f t="shared" si="7"/>
        <v>7</v>
      </c>
      <c r="L2091" s="108" t="str">
        <f t="shared" si="8"/>
        <v>2024-Q3</v>
      </c>
      <c r="M2091" s="111" t="str">
        <f t="shared" si="9"/>
        <v>2024-07</v>
      </c>
      <c r="N2091" s="112" t="str">
        <f t="shared" si="10"/>
        <v>2024-H2</v>
      </c>
    </row>
    <row r="2092">
      <c r="A2092" s="113" t="s">
        <v>610</v>
      </c>
      <c r="J2092" s="108" t="str">
        <f t="shared" si="6"/>
        <v>2024</v>
      </c>
      <c r="K2092" s="110">
        <f t="shared" si="7"/>
        <v>6</v>
      </c>
      <c r="L2092" s="108" t="str">
        <f t="shared" si="8"/>
        <v>2024-Q2</v>
      </c>
      <c r="M2092" s="111" t="str">
        <f t="shared" si="9"/>
        <v>2024-06</v>
      </c>
      <c r="N2092" s="112" t="str">
        <f t="shared" si="10"/>
        <v>2024-H1</v>
      </c>
    </row>
    <row r="2093">
      <c r="A2093" s="113" t="s">
        <v>610</v>
      </c>
      <c r="J2093" s="108" t="str">
        <f t="shared" si="6"/>
        <v>2024</v>
      </c>
      <c r="K2093" s="110">
        <f t="shared" si="7"/>
        <v>6</v>
      </c>
      <c r="L2093" s="108" t="str">
        <f t="shared" si="8"/>
        <v>2024-Q2</v>
      </c>
      <c r="M2093" s="111" t="str">
        <f t="shared" si="9"/>
        <v>2024-06</v>
      </c>
      <c r="N2093" s="112" t="str">
        <f t="shared" si="10"/>
        <v>2024-H1</v>
      </c>
    </row>
    <row r="2094">
      <c r="A2094" s="113" t="s">
        <v>610</v>
      </c>
      <c r="J2094" s="108" t="str">
        <f t="shared" si="6"/>
        <v>2024</v>
      </c>
      <c r="K2094" s="110">
        <f t="shared" si="7"/>
        <v>6</v>
      </c>
      <c r="L2094" s="108" t="str">
        <f t="shared" si="8"/>
        <v>2024-Q2</v>
      </c>
      <c r="M2094" s="111" t="str">
        <f t="shared" si="9"/>
        <v>2024-06</v>
      </c>
      <c r="N2094" s="112" t="str">
        <f t="shared" si="10"/>
        <v>2024-H1</v>
      </c>
    </row>
    <row r="2095">
      <c r="A2095" s="113" t="s">
        <v>610</v>
      </c>
      <c r="J2095" s="108" t="str">
        <f t="shared" si="6"/>
        <v>2024</v>
      </c>
      <c r="K2095" s="110">
        <f t="shared" si="7"/>
        <v>6</v>
      </c>
      <c r="L2095" s="108" t="str">
        <f t="shared" si="8"/>
        <v>2024-Q2</v>
      </c>
      <c r="M2095" s="111" t="str">
        <f t="shared" si="9"/>
        <v>2024-06</v>
      </c>
      <c r="N2095" s="112" t="str">
        <f t="shared" si="10"/>
        <v>2024-H1</v>
      </c>
    </row>
    <row r="2096">
      <c r="A2096" s="113" t="s">
        <v>610</v>
      </c>
      <c r="J2096" s="108" t="str">
        <f t="shared" si="6"/>
        <v>2024</v>
      </c>
      <c r="K2096" s="110">
        <f t="shared" si="7"/>
        <v>6</v>
      </c>
      <c r="L2096" s="108" t="str">
        <f t="shared" si="8"/>
        <v>2024-Q2</v>
      </c>
      <c r="M2096" s="111" t="str">
        <f t="shared" si="9"/>
        <v>2024-06</v>
      </c>
      <c r="N2096" s="112" t="str">
        <f t="shared" si="10"/>
        <v>2024-H1</v>
      </c>
    </row>
    <row r="2097">
      <c r="A2097" s="113" t="s">
        <v>610</v>
      </c>
      <c r="J2097" s="108" t="str">
        <f t="shared" si="6"/>
        <v>2024</v>
      </c>
      <c r="K2097" s="110">
        <f t="shared" si="7"/>
        <v>6</v>
      </c>
      <c r="L2097" s="108" t="str">
        <f t="shared" si="8"/>
        <v>2024-Q2</v>
      </c>
      <c r="M2097" s="111" t="str">
        <f t="shared" si="9"/>
        <v>2024-06</v>
      </c>
      <c r="N2097" s="112" t="str">
        <f t="shared" si="10"/>
        <v>2024-H1</v>
      </c>
    </row>
    <row r="2098">
      <c r="A2098" s="113" t="s">
        <v>610</v>
      </c>
      <c r="J2098" s="108" t="str">
        <f t="shared" si="6"/>
        <v>2024</v>
      </c>
      <c r="K2098" s="110">
        <f t="shared" si="7"/>
        <v>7</v>
      </c>
      <c r="L2098" s="108" t="str">
        <f t="shared" si="8"/>
        <v>2024-Q3</v>
      </c>
      <c r="M2098" s="111" t="str">
        <f t="shared" si="9"/>
        <v>2024-07</v>
      </c>
      <c r="N2098" s="112" t="str">
        <f t="shared" si="10"/>
        <v>2024-H2</v>
      </c>
    </row>
    <row r="2099">
      <c r="A2099" s="113" t="s">
        <v>610</v>
      </c>
      <c r="J2099" s="108" t="str">
        <f t="shared" si="6"/>
        <v>2024</v>
      </c>
      <c r="K2099" s="110">
        <f t="shared" si="7"/>
        <v>6</v>
      </c>
      <c r="L2099" s="108" t="str">
        <f t="shared" si="8"/>
        <v>2024-Q2</v>
      </c>
      <c r="M2099" s="111" t="str">
        <f t="shared" si="9"/>
        <v>2024-06</v>
      </c>
      <c r="N2099" s="112" t="str">
        <f t="shared" si="10"/>
        <v>2024-H1</v>
      </c>
    </row>
    <row r="2100">
      <c r="A2100" s="113" t="s">
        <v>610</v>
      </c>
      <c r="J2100" s="108" t="str">
        <f t="shared" si="6"/>
        <v>2024</v>
      </c>
      <c r="K2100" s="110">
        <f t="shared" si="7"/>
        <v>7</v>
      </c>
      <c r="L2100" s="108" t="str">
        <f t="shared" si="8"/>
        <v>2024-Q3</v>
      </c>
      <c r="M2100" s="111" t="str">
        <f t="shared" si="9"/>
        <v>2024-07</v>
      </c>
      <c r="N2100" s="112" t="str">
        <f t="shared" si="10"/>
        <v>2024-H2</v>
      </c>
    </row>
    <row r="2101">
      <c r="A2101" s="113" t="s">
        <v>610</v>
      </c>
      <c r="J2101" s="108" t="str">
        <f t="shared" si="6"/>
        <v>2024</v>
      </c>
      <c r="K2101" s="110">
        <f t="shared" si="7"/>
        <v>6</v>
      </c>
      <c r="L2101" s="108" t="str">
        <f t="shared" si="8"/>
        <v>2024-Q2</v>
      </c>
      <c r="M2101" s="111" t="str">
        <f t="shared" si="9"/>
        <v>2024-06</v>
      </c>
      <c r="N2101" s="112" t="str">
        <f t="shared" si="10"/>
        <v>2024-H1</v>
      </c>
    </row>
    <row r="2102">
      <c r="A2102" s="113" t="s">
        <v>610</v>
      </c>
      <c r="J2102" s="108" t="str">
        <f t="shared" si="6"/>
        <v>2024</v>
      </c>
      <c r="K2102" s="110">
        <f t="shared" si="7"/>
        <v>7</v>
      </c>
      <c r="L2102" s="108" t="str">
        <f t="shared" si="8"/>
        <v>2024-Q3</v>
      </c>
      <c r="M2102" s="111" t="str">
        <f t="shared" si="9"/>
        <v>2024-07</v>
      </c>
      <c r="N2102" s="112" t="str">
        <f t="shared" si="10"/>
        <v>2024-H2</v>
      </c>
    </row>
    <row r="2103">
      <c r="A2103" s="113" t="s">
        <v>610</v>
      </c>
      <c r="J2103" s="108" t="str">
        <f t="shared" si="6"/>
        <v>2024</v>
      </c>
      <c r="K2103" s="110">
        <f t="shared" si="7"/>
        <v>6</v>
      </c>
      <c r="L2103" s="108" t="str">
        <f t="shared" si="8"/>
        <v>2024-Q2</v>
      </c>
      <c r="M2103" s="111" t="str">
        <f t="shared" si="9"/>
        <v>2024-06</v>
      </c>
      <c r="N2103" s="112" t="str">
        <f t="shared" si="10"/>
        <v>2024-H1</v>
      </c>
    </row>
    <row r="2104">
      <c r="A2104" s="113" t="s">
        <v>610</v>
      </c>
      <c r="J2104" s="108" t="str">
        <f t="shared" si="6"/>
        <v>2024</v>
      </c>
      <c r="K2104" s="110">
        <f t="shared" si="7"/>
        <v>6</v>
      </c>
      <c r="L2104" s="108" t="str">
        <f t="shared" si="8"/>
        <v>2024-Q2</v>
      </c>
      <c r="M2104" s="111" t="str">
        <f t="shared" si="9"/>
        <v>2024-06</v>
      </c>
      <c r="N2104" s="112" t="str">
        <f t="shared" si="10"/>
        <v>2024-H1</v>
      </c>
    </row>
    <row r="2105">
      <c r="A2105" s="113" t="s">
        <v>610</v>
      </c>
      <c r="J2105" s="108" t="str">
        <f t="shared" si="6"/>
        <v>2024</v>
      </c>
      <c r="K2105" s="110">
        <f t="shared" si="7"/>
        <v>6</v>
      </c>
      <c r="L2105" s="108" t="str">
        <f t="shared" si="8"/>
        <v>2024-Q2</v>
      </c>
      <c r="M2105" s="111" t="str">
        <f t="shared" si="9"/>
        <v>2024-06</v>
      </c>
      <c r="N2105" s="112" t="str">
        <f t="shared" si="10"/>
        <v>2024-H1</v>
      </c>
    </row>
    <row r="2106">
      <c r="A2106" s="113" t="s">
        <v>610</v>
      </c>
      <c r="J2106" s="108" t="str">
        <f t="shared" si="6"/>
        <v>2024</v>
      </c>
      <c r="K2106" s="110">
        <f t="shared" si="7"/>
        <v>6</v>
      </c>
      <c r="L2106" s="108" t="str">
        <f t="shared" si="8"/>
        <v>2024-Q2</v>
      </c>
      <c r="M2106" s="111" t="str">
        <f t="shared" si="9"/>
        <v>2024-06</v>
      </c>
      <c r="N2106" s="112" t="str">
        <f t="shared" si="10"/>
        <v>2024-H1</v>
      </c>
    </row>
    <row r="2107">
      <c r="A2107" s="113" t="s">
        <v>610</v>
      </c>
      <c r="J2107" s="108" t="str">
        <f t="shared" si="6"/>
        <v>2024</v>
      </c>
      <c r="K2107" s="110">
        <f t="shared" si="7"/>
        <v>6</v>
      </c>
      <c r="L2107" s="108" t="str">
        <f t="shared" si="8"/>
        <v>2024-Q2</v>
      </c>
      <c r="M2107" s="111" t="str">
        <f t="shared" si="9"/>
        <v>2024-06</v>
      </c>
      <c r="N2107" s="112" t="str">
        <f t="shared" si="10"/>
        <v>2024-H1</v>
      </c>
    </row>
    <row r="2108">
      <c r="A2108" s="113" t="s">
        <v>610</v>
      </c>
      <c r="J2108" s="108" t="str">
        <f t="shared" si="6"/>
        <v>2024</v>
      </c>
      <c r="K2108" s="110">
        <f t="shared" si="7"/>
        <v>6</v>
      </c>
      <c r="L2108" s="108" t="str">
        <f t="shared" si="8"/>
        <v>2024-Q2</v>
      </c>
      <c r="M2108" s="111" t="str">
        <f t="shared" si="9"/>
        <v>2024-06</v>
      </c>
      <c r="N2108" s="112" t="str">
        <f t="shared" si="10"/>
        <v>2024-H1</v>
      </c>
    </row>
    <row r="2109">
      <c r="A2109" s="113" t="s">
        <v>610</v>
      </c>
      <c r="J2109" s="108" t="str">
        <f t="shared" si="6"/>
        <v>2024</v>
      </c>
      <c r="K2109" s="110">
        <f t="shared" si="7"/>
        <v>6</v>
      </c>
      <c r="L2109" s="108" t="str">
        <f t="shared" si="8"/>
        <v>2024-Q2</v>
      </c>
      <c r="M2109" s="111" t="str">
        <f t="shared" si="9"/>
        <v>2024-06</v>
      </c>
      <c r="N2109" s="112" t="str">
        <f t="shared" si="10"/>
        <v>2024-H1</v>
      </c>
    </row>
    <row r="2110">
      <c r="A2110" s="113" t="s">
        <v>610</v>
      </c>
      <c r="J2110" s="108" t="str">
        <f t="shared" si="6"/>
        <v>2024</v>
      </c>
      <c r="K2110" s="110">
        <f t="shared" si="7"/>
        <v>6</v>
      </c>
      <c r="L2110" s="108" t="str">
        <f t="shared" si="8"/>
        <v>2024-Q2</v>
      </c>
      <c r="M2110" s="111" t="str">
        <f t="shared" si="9"/>
        <v>2024-06</v>
      </c>
      <c r="N2110" s="112" t="str">
        <f t="shared" si="10"/>
        <v>2024-H1</v>
      </c>
    </row>
    <row r="2111">
      <c r="A2111" s="113" t="s">
        <v>610</v>
      </c>
      <c r="J2111" s="108" t="str">
        <f t="shared" si="6"/>
        <v>2024</v>
      </c>
      <c r="K2111" s="110">
        <f t="shared" si="7"/>
        <v>6</v>
      </c>
      <c r="L2111" s="108" t="str">
        <f t="shared" si="8"/>
        <v>2024-Q2</v>
      </c>
      <c r="M2111" s="111" t="str">
        <f t="shared" si="9"/>
        <v>2024-06</v>
      </c>
      <c r="N2111" s="112" t="str">
        <f t="shared" si="10"/>
        <v>2024-H1</v>
      </c>
    </row>
    <row r="2112">
      <c r="A2112" s="113" t="s">
        <v>610</v>
      </c>
      <c r="J2112" s="108" t="str">
        <f t="shared" si="6"/>
        <v>2024</v>
      </c>
      <c r="K2112" s="110">
        <f t="shared" si="7"/>
        <v>6</v>
      </c>
      <c r="L2112" s="108" t="str">
        <f t="shared" si="8"/>
        <v>2024-Q2</v>
      </c>
      <c r="M2112" s="111" t="str">
        <f t="shared" si="9"/>
        <v>2024-06</v>
      </c>
      <c r="N2112" s="112" t="str">
        <f t="shared" si="10"/>
        <v>2024-H1</v>
      </c>
    </row>
    <row r="2113">
      <c r="A2113" s="113" t="s">
        <v>610</v>
      </c>
      <c r="J2113" s="108" t="str">
        <f t="shared" si="6"/>
        <v>2024</v>
      </c>
      <c r="K2113" s="110">
        <f t="shared" si="7"/>
        <v>6</v>
      </c>
      <c r="L2113" s="108" t="str">
        <f t="shared" si="8"/>
        <v>2024-Q2</v>
      </c>
      <c r="M2113" s="111" t="str">
        <f t="shared" si="9"/>
        <v>2024-06</v>
      </c>
      <c r="N2113" s="112" t="str">
        <f t="shared" si="10"/>
        <v>2024-H1</v>
      </c>
    </row>
    <row r="2114">
      <c r="A2114" s="113" t="s">
        <v>610</v>
      </c>
      <c r="J2114" s="108" t="str">
        <f t="shared" si="6"/>
        <v>2024</v>
      </c>
      <c r="K2114" s="110">
        <f t="shared" si="7"/>
        <v>6</v>
      </c>
      <c r="L2114" s="108" t="str">
        <f t="shared" si="8"/>
        <v>2024-Q2</v>
      </c>
      <c r="M2114" s="111" t="str">
        <f t="shared" si="9"/>
        <v>2024-06</v>
      </c>
      <c r="N2114" s="112" t="str">
        <f t="shared" si="10"/>
        <v>2024-H1</v>
      </c>
    </row>
    <row r="2115">
      <c r="A2115" s="113" t="s">
        <v>610</v>
      </c>
      <c r="J2115" s="108" t="str">
        <f t="shared" si="6"/>
        <v>2024</v>
      </c>
      <c r="K2115" s="110">
        <f t="shared" si="7"/>
        <v>7</v>
      </c>
      <c r="L2115" s="108" t="str">
        <f t="shared" si="8"/>
        <v>2024-Q3</v>
      </c>
      <c r="M2115" s="111" t="str">
        <f t="shared" si="9"/>
        <v>2024-07</v>
      </c>
      <c r="N2115" s="112" t="str">
        <f t="shared" si="10"/>
        <v>2024-H2</v>
      </c>
    </row>
    <row r="2116">
      <c r="A2116" s="113" t="s">
        <v>610</v>
      </c>
      <c r="J2116" s="108" t="str">
        <f t="shared" si="6"/>
        <v>2024</v>
      </c>
      <c r="K2116" s="110">
        <f t="shared" si="7"/>
        <v>6</v>
      </c>
      <c r="L2116" s="108" t="str">
        <f t="shared" si="8"/>
        <v>2024-Q2</v>
      </c>
      <c r="M2116" s="111" t="str">
        <f t="shared" si="9"/>
        <v>2024-06</v>
      </c>
      <c r="N2116" s="112" t="str">
        <f t="shared" si="10"/>
        <v>2024-H1</v>
      </c>
    </row>
    <row r="2117">
      <c r="A2117" s="113" t="s">
        <v>610</v>
      </c>
      <c r="J2117" s="108" t="str">
        <f t="shared" si="6"/>
        <v>2024</v>
      </c>
      <c r="K2117" s="110">
        <f t="shared" si="7"/>
        <v>6</v>
      </c>
      <c r="L2117" s="108" t="str">
        <f t="shared" si="8"/>
        <v>2024-Q2</v>
      </c>
      <c r="M2117" s="111" t="str">
        <f t="shared" si="9"/>
        <v>2024-06</v>
      </c>
      <c r="N2117" s="112" t="str">
        <f t="shared" si="10"/>
        <v>2024-H1</v>
      </c>
    </row>
    <row r="2118">
      <c r="A2118" s="113" t="s">
        <v>610</v>
      </c>
      <c r="J2118" s="108" t="str">
        <f t="shared" si="6"/>
        <v>2024</v>
      </c>
      <c r="K2118" s="110">
        <f t="shared" si="7"/>
        <v>6</v>
      </c>
      <c r="L2118" s="108" t="str">
        <f t="shared" si="8"/>
        <v>2024-Q2</v>
      </c>
      <c r="M2118" s="111" t="str">
        <f t="shared" si="9"/>
        <v>2024-06</v>
      </c>
      <c r="N2118" s="112" t="str">
        <f t="shared" si="10"/>
        <v>2024-H1</v>
      </c>
    </row>
    <row r="2119">
      <c r="A2119" s="113" t="s">
        <v>610</v>
      </c>
      <c r="J2119" s="108" t="str">
        <f t="shared" si="6"/>
        <v>2024</v>
      </c>
      <c r="K2119" s="110">
        <f t="shared" si="7"/>
        <v>6</v>
      </c>
      <c r="L2119" s="108" t="str">
        <f t="shared" si="8"/>
        <v>2024-Q2</v>
      </c>
      <c r="M2119" s="111" t="str">
        <f t="shared" si="9"/>
        <v>2024-06</v>
      </c>
      <c r="N2119" s="112" t="str">
        <f t="shared" si="10"/>
        <v>2024-H1</v>
      </c>
    </row>
    <row r="2120">
      <c r="A2120" s="113" t="s">
        <v>610</v>
      </c>
      <c r="J2120" s="108" t="str">
        <f t="shared" si="6"/>
        <v>2024</v>
      </c>
      <c r="K2120" s="110">
        <f t="shared" si="7"/>
        <v>6</v>
      </c>
      <c r="L2120" s="108" t="str">
        <f t="shared" si="8"/>
        <v>2024-Q2</v>
      </c>
      <c r="M2120" s="111" t="str">
        <f t="shared" si="9"/>
        <v>2024-06</v>
      </c>
      <c r="N2120" s="112" t="str">
        <f t="shared" si="10"/>
        <v>2024-H1</v>
      </c>
    </row>
    <row r="2121">
      <c r="A2121" s="113" t="s">
        <v>610</v>
      </c>
      <c r="J2121" s="108" t="str">
        <f t="shared" si="6"/>
        <v>2024</v>
      </c>
      <c r="K2121" s="110">
        <f t="shared" si="7"/>
        <v>6</v>
      </c>
      <c r="L2121" s="108" t="str">
        <f t="shared" si="8"/>
        <v>2024-Q2</v>
      </c>
      <c r="M2121" s="111" t="str">
        <f t="shared" si="9"/>
        <v>2024-06</v>
      </c>
      <c r="N2121" s="112" t="str">
        <f t="shared" si="10"/>
        <v>2024-H1</v>
      </c>
    </row>
    <row r="2122">
      <c r="A2122" s="113" t="s">
        <v>610</v>
      </c>
      <c r="J2122" s="108" t="str">
        <f t="shared" si="6"/>
        <v>2024</v>
      </c>
      <c r="K2122" s="110">
        <f t="shared" si="7"/>
        <v>7</v>
      </c>
      <c r="L2122" s="108" t="str">
        <f t="shared" si="8"/>
        <v>2024-Q3</v>
      </c>
      <c r="M2122" s="111" t="str">
        <f t="shared" si="9"/>
        <v>2024-07</v>
      </c>
      <c r="N2122" s="112" t="str">
        <f t="shared" si="10"/>
        <v>2024-H2</v>
      </c>
    </row>
    <row r="2123">
      <c r="A2123" s="113" t="s">
        <v>610</v>
      </c>
      <c r="J2123" s="108" t="str">
        <f t="shared" si="6"/>
        <v>2024</v>
      </c>
      <c r="K2123" s="110">
        <f t="shared" si="7"/>
        <v>7</v>
      </c>
      <c r="L2123" s="108" t="str">
        <f t="shared" si="8"/>
        <v>2024-Q3</v>
      </c>
      <c r="M2123" s="111" t="str">
        <f t="shared" si="9"/>
        <v>2024-07</v>
      </c>
      <c r="N2123" s="112" t="str">
        <f t="shared" si="10"/>
        <v>2024-H2</v>
      </c>
    </row>
    <row r="2124">
      <c r="A2124" s="113" t="s">
        <v>610</v>
      </c>
      <c r="J2124" s="108" t="str">
        <f t="shared" si="6"/>
        <v>2024</v>
      </c>
      <c r="K2124" s="110">
        <f t="shared" si="7"/>
        <v>7</v>
      </c>
      <c r="L2124" s="108" t="str">
        <f t="shared" si="8"/>
        <v>2024-Q3</v>
      </c>
      <c r="M2124" s="111" t="str">
        <f t="shared" si="9"/>
        <v>2024-07</v>
      </c>
      <c r="N2124" s="112" t="str">
        <f t="shared" si="10"/>
        <v>2024-H2</v>
      </c>
    </row>
    <row r="2125">
      <c r="A2125" s="113" t="s">
        <v>610</v>
      </c>
      <c r="J2125" s="108" t="str">
        <f t="shared" si="6"/>
        <v>2024</v>
      </c>
      <c r="K2125" s="110">
        <f t="shared" si="7"/>
        <v>8</v>
      </c>
      <c r="L2125" s="108" t="str">
        <f t="shared" si="8"/>
        <v>2024-Q3</v>
      </c>
      <c r="M2125" s="111" t="str">
        <f t="shared" si="9"/>
        <v>2024-08</v>
      </c>
      <c r="N2125" s="112" t="str">
        <f t="shared" si="10"/>
        <v>2024-H2</v>
      </c>
    </row>
    <row r="2126">
      <c r="A2126" s="113" t="s">
        <v>610</v>
      </c>
      <c r="J2126" s="108" t="str">
        <f t="shared" si="6"/>
        <v>2024</v>
      </c>
      <c r="K2126" s="110">
        <f t="shared" si="7"/>
        <v>7</v>
      </c>
      <c r="L2126" s="108" t="str">
        <f t="shared" si="8"/>
        <v>2024-Q3</v>
      </c>
      <c r="M2126" s="111" t="str">
        <f t="shared" si="9"/>
        <v>2024-07</v>
      </c>
      <c r="N2126" s="112" t="str">
        <f t="shared" si="10"/>
        <v>2024-H2</v>
      </c>
    </row>
    <row r="2127">
      <c r="A2127" s="113" t="s">
        <v>610</v>
      </c>
      <c r="J2127" s="108" t="str">
        <f t="shared" si="6"/>
        <v>2024</v>
      </c>
      <c r="K2127" s="110">
        <f t="shared" si="7"/>
        <v>7</v>
      </c>
      <c r="L2127" s="108" t="str">
        <f t="shared" si="8"/>
        <v>2024-Q3</v>
      </c>
      <c r="M2127" s="111" t="str">
        <f t="shared" si="9"/>
        <v>2024-07</v>
      </c>
      <c r="N2127" s="112" t="str">
        <f t="shared" si="10"/>
        <v>2024-H2</v>
      </c>
    </row>
    <row r="2128">
      <c r="A2128" s="113" t="s">
        <v>610</v>
      </c>
      <c r="J2128" s="108" t="str">
        <f t="shared" si="6"/>
        <v>2024</v>
      </c>
      <c r="K2128" s="110">
        <f t="shared" si="7"/>
        <v>7</v>
      </c>
      <c r="L2128" s="108" t="str">
        <f t="shared" si="8"/>
        <v>2024-Q3</v>
      </c>
      <c r="M2128" s="111" t="str">
        <f t="shared" si="9"/>
        <v>2024-07</v>
      </c>
      <c r="N2128" s="112" t="str">
        <f t="shared" si="10"/>
        <v>2024-H2</v>
      </c>
    </row>
    <row r="2129">
      <c r="A2129" s="113" t="s">
        <v>610</v>
      </c>
      <c r="J2129" s="108" t="str">
        <f t="shared" si="6"/>
        <v>2024</v>
      </c>
      <c r="K2129" s="110">
        <f t="shared" si="7"/>
        <v>6</v>
      </c>
      <c r="L2129" s="108" t="str">
        <f t="shared" si="8"/>
        <v>2024-Q2</v>
      </c>
      <c r="M2129" s="111" t="str">
        <f t="shared" si="9"/>
        <v>2024-06</v>
      </c>
      <c r="N2129" s="112" t="str">
        <f t="shared" si="10"/>
        <v>2024-H1</v>
      </c>
    </row>
    <row r="2130">
      <c r="A2130" s="113" t="s">
        <v>610</v>
      </c>
      <c r="J2130" s="108" t="str">
        <f t="shared" si="6"/>
        <v>2024</v>
      </c>
      <c r="K2130" s="110">
        <f t="shared" si="7"/>
        <v>7</v>
      </c>
      <c r="L2130" s="108" t="str">
        <f t="shared" si="8"/>
        <v>2024-Q3</v>
      </c>
      <c r="M2130" s="111" t="str">
        <f t="shared" si="9"/>
        <v>2024-07</v>
      </c>
      <c r="N2130" s="112" t="str">
        <f t="shared" si="10"/>
        <v>2024-H2</v>
      </c>
    </row>
    <row r="2131">
      <c r="A2131" s="113" t="s">
        <v>610</v>
      </c>
      <c r="J2131" s="108" t="str">
        <f t="shared" si="6"/>
        <v>2024</v>
      </c>
      <c r="K2131" s="110">
        <f t="shared" si="7"/>
        <v>7</v>
      </c>
      <c r="L2131" s="108" t="str">
        <f t="shared" si="8"/>
        <v>2024-Q3</v>
      </c>
      <c r="M2131" s="111" t="str">
        <f t="shared" si="9"/>
        <v>2024-07</v>
      </c>
      <c r="N2131" s="112" t="str">
        <f t="shared" si="10"/>
        <v>2024-H2</v>
      </c>
    </row>
    <row r="2132">
      <c r="A2132" s="113" t="s">
        <v>610</v>
      </c>
      <c r="J2132" s="108" t="str">
        <f t="shared" si="6"/>
        <v>2024</v>
      </c>
      <c r="K2132" s="110">
        <f t="shared" si="7"/>
        <v>7</v>
      </c>
      <c r="L2132" s="108" t="str">
        <f t="shared" si="8"/>
        <v>2024-Q3</v>
      </c>
      <c r="M2132" s="111" t="str">
        <f t="shared" si="9"/>
        <v>2024-07</v>
      </c>
      <c r="N2132" s="112" t="str">
        <f t="shared" si="10"/>
        <v>2024-H2</v>
      </c>
    </row>
    <row r="2133">
      <c r="A2133" s="113" t="s">
        <v>610</v>
      </c>
      <c r="J2133" s="108" t="str">
        <f t="shared" si="6"/>
        <v>2024</v>
      </c>
      <c r="K2133" s="110">
        <f t="shared" si="7"/>
        <v>7</v>
      </c>
      <c r="L2133" s="108" t="str">
        <f t="shared" si="8"/>
        <v>2024-Q3</v>
      </c>
      <c r="M2133" s="111" t="str">
        <f t="shared" si="9"/>
        <v>2024-07</v>
      </c>
      <c r="N2133" s="112" t="str">
        <f t="shared" si="10"/>
        <v>2024-H2</v>
      </c>
    </row>
    <row r="2134">
      <c r="A2134" s="113" t="s">
        <v>610</v>
      </c>
      <c r="J2134" s="108" t="str">
        <f t="shared" si="6"/>
        <v>2024</v>
      </c>
      <c r="K2134" s="110">
        <f t="shared" si="7"/>
        <v>7</v>
      </c>
      <c r="L2134" s="108" t="str">
        <f t="shared" si="8"/>
        <v>2024-Q3</v>
      </c>
      <c r="M2134" s="111" t="str">
        <f t="shared" si="9"/>
        <v>2024-07</v>
      </c>
      <c r="N2134" s="112" t="str">
        <f t="shared" si="10"/>
        <v>2024-H2</v>
      </c>
    </row>
    <row r="2135">
      <c r="A2135" s="113" t="s">
        <v>610</v>
      </c>
      <c r="J2135" s="108" t="str">
        <f t="shared" si="6"/>
        <v>2024</v>
      </c>
      <c r="K2135" s="110">
        <f t="shared" si="7"/>
        <v>7</v>
      </c>
      <c r="L2135" s="108" t="str">
        <f t="shared" si="8"/>
        <v>2024-Q3</v>
      </c>
      <c r="M2135" s="111" t="str">
        <f t="shared" si="9"/>
        <v>2024-07</v>
      </c>
      <c r="N2135" s="112" t="str">
        <f t="shared" si="10"/>
        <v>2024-H2</v>
      </c>
    </row>
    <row r="2136">
      <c r="A2136" s="113" t="s">
        <v>610</v>
      </c>
      <c r="J2136" s="108" t="str">
        <f t="shared" si="6"/>
        <v>2024</v>
      </c>
      <c r="K2136" s="110">
        <f t="shared" si="7"/>
        <v>7</v>
      </c>
      <c r="L2136" s="108" t="str">
        <f t="shared" si="8"/>
        <v>2024-Q3</v>
      </c>
      <c r="M2136" s="111" t="str">
        <f t="shared" si="9"/>
        <v>2024-07</v>
      </c>
      <c r="N2136" s="112" t="str">
        <f t="shared" si="10"/>
        <v>2024-H2</v>
      </c>
    </row>
    <row r="2137">
      <c r="A2137" s="113" t="s">
        <v>610</v>
      </c>
      <c r="J2137" s="108" t="str">
        <f t="shared" si="6"/>
        <v>2024</v>
      </c>
      <c r="K2137" s="110">
        <f t="shared" si="7"/>
        <v>7</v>
      </c>
      <c r="L2137" s="108" t="str">
        <f t="shared" si="8"/>
        <v>2024-Q3</v>
      </c>
      <c r="M2137" s="111" t="str">
        <f t="shared" si="9"/>
        <v>2024-07</v>
      </c>
      <c r="N2137" s="112" t="str">
        <f t="shared" si="10"/>
        <v>2024-H2</v>
      </c>
    </row>
    <row r="2138">
      <c r="A2138" s="113" t="s">
        <v>610</v>
      </c>
      <c r="J2138" s="108" t="str">
        <f t="shared" si="6"/>
        <v>2024</v>
      </c>
      <c r="K2138" s="110">
        <f t="shared" si="7"/>
        <v>7</v>
      </c>
      <c r="L2138" s="108" t="str">
        <f t="shared" si="8"/>
        <v>2024-Q3</v>
      </c>
      <c r="M2138" s="111" t="str">
        <f t="shared" si="9"/>
        <v>2024-07</v>
      </c>
      <c r="N2138" s="112" t="str">
        <f t="shared" si="10"/>
        <v>2024-H2</v>
      </c>
    </row>
    <row r="2139">
      <c r="A2139" s="113" t="s">
        <v>610</v>
      </c>
      <c r="J2139" s="108" t="str">
        <f t="shared" si="6"/>
        <v>2024</v>
      </c>
      <c r="K2139" s="110">
        <f t="shared" si="7"/>
        <v>7</v>
      </c>
      <c r="L2139" s="108" t="str">
        <f t="shared" si="8"/>
        <v>2024-Q3</v>
      </c>
      <c r="M2139" s="111" t="str">
        <f t="shared" si="9"/>
        <v>2024-07</v>
      </c>
      <c r="N2139" s="112" t="str">
        <f t="shared" si="10"/>
        <v>2024-H2</v>
      </c>
    </row>
    <row r="2140">
      <c r="A2140" s="113" t="s">
        <v>610</v>
      </c>
      <c r="J2140" s="108" t="str">
        <f t="shared" si="6"/>
        <v>2024</v>
      </c>
      <c r="K2140" s="110">
        <f t="shared" si="7"/>
        <v>7</v>
      </c>
      <c r="L2140" s="108" t="str">
        <f t="shared" si="8"/>
        <v>2024-Q3</v>
      </c>
      <c r="M2140" s="111" t="str">
        <f t="shared" si="9"/>
        <v>2024-07</v>
      </c>
      <c r="N2140" s="112" t="str">
        <f t="shared" si="10"/>
        <v>2024-H2</v>
      </c>
    </row>
    <row r="2141">
      <c r="A2141" s="113" t="s">
        <v>610</v>
      </c>
      <c r="J2141" s="108" t="str">
        <f t="shared" si="6"/>
        <v>2024</v>
      </c>
      <c r="K2141" s="110">
        <f t="shared" si="7"/>
        <v>7</v>
      </c>
      <c r="L2141" s="108" t="str">
        <f t="shared" si="8"/>
        <v>2024-Q3</v>
      </c>
      <c r="M2141" s="111" t="str">
        <f t="shared" si="9"/>
        <v>2024-07</v>
      </c>
      <c r="N2141" s="112" t="str">
        <f t="shared" si="10"/>
        <v>2024-H2</v>
      </c>
    </row>
    <row r="2142">
      <c r="A2142" s="113" t="s">
        <v>610</v>
      </c>
      <c r="J2142" s="108" t="str">
        <f t="shared" si="6"/>
        <v>2024</v>
      </c>
      <c r="K2142" s="110">
        <f t="shared" si="7"/>
        <v>7</v>
      </c>
      <c r="L2142" s="108" t="str">
        <f t="shared" si="8"/>
        <v>2024-Q3</v>
      </c>
      <c r="M2142" s="111" t="str">
        <f t="shared" si="9"/>
        <v>2024-07</v>
      </c>
      <c r="N2142" s="112" t="str">
        <f t="shared" si="10"/>
        <v>2024-H2</v>
      </c>
    </row>
    <row r="2143">
      <c r="A2143" s="113" t="s">
        <v>610</v>
      </c>
      <c r="J2143" s="108" t="str">
        <f t="shared" si="6"/>
        <v>2024</v>
      </c>
      <c r="K2143" s="110">
        <f t="shared" si="7"/>
        <v>7</v>
      </c>
      <c r="L2143" s="108" t="str">
        <f t="shared" si="8"/>
        <v>2024-Q3</v>
      </c>
      <c r="M2143" s="111" t="str">
        <f t="shared" si="9"/>
        <v>2024-07</v>
      </c>
      <c r="N2143" s="112" t="str">
        <f t="shared" si="10"/>
        <v>2024-H2</v>
      </c>
    </row>
    <row r="2144">
      <c r="A2144" s="113" t="s">
        <v>610</v>
      </c>
      <c r="J2144" s="108" t="str">
        <f t="shared" si="6"/>
        <v>2024</v>
      </c>
      <c r="K2144" s="110">
        <f t="shared" si="7"/>
        <v>7</v>
      </c>
      <c r="L2144" s="108" t="str">
        <f t="shared" si="8"/>
        <v>2024-Q3</v>
      </c>
      <c r="M2144" s="111" t="str">
        <f t="shared" si="9"/>
        <v>2024-07</v>
      </c>
      <c r="N2144" s="112" t="str">
        <f t="shared" si="10"/>
        <v>2024-H2</v>
      </c>
    </row>
    <row r="2145">
      <c r="A2145" s="113" t="s">
        <v>610</v>
      </c>
      <c r="J2145" s="108" t="str">
        <f t="shared" si="6"/>
        <v>2024</v>
      </c>
      <c r="K2145" s="110">
        <f t="shared" si="7"/>
        <v>7</v>
      </c>
      <c r="L2145" s="108" t="str">
        <f t="shared" si="8"/>
        <v>2024-Q3</v>
      </c>
      <c r="M2145" s="111" t="str">
        <f t="shared" si="9"/>
        <v>2024-07</v>
      </c>
      <c r="N2145" s="112" t="str">
        <f t="shared" si="10"/>
        <v>2024-H2</v>
      </c>
    </row>
    <row r="2146">
      <c r="A2146" s="113" t="s">
        <v>610</v>
      </c>
      <c r="J2146" s="108" t="str">
        <f t="shared" si="6"/>
        <v>2024</v>
      </c>
      <c r="K2146" s="110">
        <f t="shared" si="7"/>
        <v>7</v>
      </c>
      <c r="L2146" s="108" t="str">
        <f t="shared" si="8"/>
        <v>2024-Q3</v>
      </c>
      <c r="M2146" s="111" t="str">
        <f t="shared" si="9"/>
        <v>2024-07</v>
      </c>
      <c r="N2146" s="112" t="str">
        <f t="shared" si="10"/>
        <v>2024-H2</v>
      </c>
    </row>
    <row r="2147">
      <c r="A2147" s="113" t="s">
        <v>610</v>
      </c>
      <c r="J2147" s="108" t="str">
        <f t="shared" si="6"/>
        <v>2024</v>
      </c>
      <c r="K2147" s="110">
        <f t="shared" si="7"/>
        <v>7</v>
      </c>
      <c r="L2147" s="108" t="str">
        <f t="shared" si="8"/>
        <v>2024-Q3</v>
      </c>
      <c r="M2147" s="111" t="str">
        <f t="shared" si="9"/>
        <v>2024-07</v>
      </c>
      <c r="N2147" s="112" t="str">
        <f t="shared" si="10"/>
        <v>2024-H2</v>
      </c>
    </row>
    <row r="2148">
      <c r="A2148" s="113" t="s">
        <v>610</v>
      </c>
      <c r="J2148" s="108" t="str">
        <f t="shared" si="6"/>
        <v>2024</v>
      </c>
      <c r="K2148" s="110">
        <f t="shared" si="7"/>
        <v>7</v>
      </c>
      <c r="L2148" s="108" t="str">
        <f t="shared" si="8"/>
        <v>2024-Q3</v>
      </c>
      <c r="M2148" s="111" t="str">
        <f t="shared" si="9"/>
        <v>2024-07</v>
      </c>
      <c r="N2148" s="112" t="str">
        <f t="shared" si="10"/>
        <v>2024-H2</v>
      </c>
    </row>
    <row r="2149">
      <c r="A2149" s="113" t="s">
        <v>610</v>
      </c>
      <c r="J2149" s="108" t="str">
        <f t="shared" si="6"/>
        <v>2024</v>
      </c>
      <c r="K2149" s="110">
        <f t="shared" si="7"/>
        <v>7</v>
      </c>
      <c r="L2149" s="108" t="str">
        <f t="shared" si="8"/>
        <v>2024-Q3</v>
      </c>
      <c r="M2149" s="111" t="str">
        <f t="shared" si="9"/>
        <v>2024-07</v>
      </c>
      <c r="N2149" s="112" t="str">
        <f t="shared" si="10"/>
        <v>2024-H2</v>
      </c>
    </row>
    <row r="2150">
      <c r="A2150" s="113" t="s">
        <v>610</v>
      </c>
      <c r="J2150" s="108" t="str">
        <f t="shared" si="6"/>
        <v>2024</v>
      </c>
      <c r="K2150" s="110">
        <f t="shared" si="7"/>
        <v>7</v>
      </c>
      <c r="L2150" s="108" t="str">
        <f t="shared" si="8"/>
        <v>2024-Q3</v>
      </c>
      <c r="M2150" s="111" t="str">
        <f t="shared" si="9"/>
        <v>2024-07</v>
      </c>
      <c r="N2150" s="112" t="str">
        <f t="shared" si="10"/>
        <v>2024-H2</v>
      </c>
    </row>
    <row r="2151">
      <c r="A2151" s="113" t="s">
        <v>610</v>
      </c>
      <c r="J2151" s="108" t="str">
        <f t="shared" si="6"/>
        <v>2024</v>
      </c>
      <c r="K2151" s="110">
        <f t="shared" si="7"/>
        <v>7</v>
      </c>
      <c r="L2151" s="108" t="str">
        <f t="shared" si="8"/>
        <v>2024-Q3</v>
      </c>
      <c r="M2151" s="111" t="str">
        <f t="shared" si="9"/>
        <v>2024-07</v>
      </c>
      <c r="N2151" s="112" t="str">
        <f t="shared" si="10"/>
        <v>2024-H2</v>
      </c>
    </row>
    <row r="2152">
      <c r="A2152" s="113" t="s">
        <v>610</v>
      </c>
      <c r="J2152" s="108" t="str">
        <f t="shared" si="6"/>
        <v>2024</v>
      </c>
      <c r="K2152" s="110">
        <f t="shared" si="7"/>
        <v>7</v>
      </c>
      <c r="L2152" s="108" t="str">
        <f t="shared" si="8"/>
        <v>2024-Q3</v>
      </c>
      <c r="M2152" s="111" t="str">
        <f t="shared" si="9"/>
        <v>2024-07</v>
      </c>
      <c r="N2152" s="112" t="str">
        <f t="shared" si="10"/>
        <v>2024-H2</v>
      </c>
    </row>
    <row r="2153">
      <c r="A2153" s="113" t="s">
        <v>610</v>
      </c>
      <c r="J2153" s="108" t="str">
        <f t="shared" si="6"/>
        <v>2024</v>
      </c>
      <c r="K2153" s="110">
        <f t="shared" si="7"/>
        <v>7</v>
      </c>
      <c r="L2153" s="108" t="str">
        <f t="shared" si="8"/>
        <v>2024-Q3</v>
      </c>
      <c r="M2153" s="111" t="str">
        <f t="shared" si="9"/>
        <v>2024-07</v>
      </c>
      <c r="N2153" s="112" t="str">
        <f t="shared" si="10"/>
        <v>2024-H2</v>
      </c>
    </row>
    <row r="2154">
      <c r="A2154" s="113" t="s">
        <v>610</v>
      </c>
      <c r="J2154" s="108" t="str">
        <f t="shared" si="6"/>
        <v>2024</v>
      </c>
      <c r="K2154" s="110">
        <f t="shared" si="7"/>
        <v>7</v>
      </c>
      <c r="L2154" s="108" t="str">
        <f t="shared" si="8"/>
        <v>2024-Q3</v>
      </c>
      <c r="M2154" s="111" t="str">
        <f t="shared" si="9"/>
        <v>2024-07</v>
      </c>
      <c r="N2154" s="112" t="str">
        <f t="shared" si="10"/>
        <v>2024-H2</v>
      </c>
    </row>
    <row r="2155">
      <c r="A2155" s="113" t="s">
        <v>610</v>
      </c>
      <c r="J2155" s="108" t="str">
        <f t="shared" si="6"/>
        <v>2024</v>
      </c>
      <c r="K2155" s="110">
        <f t="shared" si="7"/>
        <v>7</v>
      </c>
      <c r="L2155" s="108" t="str">
        <f t="shared" si="8"/>
        <v>2024-Q3</v>
      </c>
      <c r="M2155" s="111" t="str">
        <f t="shared" si="9"/>
        <v>2024-07</v>
      </c>
      <c r="N2155" s="112" t="str">
        <f t="shared" si="10"/>
        <v>2024-H2</v>
      </c>
    </row>
    <row r="2156">
      <c r="A2156" s="113" t="s">
        <v>610</v>
      </c>
      <c r="J2156" s="108" t="str">
        <f t="shared" si="6"/>
        <v>2024</v>
      </c>
      <c r="K2156" s="110">
        <f t="shared" si="7"/>
        <v>8</v>
      </c>
      <c r="L2156" s="108" t="str">
        <f t="shared" si="8"/>
        <v>2024-Q3</v>
      </c>
      <c r="M2156" s="111" t="str">
        <f t="shared" si="9"/>
        <v>2024-08</v>
      </c>
      <c r="N2156" s="112" t="str">
        <f t="shared" si="10"/>
        <v>2024-H2</v>
      </c>
    </row>
    <row r="2157">
      <c r="A2157" s="113" t="s">
        <v>610</v>
      </c>
      <c r="J2157" s="108" t="str">
        <f t="shared" si="6"/>
        <v>2024</v>
      </c>
      <c r="K2157" s="110">
        <f t="shared" si="7"/>
        <v>7</v>
      </c>
      <c r="L2157" s="108" t="str">
        <f t="shared" si="8"/>
        <v>2024-Q3</v>
      </c>
      <c r="M2157" s="111" t="str">
        <f t="shared" si="9"/>
        <v>2024-07</v>
      </c>
      <c r="N2157" s="112" t="str">
        <f t="shared" si="10"/>
        <v>2024-H2</v>
      </c>
    </row>
    <row r="2158">
      <c r="A2158" s="113" t="s">
        <v>610</v>
      </c>
      <c r="J2158" s="108" t="str">
        <f t="shared" si="6"/>
        <v>2024</v>
      </c>
      <c r="K2158" s="110">
        <f t="shared" si="7"/>
        <v>7</v>
      </c>
      <c r="L2158" s="108" t="str">
        <f t="shared" si="8"/>
        <v>2024-Q3</v>
      </c>
      <c r="M2158" s="111" t="str">
        <f t="shared" si="9"/>
        <v>2024-07</v>
      </c>
      <c r="N2158" s="112" t="str">
        <f t="shared" si="10"/>
        <v>2024-H2</v>
      </c>
    </row>
    <row r="2159">
      <c r="A2159" s="113" t="s">
        <v>610</v>
      </c>
      <c r="J2159" s="108" t="str">
        <f t="shared" si="6"/>
        <v>2024</v>
      </c>
      <c r="K2159" s="110">
        <f t="shared" si="7"/>
        <v>7</v>
      </c>
      <c r="L2159" s="108" t="str">
        <f t="shared" si="8"/>
        <v>2024-Q3</v>
      </c>
      <c r="M2159" s="111" t="str">
        <f t="shared" si="9"/>
        <v>2024-07</v>
      </c>
      <c r="N2159" s="112" t="str">
        <f t="shared" si="10"/>
        <v>2024-H2</v>
      </c>
    </row>
    <row r="2160">
      <c r="A2160" s="113" t="s">
        <v>610</v>
      </c>
      <c r="J2160" s="108" t="str">
        <f t="shared" si="6"/>
        <v>2024</v>
      </c>
      <c r="K2160" s="110">
        <f t="shared" si="7"/>
        <v>7</v>
      </c>
      <c r="L2160" s="108" t="str">
        <f t="shared" si="8"/>
        <v>2024-Q3</v>
      </c>
      <c r="M2160" s="111" t="str">
        <f t="shared" si="9"/>
        <v>2024-07</v>
      </c>
      <c r="N2160" s="112" t="str">
        <f t="shared" si="10"/>
        <v>2024-H2</v>
      </c>
    </row>
    <row r="2161">
      <c r="A2161" s="113" t="s">
        <v>610</v>
      </c>
      <c r="J2161" s="108" t="str">
        <f t="shared" si="6"/>
        <v>2024</v>
      </c>
      <c r="K2161" s="110">
        <f t="shared" si="7"/>
        <v>7</v>
      </c>
      <c r="L2161" s="108" t="str">
        <f t="shared" si="8"/>
        <v>2024-Q3</v>
      </c>
      <c r="M2161" s="111" t="str">
        <f t="shared" si="9"/>
        <v>2024-07</v>
      </c>
      <c r="N2161" s="112" t="str">
        <f t="shared" si="10"/>
        <v>2024-H2</v>
      </c>
    </row>
    <row r="2162">
      <c r="A2162" s="113" t="s">
        <v>610</v>
      </c>
      <c r="J2162" s="108" t="str">
        <f t="shared" si="6"/>
        <v>2024</v>
      </c>
      <c r="K2162" s="110">
        <f t="shared" si="7"/>
        <v>7</v>
      </c>
      <c r="L2162" s="108" t="str">
        <f t="shared" si="8"/>
        <v>2024-Q3</v>
      </c>
      <c r="M2162" s="111" t="str">
        <f t="shared" si="9"/>
        <v>2024-07</v>
      </c>
      <c r="N2162" s="112" t="str">
        <f t="shared" si="10"/>
        <v>2024-H2</v>
      </c>
    </row>
    <row r="2163">
      <c r="A2163" s="113" t="s">
        <v>610</v>
      </c>
      <c r="J2163" s="108" t="str">
        <f t="shared" si="6"/>
        <v>2024</v>
      </c>
      <c r="K2163" s="110">
        <f t="shared" si="7"/>
        <v>7</v>
      </c>
      <c r="L2163" s="108" t="str">
        <f t="shared" si="8"/>
        <v>2024-Q3</v>
      </c>
      <c r="M2163" s="111" t="str">
        <f t="shared" si="9"/>
        <v>2024-07</v>
      </c>
      <c r="N2163" s="112" t="str">
        <f t="shared" si="10"/>
        <v>2024-H2</v>
      </c>
    </row>
    <row r="2164">
      <c r="A2164" s="113" t="s">
        <v>610</v>
      </c>
      <c r="J2164" s="108" t="str">
        <f t="shared" si="6"/>
        <v>2024</v>
      </c>
      <c r="K2164" s="110">
        <f t="shared" si="7"/>
        <v>7</v>
      </c>
      <c r="L2164" s="108" t="str">
        <f t="shared" si="8"/>
        <v>2024-Q3</v>
      </c>
      <c r="M2164" s="111" t="str">
        <f t="shared" si="9"/>
        <v>2024-07</v>
      </c>
      <c r="N2164" s="112" t="str">
        <f t="shared" si="10"/>
        <v>2024-H2</v>
      </c>
    </row>
    <row r="2165">
      <c r="A2165" s="113" t="s">
        <v>610</v>
      </c>
      <c r="J2165" s="108" t="str">
        <f t="shared" si="6"/>
        <v>2024</v>
      </c>
      <c r="K2165" s="110">
        <f t="shared" si="7"/>
        <v>7</v>
      </c>
      <c r="L2165" s="108" t="str">
        <f t="shared" si="8"/>
        <v>2024-Q3</v>
      </c>
      <c r="M2165" s="111" t="str">
        <f t="shared" si="9"/>
        <v>2024-07</v>
      </c>
      <c r="N2165" s="112" t="str">
        <f t="shared" si="10"/>
        <v>2024-H2</v>
      </c>
    </row>
    <row r="2166">
      <c r="A2166" s="113" t="s">
        <v>610</v>
      </c>
      <c r="J2166" s="108" t="str">
        <f t="shared" si="6"/>
        <v>2024</v>
      </c>
      <c r="K2166" s="110">
        <f t="shared" si="7"/>
        <v>7</v>
      </c>
      <c r="L2166" s="108" t="str">
        <f t="shared" si="8"/>
        <v>2024-Q3</v>
      </c>
      <c r="M2166" s="111" t="str">
        <f t="shared" si="9"/>
        <v>2024-07</v>
      </c>
      <c r="N2166" s="112" t="str">
        <f t="shared" si="10"/>
        <v>2024-H2</v>
      </c>
    </row>
    <row r="2167">
      <c r="A2167" s="113" t="s">
        <v>610</v>
      </c>
      <c r="J2167" s="108" t="str">
        <f t="shared" si="6"/>
        <v>2024</v>
      </c>
      <c r="K2167" s="110">
        <f t="shared" si="7"/>
        <v>7</v>
      </c>
      <c r="L2167" s="108" t="str">
        <f t="shared" si="8"/>
        <v>2024-Q3</v>
      </c>
      <c r="M2167" s="111" t="str">
        <f t="shared" si="9"/>
        <v>2024-07</v>
      </c>
      <c r="N2167" s="112" t="str">
        <f t="shared" si="10"/>
        <v>2024-H2</v>
      </c>
    </row>
    <row r="2168">
      <c r="A2168" s="113" t="s">
        <v>610</v>
      </c>
      <c r="J2168" s="108" t="str">
        <f t="shared" si="6"/>
        <v>2024</v>
      </c>
      <c r="K2168" s="110">
        <f t="shared" si="7"/>
        <v>7</v>
      </c>
      <c r="L2168" s="108" t="str">
        <f t="shared" si="8"/>
        <v>2024-Q3</v>
      </c>
      <c r="M2168" s="111" t="str">
        <f t="shared" si="9"/>
        <v>2024-07</v>
      </c>
      <c r="N2168" s="112" t="str">
        <f t="shared" si="10"/>
        <v>2024-H2</v>
      </c>
    </row>
    <row r="2169">
      <c r="A2169" s="113" t="s">
        <v>610</v>
      </c>
      <c r="J2169" s="108" t="str">
        <f t="shared" si="6"/>
        <v>2024</v>
      </c>
      <c r="K2169" s="110">
        <f t="shared" si="7"/>
        <v>7</v>
      </c>
      <c r="L2169" s="108" t="str">
        <f t="shared" si="8"/>
        <v>2024-Q3</v>
      </c>
      <c r="M2169" s="111" t="str">
        <f t="shared" si="9"/>
        <v>2024-07</v>
      </c>
      <c r="N2169" s="112" t="str">
        <f t="shared" si="10"/>
        <v>2024-H2</v>
      </c>
    </row>
    <row r="2170">
      <c r="A2170" s="113" t="s">
        <v>610</v>
      </c>
      <c r="J2170" s="108" t="str">
        <f t="shared" si="6"/>
        <v>2024</v>
      </c>
      <c r="K2170" s="110">
        <f t="shared" si="7"/>
        <v>7</v>
      </c>
      <c r="L2170" s="108" t="str">
        <f t="shared" si="8"/>
        <v>2024-Q3</v>
      </c>
      <c r="M2170" s="111" t="str">
        <f t="shared" si="9"/>
        <v>2024-07</v>
      </c>
      <c r="N2170" s="112" t="str">
        <f t="shared" si="10"/>
        <v>2024-H2</v>
      </c>
    </row>
    <row r="2171">
      <c r="A2171" s="113" t="s">
        <v>610</v>
      </c>
      <c r="J2171" s="108" t="str">
        <f t="shared" si="6"/>
        <v>2024</v>
      </c>
      <c r="K2171" s="110">
        <f t="shared" si="7"/>
        <v>7</v>
      </c>
      <c r="L2171" s="108" t="str">
        <f t="shared" si="8"/>
        <v>2024-Q3</v>
      </c>
      <c r="M2171" s="111" t="str">
        <f t="shared" si="9"/>
        <v>2024-07</v>
      </c>
      <c r="N2171" s="112" t="str">
        <f t="shared" si="10"/>
        <v>2024-H2</v>
      </c>
    </row>
    <row r="2172">
      <c r="A2172" s="113" t="s">
        <v>610</v>
      </c>
      <c r="J2172" s="108" t="str">
        <f t="shared" si="6"/>
        <v>2024</v>
      </c>
      <c r="K2172" s="110">
        <f t="shared" si="7"/>
        <v>7</v>
      </c>
      <c r="L2172" s="108" t="str">
        <f t="shared" si="8"/>
        <v>2024-Q3</v>
      </c>
      <c r="M2172" s="111" t="str">
        <f t="shared" si="9"/>
        <v>2024-07</v>
      </c>
      <c r="N2172" s="112" t="str">
        <f t="shared" si="10"/>
        <v>2024-H2</v>
      </c>
    </row>
    <row r="2173">
      <c r="A2173" s="113" t="s">
        <v>610</v>
      </c>
      <c r="J2173" s="108" t="str">
        <f t="shared" si="6"/>
        <v>2024</v>
      </c>
      <c r="K2173" s="110">
        <f t="shared" si="7"/>
        <v>7</v>
      </c>
      <c r="L2173" s="108" t="str">
        <f t="shared" si="8"/>
        <v>2024-Q3</v>
      </c>
      <c r="M2173" s="111" t="str">
        <f t="shared" si="9"/>
        <v>2024-07</v>
      </c>
      <c r="N2173" s="112" t="str">
        <f t="shared" si="10"/>
        <v>2024-H2</v>
      </c>
    </row>
    <row r="2174">
      <c r="A2174" s="113" t="s">
        <v>610</v>
      </c>
      <c r="J2174" s="108" t="str">
        <f t="shared" si="6"/>
        <v>2024</v>
      </c>
      <c r="K2174" s="110">
        <f t="shared" si="7"/>
        <v>7</v>
      </c>
      <c r="L2174" s="108" t="str">
        <f t="shared" si="8"/>
        <v>2024-Q3</v>
      </c>
      <c r="M2174" s="111" t="str">
        <f t="shared" si="9"/>
        <v>2024-07</v>
      </c>
      <c r="N2174" s="112" t="str">
        <f t="shared" si="10"/>
        <v>2024-H2</v>
      </c>
    </row>
    <row r="2175">
      <c r="A2175" s="113" t="s">
        <v>610</v>
      </c>
      <c r="J2175" s="108" t="str">
        <f t="shared" si="6"/>
        <v>2024</v>
      </c>
      <c r="K2175" s="110">
        <f t="shared" si="7"/>
        <v>7</v>
      </c>
      <c r="L2175" s="108" t="str">
        <f t="shared" si="8"/>
        <v>2024-Q3</v>
      </c>
      <c r="M2175" s="111" t="str">
        <f t="shared" si="9"/>
        <v>2024-07</v>
      </c>
      <c r="N2175" s="112" t="str">
        <f t="shared" si="10"/>
        <v>2024-H2</v>
      </c>
    </row>
    <row r="2176">
      <c r="A2176" s="113" t="s">
        <v>610</v>
      </c>
      <c r="J2176" s="108" t="str">
        <f t="shared" si="6"/>
        <v>2024</v>
      </c>
      <c r="K2176" s="110">
        <f t="shared" si="7"/>
        <v>7</v>
      </c>
      <c r="L2176" s="108" t="str">
        <f t="shared" si="8"/>
        <v>2024-Q3</v>
      </c>
      <c r="M2176" s="111" t="str">
        <f t="shared" si="9"/>
        <v>2024-07</v>
      </c>
      <c r="N2176" s="112" t="str">
        <f t="shared" si="10"/>
        <v>2024-H2</v>
      </c>
    </row>
    <row r="2177">
      <c r="A2177" s="113" t="s">
        <v>610</v>
      </c>
      <c r="J2177" s="108" t="str">
        <f t="shared" si="6"/>
        <v>2024</v>
      </c>
      <c r="K2177" s="110">
        <f t="shared" si="7"/>
        <v>7</v>
      </c>
      <c r="L2177" s="108" t="str">
        <f t="shared" si="8"/>
        <v>2024-Q3</v>
      </c>
      <c r="M2177" s="111" t="str">
        <f t="shared" si="9"/>
        <v>2024-07</v>
      </c>
      <c r="N2177" s="112" t="str">
        <f t="shared" si="10"/>
        <v>2024-H2</v>
      </c>
    </row>
    <row r="2178">
      <c r="A2178" s="113" t="s">
        <v>610</v>
      </c>
      <c r="J2178" s="108" t="str">
        <f t="shared" si="6"/>
        <v>2024</v>
      </c>
      <c r="K2178" s="110">
        <f t="shared" si="7"/>
        <v>7</v>
      </c>
      <c r="L2178" s="108" t="str">
        <f t="shared" si="8"/>
        <v>2024-Q3</v>
      </c>
      <c r="M2178" s="111" t="str">
        <f t="shared" si="9"/>
        <v>2024-07</v>
      </c>
      <c r="N2178" s="112" t="str">
        <f t="shared" si="10"/>
        <v>2024-H2</v>
      </c>
    </row>
    <row r="2179">
      <c r="A2179" s="113" t="s">
        <v>610</v>
      </c>
      <c r="J2179" s="108" t="str">
        <f t="shared" si="6"/>
        <v>2024</v>
      </c>
      <c r="K2179" s="110">
        <f t="shared" si="7"/>
        <v>7</v>
      </c>
      <c r="L2179" s="108" t="str">
        <f t="shared" si="8"/>
        <v>2024-Q3</v>
      </c>
      <c r="M2179" s="111" t="str">
        <f t="shared" si="9"/>
        <v>2024-07</v>
      </c>
      <c r="N2179" s="112" t="str">
        <f t="shared" si="10"/>
        <v>2024-H2</v>
      </c>
    </row>
    <row r="2180">
      <c r="A2180" s="113" t="s">
        <v>610</v>
      </c>
      <c r="J2180" s="108" t="str">
        <f t="shared" si="6"/>
        <v>2024</v>
      </c>
      <c r="K2180" s="110">
        <f t="shared" si="7"/>
        <v>7</v>
      </c>
      <c r="L2180" s="108" t="str">
        <f t="shared" si="8"/>
        <v>2024-Q3</v>
      </c>
      <c r="M2180" s="111" t="str">
        <f t="shared" si="9"/>
        <v>2024-07</v>
      </c>
      <c r="N2180" s="112" t="str">
        <f t="shared" si="10"/>
        <v>2024-H2</v>
      </c>
    </row>
    <row r="2181">
      <c r="A2181" s="113" t="s">
        <v>610</v>
      </c>
      <c r="J2181" s="108" t="str">
        <f t="shared" si="6"/>
        <v>2024</v>
      </c>
      <c r="K2181" s="110">
        <f t="shared" si="7"/>
        <v>7</v>
      </c>
      <c r="L2181" s="108" t="str">
        <f t="shared" si="8"/>
        <v>2024-Q3</v>
      </c>
      <c r="M2181" s="111" t="str">
        <f t="shared" si="9"/>
        <v>2024-07</v>
      </c>
      <c r="N2181" s="112" t="str">
        <f t="shared" si="10"/>
        <v>2024-H2</v>
      </c>
    </row>
    <row r="2182">
      <c r="A2182" s="113" t="s">
        <v>610</v>
      </c>
      <c r="J2182" s="108" t="str">
        <f t="shared" si="6"/>
        <v>2024</v>
      </c>
      <c r="K2182" s="110">
        <f t="shared" si="7"/>
        <v>7</v>
      </c>
      <c r="L2182" s="108" t="str">
        <f t="shared" si="8"/>
        <v>2024-Q3</v>
      </c>
      <c r="M2182" s="111" t="str">
        <f t="shared" si="9"/>
        <v>2024-07</v>
      </c>
      <c r="N2182" s="112" t="str">
        <f t="shared" si="10"/>
        <v>2024-H2</v>
      </c>
    </row>
    <row r="2183">
      <c r="A2183" s="113" t="s">
        <v>610</v>
      </c>
      <c r="J2183" s="108" t="str">
        <f t="shared" si="6"/>
        <v>2024</v>
      </c>
      <c r="K2183" s="110">
        <f t="shared" si="7"/>
        <v>7</v>
      </c>
      <c r="L2183" s="108" t="str">
        <f t="shared" si="8"/>
        <v>2024-Q3</v>
      </c>
      <c r="M2183" s="111" t="str">
        <f t="shared" si="9"/>
        <v>2024-07</v>
      </c>
      <c r="N2183" s="112" t="str">
        <f t="shared" si="10"/>
        <v>2024-H2</v>
      </c>
    </row>
    <row r="2184">
      <c r="A2184" s="113" t="s">
        <v>610</v>
      </c>
      <c r="J2184" s="108" t="str">
        <f t="shared" si="6"/>
        <v>2024</v>
      </c>
      <c r="K2184" s="110">
        <f t="shared" si="7"/>
        <v>7</v>
      </c>
      <c r="L2184" s="108" t="str">
        <f t="shared" si="8"/>
        <v>2024-Q3</v>
      </c>
      <c r="M2184" s="111" t="str">
        <f t="shared" si="9"/>
        <v>2024-07</v>
      </c>
      <c r="N2184" s="112" t="str">
        <f t="shared" si="10"/>
        <v>2024-H2</v>
      </c>
    </row>
    <row r="2185">
      <c r="A2185" s="113" t="s">
        <v>610</v>
      </c>
      <c r="J2185" s="108" t="str">
        <f t="shared" si="6"/>
        <v>2024</v>
      </c>
      <c r="K2185" s="110">
        <f t="shared" si="7"/>
        <v>7</v>
      </c>
      <c r="L2185" s="108" t="str">
        <f t="shared" si="8"/>
        <v>2024-Q3</v>
      </c>
      <c r="M2185" s="111" t="str">
        <f t="shared" si="9"/>
        <v>2024-07</v>
      </c>
      <c r="N2185" s="112" t="str">
        <f t="shared" si="10"/>
        <v>2024-H2</v>
      </c>
    </row>
    <row r="2186">
      <c r="A2186" s="113" t="s">
        <v>610</v>
      </c>
      <c r="J2186" s="108" t="str">
        <f t="shared" si="6"/>
        <v>2024</v>
      </c>
      <c r="K2186" s="110">
        <f t="shared" si="7"/>
        <v>7</v>
      </c>
      <c r="L2186" s="108" t="str">
        <f t="shared" si="8"/>
        <v>2024-Q3</v>
      </c>
      <c r="M2186" s="111" t="str">
        <f t="shared" si="9"/>
        <v>2024-07</v>
      </c>
      <c r="N2186" s="112" t="str">
        <f t="shared" si="10"/>
        <v>2024-H2</v>
      </c>
    </row>
    <row r="2187">
      <c r="A2187" s="113" t="s">
        <v>610</v>
      </c>
      <c r="J2187" s="108" t="str">
        <f t="shared" si="6"/>
        <v>2024</v>
      </c>
      <c r="K2187" s="110">
        <f t="shared" si="7"/>
        <v>7</v>
      </c>
      <c r="L2187" s="108" t="str">
        <f t="shared" si="8"/>
        <v>2024-Q3</v>
      </c>
      <c r="M2187" s="111" t="str">
        <f t="shared" si="9"/>
        <v>2024-07</v>
      </c>
      <c r="N2187" s="112" t="str">
        <f t="shared" si="10"/>
        <v>2024-H2</v>
      </c>
    </row>
    <row r="2188">
      <c r="A2188" s="113" t="s">
        <v>610</v>
      </c>
      <c r="J2188" s="108" t="str">
        <f t="shared" si="6"/>
        <v>2024</v>
      </c>
      <c r="K2188" s="110">
        <f t="shared" si="7"/>
        <v>7</v>
      </c>
      <c r="L2188" s="108" t="str">
        <f t="shared" si="8"/>
        <v>2024-Q3</v>
      </c>
      <c r="M2188" s="111" t="str">
        <f t="shared" si="9"/>
        <v>2024-07</v>
      </c>
      <c r="N2188" s="112" t="str">
        <f t="shared" si="10"/>
        <v>2024-H2</v>
      </c>
    </row>
    <row r="2189">
      <c r="A2189" s="113" t="s">
        <v>610</v>
      </c>
      <c r="J2189" s="108" t="str">
        <f t="shared" si="6"/>
        <v>2024</v>
      </c>
      <c r="K2189" s="110">
        <f t="shared" si="7"/>
        <v>8</v>
      </c>
      <c r="L2189" s="108" t="str">
        <f t="shared" si="8"/>
        <v>2024-Q3</v>
      </c>
      <c r="M2189" s="111" t="str">
        <f t="shared" si="9"/>
        <v>2024-08</v>
      </c>
      <c r="N2189" s="112" t="str">
        <f t="shared" si="10"/>
        <v>2024-H2</v>
      </c>
    </row>
    <row r="2190">
      <c r="A2190" s="113" t="s">
        <v>610</v>
      </c>
      <c r="J2190" s="108" t="str">
        <f t="shared" si="6"/>
        <v>2024</v>
      </c>
      <c r="K2190" s="110">
        <f t="shared" si="7"/>
        <v>7</v>
      </c>
      <c r="L2190" s="108" t="str">
        <f t="shared" si="8"/>
        <v>2024-Q3</v>
      </c>
      <c r="M2190" s="111" t="str">
        <f t="shared" si="9"/>
        <v>2024-07</v>
      </c>
      <c r="N2190" s="112" t="str">
        <f t="shared" si="10"/>
        <v>2024-H2</v>
      </c>
    </row>
    <row r="2191">
      <c r="A2191" s="113" t="s">
        <v>610</v>
      </c>
      <c r="J2191" s="108" t="str">
        <f t="shared" si="6"/>
        <v>2024</v>
      </c>
      <c r="K2191" s="110">
        <f t="shared" si="7"/>
        <v>7</v>
      </c>
      <c r="L2191" s="108" t="str">
        <f t="shared" si="8"/>
        <v>2024-Q3</v>
      </c>
      <c r="M2191" s="111" t="str">
        <f t="shared" si="9"/>
        <v>2024-07</v>
      </c>
      <c r="N2191" s="112" t="str">
        <f t="shared" si="10"/>
        <v>2024-H2</v>
      </c>
    </row>
    <row r="2192">
      <c r="A2192" s="113" t="s">
        <v>610</v>
      </c>
      <c r="J2192" s="108" t="str">
        <f t="shared" si="6"/>
        <v>2024</v>
      </c>
      <c r="K2192" s="110">
        <f t="shared" si="7"/>
        <v>7</v>
      </c>
      <c r="L2192" s="108" t="str">
        <f t="shared" si="8"/>
        <v>2024-Q3</v>
      </c>
      <c r="M2192" s="111" t="str">
        <f t="shared" si="9"/>
        <v>2024-07</v>
      </c>
      <c r="N2192" s="112" t="str">
        <f t="shared" si="10"/>
        <v>2024-H2</v>
      </c>
    </row>
    <row r="2193">
      <c r="A2193" s="113" t="s">
        <v>610</v>
      </c>
      <c r="J2193" s="108" t="str">
        <f t="shared" si="6"/>
        <v>2024</v>
      </c>
      <c r="K2193" s="110">
        <f t="shared" si="7"/>
        <v>7</v>
      </c>
      <c r="L2193" s="108" t="str">
        <f t="shared" si="8"/>
        <v>2024-Q3</v>
      </c>
      <c r="M2193" s="111" t="str">
        <f t="shared" si="9"/>
        <v>2024-07</v>
      </c>
      <c r="N2193" s="112" t="str">
        <f t="shared" si="10"/>
        <v>2024-H2</v>
      </c>
    </row>
    <row r="2194">
      <c r="A2194" s="113" t="s">
        <v>610</v>
      </c>
      <c r="J2194" s="108" t="str">
        <f t="shared" si="6"/>
        <v>2024</v>
      </c>
      <c r="K2194" s="110">
        <f t="shared" si="7"/>
        <v>7</v>
      </c>
      <c r="L2194" s="108" t="str">
        <f t="shared" si="8"/>
        <v>2024-Q3</v>
      </c>
      <c r="M2194" s="111" t="str">
        <f t="shared" si="9"/>
        <v>2024-07</v>
      </c>
      <c r="N2194" s="112" t="str">
        <f t="shared" si="10"/>
        <v>2024-H2</v>
      </c>
    </row>
    <row r="2195">
      <c r="A2195" s="113" t="s">
        <v>610</v>
      </c>
      <c r="J2195" s="108" t="str">
        <f t="shared" si="6"/>
        <v>2024</v>
      </c>
      <c r="K2195" s="110">
        <f t="shared" si="7"/>
        <v>7</v>
      </c>
      <c r="L2195" s="108" t="str">
        <f t="shared" si="8"/>
        <v>2024-Q3</v>
      </c>
      <c r="M2195" s="111" t="str">
        <f t="shared" si="9"/>
        <v>2024-07</v>
      </c>
      <c r="N2195" s="112" t="str">
        <f t="shared" si="10"/>
        <v>2024-H2</v>
      </c>
    </row>
    <row r="2196">
      <c r="A2196" s="113" t="s">
        <v>610</v>
      </c>
      <c r="J2196" s="108" t="str">
        <f t="shared" si="6"/>
        <v>2024</v>
      </c>
      <c r="K2196" s="110">
        <f t="shared" si="7"/>
        <v>7</v>
      </c>
      <c r="L2196" s="108" t="str">
        <f t="shared" si="8"/>
        <v>2024-Q3</v>
      </c>
      <c r="M2196" s="111" t="str">
        <f t="shared" si="9"/>
        <v>2024-07</v>
      </c>
      <c r="N2196" s="112" t="str">
        <f t="shared" si="10"/>
        <v>2024-H2</v>
      </c>
    </row>
    <row r="2197">
      <c r="A2197" s="113" t="s">
        <v>610</v>
      </c>
      <c r="J2197" s="108" t="str">
        <f t="shared" si="6"/>
        <v>2024</v>
      </c>
      <c r="K2197" s="110">
        <f t="shared" si="7"/>
        <v>7</v>
      </c>
      <c r="L2197" s="108" t="str">
        <f t="shared" si="8"/>
        <v>2024-Q3</v>
      </c>
      <c r="M2197" s="111" t="str">
        <f t="shared" si="9"/>
        <v>2024-07</v>
      </c>
      <c r="N2197" s="112" t="str">
        <f t="shared" si="10"/>
        <v>2024-H2</v>
      </c>
    </row>
    <row r="2198">
      <c r="A2198" s="113" t="s">
        <v>610</v>
      </c>
      <c r="J2198" s="108" t="str">
        <f t="shared" si="6"/>
        <v>2024</v>
      </c>
      <c r="K2198" s="110">
        <f t="shared" si="7"/>
        <v>7</v>
      </c>
      <c r="L2198" s="108" t="str">
        <f t="shared" si="8"/>
        <v>2024-Q3</v>
      </c>
      <c r="M2198" s="111" t="str">
        <f t="shared" si="9"/>
        <v>2024-07</v>
      </c>
      <c r="N2198" s="112" t="str">
        <f t="shared" si="10"/>
        <v>2024-H2</v>
      </c>
    </row>
    <row r="2199">
      <c r="A2199" s="113" t="s">
        <v>610</v>
      </c>
      <c r="J2199" s="108" t="str">
        <f t="shared" si="6"/>
        <v>2024</v>
      </c>
      <c r="K2199" s="110">
        <f t="shared" si="7"/>
        <v>7</v>
      </c>
      <c r="L2199" s="108" t="str">
        <f t="shared" si="8"/>
        <v>2024-Q3</v>
      </c>
      <c r="M2199" s="111" t="str">
        <f t="shared" si="9"/>
        <v>2024-07</v>
      </c>
      <c r="N2199" s="112" t="str">
        <f t="shared" si="10"/>
        <v>2024-H2</v>
      </c>
    </row>
    <row r="2200">
      <c r="A2200" s="113" t="s">
        <v>610</v>
      </c>
      <c r="J2200" s="108" t="str">
        <f t="shared" si="6"/>
        <v>2024</v>
      </c>
      <c r="K2200" s="110">
        <f t="shared" si="7"/>
        <v>7</v>
      </c>
      <c r="L2200" s="108" t="str">
        <f t="shared" si="8"/>
        <v>2024-Q3</v>
      </c>
      <c r="M2200" s="111" t="str">
        <f t="shared" si="9"/>
        <v>2024-07</v>
      </c>
      <c r="N2200" s="112" t="str">
        <f t="shared" si="10"/>
        <v>2024-H2</v>
      </c>
    </row>
    <row r="2201">
      <c r="A2201" s="113" t="s">
        <v>610</v>
      </c>
      <c r="J2201" s="108" t="str">
        <f t="shared" si="6"/>
        <v>2024</v>
      </c>
      <c r="K2201" s="110">
        <f t="shared" si="7"/>
        <v>7</v>
      </c>
      <c r="L2201" s="108" t="str">
        <f t="shared" si="8"/>
        <v>2024-Q3</v>
      </c>
      <c r="M2201" s="111" t="str">
        <f t="shared" si="9"/>
        <v>2024-07</v>
      </c>
      <c r="N2201" s="112" t="str">
        <f t="shared" si="10"/>
        <v>2024-H2</v>
      </c>
    </row>
    <row r="2202">
      <c r="A2202" s="113" t="s">
        <v>610</v>
      </c>
      <c r="J2202" s="108" t="str">
        <f t="shared" si="6"/>
        <v>2024</v>
      </c>
      <c r="K2202" s="110">
        <f t="shared" si="7"/>
        <v>7</v>
      </c>
      <c r="L2202" s="108" t="str">
        <f t="shared" si="8"/>
        <v>2024-Q3</v>
      </c>
      <c r="M2202" s="111" t="str">
        <f t="shared" si="9"/>
        <v>2024-07</v>
      </c>
      <c r="N2202" s="112" t="str">
        <f t="shared" si="10"/>
        <v>2024-H2</v>
      </c>
    </row>
    <row r="2203">
      <c r="A2203" s="113" t="s">
        <v>610</v>
      </c>
      <c r="J2203" s="108" t="str">
        <f t="shared" si="6"/>
        <v>2024</v>
      </c>
      <c r="K2203" s="110">
        <f t="shared" si="7"/>
        <v>7</v>
      </c>
      <c r="L2203" s="108" t="str">
        <f t="shared" si="8"/>
        <v>2024-Q3</v>
      </c>
      <c r="M2203" s="111" t="str">
        <f t="shared" si="9"/>
        <v>2024-07</v>
      </c>
      <c r="N2203" s="112" t="str">
        <f t="shared" si="10"/>
        <v>2024-H2</v>
      </c>
    </row>
    <row r="2204">
      <c r="A2204" s="113" t="s">
        <v>610</v>
      </c>
      <c r="J2204" s="108" t="str">
        <f t="shared" si="6"/>
        <v>2024</v>
      </c>
      <c r="K2204" s="110">
        <f t="shared" si="7"/>
        <v>7</v>
      </c>
      <c r="L2204" s="108" t="str">
        <f t="shared" si="8"/>
        <v>2024-Q3</v>
      </c>
      <c r="M2204" s="111" t="str">
        <f t="shared" si="9"/>
        <v>2024-07</v>
      </c>
      <c r="N2204" s="112" t="str">
        <f t="shared" si="10"/>
        <v>2024-H2</v>
      </c>
    </row>
    <row r="2205">
      <c r="A2205" s="113" t="s">
        <v>610</v>
      </c>
      <c r="J2205" s="108" t="str">
        <f t="shared" si="6"/>
        <v>2024</v>
      </c>
      <c r="K2205" s="110">
        <f t="shared" si="7"/>
        <v>7</v>
      </c>
      <c r="L2205" s="108" t="str">
        <f t="shared" si="8"/>
        <v>2024-Q3</v>
      </c>
      <c r="M2205" s="111" t="str">
        <f t="shared" si="9"/>
        <v>2024-07</v>
      </c>
      <c r="N2205" s="112" t="str">
        <f t="shared" si="10"/>
        <v>2024-H2</v>
      </c>
    </row>
    <row r="2206">
      <c r="A2206" s="113" t="s">
        <v>610</v>
      </c>
      <c r="J2206" s="108" t="str">
        <f t="shared" si="6"/>
        <v>2024</v>
      </c>
      <c r="K2206" s="110">
        <f t="shared" si="7"/>
        <v>7</v>
      </c>
      <c r="L2206" s="108" t="str">
        <f t="shared" si="8"/>
        <v>2024-Q3</v>
      </c>
      <c r="M2206" s="111" t="str">
        <f t="shared" si="9"/>
        <v>2024-07</v>
      </c>
      <c r="N2206" s="112" t="str">
        <f t="shared" si="10"/>
        <v>2024-H2</v>
      </c>
    </row>
    <row r="2207">
      <c r="A2207" s="113" t="s">
        <v>610</v>
      </c>
      <c r="J2207" s="108" t="str">
        <f t="shared" si="6"/>
        <v>2024</v>
      </c>
      <c r="K2207" s="110">
        <f t="shared" si="7"/>
        <v>7</v>
      </c>
      <c r="L2207" s="108" t="str">
        <f t="shared" si="8"/>
        <v>2024-Q3</v>
      </c>
      <c r="M2207" s="111" t="str">
        <f t="shared" si="9"/>
        <v>2024-07</v>
      </c>
      <c r="N2207" s="112" t="str">
        <f t="shared" si="10"/>
        <v>2024-H2</v>
      </c>
    </row>
    <row r="2208">
      <c r="A2208" s="113" t="s">
        <v>610</v>
      </c>
      <c r="J2208" s="108" t="str">
        <f t="shared" si="6"/>
        <v>2024</v>
      </c>
      <c r="K2208" s="110">
        <f t="shared" si="7"/>
        <v>7</v>
      </c>
      <c r="L2208" s="108" t="str">
        <f t="shared" si="8"/>
        <v>2024-Q3</v>
      </c>
      <c r="M2208" s="111" t="str">
        <f t="shared" si="9"/>
        <v>2024-07</v>
      </c>
      <c r="N2208" s="112" t="str">
        <f t="shared" si="10"/>
        <v>2024-H2</v>
      </c>
    </row>
    <row r="2209">
      <c r="A2209" s="113" t="s">
        <v>610</v>
      </c>
      <c r="J2209" s="108" t="str">
        <f t="shared" si="6"/>
        <v>2024</v>
      </c>
      <c r="K2209" s="110">
        <f t="shared" si="7"/>
        <v>7</v>
      </c>
      <c r="L2209" s="108" t="str">
        <f t="shared" si="8"/>
        <v>2024-Q3</v>
      </c>
      <c r="M2209" s="111" t="str">
        <f t="shared" si="9"/>
        <v>2024-07</v>
      </c>
      <c r="N2209" s="112" t="str">
        <f t="shared" si="10"/>
        <v>2024-H2</v>
      </c>
    </row>
    <row r="2210">
      <c r="A2210" s="113" t="s">
        <v>610</v>
      </c>
      <c r="J2210" s="108" t="str">
        <f t="shared" si="6"/>
        <v>2024</v>
      </c>
      <c r="K2210" s="110">
        <f t="shared" si="7"/>
        <v>7</v>
      </c>
      <c r="L2210" s="108" t="str">
        <f t="shared" si="8"/>
        <v>2024-Q3</v>
      </c>
      <c r="M2210" s="111" t="str">
        <f t="shared" si="9"/>
        <v>2024-07</v>
      </c>
      <c r="N2210" s="112" t="str">
        <f t="shared" si="10"/>
        <v>2024-H2</v>
      </c>
    </row>
    <row r="2211">
      <c r="A2211" s="113" t="s">
        <v>610</v>
      </c>
      <c r="J2211" s="108" t="str">
        <f t="shared" si="6"/>
        <v>2024</v>
      </c>
      <c r="K2211" s="110">
        <f t="shared" si="7"/>
        <v>7</v>
      </c>
      <c r="L2211" s="108" t="str">
        <f t="shared" si="8"/>
        <v>2024-Q3</v>
      </c>
      <c r="M2211" s="111" t="str">
        <f t="shared" si="9"/>
        <v>2024-07</v>
      </c>
      <c r="N2211" s="112" t="str">
        <f t="shared" si="10"/>
        <v>2024-H2</v>
      </c>
    </row>
    <row r="2212">
      <c r="A2212" s="113" t="s">
        <v>610</v>
      </c>
      <c r="J2212" s="108" t="str">
        <f t="shared" si="6"/>
        <v>2024</v>
      </c>
      <c r="K2212" s="110">
        <f t="shared" si="7"/>
        <v>7</v>
      </c>
      <c r="L2212" s="108" t="str">
        <f t="shared" si="8"/>
        <v>2024-Q3</v>
      </c>
      <c r="M2212" s="111" t="str">
        <f t="shared" si="9"/>
        <v>2024-07</v>
      </c>
      <c r="N2212" s="112" t="str">
        <f t="shared" si="10"/>
        <v>2024-H2</v>
      </c>
    </row>
    <row r="2213">
      <c r="A2213" s="113" t="s">
        <v>610</v>
      </c>
      <c r="J2213" s="108" t="str">
        <f t="shared" si="6"/>
        <v>2024</v>
      </c>
      <c r="K2213" s="110">
        <f t="shared" si="7"/>
        <v>7</v>
      </c>
      <c r="L2213" s="108" t="str">
        <f t="shared" si="8"/>
        <v>2024-Q3</v>
      </c>
      <c r="M2213" s="111" t="str">
        <f t="shared" si="9"/>
        <v>2024-07</v>
      </c>
      <c r="N2213" s="112" t="str">
        <f t="shared" si="10"/>
        <v>2024-H2</v>
      </c>
    </row>
    <row r="2214">
      <c r="A2214" s="113" t="s">
        <v>610</v>
      </c>
      <c r="J2214" s="108" t="str">
        <f t="shared" si="6"/>
        <v>2024</v>
      </c>
      <c r="K2214" s="110">
        <f t="shared" si="7"/>
        <v>7</v>
      </c>
      <c r="L2214" s="108" t="str">
        <f t="shared" si="8"/>
        <v>2024-Q3</v>
      </c>
      <c r="M2214" s="111" t="str">
        <f t="shared" si="9"/>
        <v>2024-07</v>
      </c>
      <c r="N2214" s="112" t="str">
        <f t="shared" si="10"/>
        <v>2024-H2</v>
      </c>
    </row>
    <row r="2215">
      <c r="A2215" s="113" t="s">
        <v>610</v>
      </c>
      <c r="J2215" s="108" t="str">
        <f t="shared" si="6"/>
        <v>2024</v>
      </c>
      <c r="K2215" s="110">
        <f t="shared" si="7"/>
        <v>7</v>
      </c>
      <c r="L2215" s="108" t="str">
        <f t="shared" si="8"/>
        <v>2024-Q3</v>
      </c>
      <c r="M2215" s="111" t="str">
        <f t="shared" si="9"/>
        <v>2024-07</v>
      </c>
      <c r="N2215" s="112" t="str">
        <f t="shared" si="10"/>
        <v>2024-H2</v>
      </c>
    </row>
    <row r="2216">
      <c r="A2216" s="113" t="s">
        <v>610</v>
      </c>
      <c r="J2216" s="108" t="str">
        <f t="shared" si="6"/>
        <v>2024</v>
      </c>
      <c r="K2216" s="110">
        <f t="shared" si="7"/>
        <v>7</v>
      </c>
      <c r="L2216" s="108" t="str">
        <f t="shared" si="8"/>
        <v>2024-Q3</v>
      </c>
      <c r="M2216" s="111" t="str">
        <f t="shared" si="9"/>
        <v>2024-07</v>
      </c>
      <c r="N2216" s="112" t="str">
        <f t="shared" si="10"/>
        <v>2024-H2</v>
      </c>
    </row>
    <row r="2217">
      <c r="A2217" s="113" t="s">
        <v>610</v>
      </c>
      <c r="J2217" s="108" t="str">
        <f t="shared" si="6"/>
        <v>2024</v>
      </c>
      <c r="K2217" s="110">
        <f t="shared" si="7"/>
        <v>7</v>
      </c>
      <c r="L2217" s="108" t="str">
        <f t="shared" si="8"/>
        <v>2024-Q3</v>
      </c>
      <c r="M2217" s="111" t="str">
        <f t="shared" si="9"/>
        <v>2024-07</v>
      </c>
      <c r="N2217" s="112" t="str">
        <f t="shared" si="10"/>
        <v>2024-H2</v>
      </c>
    </row>
    <row r="2218">
      <c r="A2218" s="113" t="s">
        <v>610</v>
      </c>
      <c r="J2218" s="108" t="str">
        <f t="shared" si="6"/>
        <v>2024</v>
      </c>
      <c r="K2218" s="110">
        <f t="shared" si="7"/>
        <v>7</v>
      </c>
      <c r="L2218" s="108" t="str">
        <f t="shared" si="8"/>
        <v>2024-Q3</v>
      </c>
      <c r="M2218" s="111" t="str">
        <f t="shared" si="9"/>
        <v>2024-07</v>
      </c>
      <c r="N2218" s="112" t="str">
        <f t="shared" si="10"/>
        <v>2024-H2</v>
      </c>
    </row>
    <row r="2219">
      <c r="A2219" s="113" t="s">
        <v>610</v>
      </c>
      <c r="J2219" s="108" t="str">
        <f t="shared" si="6"/>
        <v>2024</v>
      </c>
      <c r="K2219" s="110">
        <f t="shared" si="7"/>
        <v>7</v>
      </c>
      <c r="L2219" s="108" t="str">
        <f t="shared" si="8"/>
        <v>2024-Q3</v>
      </c>
      <c r="M2219" s="111" t="str">
        <f t="shared" si="9"/>
        <v>2024-07</v>
      </c>
      <c r="N2219" s="112" t="str">
        <f t="shared" si="10"/>
        <v>2024-H2</v>
      </c>
    </row>
    <row r="2220">
      <c r="A2220" s="113" t="s">
        <v>610</v>
      </c>
      <c r="J2220" s="108" t="str">
        <f t="shared" si="6"/>
        <v>2024</v>
      </c>
      <c r="K2220" s="110">
        <f t="shared" si="7"/>
        <v>7</v>
      </c>
      <c r="L2220" s="108" t="str">
        <f t="shared" si="8"/>
        <v>2024-Q3</v>
      </c>
      <c r="M2220" s="111" t="str">
        <f t="shared" si="9"/>
        <v>2024-07</v>
      </c>
      <c r="N2220" s="112" t="str">
        <f t="shared" si="10"/>
        <v>2024-H2</v>
      </c>
    </row>
    <row r="2221">
      <c r="A2221" s="113" t="s">
        <v>610</v>
      </c>
      <c r="J2221" s="108" t="str">
        <f t="shared" si="6"/>
        <v>2024</v>
      </c>
      <c r="K2221" s="110">
        <f t="shared" si="7"/>
        <v>7</v>
      </c>
      <c r="L2221" s="108" t="str">
        <f t="shared" si="8"/>
        <v>2024-Q3</v>
      </c>
      <c r="M2221" s="111" t="str">
        <f t="shared" si="9"/>
        <v>2024-07</v>
      </c>
      <c r="N2221" s="112" t="str">
        <f t="shared" si="10"/>
        <v>2024-H2</v>
      </c>
    </row>
    <row r="2222">
      <c r="A2222" s="113" t="s">
        <v>610</v>
      </c>
      <c r="J2222" s="108" t="str">
        <f t="shared" si="6"/>
        <v>2024</v>
      </c>
      <c r="K2222" s="110">
        <f t="shared" si="7"/>
        <v>7</v>
      </c>
      <c r="L2222" s="108" t="str">
        <f t="shared" si="8"/>
        <v>2024-Q3</v>
      </c>
      <c r="M2222" s="111" t="str">
        <f t="shared" si="9"/>
        <v>2024-07</v>
      </c>
      <c r="N2222" s="112" t="str">
        <f t="shared" si="10"/>
        <v>2024-H2</v>
      </c>
    </row>
    <row r="2223">
      <c r="A2223" s="113" t="s">
        <v>610</v>
      </c>
      <c r="J2223" s="108" t="str">
        <f t="shared" si="6"/>
        <v>2024</v>
      </c>
      <c r="K2223" s="110">
        <f t="shared" si="7"/>
        <v>7</v>
      </c>
      <c r="L2223" s="108" t="str">
        <f t="shared" si="8"/>
        <v>2024-Q3</v>
      </c>
      <c r="M2223" s="111" t="str">
        <f t="shared" si="9"/>
        <v>2024-07</v>
      </c>
      <c r="N2223" s="112" t="str">
        <f t="shared" si="10"/>
        <v>2024-H2</v>
      </c>
    </row>
    <row r="2224">
      <c r="A2224" s="113" t="s">
        <v>610</v>
      </c>
      <c r="J2224" s="108" t="str">
        <f t="shared" si="6"/>
        <v>2024</v>
      </c>
      <c r="K2224" s="110">
        <f t="shared" si="7"/>
        <v>7</v>
      </c>
      <c r="L2224" s="108" t="str">
        <f t="shared" si="8"/>
        <v>2024-Q3</v>
      </c>
      <c r="M2224" s="111" t="str">
        <f t="shared" si="9"/>
        <v>2024-07</v>
      </c>
      <c r="N2224" s="112" t="str">
        <f t="shared" si="10"/>
        <v>2024-H2</v>
      </c>
    </row>
    <row r="2225">
      <c r="A2225" s="113" t="s">
        <v>610</v>
      </c>
      <c r="J2225" s="108" t="str">
        <f t="shared" si="6"/>
        <v>2024</v>
      </c>
      <c r="K2225" s="110">
        <f t="shared" si="7"/>
        <v>7</v>
      </c>
      <c r="L2225" s="108" t="str">
        <f t="shared" si="8"/>
        <v>2024-Q3</v>
      </c>
      <c r="M2225" s="111" t="str">
        <f t="shared" si="9"/>
        <v>2024-07</v>
      </c>
      <c r="N2225" s="112" t="str">
        <f t="shared" si="10"/>
        <v>2024-H2</v>
      </c>
    </row>
    <row r="2226">
      <c r="A2226" s="113" t="s">
        <v>610</v>
      </c>
      <c r="J2226" s="108" t="str">
        <f t="shared" si="6"/>
        <v>2024</v>
      </c>
      <c r="K2226" s="110">
        <f t="shared" si="7"/>
        <v>7</v>
      </c>
      <c r="L2226" s="108" t="str">
        <f t="shared" si="8"/>
        <v>2024-Q3</v>
      </c>
      <c r="M2226" s="111" t="str">
        <f t="shared" si="9"/>
        <v>2024-07</v>
      </c>
      <c r="N2226" s="112" t="str">
        <f t="shared" si="10"/>
        <v>2024-H2</v>
      </c>
    </row>
    <row r="2227">
      <c r="A2227" s="113" t="s">
        <v>610</v>
      </c>
      <c r="J2227" s="108" t="str">
        <f t="shared" si="6"/>
        <v>2024</v>
      </c>
      <c r="K2227" s="110">
        <f t="shared" si="7"/>
        <v>7</v>
      </c>
      <c r="L2227" s="108" t="str">
        <f t="shared" si="8"/>
        <v>2024-Q3</v>
      </c>
      <c r="M2227" s="111" t="str">
        <f t="shared" si="9"/>
        <v>2024-07</v>
      </c>
      <c r="N2227" s="112" t="str">
        <f t="shared" si="10"/>
        <v>2024-H2</v>
      </c>
    </row>
    <row r="2228">
      <c r="A2228" s="113" t="s">
        <v>610</v>
      </c>
      <c r="J2228" s="108" t="str">
        <f t="shared" si="6"/>
        <v>2024</v>
      </c>
      <c r="K2228" s="110">
        <f t="shared" si="7"/>
        <v>7</v>
      </c>
      <c r="L2228" s="108" t="str">
        <f t="shared" si="8"/>
        <v>2024-Q3</v>
      </c>
      <c r="M2228" s="111" t="str">
        <f t="shared" si="9"/>
        <v>2024-07</v>
      </c>
      <c r="N2228" s="112" t="str">
        <f t="shared" si="10"/>
        <v>2024-H2</v>
      </c>
    </row>
    <row r="2229">
      <c r="A2229" s="113" t="s">
        <v>610</v>
      </c>
      <c r="J2229" s="108" t="str">
        <f t="shared" si="6"/>
        <v>2024</v>
      </c>
      <c r="K2229" s="110">
        <f t="shared" si="7"/>
        <v>7</v>
      </c>
      <c r="L2229" s="108" t="str">
        <f t="shared" si="8"/>
        <v>2024-Q3</v>
      </c>
      <c r="M2229" s="111" t="str">
        <f t="shared" si="9"/>
        <v>2024-07</v>
      </c>
      <c r="N2229" s="112" t="str">
        <f t="shared" si="10"/>
        <v>2024-H2</v>
      </c>
    </row>
    <row r="2230">
      <c r="A2230" s="113" t="s">
        <v>610</v>
      </c>
      <c r="J2230" s="108" t="str">
        <f t="shared" si="6"/>
        <v>2024</v>
      </c>
      <c r="K2230" s="110">
        <f t="shared" si="7"/>
        <v>7</v>
      </c>
      <c r="L2230" s="108" t="str">
        <f t="shared" si="8"/>
        <v>2024-Q3</v>
      </c>
      <c r="M2230" s="111" t="str">
        <f t="shared" si="9"/>
        <v>2024-07</v>
      </c>
      <c r="N2230" s="112" t="str">
        <f t="shared" si="10"/>
        <v>2024-H2</v>
      </c>
    </row>
    <row r="2231">
      <c r="A2231" s="113" t="s">
        <v>610</v>
      </c>
      <c r="J2231" s="108" t="str">
        <f t="shared" si="6"/>
        <v>2024</v>
      </c>
      <c r="K2231" s="110">
        <f t="shared" si="7"/>
        <v>7</v>
      </c>
      <c r="L2231" s="108" t="str">
        <f t="shared" si="8"/>
        <v>2024-Q3</v>
      </c>
      <c r="M2231" s="111" t="str">
        <f t="shared" si="9"/>
        <v>2024-07</v>
      </c>
      <c r="N2231" s="112" t="str">
        <f t="shared" si="10"/>
        <v>2024-H2</v>
      </c>
    </row>
    <row r="2232">
      <c r="A2232" s="113" t="s">
        <v>610</v>
      </c>
      <c r="J2232" s="108" t="str">
        <f t="shared" si="6"/>
        <v>2024</v>
      </c>
      <c r="K2232" s="110">
        <f t="shared" si="7"/>
        <v>7</v>
      </c>
      <c r="L2232" s="108" t="str">
        <f t="shared" si="8"/>
        <v>2024-Q3</v>
      </c>
      <c r="M2232" s="111" t="str">
        <f t="shared" si="9"/>
        <v>2024-07</v>
      </c>
      <c r="N2232" s="112" t="str">
        <f t="shared" si="10"/>
        <v>2024-H2</v>
      </c>
    </row>
    <row r="2233">
      <c r="A2233" s="113" t="s">
        <v>610</v>
      </c>
      <c r="J2233" s="108" t="str">
        <f t="shared" si="6"/>
        <v>2024</v>
      </c>
      <c r="K2233" s="110">
        <f t="shared" si="7"/>
        <v>7</v>
      </c>
      <c r="L2233" s="108" t="str">
        <f t="shared" si="8"/>
        <v>2024-Q3</v>
      </c>
      <c r="M2233" s="111" t="str">
        <f t="shared" si="9"/>
        <v>2024-07</v>
      </c>
      <c r="N2233" s="112" t="str">
        <f t="shared" si="10"/>
        <v>2024-H2</v>
      </c>
    </row>
    <row r="2234">
      <c r="A2234" s="113" t="s">
        <v>610</v>
      </c>
      <c r="J2234" s="108" t="str">
        <f t="shared" si="6"/>
        <v>2024</v>
      </c>
      <c r="K2234" s="110">
        <f t="shared" si="7"/>
        <v>7</v>
      </c>
      <c r="L2234" s="108" t="str">
        <f t="shared" si="8"/>
        <v>2024-Q3</v>
      </c>
      <c r="M2234" s="111" t="str">
        <f t="shared" si="9"/>
        <v>2024-07</v>
      </c>
      <c r="N2234" s="112" t="str">
        <f t="shared" si="10"/>
        <v>2024-H2</v>
      </c>
    </row>
    <row r="2235">
      <c r="A2235" s="113" t="s">
        <v>610</v>
      </c>
      <c r="J2235" s="108" t="str">
        <f t="shared" si="6"/>
        <v>2024</v>
      </c>
      <c r="K2235" s="110">
        <f t="shared" si="7"/>
        <v>7</v>
      </c>
      <c r="L2235" s="108" t="str">
        <f t="shared" si="8"/>
        <v>2024-Q3</v>
      </c>
      <c r="M2235" s="111" t="str">
        <f t="shared" si="9"/>
        <v>2024-07</v>
      </c>
      <c r="N2235" s="112" t="str">
        <f t="shared" si="10"/>
        <v>2024-H2</v>
      </c>
    </row>
    <row r="2236">
      <c r="A2236" s="113" t="s">
        <v>610</v>
      </c>
      <c r="J2236" s="108" t="str">
        <f t="shared" si="6"/>
        <v>2024</v>
      </c>
      <c r="K2236" s="110">
        <f t="shared" si="7"/>
        <v>7</v>
      </c>
      <c r="L2236" s="108" t="str">
        <f t="shared" si="8"/>
        <v>2024-Q3</v>
      </c>
      <c r="M2236" s="111" t="str">
        <f t="shared" si="9"/>
        <v>2024-07</v>
      </c>
      <c r="N2236" s="112" t="str">
        <f t="shared" si="10"/>
        <v>2024-H2</v>
      </c>
    </row>
    <row r="2237">
      <c r="A2237" s="113" t="s">
        <v>610</v>
      </c>
      <c r="J2237" s="108" t="str">
        <f t="shared" si="6"/>
        <v>2024</v>
      </c>
      <c r="K2237" s="110">
        <f t="shared" si="7"/>
        <v>7</v>
      </c>
      <c r="L2237" s="108" t="str">
        <f t="shared" si="8"/>
        <v>2024-Q3</v>
      </c>
      <c r="M2237" s="111" t="str">
        <f t="shared" si="9"/>
        <v>2024-07</v>
      </c>
      <c r="N2237" s="112" t="str">
        <f t="shared" si="10"/>
        <v>2024-H2</v>
      </c>
    </row>
    <row r="2238">
      <c r="A2238" s="113" t="s">
        <v>610</v>
      </c>
      <c r="J2238" s="108" t="str">
        <f t="shared" si="6"/>
        <v>2024</v>
      </c>
      <c r="K2238" s="110">
        <f t="shared" si="7"/>
        <v>7</v>
      </c>
      <c r="L2238" s="108" t="str">
        <f t="shared" si="8"/>
        <v>2024-Q3</v>
      </c>
      <c r="M2238" s="111" t="str">
        <f t="shared" si="9"/>
        <v>2024-07</v>
      </c>
      <c r="N2238" s="112" t="str">
        <f t="shared" si="10"/>
        <v>2024-H2</v>
      </c>
    </row>
    <row r="2239">
      <c r="A2239" s="113" t="s">
        <v>610</v>
      </c>
      <c r="J2239" s="108" t="str">
        <f t="shared" si="6"/>
        <v>2024</v>
      </c>
      <c r="K2239" s="110">
        <f t="shared" si="7"/>
        <v>7</v>
      </c>
      <c r="L2239" s="108" t="str">
        <f t="shared" si="8"/>
        <v>2024-Q3</v>
      </c>
      <c r="M2239" s="111" t="str">
        <f t="shared" si="9"/>
        <v>2024-07</v>
      </c>
      <c r="N2239" s="112" t="str">
        <f t="shared" si="10"/>
        <v>2024-H2</v>
      </c>
    </row>
    <row r="2240">
      <c r="A2240" s="113" t="s">
        <v>610</v>
      </c>
      <c r="J2240" s="108" t="str">
        <f t="shared" si="6"/>
        <v>2024</v>
      </c>
      <c r="K2240" s="110">
        <f t="shared" si="7"/>
        <v>7</v>
      </c>
      <c r="L2240" s="108" t="str">
        <f t="shared" si="8"/>
        <v>2024-Q3</v>
      </c>
      <c r="M2240" s="111" t="str">
        <f t="shared" si="9"/>
        <v>2024-07</v>
      </c>
      <c r="N2240" s="112" t="str">
        <f t="shared" si="10"/>
        <v>2024-H2</v>
      </c>
    </row>
    <row r="2241">
      <c r="A2241" s="113" t="s">
        <v>610</v>
      </c>
      <c r="J2241" s="108" t="str">
        <f t="shared" si="6"/>
        <v>2024</v>
      </c>
      <c r="K2241" s="110">
        <f t="shared" si="7"/>
        <v>7</v>
      </c>
      <c r="L2241" s="108" t="str">
        <f t="shared" si="8"/>
        <v>2024-Q3</v>
      </c>
      <c r="M2241" s="111" t="str">
        <f t="shared" si="9"/>
        <v>2024-07</v>
      </c>
      <c r="N2241" s="112" t="str">
        <f t="shared" si="10"/>
        <v>2024-H2</v>
      </c>
    </row>
    <row r="2242">
      <c r="A2242" s="113" t="s">
        <v>610</v>
      </c>
      <c r="J2242" s="108" t="str">
        <f t="shared" si="6"/>
        <v>2024</v>
      </c>
      <c r="K2242" s="110">
        <f t="shared" si="7"/>
        <v>7</v>
      </c>
      <c r="L2242" s="108" t="str">
        <f t="shared" si="8"/>
        <v>2024-Q3</v>
      </c>
      <c r="M2242" s="111" t="str">
        <f t="shared" si="9"/>
        <v>2024-07</v>
      </c>
      <c r="N2242" s="112" t="str">
        <f t="shared" si="10"/>
        <v>2024-H2</v>
      </c>
    </row>
    <row r="2243">
      <c r="A2243" s="113" t="s">
        <v>610</v>
      </c>
      <c r="J2243" s="108" t="str">
        <f t="shared" si="6"/>
        <v>2024</v>
      </c>
      <c r="K2243" s="110">
        <f t="shared" si="7"/>
        <v>7</v>
      </c>
      <c r="L2243" s="108" t="str">
        <f t="shared" si="8"/>
        <v>2024-Q3</v>
      </c>
      <c r="M2243" s="111" t="str">
        <f t="shared" si="9"/>
        <v>2024-07</v>
      </c>
      <c r="N2243" s="112" t="str">
        <f t="shared" si="10"/>
        <v>2024-H2</v>
      </c>
    </row>
    <row r="2244">
      <c r="A2244" s="113" t="s">
        <v>610</v>
      </c>
      <c r="J2244" s="108" t="str">
        <f t="shared" si="6"/>
        <v>2024</v>
      </c>
      <c r="K2244" s="110">
        <f t="shared" si="7"/>
        <v>7</v>
      </c>
      <c r="L2244" s="108" t="str">
        <f t="shared" si="8"/>
        <v>2024-Q3</v>
      </c>
      <c r="M2244" s="111" t="str">
        <f t="shared" si="9"/>
        <v>2024-07</v>
      </c>
      <c r="N2244" s="112" t="str">
        <f t="shared" si="10"/>
        <v>2024-H2</v>
      </c>
    </row>
    <row r="2245">
      <c r="A2245" s="113" t="s">
        <v>610</v>
      </c>
      <c r="J2245" s="108" t="str">
        <f t="shared" si="6"/>
        <v>2024</v>
      </c>
      <c r="K2245" s="110">
        <f t="shared" si="7"/>
        <v>7</v>
      </c>
      <c r="L2245" s="108" t="str">
        <f t="shared" si="8"/>
        <v>2024-Q3</v>
      </c>
      <c r="M2245" s="111" t="str">
        <f t="shared" si="9"/>
        <v>2024-07</v>
      </c>
      <c r="N2245" s="112" t="str">
        <f t="shared" si="10"/>
        <v>2024-H2</v>
      </c>
    </row>
    <row r="2246">
      <c r="A2246" s="113" t="s">
        <v>610</v>
      </c>
      <c r="J2246" s="108" t="str">
        <f t="shared" si="6"/>
        <v>2024</v>
      </c>
      <c r="K2246" s="110">
        <f t="shared" si="7"/>
        <v>7</v>
      </c>
      <c r="L2246" s="108" t="str">
        <f t="shared" si="8"/>
        <v>2024-Q3</v>
      </c>
      <c r="M2246" s="111" t="str">
        <f t="shared" si="9"/>
        <v>2024-07</v>
      </c>
      <c r="N2246" s="112" t="str">
        <f t="shared" si="10"/>
        <v>2024-H2</v>
      </c>
    </row>
    <row r="2247">
      <c r="A2247" s="113" t="s">
        <v>610</v>
      </c>
      <c r="J2247" s="108" t="str">
        <f t="shared" si="6"/>
        <v>2024</v>
      </c>
      <c r="K2247" s="110">
        <f t="shared" si="7"/>
        <v>7</v>
      </c>
      <c r="L2247" s="108" t="str">
        <f t="shared" si="8"/>
        <v>2024-Q3</v>
      </c>
      <c r="M2247" s="111" t="str">
        <f t="shared" si="9"/>
        <v>2024-07</v>
      </c>
      <c r="N2247" s="112" t="str">
        <f t="shared" si="10"/>
        <v>2024-H2</v>
      </c>
    </row>
    <row r="2248">
      <c r="A2248" s="113" t="s">
        <v>610</v>
      </c>
      <c r="J2248" s="108" t="str">
        <f t="shared" si="6"/>
        <v>2024</v>
      </c>
      <c r="K2248" s="110">
        <f t="shared" si="7"/>
        <v>7</v>
      </c>
      <c r="L2248" s="108" t="str">
        <f t="shared" si="8"/>
        <v>2024-Q3</v>
      </c>
      <c r="M2248" s="111" t="str">
        <f t="shared" si="9"/>
        <v>2024-07</v>
      </c>
      <c r="N2248" s="112" t="str">
        <f t="shared" si="10"/>
        <v>2024-H2</v>
      </c>
    </row>
    <row r="2249">
      <c r="A2249" s="113" t="s">
        <v>610</v>
      </c>
      <c r="J2249" s="108" t="str">
        <f t="shared" si="6"/>
        <v>2024</v>
      </c>
      <c r="K2249" s="110">
        <f t="shared" si="7"/>
        <v>7</v>
      </c>
      <c r="L2249" s="108" t="str">
        <f t="shared" si="8"/>
        <v>2024-Q3</v>
      </c>
      <c r="M2249" s="111" t="str">
        <f t="shared" si="9"/>
        <v>2024-07</v>
      </c>
      <c r="N2249" s="112" t="str">
        <f t="shared" si="10"/>
        <v>2024-H2</v>
      </c>
    </row>
    <row r="2250">
      <c r="A2250" s="113" t="s">
        <v>610</v>
      </c>
      <c r="J2250" s="108" t="str">
        <f t="shared" si="6"/>
        <v>2024</v>
      </c>
      <c r="K2250" s="110">
        <f t="shared" si="7"/>
        <v>7</v>
      </c>
      <c r="L2250" s="108" t="str">
        <f t="shared" si="8"/>
        <v>2024-Q3</v>
      </c>
      <c r="M2250" s="111" t="str">
        <f t="shared" si="9"/>
        <v>2024-07</v>
      </c>
      <c r="N2250" s="112" t="str">
        <f t="shared" si="10"/>
        <v>2024-H2</v>
      </c>
    </row>
    <row r="2251">
      <c r="A2251" s="113" t="s">
        <v>610</v>
      </c>
      <c r="J2251" s="108" t="str">
        <f t="shared" si="6"/>
        <v>2024</v>
      </c>
      <c r="K2251" s="110">
        <f t="shared" si="7"/>
        <v>7</v>
      </c>
      <c r="L2251" s="108" t="str">
        <f t="shared" si="8"/>
        <v>2024-Q3</v>
      </c>
      <c r="M2251" s="111" t="str">
        <f t="shared" si="9"/>
        <v>2024-07</v>
      </c>
      <c r="N2251" s="112" t="str">
        <f t="shared" si="10"/>
        <v>2024-H2</v>
      </c>
    </row>
    <row r="2252">
      <c r="A2252" s="113" t="s">
        <v>610</v>
      </c>
      <c r="J2252" s="108" t="str">
        <f t="shared" si="6"/>
        <v>2024</v>
      </c>
      <c r="K2252" s="110">
        <f t="shared" si="7"/>
        <v>7</v>
      </c>
      <c r="L2252" s="108" t="str">
        <f t="shared" si="8"/>
        <v>2024-Q3</v>
      </c>
      <c r="M2252" s="111" t="str">
        <f t="shared" si="9"/>
        <v>2024-07</v>
      </c>
      <c r="N2252" s="112" t="str">
        <f t="shared" si="10"/>
        <v>2024-H2</v>
      </c>
    </row>
    <row r="2253">
      <c r="A2253" s="113" t="s">
        <v>610</v>
      </c>
      <c r="J2253" s="108" t="str">
        <f t="shared" si="6"/>
        <v>2024</v>
      </c>
      <c r="K2253" s="110">
        <f t="shared" si="7"/>
        <v>7</v>
      </c>
      <c r="L2253" s="108" t="str">
        <f t="shared" si="8"/>
        <v>2024-Q3</v>
      </c>
      <c r="M2253" s="111" t="str">
        <f t="shared" si="9"/>
        <v>2024-07</v>
      </c>
      <c r="N2253" s="112" t="str">
        <f t="shared" si="10"/>
        <v>2024-H2</v>
      </c>
    </row>
    <row r="2254">
      <c r="A2254" s="113" t="s">
        <v>610</v>
      </c>
      <c r="J2254" s="108" t="str">
        <f t="shared" si="6"/>
        <v>2024</v>
      </c>
      <c r="K2254" s="110">
        <f t="shared" si="7"/>
        <v>7</v>
      </c>
      <c r="L2254" s="108" t="str">
        <f t="shared" si="8"/>
        <v>2024-Q3</v>
      </c>
      <c r="M2254" s="111" t="str">
        <f t="shared" si="9"/>
        <v>2024-07</v>
      </c>
      <c r="N2254" s="112" t="str">
        <f t="shared" si="10"/>
        <v>2024-H2</v>
      </c>
    </row>
    <row r="2255">
      <c r="A2255" s="113" t="s">
        <v>610</v>
      </c>
      <c r="J2255" s="108" t="str">
        <f t="shared" si="6"/>
        <v>2024</v>
      </c>
      <c r="K2255" s="110">
        <f t="shared" si="7"/>
        <v>7</v>
      </c>
      <c r="L2255" s="108" t="str">
        <f t="shared" si="8"/>
        <v>2024-Q3</v>
      </c>
      <c r="M2255" s="111" t="str">
        <f t="shared" si="9"/>
        <v>2024-07</v>
      </c>
      <c r="N2255" s="112" t="str">
        <f t="shared" si="10"/>
        <v>2024-H2</v>
      </c>
    </row>
    <row r="2256">
      <c r="A2256" s="113" t="s">
        <v>610</v>
      </c>
      <c r="J2256" s="108" t="str">
        <f t="shared" si="6"/>
        <v>2024</v>
      </c>
      <c r="K2256" s="110">
        <f t="shared" si="7"/>
        <v>7</v>
      </c>
      <c r="L2256" s="108" t="str">
        <f t="shared" si="8"/>
        <v>2024-Q3</v>
      </c>
      <c r="M2256" s="111" t="str">
        <f t="shared" si="9"/>
        <v>2024-07</v>
      </c>
      <c r="N2256" s="112" t="str">
        <f t="shared" si="10"/>
        <v>2024-H2</v>
      </c>
    </row>
    <row r="2257">
      <c r="A2257" s="113" t="s">
        <v>610</v>
      </c>
      <c r="J2257" s="108" t="str">
        <f t="shared" si="6"/>
        <v>2024</v>
      </c>
      <c r="K2257" s="110">
        <f t="shared" si="7"/>
        <v>7</v>
      </c>
      <c r="L2257" s="108" t="str">
        <f t="shared" si="8"/>
        <v>2024-Q3</v>
      </c>
      <c r="M2257" s="111" t="str">
        <f t="shared" si="9"/>
        <v>2024-07</v>
      </c>
      <c r="N2257" s="112" t="str">
        <f t="shared" si="10"/>
        <v>2024-H2</v>
      </c>
    </row>
    <row r="2258">
      <c r="A2258" s="113" t="s">
        <v>610</v>
      </c>
      <c r="J2258" s="108" t="str">
        <f t="shared" si="6"/>
        <v>2024</v>
      </c>
      <c r="K2258" s="110">
        <f t="shared" si="7"/>
        <v>7</v>
      </c>
      <c r="L2258" s="108" t="str">
        <f t="shared" si="8"/>
        <v>2024-Q3</v>
      </c>
      <c r="M2258" s="111" t="str">
        <f t="shared" si="9"/>
        <v>2024-07</v>
      </c>
      <c r="N2258" s="112" t="str">
        <f t="shared" si="10"/>
        <v>2024-H2</v>
      </c>
    </row>
    <row r="2259">
      <c r="A2259" s="113" t="s">
        <v>610</v>
      </c>
      <c r="J2259" s="108" t="str">
        <f t="shared" si="6"/>
        <v>2024</v>
      </c>
      <c r="K2259" s="110">
        <f t="shared" si="7"/>
        <v>7</v>
      </c>
      <c r="L2259" s="108" t="str">
        <f t="shared" si="8"/>
        <v>2024-Q3</v>
      </c>
      <c r="M2259" s="111" t="str">
        <f t="shared" si="9"/>
        <v>2024-07</v>
      </c>
      <c r="N2259" s="112" t="str">
        <f t="shared" si="10"/>
        <v>2024-H2</v>
      </c>
    </row>
    <row r="2260">
      <c r="A2260" s="113" t="s">
        <v>610</v>
      </c>
      <c r="J2260" s="108" t="str">
        <f t="shared" si="6"/>
        <v>2024</v>
      </c>
      <c r="K2260" s="110">
        <f t="shared" si="7"/>
        <v>7</v>
      </c>
      <c r="L2260" s="108" t="str">
        <f t="shared" si="8"/>
        <v>2024-Q3</v>
      </c>
      <c r="M2260" s="111" t="str">
        <f t="shared" si="9"/>
        <v>2024-07</v>
      </c>
      <c r="N2260" s="112" t="str">
        <f t="shared" si="10"/>
        <v>2024-H2</v>
      </c>
    </row>
    <row r="2261">
      <c r="A2261" s="113" t="s">
        <v>610</v>
      </c>
      <c r="J2261" s="108" t="str">
        <f t="shared" si="6"/>
        <v>2024</v>
      </c>
      <c r="K2261" s="110">
        <f t="shared" si="7"/>
        <v>7</v>
      </c>
      <c r="L2261" s="108" t="str">
        <f t="shared" si="8"/>
        <v>2024-Q3</v>
      </c>
      <c r="M2261" s="111" t="str">
        <f t="shared" si="9"/>
        <v>2024-07</v>
      </c>
      <c r="N2261" s="112" t="str">
        <f t="shared" si="10"/>
        <v>2024-H2</v>
      </c>
    </row>
    <row r="2262">
      <c r="A2262" s="113" t="s">
        <v>610</v>
      </c>
      <c r="J2262" s="108" t="str">
        <f t="shared" si="6"/>
        <v>2024</v>
      </c>
      <c r="K2262" s="110">
        <f t="shared" si="7"/>
        <v>7</v>
      </c>
      <c r="L2262" s="108" t="str">
        <f t="shared" si="8"/>
        <v>2024-Q3</v>
      </c>
      <c r="M2262" s="111" t="str">
        <f t="shared" si="9"/>
        <v>2024-07</v>
      </c>
      <c r="N2262" s="112" t="str">
        <f t="shared" si="10"/>
        <v>2024-H2</v>
      </c>
    </row>
    <row r="2263">
      <c r="A2263" s="113" t="s">
        <v>610</v>
      </c>
      <c r="J2263" s="108" t="str">
        <f t="shared" si="6"/>
        <v>2024</v>
      </c>
      <c r="K2263" s="110">
        <f t="shared" si="7"/>
        <v>7</v>
      </c>
      <c r="L2263" s="108" t="str">
        <f t="shared" si="8"/>
        <v>2024-Q3</v>
      </c>
      <c r="M2263" s="111" t="str">
        <f t="shared" si="9"/>
        <v>2024-07</v>
      </c>
      <c r="N2263" s="112" t="str">
        <f t="shared" si="10"/>
        <v>2024-H2</v>
      </c>
    </row>
    <row r="2264">
      <c r="A2264" s="113" t="s">
        <v>610</v>
      </c>
      <c r="J2264" s="108" t="str">
        <f t="shared" si="6"/>
        <v>2024</v>
      </c>
      <c r="K2264" s="110">
        <f t="shared" si="7"/>
        <v>7</v>
      </c>
      <c r="L2264" s="108" t="str">
        <f t="shared" si="8"/>
        <v>2024-Q3</v>
      </c>
      <c r="M2264" s="111" t="str">
        <f t="shared" si="9"/>
        <v>2024-07</v>
      </c>
      <c r="N2264" s="112" t="str">
        <f t="shared" si="10"/>
        <v>2024-H2</v>
      </c>
    </row>
    <row r="2265">
      <c r="A2265" s="113" t="s">
        <v>610</v>
      </c>
      <c r="J2265" s="108" t="str">
        <f t="shared" si="6"/>
        <v>2024</v>
      </c>
      <c r="K2265" s="110">
        <f t="shared" si="7"/>
        <v>7</v>
      </c>
      <c r="L2265" s="108" t="str">
        <f t="shared" si="8"/>
        <v>2024-Q3</v>
      </c>
      <c r="M2265" s="111" t="str">
        <f t="shared" si="9"/>
        <v>2024-07</v>
      </c>
      <c r="N2265" s="112" t="str">
        <f t="shared" si="10"/>
        <v>2024-H2</v>
      </c>
    </row>
    <row r="2266">
      <c r="A2266" s="113" t="s">
        <v>610</v>
      </c>
      <c r="J2266" s="108" t="str">
        <f t="shared" si="6"/>
        <v>2024</v>
      </c>
      <c r="K2266" s="110">
        <f t="shared" si="7"/>
        <v>7</v>
      </c>
      <c r="L2266" s="108" t="str">
        <f t="shared" si="8"/>
        <v>2024-Q3</v>
      </c>
      <c r="M2266" s="111" t="str">
        <f t="shared" si="9"/>
        <v>2024-07</v>
      </c>
      <c r="N2266" s="112" t="str">
        <f t="shared" si="10"/>
        <v>2024-H2</v>
      </c>
    </row>
    <row r="2267">
      <c r="A2267" s="113" t="s">
        <v>610</v>
      </c>
      <c r="J2267" s="108" t="str">
        <f t="shared" si="6"/>
        <v>2024</v>
      </c>
      <c r="K2267" s="110">
        <f t="shared" si="7"/>
        <v>7</v>
      </c>
      <c r="L2267" s="108" t="str">
        <f t="shared" si="8"/>
        <v>2024-Q3</v>
      </c>
      <c r="M2267" s="111" t="str">
        <f t="shared" si="9"/>
        <v>2024-07</v>
      </c>
      <c r="N2267" s="112" t="str">
        <f t="shared" si="10"/>
        <v>2024-H2</v>
      </c>
    </row>
    <row r="2268">
      <c r="A2268" s="113" t="s">
        <v>610</v>
      </c>
      <c r="J2268" s="108" t="str">
        <f t="shared" si="6"/>
        <v>2024</v>
      </c>
      <c r="K2268" s="110">
        <f t="shared" si="7"/>
        <v>7</v>
      </c>
      <c r="L2268" s="108" t="str">
        <f t="shared" si="8"/>
        <v>2024-Q3</v>
      </c>
      <c r="M2268" s="111" t="str">
        <f t="shared" si="9"/>
        <v>2024-07</v>
      </c>
      <c r="N2268" s="112" t="str">
        <f t="shared" si="10"/>
        <v>2024-H2</v>
      </c>
    </row>
    <row r="2269">
      <c r="A2269" s="113" t="s">
        <v>610</v>
      </c>
      <c r="J2269" s="108" t="str">
        <f t="shared" si="6"/>
        <v>2024</v>
      </c>
      <c r="K2269" s="110">
        <f t="shared" si="7"/>
        <v>7</v>
      </c>
      <c r="L2269" s="108" t="str">
        <f t="shared" si="8"/>
        <v>2024-Q3</v>
      </c>
      <c r="M2269" s="111" t="str">
        <f t="shared" si="9"/>
        <v>2024-07</v>
      </c>
      <c r="N2269" s="112" t="str">
        <f t="shared" si="10"/>
        <v>2024-H2</v>
      </c>
    </row>
    <row r="2270">
      <c r="A2270" s="113" t="s">
        <v>610</v>
      </c>
      <c r="J2270" s="108" t="str">
        <f t="shared" si="6"/>
        <v>2024</v>
      </c>
      <c r="K2270" s="110">
        <f t="shared" si="7"/>
        <v>7</v>
      </c>
      <c r="L2270" s="108" t="str">
        <f t="shared" si="8"/>
        <v>2024-Q3</v>
      </c>
      <c r="M2270" s="111" t="str">
        <f t="shared" si="9"/>
        <v>2024-07</v>
      </c>
      <c r="N2270" s="112" t="str">
        <f t="shared" si="10"/>
        <v>2024-H2</v>
      </c>
    </row>
    <row r="2271">
      <c r="A2271" s="113" t="s">
        <v>610</v>
      </c>
      <c r="J2271" s="108" t="str">
        <f t="shared" si="6"/>
        <v>2024</v>
      </c>
      <c r="K2271" s="110">
        <f t="shared" si="7"/>
        <v>7</v>
      </c>
      <c r="L2271" s="108" t="str">
        <f t="shared" si="8"/>
        <v>2024-Q3</v>
      </c>
      <c r="M2271" s="111" t="str">
        <f t="shared" si="9"/>
        <v>2024-07</v>
      </c>
      <c r="N2271" s="112" t="str">
        <f t="shared" si="10"/>
        <v>2024-H2</v>
      </c>
    </row>
    <row r="2272">
      <c r="A2272" s="113" t="s">
        <v>610</v>
      </c>
      <c r="J2272" s="108" t="str">
        <f t="shared" si="6"/>
        <v>2024</v>
      </c>
      <c r="K2272" s="110">
        <f t="shared" si="7"/>
        <v>7</v>
      </c>
      <c r="L2272" s="108" t="str">
        <f t="shared" si="8"/>
        <v>2024-Q3</v>
      </c>
      <c r="M2272" s="111" t="str">
        <f t="shared" si="9"/>
        <v>2024-07</v>
      </c>
      <c r="N2272" s="112" t="str">
        <f t="shared" si="10"/>
        <v>2024-H2</v>
      </c>
    </row>
    <row r="2273">
      <c r="A2273" s="113" t="s">
        <v>610</v>
      </c>
      <c r="J2273" s="108" t="str">
        <f t="shared" si="6"/>
        <v>2024</v>
      </c>
      <c r="K2273" s="110">
        <f t="shared" si="7"/>
        <v>7</v>
      </c>
      <c r="L2273" s="108" t="str">
        <f t="shared" si="8"/>
        <v>2024-Q3</v>
      </c>
      <c r="M2273" s="111" t="str">
        <f t="shared" si="9"/>
        <v>2024-07</v>
      </c>
      <c r="N2273" s="112" t="str">
        <f t="shared" si="10"/>
        <v>2024-H2</v>
      </c>
    </row>
    <row r="2274">
      <c r="A2274" s="113" t="s">
        <v>610</v>
      </c>
      <c r="J2274" s="108" t="str">
        <f t="shared" si="6"/>
        <v>2024</v>
      </c>
      <c r="K2274" s="110">
        <f t="shared" si="7"/>
        <v>7</v>
      </c>
      <c r="L2274" s="108" t="str">
        <f t="shared" si="8"/>
        <v>2024-Q3</v>
      </c>
      <c r="M2274" s="111" t="str">
        <f t="shared" si="9"/>
        <v>2024-07</v>
      </c>
      <c r="N2274" s="112" t="str">
        <f t="shared" si="10"/>
        <v>2024-H2</v>
      </c>
    </row>
    <row r="2275">
      <c r="A2275" s="113" t="s">
        <v>610</v>
      </c>
      <c r="J2275" s="108" t="str">
        <f t="shared" si="6"/>
        <v>2024</v>
      </c>
      <c r="K2275" s="110">
        <f t="shared" si="7"/>
        <v>7</v>
      </c>
      <c r="L2275" s="108" t="str">
        <f t="shared" si="8"/>
        <v>2024-Q3</v>
      </c>
      <c r="M2275" s="111" t="str">
        <f t="shared" si="9"/>
        <v>2024-07</v>
      </c>
      <c r="N2275" s="112" t="str">
        <f t="shared" si="10"/>
        <v>2024-H2</v>
      </c>
    </row>
    <row r="2276">
      <c r="A2276" s="113" t="s">
        <v>610</v>
      </c>
      <c r="J2276" s="108" t="str">
        <f t="shared" si="6"/>
        <v>2024</v>
      </c>
      <c r="K2276" s="110">
        <f t="shared" si="7"/>
        <v>7</v>
      </c>
      <c r="L2276" s="108" t="str">
        <f t="shared" si="8"/>
        <v>2024-Q3</v>
      </c>
      <c r="M2276" s="111" t="str">
        <f t="shared" si="9"/>
        <v>2024-07</v>
      </c>
      <c r="N2276" s="112" t="str">
        <f t="shared" si="10"/>
        <v>2024-H2</v>
      </c>
    </row>
    <row r="2277">
      <c r="A2277" s="113" t="s">
        <v>610</v>
      </c>
      <c r="J2277" s="108" t="str">
        <f t="shared" si="6"/>
        <v>2024</v>
      </c>
      <c r="K2277" s="110">
        <f t="shared" si="7"/>
        <v>7</v>
      </c>
      <c r="L2277" s="108" t="str">
        <f t="shared" si="8"/>
        <v>2024-Q3</v>
      </c>
      <c r="M2277" s="111" t="str">
        <f t="shared" si="9"/>
        <v>2024-07</v>
      </c>
      <c r="N2277" s="112" t="str">
        <f t="shared" si="10"/>
        <v>2024-H2</v>
      </c>
    </row>
    <row r="2278">
      <c r="A2278" s="113" t="s">
        <v>610</v>
      </c>
      <c r="J2278" s="108" t="str">
        <f t="shared" si="6"/>
        <v>2024</v>
      </c>
      <c r="K2278" s="110">
        <f t="shared" si="7"/>
        <v>7</v>
      </c>
      <c r="L2278" s="108" t="str">
        <f t="shared" si="8"/>
        <v>2024-Q3</v>
      </c>
      <c r="M2278" s="111" t="str">
        <f t="shared" si="9"/>
        <v>2024-07</v>
      </c>
      <c r="N2278" s="112" t="str">
        <f t="shared" si="10"/>
        <v>2024-H2</v>
      </c>
    </row>
    <row r="2279">
      <c r="A2279" s="113" t="s">
        <v>610</v>
      </c>
      <c r="J2279" s="108" t="str">
        <f t="shared" si="6"/>
        <v>2024</v>
      </c>
      <c r="K2279" s="110">
        <f t="shared" si="7"/>
        <v>7</v>
      </c>
      <c r="L2279" s="108" t="str">
        <f t="shared" si="8"/>
        <v>2024-Q3</v>
      </c>
      <c r="M2279" s="111" t="str">
        <f t="shared" si="9"/>
        <v>2024-07</v>
      </c>
      <c r="N2279" s="112" t="str">
        <f t="shared" si="10"/>
        <v>2024-H2</v>
      </c>
    </row>
    <row r="2280">
      <c r="A2280" s="113" t="s">
        <v>610</v>
      </c>
      <c r="J2280" s="108" t="str">
        <f t="shared" si="6"/>
        <v>2024</v>
      </c>
      <c r="K2280" s="110">
        <f t="shared" si="7"/>
        <v>7</v>
      </c>
      <c r="L2280" s="108" t="str">
        <f t="shared" si="8"/>
        <v>2024-Q3</v>
      </c>
      <c r="M2280" s="111" t="str">
        <f t="shared" si="9"/>
        <v>2024-07</v>
      </c>
      <c r="N2280" s="112" t="str">
        <f t="shared" si="10"/>
        <v>2024-H2</v>
      </c>
    </row>
    <row r="2281">
      <c r="A2281" s="113" t="s">
        <v>610</v>
      </c>
      <c r="J2281" s="108" t="str">
        <f t="shared" si="6"/>
        <v>2024</v>
      </c>
      <c r="K2281" s="110">
        <f t="shared" si="7"/>
        <v>7</v>
      </c>
      <c r="L2281" s="108" t="str">
        <f t="shared" si="8"/>
        <v>2024-Q3</v>
      </c>
      <c r="M2281" s="111" t="str">
        <f t="shared" si="9"/>
        <v>2024-07</v>
      </c>
      <c r="N2281" s="112" t="str">
        <f t="shared" si="10"/>
        <v>2024-H2</v>
      </c>
    </row>
    <row r="2282">
      <c r="A2282" s="113" t="s">
        <v>610</v>
      </c>
      <c r="J2282" s="108" t="str">
        <f t="shared" si="6"/>
        <v>2024</v>
      </c>
      <c r="K2282" s="110">
        <f t="shared" si="7"/>
        <v>7</v>
      </c>
      <c r="L2282" s="108" t="str">
        <f t="shared" si="8"/>
        <v>2024-Q3</v>
      </c>
      <c r="M2282" s="111" t="str">
        <f t="shared" si="9"/>
        <v>2024-07</v>
      </c>
      <c r="N2282" s="112" t="str">
        <f t="shared" si="10"/>
        <v>2024-H2</v>
      </c>
    </row>
    <row r="2283">
      <c r="A2283" s="113" t="s">
        <v>610</v>
      </c>
      <c r="J2283" s="108" t="str">
        <f t="shared" si="6"/>
        <v>2024</v>
      </c>
      <c r="K2283" s="110">
        <f t="shared" si="7"/>
        <v>7</v>
      </c>
      <c r="L2283" s="108" t="str">
        <f t="shared" si="8"/>
        <v>2024-Q3</v>
      </c>
      <c r="M2283" s="111" t="str">
        <f t="shared" si="9"/>
        <v>2024-07</v>
      </c>
      <c r="N2283" s="112" t="str">
        <f t="shared" si="10"/>
        <v>2024-H2</v>
      </c>
    </row>
    <row r="2284">
      <c r="A2284" s="113" t="s">
        <v>610</v>
      </c>
      <c r="J2284" s="108" t="str">
        <f t="shared" si="6"/>
        <v>2024</v>
      </c>
      <c r="K2284" s="110">
        <f t="shared" si="7"/>
        <v>7</v>
      </c>
      <c r="L2284" s="108" t="str">
        <f t="shared" si="8"/>
        <v>2024-Q3</v>
      </c>
      <c r="M2284" s="111" t="str">
        <f t="shared" si="9"/>
        <v>2024-07</v>
      </c>
      <c r="N2284" s="112" t="str">
        <f t="shared" si="10"/>
        <v>2024-H2</v>
      </c>
    </row>
    <row r="2285">
      <c r="A2285" s="113" t="s">
        <v>610</v>
      </c>
      <c r="J2285" s="108" t="str">
        <f t="shared" si="6"/>
        <v>2024</v>
      </c>
      <c r="K2285" s="110">
        <f t="shared" si="7"/>
        <v>7</v>
      </c>
      <c r="L2285" s="108" t="str">
        <f t="shared" si="8"/>
        <v>2024-Q3</v>
      </c>
      <c r="M2285" s="111" t="str">
        <f t="shared" si="9"/>
        <v>2024-07</v>
      </c>
      <c r="N2285" s="112" t="str">
        <f t="shared" si="10"/>
        <v>2024-H2</v>
      </c>
    </row>
    <row r="2286">
      <c r="A2286" s="113" t="s">
        <v>610</v>
      </c>
      <c r="J2286" s="108" t="str">
        <f t="shared" si="6"/>
        <v>2024</v>
      </c>
      <c r="K2286" s="110">
        <f t="shared" si="7"/>
        <v>7</v>
      </c>
      <c r="L2286" s="108" t="str">
        <f t="shared" si="8"/>
        <v>2024-Q3</v>
      </c>
      <c r="M2286" s="111" t="str">
        <f t="shared" si="9"/>
        <v>2024-07</v>
      </c>
      <c r="N2286" s="112" t="str">
        <f t="shared" si="10"/>
        <v>2024-H2</v>
      </c>
    </row>
    <row r="2287">
      <c r="A2287" s="113" t="s">
        <v>610</v>
      </c>
      <c r="J2287" s="108" t="str">
        <f t="shared" si="6"/>
        <v>2024</v>
      </c>
      <c r="K2287" s="110">
        <f t="shared" si="7"/>
        <v>7</v>
      </c>
      <c r="L2287" s="108" t="str">
        <f t="shared" si="8"/>
        <v>2024-Q3</v>
      </c>
      <c r="M2287" s="111" t="str">
        <f t="shared" si="9"/>
        <v>2024-07</v>
      </c>
      <c r="N2287" s="112" t="str">
        <f t="shared" si="10"/>
        <v>2024-H2</v>
      </c>
    </row>
    <row r="2288">
      <c r="A2288" s="113" t="s">
        <v>610</v>
      </c>
      <c r="J2288" s="108" t="str">
        <f t="shared" si="6"/>
        <v>2024</v>
      </c>
      <c r="K2288" s="110">
        <f t="shared" si="7"/>
        <v>7</v>
      </c>
      <c r="L2288" s="108" t="str">
        <f t="shared" si="8"/>
        <v>2024-Q3</v>
      </c>
      <c r="M2288" s="111" t="str">
        <f t="shared" si="9"/>
        <v>2024-07</v>
      </c>
      <c r="N2288" s="112" t="str">
        <f t="shared" si="10"/>
        <v>2024-H2</v>
      </c>
    </row>
    <row r="2289">
      <c r="A2289" s="113" t="s">
        <v>610</v>
      </c>
      <c r="J2289" s="108" t="str">
        <f t="shared" si="6"/>
        <v>2024</v>
      </c>
      <c r="K2289" s="110">
        <f t="shared" si="7"/>
        <v>7</v>
      </c>
      <c r="L2289" s="108" t="str">
        <f t="shared" si="8"/>
        <v>2024-Q3</v>
      </c>
      <c r="M2289" s="111" t="str">
        <f t="shared" si="9"/>
        <v>2024-07</v>
      </c>
      <c r="N2289" s="112" t="str">
        <f t="shared" si="10"/>
        <v>2024-H2</v>
      </c>
    </row>
    <row r="2290">
      <c r="A2290" s="113" t="s">
        <v>610</v>
      </c>
      <c r="J2290" s="108" t="str">
        <f t="shared" si="6"/>
        <v>2024</v>
      </c>
      <c r="K2290" s="110">
        <f t="shared" si="7"/>
        <v>7</v>
      </c>
      <c r="L2290" s="108" t="str">
        <f t="shared" si="8"/>
        <v>2024-Q3</v>
      </c>
      <c r="M2290" s="111" t="str">
        <f t="shared" si="9"/>
        <v>2024-07</v>
      </c>
      <c r="N2290" s="112" t="str">
        <f t="shared" si="10"/>
        <v>2024-H2</v>
      </c>
    </row>
    <row r="2291">
      <c r="A2291" s="113" t="s">
        <v>610</v>
      </c>
      <c r="J2291" s="108" t="str">
        <f t="shared" si="6"/>
        <v>2024</v>
      </c>
      <c r="K2291" s="110">
        <f t="shared" si="7"/>
        <v>7</v>
      </c>
      <c r="L2291" s="108" t="str">
        <f t="shared" si="8"/>
        <v>2024-Q3</v>
      </c>
      <c r="M2291" s="111" t="str">
        <f t="shared" si="9"/>
        <v>2024-07</v>
      </c>
      <c r="N2291" s="112" t="str">
        <f t="shared" si="10"/>
        <v>2024-H2</v>
      </c>
    </row>
    <row r="2292">
      <c r="A2292" s="113" t="s">
        <v>610</v>
      </c>
      <c r="J2292" s="108" t="str">
        <f t="shared" si="6"/>
        <v>2024</v>
      </c>
      <c r="K2292" s="110">
        <f t="shared" si="7"/>
        <v>7</v>
      </c>
      <c r="L2292" s="108" t="str">
        <f t="shared" si="8"/>
        <v>2024-Q3</v>
      </c>
      <c r="M2292" s="111" t="str">
        <f t="shared" si="9"/>
        <v>2024-07</v>
      </c>
      <c r="N2292" s="112" t="str">
        <f t="shared" si="10"/>
        <v>2024-H2</v>
      </c>
    </row>
    <row r="2293">
      <c r="A2293" s="113" t="s">
        <v>610</v>
      </c>
      <c r="J2293" s="108" t="str">
        <f t="shared" si="6"/>
        <v>2024</v>
      </c>
      <c r="K2293" s="110">
        <f t="shared" si="7"/>
        <v>7</v>
      </c>
      <c r="L2293" s="108" t="str">
        <f t="shared" si="8"/>
        <v>2024-Q3</v>
      </c>
      <c r="M2293" s="111" t="str">
        <f t="shared" si="9"/>
        <v>2024-07</v>
      </c>
      <c r="N2293" s="112" t="str">
        <f t="shared" si="10"/>
        <v>2024-H2</v>
      </c>
    </row>
    <row r="2294">
      <c r="A2294" s="113" t="s">
        <v>610</v>
      </c>
      <c r="J2294" s="108" t="str">
        <f t="shared" si="6"/>
        <v>2024</v>
      </c>
      <c r="K2294" s="110">
        <f t="shared" si="7"/>
        <v>7</v>
      </c>
      <c r="L2294" s="108" t="str">
        <f t="shared" si="8"/>
        <v>2024-Q3</v>
      </c>
      <c r="M2294" s="111" t="str">
        <f t="shared" si="9"/>
        <v>2024-07</v>
      </c>
      <c r="N2294" s="112" t="str">
        <f t="shared" si="10"/>
        <v>2024-H2</v>
      </c>
    </row>
    <row r="2295">
      <c r="A2295" s="113" t="s">
        <v>610</v>
      </c>
      <c r="J2295" s="108" t="str">
        <f t="shared" si="6"/>
        <v>2024</v>
      </c>
      <c r="K2295" s="110">
        <f t="shared" si="7"/>
        <v>7</v>
      </c>
      <c r="L2295" s="108" t="str">
        <f t="shared" si="8"/>
        <v>2024-Q3</v>
      </c>
      <c r="M2295" s="111" t="str">
        <f t="shared" si="9"/>
        <v>2024-07</v>
      </c>
      <c r="N2295" s="112" t="str">
        <f t="shared" si="10"/>
        <v>2024-H2</v>
      </c>
    </row>
    <row r="2296">
      <c r="A2296" s="113" t="s">
        <v>610</v>
      </c>
      <c r="J2296" s="108" t="str">
        <f t="shared" si="6"/>
        <v>2024</v>
      </c>
      <c r="K2296" s="110">
        <f t="shared" si="7"/>
        <v>7</v>
      </c>
      <c r="L2296" s="108" t="str">
        <f t="shared" si="8"/>
        <v>2024-Q3</v>
      </c>
      <c r="M2296" s="111" t="str">
        <f t="shared" si="9"/>
        <v>2024-07</v>
      </c>
      <c r="N2296" s="112" t="str">
        <f t="shared" si="10"/>
        <v>2024-H2</v>
      </c>
    </row>
    <row r="2297">
      <c r="A2297" s="113" t="s">
        <v>610</v>
      </c>
      <c r="J2297" s="108" t="str">
        <f t="shared" si="6"/>
        <v>2024</v>
      </c>
      <c r="K2297" s="110">
        <f t="shared" si="7"/>
        <v>8</v>
      </c>
      <c r="L2297" s="108" t="str">
        <f t="shared" si="8"/>
        <v>2024-Q3</v>
      </c>
      <c r="M2297" s="111" t="str">
        <f t="shared" si="9"/>
        <v>2024-08</v>
      </c>
      <c r="N2297" s="112" t="str">
        <f t="shared" si="10"/>
        <v>2024-H2</v>
      </c>
    </row>
    <row r="2298">
      <c r="A2298" s="113" t="s">
        <v>610</v>
      </c>
      <c r="J2298" s="108" t="str">
        <f t="shared" si="6"/>
        <v>2024</v>
      </c>
      <c r="K2298" s="110">
        <f t="shared" si="7"/>
        <v>7</v>
      </c>
      <c r="L2298" s="108" t="str">
        <f t="shared" si="8"/>
        <v>2024-Q3</v>
      </c>
      <c r="M2298" s="111" t="str">
        <f t="shared" si="9"/>
        <v>2024-07</v>
      </c>
      <c r="N2298" s="112" t="str">
        <f t="shared" si="10"/>
        <v>2024-H2</v>
      </c>
    </row>
    <row r="2299">
      <c r="A2299" s="113" t="s">
        <v>610</v>
      </c>
      <c r="J2299" s="108" t="str">
        <f t="shared" si="6"/>
        <v>2024</v>
      </c>
      <c r="K2299" s="110">
        <f t="shared" si="7"/>
        <v>7</v>
      </c>
      <c r="L2299" s="108" t="str">
        <f t="shared" si="8"/>
        <v>2024-Q3</v>
      </c>
      <c r="M2299" s="111" t="str">
        <f t="shared" si="9"/>
        <v>2024-07</v>
      </c>
      <c r="N2299" s="112" t="str">
        <f t="shared" si="10"/>
        <v>2024-H2</v>
      </c>
    </row>
    <row r="2300">
      <c r="A2300" s="113" t="s">
        <v>610</v>
      </c>
      <c r="J2300" s="108" t="str">
        <f t="shared" si="6"/>
        <v>2024</v>
      </c>
      <c r="K2300" s="110">
        <f t="shared" si="7"/>
        <v>7</v>
      </c>
      <c r="L2300" s="108" t="str">
        <f t="shared" si="8"/>
        <v>2024-Q3</v>
      </c>
      <c r="M2300" s="111" t="str">
        <f t="shared" si="9"/>
        <v>2024-07</v>
      </c>
      <c r="N2300" s="112" t="str">
        <f t="shared" si="10"/>
        <v>2024-H2</v>
      </c>
    </row>
    <row r="2301">
      <c r="A2301" s="113" t="s">
        <v>610</v>
      </c>
      <c r="J2301" s="108" t="str">
        <f t="shared" si="6"/>
        <v>2024</v>
      </c>
      <c r="K2301" s="110">
        <f t="shared" si="7"/>
        <v>7</v>
      </c>
      <c r="L2301" s="108" t="str">
        <f t="shared" si="8"/>
        <v>2024-Q3</v>
      </c>
      <c r="M2301" s="111" t="str">
        <f t="shared" si="9"/>
        <v>2024-07</v>
      </c>
      <c r="N2301" s="112" t="str">
        <f t="shared" si="10"/>
        <v>2024-H2</v>
      </c>
    </row>
    <row r="2302">
      <c r="A2302" s="113" t="s">
        <v>610</v>
      </c>
      <c r="J2302" s="108" t="str">
        <f t="shared" si="6"/>
        <v>2024</v>
      </c>
      <c r="K2302" s="110">
        <f t="shared" si="7"/>
        <v>8</v>
      </c>
      <c r="L2302" s="108" t="str">
        <f t="shared" si="8"/>
        <v>2024-Q3</v>
      </c>
      <c r="M2302" s="111" t="str">
        <f t="shared" si="9"/>
        <v>2024-08</v>
      </c>
      <c r="N2302" s="112" t="str">
        <f t="shared" si="10"/>
        <v>2024-H2</v>
      </c>
    </row>
    <row r="2303">
      <c r="A2303" s="113" t="s">
        <v>610</v>
      </c>
      <c r="J2303" s="108" t="str">
        <f t="shared" si="6"/>
        <v>2024</v>
      </c>
      <c r="K2303" s="110">
        <f t="shared" si="7"/>
        <v>8</v>
      </c>
      <c r="L2303" s="108" t="str">
        <f t="shared" si="8"/>
        <v>2024-Q3</v>
      </c>
      <c r="M2303" s="111" t="str">
        <f t="shared" si="9"/>
        <v>2024-08</v>
      </c>
      <c r="N2303" s="112" t="str">
        <f t="shared" si="10"/>
        <v>2024-H2</v>
      </c>
    </row>
    <row r="2304">
      <c r="A2304" s="113" t="s">
        <v>610</v>
      </c>
      <c r="J2304" s="108" t="str">
        <f t="shared" si="6"/>
        <v>2024</v>
      </c>
      <c r="K2304" s="110">
        <f t="shared" si="7"/>
        <v>8</v>
      </c>
      <c r="L2304" s="108" t="str">
        <f t="shared" si="8"/>
        <v>2024-Q3</v>
      </c>
      <c r="M2304" s="111" t="str">
        <f t="shared" si="9"/>
        <v>2024-08</v>
      </c>
      <c r="N2304" s="112" t="str">
        <f t="shared" si="10"/>
        <v>2024-H2</v>
      </c>
    </row>
    <row r="2305">
      <c r="A2305" s="113" t="s">
        <v>610</v>
      </c>
      <c r="J2305" s="108" t="str">
        <f t="shared" si="6"/>
        <v>2024</v>
      </c>
      <c r="K2305" s="110">
        <f t="shared" si="7"/>
        <v>8</v>
      </c>
      <c r="L2305" s="108" t="str">
        <f t="shared" si="8"/>
        <v>2024-Q3</v>
      </c>
      <c r="M2305" s="111" t="str">
        <f t="shared" si="9"/>
        <v>2024-08</v>
      </c>
      <c r="N2305" s="112" t="str">
        <f t="shared" si="10"/>
        <v>2024-H2</v>
      </c>
    </row>
    <row r="2306">
      <c r="A2306" s="113" t="s">
        <v>610</v>
      </c>
      <c r="J2306" s="108" t="str">
        <f t="shared" si="6"/>
        <v>2024</v>
      </c>
      <c r="K2306" s="110">
        <f t="shared" si="7"/>
        <v>7</v>
      </c>
      <c r="L2306" s="108" t="str">
        <f t="shared" si="8"/>
        <v>2024-Q3</v>
      </c>
      <c r="M2306" s="111" t="str">
        <f t="shared" si="9"/>
        <v>2024-07</v>
      </c>
      <c r="N2306" s="112" t="str">
        <f t="shared" si="10"/>
        <v>2024-H2</v>
      </c>
    </row>
    <row r="2307">
      <c r="A2307" s="113" t="s">
        <v>610</v>
      </c>
      <c r="J2307" s="108" t="str">
        <f t="shared" si="6"/>
        <v>2024</v>
      </c>
      <c r="K2307" s="110">
        <f t="shared" si="7"/>
        <v>7</v>
      </c>
      <c r="L2307" s="108" t="str">
        <f t="shared" si="8"/>
        <v>2024-Q3</v>
      </c>
      <c r="M2307" s="111" t="str">
        <f t="shared" si="9"/>
        <v>2024-07</v>
      </c>
      <c r="N2307" s="112" t="str">
        <f t="shared" si="10"/>
        <v>2024-H2</v>
      </c>
    </row>
    <row r="2308">
      <c r="A2308" s="113" t="s">
        <v>610</v>
      </c>
      <c r="J2308" s="108" t="str">
        <f t="shared" si="6"/>
        <v>2024</v>
      </c>
      <c r="K2308" s="110">
        <f t="shared" si="7"/>
        <v>8</v>
      </c>
      <c r="L2308" s="108" t="str">
        <f t="shared" si="8"/>
        <v>2024-Q3</v>
      </c>
      <c r="M2308" s="111" t="str">
        <f t="shared" si="9"/>
        <v>2024-08</v>
      </c>
      <c r="N2308" s="112" t="str">
        <f t="shared" si="10"/>
        <v>2024-H2</v>
      </c>
    </row>
    <row r="2309">
      <c r="A2309" s="113" t="s">
        <v>610</v>
      </c>
      <c r="J2309" s="108" t="str">
        <f t="shared" si="6"/>
        <v>2024</v>
      </c>
      <c r="K2309" s="110">
        <f t="shared" si="7"/>
        <v>7</v>
      </c>
      <c r="L2309" s="108" t="str">
        <f t="shared" si="8"/>
        <v>2024-Q3</v>
      </c>
      <c r="M2309" s="111" t="str">
        <f t="shared" si="9"/>
        <v>2024-07</v>
      </c>
      <c r="N2309" s="112" t="str">
        <f t="shared" si="10"/>
        <v>2024-H2</v>
      </c>
    </row>
    <row r="2310">
      <c r="A2310" s="113" t="s">
        <v>610</v>
      </c>
      <c r="J2310" s="108" t="str">
        <f t="shared" si="6"/>
        <v>2024</v>
      </c>
      <c r="K2310" s="110">
        <f t="shared" si="7"/>
        <v>7</v>
      </c>
      <c r="L2310" s="108" t="str">
        <f t="shared" si="8"/>
        <v>2024-Q3</v>
      </c>
      <c r="M2310" s="111" t="str">
        <f t="shared" si="9"/>
        <v>2024-07</v>
      </c>
      <c r="N2310" s="112" t="str">
        <f t="shared" si="10"/>
        <v>2024-H2</v>
      </c>
    </row>
    <row r="2311">
      <c r="A2311" s="113" t="s">
        <v>610</v>
      </c>
      <c r="J2311" s="108" t="str">
        <f t="shared" si="6"/>
        <v>2024</v>
      </c>
      <c r="K2311" s="110">
        <f t="shared" si="7"/>
        <v>7</v>
      </c>
      <c r="L2311" s="108" t="str">
        <f t="shared" si="8"/>
        <v>2024-Q3</v>
      </c>
      <c r="M2311" s="111" t="str">
        <f t="shared" si="9"/>
        <v>2024-07</v>
      </c>
      <c r="N2311" s="112" t="str">
        <f t="shared" si="10"/>
        <v>2024-H2</v>
      </c>
    </row>
    <row r="2312">
      <c r="A2312" s="113" t="s">
        <v>610</v>
      </c>
      <c r="J2312" s="108" t="str">
        <f t="shared" si="6"/>
        <v>2024</v>
      </c>
      <c r="K2312" s="110">
        <f t="shared" si="7"/>
        <v>7</v>
      </c>
      <c r="L2312" s="108" t="str">
        <f t="shared" si="8"/>
        <v>2024-Q3</v>
      </c>
      <c r="M2312" s="111" t="str">
        <f t="shared" si="9"/>
        <v>2024-07</v>
      </c>
      <c r="N2312" s="112" t="str">
        <f t="shared" si="10"/>
        <v>2024-H2</v>
      </c>
    </row>
    <row r="2313">
      <c r="A2313" s="113" t="s">
        <v>610</v>
      </c>
      <c r="J2313" s="108" t="str">
        <f t="shared" si="6"/>
        <v>2024</v>
      </c>
      <c r="K2313" s="110">
        <f t="shared" si="7"/>
        <v>7</v>
      </c>
      <c r="L2313" s="108" t="str">
        <f t="shared" si="8"/>
        <v>2024-Q3</v>
      </c>
      <c r="M2313" s="111" t="str">
        <f t="shared" si="9"/>
        <v>2024-07</v>
      </c>
      <c r="N2313" s="112" t="str">
        <f t="shared" si="10"/>
        <v>2024-H2</v>
      </c>
    </row>
    <row r="2314">
      <c r="A2314" s="113" t="s">
        <v>610</v>
      </c>
      <c r="J2314" s="108" t="str">
        <f t="shared" si="6"/>
        <v>2024</v>
      </c>
      <c r="K2314" s="110">
        <f t="shared" si="7"/>
        <v>7</v>
      </c>
      <c r="L2314" s="108" t="str">
        <f t="shared" si="8"/>
        <v>2024-Q3</v>
      </c>
      <c r="M2314" s="111" t="str">
        <f t="shared" si="9"/>
        <v>2024-07</v>
      </c>
      <c r="N2314" s="112" t="str">
        <f t="shared" si="10"/>
        <v>2024-H2</v>
      </c>
    </row>
    <row r="2315">
      <c r="A2315" s="113" t="s">
        <v>610</v>
      </c>
      <c r="J2315" s="108" t="str">
        <f t="shared" si="6"/>
        <v>2024</v>
      </c>
      <c r="K2315" s="110">
        <f t="shared" si="7"/>
        <v>7</v>
      </c>
      <c r="L2315" s="108" t="str">
        <f t="shared" si="8"/>
        <v>2024-Q3</v>
      </c>
      <c r="M2315" s="111" t="str">
        <f t="shared" si="9"/>
        <v>2024-07</v>
      </c>
      <c r="N2315" s="112" t="str">
        <f t="shared" si="10"/>
        <v>2024-H2</v>
      </c>
    </row>
    <row r="2316">
      <c r="A2316" s="113" t="s">
        <v>610</v>
      </c>
      <c r="J2316" s="108" t="str">
        <f t="shared" si="6"/>
        <v>2024</v>
      </c>
      <c r="K2316" s="110">
        <f t="shared" si="7"/>
        <v>7</v>
      </c>
      <c r="L2316" s="108" t="str">
        <f t="shared" si="8"/>
        <v>2024-Q3</v>
      </c>
      <c r="M2316" s="111" t="str">
        <f t="shared" si="9"/>
        <v>2024-07</v>
      </c>
      <c r="N2316" s="112" t="str">
        <f t="shared" si="10"/>
        <v>2024-H2</v>
      </c>
    </row>
    <row r="2317">
      <c r="A2317" s="113" t="s">
        <v>610</v>
      </c>
      <c r="J2317" s="108" t="str">
        <f t="shared" si="6"/>
        <v>2024</v>
      </c>
      <c r="K2317" s="110">
        <f t="shared" si="7"/>
        <v>7</v>
      </c>
      <c r="L2317" s="108" t="str">
        <f t="shared" si="8"/>
        <v>2024-Q3</v>
      </c>
      <c r="M2317" s="111" t="str">
        <f t="shared" si="9"/>
        <v>2024-07</v>
      </c>
      <c r="N2317" s="112" t="str">
        <f t="shared" si="10"/>
        <v>2024-H2</v>
      </c>
    </row>
    <row r="2318">
      <c r="A2318" s="113" t="s">
        <v>610</v>
      </c>
      <c r="J2318" s="108" t="str">
        <f t="shared" si="6"/>
        <v>2024</v>
      </c>
      <c r="K2318" s="110">
        <f t="shared" si="7"/>
        <v>7</v>
      </c>
      <c r="L2318" s="108" t="str">
        <f t="shared" si="8"/>
        <v>2024-Q3</v>
      </c>
      <c r="M2318" s="111" t="str">
        <f t="shared" si="9"/>
        <v>2024-07</v>
      </c>
      <c r="N2318" s="112" t="str">
        <f t="shared" si="10"/>
        <v>2024-H2</v>
      </c>
    </row>
    <row r="2319">
      <c r="A2319" s="113" t="s">
        <v>610</v>
      </c>
      <c r="J2319" s="108" t="str">
        <f t="shared" si="6"/>
        <v>2024</v>
      </c>
      <c r="K2319" s="110">
        <f t="shared" si="7"/>
        <v>7</v>
      </c>
      <c r="L2319" s="108" t="str">
        <f t="shared" si="8"/>
        <v>2024-Q3</v>
      </c>
      <c r="M2319" s="111" t="str">
        <f t="shared" si="9"/>
        <v>2024-07</v>
      </c>
      <c r="N2319" s="112" t="str">
        <f t="shared" si="10"/>
        <v>2024-H2</v>
      </c>
    </row>
    <row r="2320">
      <c r="A2320" s="113" t="s">
        <v>610</v>
      </c>
      <c r="J2320" s="108" t="str">
        <f t="shared" si="6"/>
        <v>2024</v>
      </c>
      <c r="K2320" s="110">
        <f t="shared" si="7"/>
        <v>7</v>
      </c>
      <c r="L2320" s="108" t="str">
        <f t="shared" si="8"/>
        <v>2024-Q3</v>
      </c>
      <c r="M2320" s="111" t="str">
        <f t="shared" si="9"/>
        <v>2024-07</v>
      </c>
      <c r="N2320" s="112" t="str">
        <f t="shared" si="10"/>
        <v>2024-H2</v>
      </c>
    </row>
    <row r="2321">
      <c r="A2321" s="113" t="s">
        <v>610</v>
      </c>
      <c r="J2321" s="108" t="str">
        <f t="shared" si="6"/>
        <v>2024</v>
      </c>
      <c r="K2321" s="110">
        <f t="shared" si="7"/>
        <v>7</v>
      </c>
      <c r="L2321" s="108" t="str">
        <f t="shared" si="8"/>
        <v>2024-Q3</v>
      </c>
      <c r="M2321" s="111" t="str">
        <f t="shared" si="9"/>
        <v>2024-07</v>
      </c>
      <c r="N2321" s="112" t="str">
        <f t="shared" si="10"/>
        <v>2024-H2</v>
      </c>
    </row>
    <row r="2322">
      <c r="A2322" s="113" t="s">
        <v>610</v>
      </c>
      <c r="J2322" s="108" t="str">
        <f t="shared" si="6"/>
        <v>2024</v>
      </c>
      <c r="K2322" s="110">
        <f t="shared" si="7"/>
        <v>7</v>
      </c>
      <c r="L2322" s="108" t="str">
        <f t="shared" si="8"/>
        <v>2024-Q3</v>
      </c>
      <c r="M2322" s="111" t="str">
        <f t="shared" si="9"/>
        <v>2024-07</v>
      </c>
      <c r="N2322" s="112" t="str">
        <f t="shared" si="10"/>
        <v>2024-H2</v>
      </c>
    </row>
    <row r="2323">
      <c r="A2323" s="113" t="s">
        <v>610</v>
      </c>
      <c r="J2323" s="108" t="str">
        <f t="shared" si="6"/>
        <v>2024</v>
      </c>
      <c r="K2323" s="110">
        <f t="shared" si="7"/>
        <v>7</v>
      </c>
      <c r="L2323" s="108" t="str">
        <f t="shared" si="8"/>
        <v>2024-Q3</v>
      </c>
      <c r="M2323" s="111" t="str">
        <f t="shared" si="9"/>
        <v>2024-07</v>
      </c>
      <c r="N2323" s="112" t="str">
        <f t="shared" si="10"/>
        <v>2024-H2</v>
      </c>
    </row>
    <row r="2324">
      <c r="A2324" s="113" t="s">
        <v>610</v>
      </c>
      <c r="J2324" s="108" t="str">
        <f t="shared" si="6"/>
        <v>2024</v>
      </c>
      <c r="K2324" s="110">
        <f t="shared" si="7"/>
        <v>7</v>
      </c>
      <c r="L2324" s="108" t="str">
        <f t="shared" si="8"/>
        <v>2024-Q3</v>
      </c>
      <c r="M2324" s="111" t="str">
        <f t="shared" si="9"/>
        <v>2024-07</v>
      </c>
      <c r="N2324" s="112" t="str">
        <f t="shared" si="10"/>
        <v>2024-H2</v>
      </c>
    </row>
    <row r="2325">
      <c r="A2325" s="113" t="s">
        <v>610</v>
      </c>
      <c r="J2325" s="108" t="str">
        <f t="shared" si="6"/>
        <v>2024</v>
      </c>
      <c r="K2325" s="110">
        <f t="shared" si="7"/>
        <v>7</v>
      </c>
      <c r="L2325" s="108" t="str">
        <f t="shared" si="8"/>
        <v>2024-Q3</v>
      </c>
      <c r="M2325" s="111" t="str">
        <f t="shared" si="9"/>
        <v>2024-07</v>
      </c>
      <c r="N2325" s="112" t="str">
        <f t="shared" si="10"/>
        <v>2024-H2</v>
      </c>
    </row>
    <row r="2326">
      <c r="A2326" s="113" t="s">
        <v>610</v>
      </c>
      <c r="J2326" s="108" t="str">
        <f t="shared" si="6"/>
        <v>2024</v>
      </c>
      <c r="K2326" s="110">
        <f t="shared" si="7"/>
        <v>7</v>
      </c>
      <c r="L2326" s="108" t="str">
        <f t="shared" si="8"/>
        <v>2024-Q3</v>
      </c>
      <c r="M2326" s="111" t="str">
        <f t="shared" si="9"/>
        <v>2024-07</v>
      </c>
      <c r="N2326" s="112" t="str">
        <f t="shared" si="10"/>
        <v>2024-H2</v>
      </c>
    </row>
    <row r="2327">
      <c r="A2327" s="113" t="s">
        <v>610</v>
      </c>
      <c r="J2327" s="108" t="str">
        <f t="shared" si="6"/>
        <v>2024</v>
      </c>
      <c r="K2327" s="110">
        <f t="shared" si="7"/>
        <v>7</v>
      </c>
      <c r="L2327" s="108" t="str">
        <f t="shared" si="8"/>
        <v>2024-Q3</v>
      </c>
      <c r="M2327" s="111" t="str">
        <f t="shared" si="9"/>
        <v>2024-07</v>
      </c>
      <c r="N2327" s="112" t="str">
        <f t="shared" si="10"/>
        <v>2024-H2</v>
      </c>
    </row>
    <row r="2328">
      <c r="A2328" s="113" t="s">
        <v>610</v>
      </c>
      <c r="J2328" s="108" t="str">
        <f t="shared" si="6"/>
        <v>2024</v>
      </c>
      <c r="K2328" s="110">
        <f t="shared" si="7"/>
        <v>7</v>
      </c>
      <c r="L2328" s="108" t="str">
        <f t="shared" si="8"/>
        <v>2024-Q3</v>
      </c>
      <c r="M2328" s="111" t="str">
        <f t="shared" si="9"/>
        <v>2024-07</v>
      </c>
      <c r="N2328" s="112" t="str">
        <f t="shared" si="10"/>
        <v>2024-H2</v>
      </c>
    </row>
    <row r="2329">
      <c r="A2329" s="113" t="s">
        <v>610</v>
      </c>
      <c r="J2329" s="108" t="str">
        <f t="shared" si="6"/>
        <v>2024</v>
      </c>
      <c r="K2329" s="110">
        <f t="shared" si="7"/>
        <v>7</v>
      </c>
      <c r="L2329" s="108" t="str">
        <f t="shared" si="8"/>
        <v>2024-Q3</v>
      </c>
      <c r="M2329" s="111" t="str">
        <f t="shared" si="9"/>
        <v>2024-07</v>
      </c>
      <c r="N2329" s="112" t="str">
        <f t="shared" si="10"/>
        <v>2024-H2</v>
      </c>
    </row>
    <row r="2330">
      <c r="A2330" s="113" t="s">
        <v>610</v>
      </c>
      <c r="J2330" s="108" t="str">
        <f t="shared" si="6"/>
        <v>2024</v>
      </c>
      <c r="K2330" s="110">
        <f t="shared" si="7"/>
        <v>7</v>
      </c>
      <c r="L2330" s="108" t="str">
        <f t="shared" si="8"/>
        <v>2024-Q3</v>
      </c>
      <c r="M2330" s="111" t="str">
        <f t="shared" si="9"/>
        <v>2024-07</v>
      </c>
      <c r="N2330" s="112" t="str">
        <f t="shared" si="10"/>
        <v>2024-H2</v>
      </c>
    </row>
    <row r="2331">
      <c r="A2331" s="113" t="s">
        <v>610</v>
      </c>
      <c r="J2331" s="108" t="str">
        <f t="shared" si="6"/>
        <v>2024</v>
      </c>
      <c r="K2331" s="110">
        <f t="shared" si="7"/>
        <v>7</v>
      </c>
      <c r="L2331" s="108" t="str">
        <f t="shared" si="8"/>
        <v>2024-Q3</v>
      </c>
      <c r="M2331" s="111" t="str">
        <f t="shared" si="9"/>
        <v>2024-07</v>
      </c>
      <c r="N2331" s="112" t="str">
        <f t="shared" si="10"/>
        <v>2024-H2</v>
      </c>
    </row>
    <row r="2332">
      <c r="A2332" s="113" t="s">
        <v>610</v>
      </c>
      <c r="J2332" s="108" t="str">
        <f t="shared" si="6"/>
        <v>2024</v>
      </c>
      <c r="K2332" s="110">
        <f t="shared" si="7"/>
        <v>7</v>
      </c>
      <c r="L2332" s="108" t="str">
        <f t="shared" si="8"/>
        <v>2024-Q3</v>
      </c>
      <c r="M2332" s="111" t="str">
        <f t="shared" si="9"/>
        <v>2024-07</v>
      </c>
      <c r="N2332" s="112" t="str">
        <f t="shared" si="10"/>
        <v>2024-H2</v>
      </c>
    </row>
    <row r="2333">
      <c r="A2333" s="113" t="s">
        <v>610</v>
      </c>
      <c r="J2333" s="108" t="str">
        <f t="shared" si="6"/>
        <v>2024</v>
      </c>
      <c r="K2333" s="110">
        <f t="shared" si="7"/>
        <v>7</v>
      </c>
      <c r="L2333" s="108" t="str">
        <f t="shared" si="8"/>
        <v>2024-Q3</v>
      </c>
      <c r="M2333" s="111" t="str">
        <f t="shared" si="9"/>
        <v>2024-07</v>
      </c>
      <c r="N2333" s="112" t="str">
        <f t="shared" si="10"/>
        <v>2024-H2</v>
      </c>
    </row>
    <row r="2334">
      <c r="A2334" s="113" t="s">
        <v>610</v>
      </c>
      <c r="J2334" s="108" t="str">
        <f t="shared" si="6"/>
        <v>2024</v>
      </c>
      <c r="K2334" s="110">
        <f t="shared" si="7"/>
        <v>8</v>
      </c>
      <c r="L2334" s="108" t="str">
        <f t="shared" si="8"/>
        <v>2024-Q3</v>
      </c>
      <c r="M2334" s="111" t="str">
        <f t="shared" si="9"/>
        <v>2024-08</v>
      </c>
      <c r="N2334" s="112" t="str">
        <f t="shared" si="10"/>
        <v>2024-H2</v>
      </c>
    </row>
    <row r="2335">
      <c r="A2335" s="113" t="s">
        <v>610</v>
      </c>
      <c r="J2335" s="108" t="str">
        <f t="shared" si="6"/>
        <v>2024</v>
      </c>
      <c r="K2335" s="110">
        <f t="shared" si="7"/>
        <v>7</v>
      </c>
      <c r="L2335" s="108" t="str">
        <f t="shared" si="8"/>
        <v>2024-Q3</v>
      </c>
      <c r="M2335" s="111" t="str">
        <f t="shared" si="9"/>
        <v>2024-07</v>
      </c>
      <c r="N2335" s="112" t="str">
        <f t="shared" si="10"/>
        <v>2024-H2</v>
      </c>
    </row>
    <row r="2336">
      <c r="A2336" s="113" t="s">
        <v>610</v>
      </c>
      <c r="J2336" s="108" t="str">
        <f t="shared" si="6"/>
        <v>2024</v>
      </c>
      <c r="K2336" s="110">
        <f t="shared" si="7"/>
        <v>7</v>
      </c>
      <c r="L2336" s="108" t="str">
        <f t="shared" si="8"/>
        <v>2024-Q3</v>
      </c>
      <c r="M2336" s="111" t="str">
        <f t="shared" si="9"/>
        <v>2024-07</v>
      </c>
      <c r="N2336" s="112" t="str">
        <f t="shared" si="10"/>
        <v>2024-H2</v>
      </c>
    </row>
    <row r="2337">
      <c r="A2337" s="113" t="s">
        <v>610</v>
      </c>
      <c r="J2337" s="108" t="str">
        <f t="shared" si="6"/>
        <v>2024</v>
      </c>
      <c r="K2337" s="110">
        <f t="shared" si="7"/>
        <v>8</v>
      </c>
      <c r="L2337" s="108" t="str">
        <f t="shared" si="8"/>
        <v>2024-Q3</v>
      </c>
      <c r="M2337" s="111" t="str">
        <f t="shared" si="9"/>
        <v>2024-08</v>
      </c>
      <c r="N2337" s="112" t="str">
        <f t="shared" si="10"/>
        <v>2024-H2</v>
      </c>
    </row>
    <row r="2338">
      <c r="A2338" s="113" t="s">
        <v>610</v>
      </c>
      <c r="J2338" s="108" t="str">
        <f t="shared" si="6"/>
        <v>2024</v>
      </c>
      <c r="K2338" s="110">
        <f t="shared" si="7"/>
        <v>7</v>
      </c>
      <c r="L2338" s="108" t="str">
        <f t="shared" si="8"/>
        <v>2024-Q3</v>
      </c>
      <c r="M2338" s="111" t="str">
        <f t="shared" si="9"/>
        <v>2024-07</v>
      </c>
      <c r="N2338" s="112" t="str">
        <f t="shared" si="10"/>
        <v>2024-H2</v>
      </c>
    </row>
    <row r="2339">
      <c r="A2339" s="113" t="s">
        <v>610</v>
      </c>
      <c r="J2339" s="108" t="str">
        <f t="shared" si="6"/>
        <v>2024</v>
      </c>
      <c r="K2339" s="110">
        <f t="shared" si="7"/>
        <v>7</v>
      </c>
      <c r="L2339" s="108" t="str">
        <f t="shared" si="8"/>
        <v>2024-Q3</v>
      </c>
      <c r="M2339" s="111" t="str">
        <f t="shared" si="9"/>
        <v>2024-07</v>
      </c>
      <c r="N2339" s="112" t="str">
        <f t="shared" si="10"/>
        <v>2024-H2</v>
      </c>
    </row>
    <row r="2340">
      <c r="A2340" s="113" t="s">
        <v>610</v>
      </c>
      <c r="J2340" s="108" t="str">
        <f t="shared" si="6"/>
        <v>2024</v>
      </c>
      <c r="K2340" s="110">
        <f t="shared" si="7"/>
        <v>7</v>
      </c>
      <c r="L2340" s="108" t="str">
        <f t="shared" si="8"/>
        <v>2024-Q3</v>
      </c>
      <c r="M2340" s="111" t="str">
        <f t="shared" si="9"/>
        <v>2024-07</v>
      </c>
      <c r="N2340" s="112" t="str">
        <f t="shared" si="10"/>
        <v>2024-H2</v>
      </c>
    </row>
    <row r="2341">
      <c r="A2341" s="113" t="s">
        <v>610</v>
      </c>
      <c r="J2341" s="108" t="str">
        <f t="shared" si="6"/>
        <v>2024</v>
      </c>
      <c r="K2341" s="110">
        <f t="shared" si="7"/>
        <v>7</v>
      </c>
      <c r="L2341" s="108" t="str">
        <f t="shared" si="8"/>
        <v>2024-Q3</v>
      </c>
      <c r="M2341" s="111" t="str">
        <f t="shared" si="9"/>
        <v>2024-07</v>
      </c>
      <c r="N2341" s="112" t="str">
        <f t="shared" si="10"/>
        <v>2024-H2</v>
      </c>
    </row>
    <row r="2342">
      <c r="A2342" s="113" t="s">
        <v>610</v>
      </c>
      <c r="J2342" s="108" t="str">
        <f t="shared" si="6"/>
        <v>2024</v>
      </c>
      <c r="K2342" s="110">
        <f t="shared" si="7"/>
        <v>7</v>
      </c>
      <c r="L2342" s="108" t="str">
        <f t="shared" si="8"/>
        <v>2024-Q3</v>
      </c>
      <c r="M2342" s="111" t="str">
        <f t="shared" si="9"/>
        <v>2024-07</v>
      </c>
      <c r="N2342" s="112" t="str">
        <f t="shared" si="10"/>
        <v>2024-H2</v>
      </c>
    </row>
    <row r="2343">
      <c r="A2343" s="113" t="s">
        <v>610</v>
      </c>
      <c r="J2343" s="108" t="str">
        <f t="shared" si="6"/>
        <v>2024</v>
      </c>
      <c r="K2343" s="110">
        <f t="shared" si="7"/>
        <v>7</v>
      </c>
      <c r="L2343" s="108" t="str">
        <f t="shared" si="8"/>
        <v>2024-Q3</v>
      </c>
      <c r="M2343" s="111" t="str">
        <f t="shared" si="9"/>
        <v>2024-07</v>
      </c>
      <c r="N2343" s="112" t="str">
        <f t="shared" si="10"/>
        <v>2024-H2</v>
      </c>
    </row>
    <row r="2344">
      <c r="A2344" s="113" t="s">
        <v>610</v>
      </c>
      <c r="J2344" s="108" t="str">
        <f t="shared" si="6"/>
        <v>2024</v>
      </c>
      <c r="K2344" s="110">
        <f t="shared" si="7"/>
        <v>7</v>
      </c>
      <c r="L2344" s="108" t="str">
        <f t="shared" si="8"/>
        <v>2024-Q3</v>
      </c>
      <c r="M2344" s="111" t="str">
        <f t="shared" si="9"/>
        <v>2024-07</v>
      </c>
      <c r="N2344" s="112" t="str">
        <f t="shared" si="10"/>
        <v>2024-H2</v>
      </c>
    </row>
    <row r="2345">
      <c r="A2345" s="113" t="s">
        <v>610</v>
      </c>
      <c r="J2345" s="108" t="str">
        <f t="shared" si="6"/>
        <v>2024</v>
      </c>
      <c r="K2345" s="110">
        <f t="shared" si="7"/>
        <v>8</v>
      </c>
      <c r="L2345" s="108" t="str">
        <f t="shared" si="8"/>
        <v>2024-Q3</v>
      </c>
      <c r="M2345" s="111" t="str">
        <f t="shared" si="9"/>
        <v>2024-08</v>
      </c>
      <c r="N2345" s="112" t="str">
        <f t="shared" si="10"/>
        <v>2024-H2</v>
      </c>
    </row>
    <row r="2346">
      <c r="A2346" s="113" t="s">
        <v>610</v>
      </c>
      <c r="J2346" s="108" t="str">
        <f t="shared" si="6"/>
        <v>2024</v>
      </c>
      <c r="K2346" s="110">
        <f t="shared" si="7"/>
        <v>7</v>
      </c>
      <c r="L2346" s="108" t="str">
        <f t="shared" si="8"/>
        <v>2024-Q3</v>
      </c>
      <c r="M2346" s="111" t="str">
        <f t="shared" si="9"/>
        <v>2024-07</v>
      </c>
      <c r="N2346" s="112" t="str">
        <f t="shared" si="10"/>
        <v>2024-H2</v>
      </c>
    </row>
    <row r="2347">
      <c r="A2347" s="113" t="s">
        <v>610</v>
      </c>
      <c r="J2347" s="108" t="str">
        <f t="shared" si="6"/>
        <v>2024</v>
      </c>
      <c r="K2347" s="110">
        <f t="shared" si="7"/>
        <v>7</v>
      </c>
      <c r="L2347" s="108" t="str">
        <f t="shared" si="8"/>
        <v>2024-Q3</v>
      </c>
      <c r="M2347" s="111" t="str">
        <f t="shared" si="9"/>
        <v>2024-07</v>
      </c>
      <c r="N2347" s="112" t="str">
        <f t="shared" si="10"/>
        <v>2024-H2</v>
      </c>
    </row>
    <row r="2348">
      <c r="A2348" s="113" t="s">
        <v>610</v>
      </c>
      <c r="J2348" s="108" t="str">
        <f t="shared" si="6"/>
        <v>2024</v>
      </c>
      <c r="K2348" s="110">
        <f t="shared" si="7"/>
        <v>8</v>
      </c>
      <c r="L2348" s="108" t="str">
        <f t="shared" si="8"/>
        <v>2024-Q3</v>
      </c>
      <c r="M2348" s="111" t="str">
        <f t="shared" si="9"/>
        <v>2024-08</v>
      </c>
      <c r="N2348" s="112" t="str">
        <f t="shared" si="10"/>
        <v>2024-H2</v>
      </c>
    </row>
    <row r="2349">
      <c r="A2349" s="113" t="s">
        <v>610</v>
      </c>
      <c r="J2349" s="108" t="str">
        <f t="shared" si="6"/>
        <v>2024</v>
      </c>
      <c r="K2349" s="110">
        <f t="shared" si="7"/>
        <v>7</v>
      </c>
      <c r="L2349" s="108" t="str">
        <f t="shared" si="8"/>
        <v>2024-Q3</v>
      </c>
      <c r="M2349" s="111" t="str">
        <f t="shared" si="9"/>
        <v>2024-07</v>
      </c>
      <c r="N2349" s="112" t="str">
        <f t="shared" si="10"/>
        <v>2024-H2</v>
      </c>
    </row>
    <row r="2350">
      <c r="A2350" s="113" t="s">
        <v>610</v>
      </c>
      <c r="J2350" s="108" t="str">
        <f t="shared" si="6"/>
        <v>2024</v>
      </c>
      <c r="K2350" s="110">
        <f t="shared" si="7"/>
        <v>7</v>
      </c>
      <c r="L2350" s="108" t="str">
        <f t="shared" si="8"/>
        <v>2024-Q3</v>
      </c>
      <c r="M2350" s="111" t="str">
        <f t="shared" si="9"/>
        <v>2024-07</v>
      </c>
      <c r="N2350" s="112" t="str">
        <f t="shared" si="10"/>
        <v>2024-H2</v>
      </c>
    </row>
    <row r="2351">
      <c r="A2351" s="113" t="s">
        <v>610</v>
      </c>
      <c r="J2351" s="108" t="str">
        <f t="shared" si="6"/>
        <v>2024</v>
      </c>
      <c r="K2351" s="110">
        <f t="shared" si="7"/>
        <v>8</v>
      </c>
      <c r="L2351" s="108" t="str">
        <f t="shared" si="8"/>
        <v>2024-Q3</v>
      </c>
      <c r="M2351" s="111" t="str">
        <f t="shared" si="9"/>
        <v>2024-08</v>
      </c>
      <c r="N2351" s="112" t="str">
        <f t="shared" si="10"/>
        <v>2024-H2</v>
      </c>
    </row>
    <row r="2352">
      <c r="A2352" s="113" t="s">
        <v>610</v>
      </c>
      <c r="J2352" s="108" t="str">
        <f t="shared" si="6"/>
        <v>2024</v>
      </c>
      <c r="K2352" s="110">
        <f t="shared" si="7"/>
        <v>7</v>
      </c>
      <c r="L2352" s="108" t="str">
        <f t="shared" si="8"/>
        <v>2024-Q3</v>
      </c>
      <c r="M2352" s="111" t="str">
        <f t="shared" si="9"/>
        <v>2024-07</v>
      </c>
      <c r="N2352" s="112" t="str">
        <f t="shared" si="10"/>
        <v>2024-H2</v>
      </c>
    </row>
    <row r="2353">
      <c r="A2353" s="113" t="s">
        <v>610</v>
      </c>
      <c r="J2353" s="108" t="str">
        <f t="shared" si="6"/>
        <v>2024</v>
      </c>
      <c r="K2353" s="110">
        <f t="shared" si="7"/>
        <v>8</v>
      </c>
      <c r="L2353" s="108" t="str">
        <f t="shared" si="8"/>
        <v>2024-Q3</v>
      </c>
      <c r="M2353" s="111" t="str">
        <f t="shared" si="9"/>
        <v>2024-08</v>
      </c>
      <c r="N2353" s="112" t="str">
        <f t="shared" si="10"/>
        <v>2024-H2</v>
      </c>
    </row>
    <row r="2354">
      <c r="A2354" s="113" t="s">
        <v>610</v>
      </c>
      <c r="J2354" s="108" t="str">
        <f t="shared" si="6"/>
        <v>2024</v>
      </c>
      <c r="K2354" s="110">
        <f t="shared" si="7"/>
        <v>7</v>
      </c>
      <c r="L2354" s="108" t="str">
        <f t="shared" si="8"/>
        <v>2024-Q3</v>
      </c>
      <c r="M2354" s="111" t="str">
        <f t="shared" si="9"/>
        <v>2024-07</v>
      </c>
      <c r="N2354" s="112" t="str">
        <f t="shared" si="10"/>
        <v>2024-H2</v>
      </c>
    </row>
    <row r="2355">
      <c r="A2355" s="113" t="s">
        <v>610</v>
      </c>
      <c r="J2355" s="108" t="str">
        <f t="shared" si="6"/>
        <v>2024</v>
      </c>
      <c r="K2355" s="110">
        <f t="shared" si="7"/>
        <v>7</v>
      </c>
      <c r="L2355" s="108" t="str">
        <f t="shared" si="8"/>
        <v>2024-Q3</v>
      </c>
      <c r="M2355" s="111" t="str">
        <f t="shared" si="9"/>
        <v>2024-07</v>
      </c>
      <c r="N2355" s="112" t="str">
        <f t="shared" si="10"/>
        <v>2024-H2</v>
      </c>
    </row>
    <row r="2356">
      <c r="A2356" s="113" t="s">
        <v>610</v>
      </c>
      <c r="J2356" s="108" t="str">
        <f t="shared" si="6"/>
        <v>2024</v>
      </c>
      <c r="K2356" s="110">
        <f t="shared" si="7"/>
        <v>7</v>
      </c>
      <c r="L2356" s="108" t="str">
        <f t="shared" si="8"/>
        <v>2024-Q3</v>
      </c>
      <c r="M2356" s="111" t="str">
        <f t="shared" si="9"/>
        <v>2024-07</v>
      </c>
      <c r="N2356" s="112" t="str">
        <f t="shared" si="10"/>
        <v>2024-H2</v>
      </c>
    </row>
    <row r="2357">
      <c r="A2357" s="113" t="s">
        <v>610</v>
      </c>
      <c r="J2357" s="108" t="str">
        <f t="shared" si="6"/>
        <v>2024</v>
      </c>
      <c r="K2357" s="110">
        <f t="shared" si="7"/>
        <v>7</v>
      </c>
      <c r="L2357" s="108" t="str">
        <f t="shared" si="8"/>
        <v>2024-Q3</v>
      </c>
      <c r="M2357" s="111" t="str">
        <f t="shared" si="9"/>
        <v>2024-07</v>
      </c>
      <c r="N2357" s="112" t="str">
        <f t="shared" si="10"/>
        <v>2024-H2</v>
      </c>
    </row>
    <row r="2358">
      <c r="A2358" s="113" t="s">
        <v>610</v>
      </c>
      <c r="J2358" s="108" t="str">
        <f t="shared" si="6"/>
        <v>2024</v>
      </c>
      <c r="K2358" s="110">
        <f t="shared" si="7"/>
        <v>7</v>
      </c>
      <c r="L2358" s="108" t="str">
        <f t="shared" si="8"/>
        <v>2024-Q3</v>
      </c>
      <c r="M2358" s="111" t="str">
        <f t="shared" si="9"/>
        <v>2024-07</v>
      </c>
      <c r="N2358" s="112" t="str">
        <f t="shared" si="10"/>
        <v>2024-H2</v>
      </c>
    </row>
    <row r="2359">
      <c r="A2359" s="113" t="s">
        <v>610</v>
      </c>
      <c r="J2359" s="108" t="str">
        <f t="shared" si="6"/>
        <v>2024</v>
      </c>
      <c r="K2359" s="110">
        <f t="shared" si="7"/>
        <v>8</v>
      </c>
      <c r="L2359" s="108" t="str">
        <f t="shared" si="8"/>
        <v>2024-Q3</v>
      </c>
      <c r="M2359" s="111" t="str">
        <f t="shared" si="9"/>
        <v>2024-08</v>
      </c>
      <c r="N2359" s="112" t="str">
        <f t="shared" si="10"/>
        <v>2024-H2</v>
      </c>
    </row>
    <row r="2360">
      <c r="A2360" s="113" t="s">
        <v>610</v>
      </c>
      <c r="J2360" s="108" t="str">
        <f t="shared" si="6"/>
        <v>2024</v>
      </c>
      <c r="K2360" s="110">
        <f t="shared" si="7"/>
        <v>7</v>
      </c>
      <c r="L2360" s="108" t="str">
        <f t="shared" si="8"/>
        <v>2024-Q3</v>
      </c>
      <c r="M2360" s="111" t="str">
        <f t="shared" si="9"/>
        <v>2024-07</v>
      </c>
      <c r="N2360" s="112" t="str">
        <f t="shared" si="10"/>
        <v>2024-H2</v>
      </c>
    </row>
    <row r="2361">
      <c r="A2361" s="113" t="s">
        <v>610</v>
      </c>
      <c r="J2361" s="108" t="str">
        <f t="shared" si="6"/>
        <v>2024</v>
      </c>
      <c r="K2361" s="110">
        <f t="shared" si="7"/>
        <v>7</v>
      </c>
      <c r="L2361" s="108" t="str">
        <f t="shared" si="8"/>
        <v>2024-Q3</v>
      </c>
      <c r="M2361" s="111" t="str">
        <f t="shared" si="9"/>
        <v>2024-07</v>
      </c>
      <c r="N2361" s="112" t="str">
        <f t="shared" si="10"/>
        <v>2024-H2</v>
      </c>
    </row>
    <row r="2362">
      <c r="A2362" s="113" t="s">
        <v>610</v>
      </c>
      <c r="J2362" s="108" t="str">
        <f t="shared" si="6"/>
        <v>2024</v>
      </c>
      <c r="K2362" s="110">
        <f t="shared" si="7"/>
        <v>7</v>
      </c>
      <c r="L2362" s="108" t="str">
        <f t="shared" si="8"/>
        <v>2024-Q3</v>
      </c>
      <c r="M2362" s="111" t="str">
        <f t="shared" si="9"/>
        <v>2024-07</v>
      </c>
      <c r="N2362" s="112" t="str">
        <f t="shared" si="10"/>
        <v>2024-H2</v>
      </c>
    </row>
    <row r="2363">
      <c r="A2363" s="113" t="s">
        <v>610</v>
      </c>
      <c r="J2363" s="108" t="str">
        <f t="shared" si="6"/>
        <v>2024</v>
      </c>
      <c r="K2363" s="110">
        <f t="shared" si="7"/>
        <v>8</v>
      </c>
      <c r="L2363" s="108" t="str">
        <f t="shared" si="8"/>
        <v>2024-Q3</v>
      </c>
      <c r="M2363" s="111" t="str">
        <f t="shared" si="9"/>
        <v>2024-08</v>
      </c>
      <c r="N2363" s="112" t="str">
        <f t="shared" si="10"/>
        <v>2024-H2</v>
      </c>
    </row>
    <row r="2364">
      <c r="A2364" s="113" t="s">
        <v>610</v>
      </c>
      <c r="J2364" s="108" t="str">
        <f t="shared" si="6"/>
        <v>2024</v>
      </c>
      <c r="K2364" s="110">
        <f t="shared" si="7"/>
        <v>8</v>
      </c>
      <c r="L2364" s="108" t="str">
        <f t="shared" si="8"/>
        <v>2024-Q3</v>
      </c>
      <c r="M2364" s="111" t="str">
        <f t="shared" si="9"/>
        <v>2024-08</v>
      </c>
      <c r="N2364" s="112" t="str">
        <f t="shared" si="10"/>
        <v>2024-H2</v>
      </c>
    </row>
    <row r="2365">
      <c r="A2365" s="113" t="s">
        <v>610</v>
      </c>
      <c r="J2365" s="108" t="str">
        <f t="shared" si="6"/>
        <v>2024</v>
      </c>
      <c r="K2365" s="110">
        <f t="shared" si="7"/>
        <v>8</v>
      </c>
      <c r="L2365" s="108" t="str">
        <f t="shared" si="8"/>
        <v>2024-Q3</v>
      </c>
      <c r="M2365" s="111" t="str">
        <f t="shared" si="9"/>
        <v>2024-08</v>
      </c>
      <c r="N2365" s="112" t="str">
        <f t="shared" si="10"/>
        <v>2024-H2</v>
      </c>
    </row>
    <row r="2366">
      <c r="A2366" s="113" t="s">
        <v>610</v>
      </c>
      <c r="J2366" s="108" t="str">
        <f t="shared" si="6"/>
        <v>2024</v>
      </c>
      <c r="K2366" s="110">
        <f t="shared" si="7"/>
        <v>7</v>
      </c>
      <c r="L2366" s="108" t="str">
        <f t="shared" si="8"/>
        <v>2024-Q3</v>
      </c>
      <c r="M2366" s="111" t="str">
        <f t="shared" si="9"/>
        <v>2024-07</v>
      </c>
      <c r="N2366" s="112" t="str">
        <f t="shared" si="10"/>
        <v>2024-H2</v>
      </c>
    </row>
    <row r="2367">
      <c r="A2367" s="113" t="s">
        <v>610</v>
      </c>
      <c r="J2367" s="108" t="str">
        <f t="shared" si="6"/>
        <v>2024</v>
      </c>
      <c r="K2367" s="110">
        <f t="shared" si="7"/>
        <v>7</v>
      </c>
      <c r="L2367" s="108" t="str">
        <f t="shared" si="8"/>
        <v>2024-Q3</v>
      </c>
      <c r="M2367" s="111" t="str">
        <f t="shared" si="9"/>
        <v>2024-07</v>
      </c>
      <c r="N2367" s="112" t="str">
        <f t="shared" si="10"/>
        <v>2024-H2</v>
      </c>
    </row>
    <row r="2368">
      <c r="A2368" s="113" t="s">
        <v>610</v>
      </c>
      <c r="J2368" s="108" t="str">
        <f t="shared" si="6"/>
        <v>2024</v>
      </c>
      <c r="K2368" s="110">
        <f t="shared" si="7"/>
        <v>8</v>
      </c>
      <c r="L2368" s="108" t="str">
        <f t="shared" si="8"/>
        <v>2024-Q3</v>
      </c>
      <c r="M2368" s="111" t="str">
        <f t="shared" si="9"/>
        <v>2024-08</v>
      </c>
      <c r="N2368" s="112" t="str">
        <f t="shared" si="10"/>
        <v>2024-H2</v>
      </c>
    </row>
    <row r="2369">
      <c r="A2369" s="113" t="s">
        <v>610</v>
      </c>
      <c r="J2369" s="108" t="str">
        <f t="shared" si="6"/>
        <v>2024</v>
      </c>
      <c r="K2369" s="110">
        <f t="shared" si="7"/>
        <v>8</v>
      </c>
      <c r="L2369" s="108" t="str">
        <f t="shared" si="8"/>
        <v>2024-Q3</v>
      </c>
      <c r="M2369" s="111" t="str">
        <f t="shared" si="9"/>
        <v>2024-08</v>
      </c>
      <c r="N2369" s="112" t="str">
        <f t="shared" si="10"/>
        <v>2024-H2</v>
      </c>
    </row>
    <row r="2370">
      <c r="A2370" s="113" t="s">
        <v>610</v>
      </c>
      <c r="J2370" s="108" t="str">
        <f t="shared" si="6"/>
        <v>2024</v>
      </c>
      <c r="K2370" s="110">
        <f t="shared" si="7"/>
        <v>8</v>
      </c>
      <c r="L2370" s="108" t="str">
        <f t="shared" si="8"/>
        <v>2024-Q3</v>
      </c>
      <c r="M2370" s="111" t="str">
        <f t="shared" si="9"/>
        <v>2024-08</v>
      </c>
      <c r="N2370" s="112" t="str">
        <f t="shared" si="10"/>
        <v>2024-H2</v>
      </c>
    </row>
    <row r="2371">
      <c r="A2371" s="113" t="s">
        <v>610</v>
      </c>
      <c r="J2371" s="108" t="str">
        <f t="shared" si="6"/>
        <v>2024</v>
      </c>
      <c r="K2371" s="110">
        <f t="shared" si="7"/>
        <v>8</v>
      </c>
      <c r="L2371" s="108" t="str">
        <f t="shared" si="8"/>
        <v>2024-Q3</v>
      </c>
      <c r="M2371" s="111" t="str">
        <f t="shared" si="9"/>
        <v>2024-08</v>
      </c>
      <c r="N2371" s="112" t="str">
        <f t="shared" si="10"/>
        <v>2024-H2</v>
      </c>
    </row>
    <row r="2372">
      <c r="A2372" s="113" t="s">
        <v>610</v>
      </c>
      <c r="J2372" s="108" t="str">
        <f t="shared" si="6"/>
        <v>2024</v>
      </c>
      <c r="K2372" s="110">
        <f t="shared" si="7"/>
        <v>8</v>
      </c>
      <c r="L2372" s="108" t="str">
        <f t="shared" si="8"/>
        <v>2024-Q3</v>
      </c>
      <c r="M2372" s="111" t="str">
        <f t="shared" si="9"/>
        <v>2024-08</v>
      </c>
      <c r="N2372" s="112" t="str">
        <f t="shared" si="10"/>
        <v>2024-H2</v>
      </c>
    </row>
    <row r="2373">
      <c r="A2373" s="113" t="s">
        <v>610</v>
      </c>
      <c r="J2373" s="108" t="str">
        <f t="shared" si="6"/>
        <v>2024</v>
      </c>
      <c r="K2373" s="110">
        <f t="shared" si="7"/>
        <v>8</v>
      </c>
      <c r="L2373" s="108" t="str">
        <f t="shared" si="8"/>
        <v>2024-Q3</v>
      </c>
      <c r="M2373" s="111" t="str">
        <f t="shared" si="9"/>
        <v>2024-08</v>
      </c>
      <c r="N2373" s="112" t="str">
        <f t="shared" si="10"/>
        <v>2024-H2</v>
      </c>
    </row>
    <row r="2374">
      <c r="A2374" s="113" t="s">
        <v>610</v>
      </c>
      <c r="J2374" s="108" t="str">
        <f t="shared" si="6"/>
        <v>2024</v>
      </c>
      <c r="K2374" s="110">
        <f t="shared" si="7"/>
        <v>7</v>
      </c>
      <c r="L2374" s="108" t="str">
        <f t="shared" si="8"/>
        <v>2024-Q3</v>
      </c>
      <c r="M2374" s="111" t="str">
        <f t="shared" si="9"/>
        <v>2024-07</v>
      </c>
      <c r="N2374" s="112" t="str">
        <f t="shared" si="10"/>
        <v>2024-H2</v>
      </c>
    </row>
    <row r="2375">
      <c r="A2375" s="113" t="s">
        <v>610</v>
      </c>
      <c r="J2375" s="108" t="str">
        <f t="shared" si="6"/>
        <v>2024</v>
      </c>
      <c r="K2375" s="110">
        <f t="shared" si="7"/>
        <v>8</v>
      </c>
      <c r="L2375" s="108" t="str">
        <f t="shared" si="8"/>
        <v>2024-Q3</v>
      </c>
      <c r="M2375" s="111" t="str">
        <f t="shared" si="9"/>
        <v>2024-08</v>
      </c>
      <c r="N2375" s="112" t="str">
        <f t="shared" si="10"/>
        <v>2024-H2</v>
      </c>
    </row>
    <row r="2376">
      <c r="A2376" s="113" t="s">
        <v>610</v>
      </c>
      <c r="J2376" s="108" t="str">
        <f t="shared" si="6"/>
        <v>2024</v>
      </c>
      <c r="K2376" s="110">
        <f t="shared" si="7"/>
        <v>8</v>
      </c>
      <c r="L2376" s="108" t="str">
        <f t="shared" si="8"/>
        <v>2024-Q3</v>
      </c>
      <c r="M2376" s="111" t="str">
        <f t="shared" si="9"/>
        <v>2024-08</v>
      </c>
      <c r="N2376" s="112" t="str">
        <f t="shared" si="10"/>
        <v>2024-H2</v>
      </c>
    </row>
    <row r="2377">
      <c r="A2377" s="113" t="s">
        <v>610</v>
      </c>
      <c r="J2377" s="108" t="str">
        <f t="shared" si="6"/>
        <v>2024</v>
      </c>
      <c r="K2377" s="110">
        <f t="shared" si="7"/>
        <v>8</v>
      </c>
      <c r="L2377" s="108" t="str">
        <f t="shared" si="8"/>
        <v>2024-Q3</v>
      </c>
      <c r="M2377" s="111" t="str">
        <f t="shared" si="9"/>
        <v>2024-08</v>
      </c>
      <c r="N2377" s="112" t="str">
        <f t="shared" si="10"/>
        <v>2024-H2</v>
      </c>
    </row>
    <row r="2378">
      <c r="A2378" s="113" t="s">
        <v>610</v>
      </c>
      <c r="J2378" s="108" t="str">
        <f t="shared" si="6"/>
        <v>2024</v>
      </c>
      <c r="K2378" s="110">
        <f t="shared" si="7"/>
        <v>8</v>
      </c>
      <c r="L2378" s="108" t="str">
        <f t="shared" si="8"/>
        <v>2024-Q3</v>
      </c>
      <c r="M2378" s="111" t="str">
        <f t="shared" si="9"/>
        <v>2024-08</v>
      </c>
      <c r="N2378" s="112" t="str">
        <f t="shared" si="10"/>
        <v>2024-H2</v>
      </c>
    </row>
    <row r="2379">
      <c r="A2379" s="113" t="s">
        <v>610</v>
      </c>
      <c r="J2379" s="108" t="str">
        <f t="shared" si="6"/>
        <v>2024</v>
      </c>
      <c r="K2379" s="110">
        <f t="shared" si="7"/>
        <v>8</v>
      </c>
      <c r="L2379" s="108" t="str">
        <f t="shared" si="8"/>
        <v>2024-Q3</v>
      </c>
      <c r="M2379" s="111" t="str">
        <f t="shared" si="9"/>
        <v>2024-08</v>
      </c>
      <c r="N2379" s="112" t="str">
        <f t="shared" si="10"/>
        <v>2024-H2</v>
      </c>
    </row>
    <row r="2380">
      <c r="A2380" s="113" t="s">
        <v>610</v>
      </c>
      <c r="J2380" s="108" t="str">
        <f t="shared" si="6"/>
        <v>2024</v>
      </c>
      <c r="K2380" s="110">
        <f t="shared" si="7"/>
        <v>8</v>
      </c>
      <c r="L2380" s="108" t="str">
        <f t="shared" si="8"/>
        <v>2024-Q3</v>
      </c>
      <c r="M2380" s="111" t="str">
        <f t="shared" si="9"/>
        <v>2024-08</v>
      </c>
      <c r="N2380" s="112" t="str">
        <f t="shared" si="10"/>
        <v>2024-H2</v>
      </c>
    </row>
    <row r="2381">
      <c r="A2381" s="113" t="s">
        <v>610</v>
      </c>
      <c r="J2381" s="108" t="str">
        <f t="shared" si="6"/>
        <v>2024</v>
      </c>
      <c r="K2381" s="110">
        <f t="shared" si="7"/>
        <v>8</v>
      </c>
      <c r="L2381" s="108" t="str">
        <f t="shared" si="8"/>
        <v>2024-Q3</v>
      </c>
      <c r="M2381" s="111" t="str">
        <f t="shared" si="9"/>
        <v>2024-08</v>
      </c>
      <c r="N2381" s="112" t="str">
        <f t="shared" si="10"/>
        <v>2024-H2</v>
      </c>
    </row>
    <row r="2382">
      <c r="A2382" s="113" t="s">
        <v>610</v>
      </c>
      <c r="J2382" s="108" t="str">
        <f t="shared" si="6"/>
        <v>2024</v>
      </c>
      <c r="K2382" s="110">
        <f t="shared" si="7"/>
        <v>8</v>
      </c>
      <c r="L2382" s="108" t="str">
        <f t="shared" si="8"/>
        <v>2024-Q3</v>
      </c>
      <c r="M2382" s="111" t="str">
        <f t="shared" si="9"/>
        <v>2024-08</v>
      </c>
      <c r="N2382" s="112" t="str">
        <f t="shared" si="10"/>
        <v>2024-H2</v>
      </c>
    </row>
    <row r="2383">
      <c r="A2383" s="113" t="s">
        <v>610</v>
      </c>
      <c r="J2383" s="108" t="str">
        <f t="shared" si="6"/>
        <v>2024</v>
      </c>
      <c r="K2383" s="110">
        <f t="shared" si="7"/>
        <v>8</v>
      </c>
      <c r="L2383" s="108" t="str">
        <f t="shared" si="8"/>
        <v>2024-Q3</v>
      </c>
      <c r="M2383" s="111" t="str">
        <f t="shared" si="9"/>
        <v>2024-08</v>
      </c>
      <c r="N2383" s="112" t="str">
        <f t="shared" si="10"/>
        <v>2024-H2</v>
      </c>
    </row>
    <row r="2384">
      <c r="A2384" s="113" t="s">
        <v>610</v>
      </c>
      <c r="J2384" s="108" t="str">
        <f t="shared" si="6"/>
        <v>2024</v>
      </c>
      <c r="K2384" s="110">
        <f t="shared" si="7"/>
        <v>8</v>
      </c>
      <c r="L2384" s="108" t="str">
        <f t="shared" si="8"/>
        <v>2024-Q3</v>
      </c>
      <c r="M2384" s="111" t="str">
        <f t="shared" si="9"/>
        <v>2024-08</v>
      </c>
      <c r="N2384" s="112" t="str">
        <f t="shared" si="10"/>
        <v>2024-H2</v>
      </c>
    </row>
    <row r="2385">
      <c r="A2385" s="113" t="s">
        <v>610</v>
      </c>
      <c r="J2385" s="108" t="str">
        <f t="shared" si="6"/>
        <v>2024</v>
      </c>
      <c r="K2385" s="110">
        <f t="shared" si="7"/>
        <v>8</v>
      </c>
      <c r="L2385" s="108" t="str">
        <f t="shared" si="8"/>
        <v>2024-Q3</v>
      </c>
      <c r="M2385" s="111" t="str">
        <f t="shared" si="9"/>
        <v>2024-08</v>
      </c>
      <c r="N2385" s="112" t="str">
        <f t="shared" si="10"/>
        <v>2024-H2</v>
      </c>
    </row>
    <row r="2386">
      <c r="A2386" s="113" t="s">
        <v>610</v>
      </c>
      <c r="J2386" s="108" t="str">
        <f t="shared" si="6"/>
        <v>2024</v>
      </c>
      <c r="K2386" s="110">
        <f t="shared" si="7"/>
        <v>8</v>
      </c>
      <c r="L2386" s="108" t="str">
        <f t="shared" si="8"/>
        <v>2024-Q3</v>
      </c>
      <c r="M2386" s="111" t="str">
        <f t="shared" si="9"/>
        <v>2024-08</v>
      </c>
      <c r="N2386" s="112" t="str">
        <f t="shared" si="10"/>
        <v>2024-H2</v>
      </c>
    </row>
    <row r="2387">
      <c r="A2387" s="113" t="s">
        <v>610</v>
      </c>
      <c r="J2387" s="108" t="str">
        <f t="shared" si="6"/>
        <v>2024</v>
      </c>
      <c r="K2387" s="110">
        <f t="shared" si="7"/>
        <v>8</v>
      </c>
      <c r="L2387" s="108" t="str">
        <f t="shared" si="8"/>
        <v>2024-Q3</v>
      </c>
      <c r="M2387" s="111" t="str">
        <f t="shared" si="9"/>
        <v>2024-08</v>
      </c>
      <c r="N2387" s="112" t="str">
        <f t="shared" si="10"/>
        <v>2024-H2</v>
      </c>
    </row>
    <row r="2388">
      <c r="A2388" s="113" t="s">
        <v>610</v>
      </c>
      <c r="J2388" s="108" t="str">
        <f t="shared" si="6"/>
        <v>2024</v>
      </c>
      <c r="K2388" s="110">
        <f t="shared" si="7"/>
        <v>8</v>
      </c>
      <c r="L2388" s="108" t="str">
        <f t="shared" si="8"/>
        <v>2024-Q3</v>
      </c>
      <c r="M2388" s="111" t="str">
        <f t="shared" si="9"/>
        <v>2024-08</v>
      </c>
      <c r="N2388" s="112" t="str">
        <f t="shared" si="10"/>
        <v>2024-H2</v>
      </c>
    </row>
    <row r="2389">
      <c r="A2389" s="113" t="s">
        <v>610</v>
      </c>
      <c r="J2389" s="108" t="str">
        <f t="shared" si="6"/>
        <v>2024</v>
      </c>
      <c r="K2389" s="110">
        <f t="shared" si="7"/>
        <v>8</v>
      </c>
      <c r="L2389" s="108" t="str">
        <f t="shared" si="8"/>
        <v>2024-Q3</v>
      </c>
      <c r="M2389" s="111" t="str">
        <f t="shared" si="9"/>
        <v>2024-08</v>
      </c>
      <c r="N2389" s="112" t="str">
        <f t="shared" si="10"/>
        <v>2024-H2</v>
      </c>
    </row>
    <row r="2390">
      <c r="A2390" s="113" t="s">
        <v>610</v>
      </c>
      <c r="J2390" s="108" t="str">
        <f t="shared" si="6"/>
        <v>2024</v>
      </c>
      <c r="K2390" s="110">
        <f t="shared" si="7"/>
        <v>8</v>
      </c>
      <c r="L2390" s="108" t="str">
        <f t="shared" si="8"/>
        <v>2024-Q3</v>
      </c>
      <c r="M2390" s="111" t="str">
        <f t="shared" si="9"/>
        <v>2024-08</v>
      </c>
      <c r="N2390" s="112" t="str">
        <f t="shared" si="10"/>
        <v>2024-H2</v>
      </c>
    </row>
    <row r="2391">
      <c r="A2391" s="113" t="s">
        <v>610</v>
      </c>
      <c r="J2391" s="108" t="str">
        <f t="shared" si="6"/>
        <v>2024</v>
      </c>
      <c r="K2391" s="110">
        <f t="shared" si="7"/>
        <v>8</v>
      </c>
      <c r="L2391" s="108" t="str">
        <f t="shared" si="8"/>
        <v>2024-Q3</v>
      </c>
      <c r="M2391" s="111" t="str">
        <f t="shared" si="9"/>
        <v>2024-08</v>
      </c>
      <c r="N2391" s="112" t="str">
        <f t="shared" si="10"/>
        <v>2024-H2</v>
      </c>
    </row>
    <row r="2392">
      <c r="A2392" s="113" t="s">
        <v>610</v>
      </c>
      <c r="J2392" s="108" t="str">
        <f t="shared" si="6"/>
        <v>2024</v>
      </c>
      <c r="K2392" s="110">
        <f t="shared" si="7"/>
        <v>8</v>
      </c>
      <c r="L2392" s="108" t="str">
        <f t="shared" si="8"/>
        <v>2024-Q3</v>
      </c>
      <c r="M2392" s="111" t="str">
        <f t="shared" si="9"/>
        <v>2024-08</v>
      </c>
      <c r="N2392" s="112" t="str">
        <f t="shared" si="10"/>
        <v>2024-H2</v>
      </c>
    </row>
    <row r="2393">
      <c r="A2393" s="113" t="s">
        <v>610</v>
      </c>
      <c r="J2393" s="108" t="str">
        <f t="shared" si="6"/>
        <v>2024</v>
      </c>
      <c r="K2393" s="110">
        <f t="shared" si="7"/>
        <v>8</v>
      </c>
      <c r="L2393" s="108" t="str">
        <f t="shared" si="8"/>
        <v>2024-Q3</v>
      </c>
      <c r="M2393" s="111" t="str">
        <f t="shared" si="9"/>
        <v>2024-08</v>
      </c>
      <c r="N2393" s="112" t="str">
        <f t="shared" si="10"/>
        <v>2024-H2</v>
      </c>
    </row>
    <row r="2394">
      <c r="A2394" s="113" t="s">
        <v>610</v>
      </c>
      <c r="J2394" s="108" t="str">
        <f t="shared" si="6"/>
        <v>2024</v>
      </c>
      <c r="K2394" s="110">
        <f t="shared" si="7"/>
        <v>8</v>
      </c>
      <c r="L2394" s="108" t="str">
        <f t="shared" si="8"/>
        <v>2024-Q3</v>
      </c>
      <c r="M2394" s="111" t="str">
        <f t="shared" si="9"/>
        <v>2024-08</v>
      </c>
      <c r="N2394" s="112" t="str">
        <f t="shared" si="10"/>
        <v>2024-H2</v>
      </c>
    </row>
    <row r="2395">
      <c r="A2395" s="113" t="s">
        <v>610</v>
      </c>
      <c r="J2395" s="108" t="str">
        <f t="shared" si="6"/>
        <v>2024</v>
      </c>
      <c r="K2395" s="110">
        <f t="shared" si="7"/>
        <v>8</v>
      </c>
      <c r="L2395" s="108" t="str">
        <f t="shared" si="8"/>
        <v>2024-Q3</v>
      </c>
      <c r="M2395" s="111" t="str">
        <f t="shared" si="9"/>
        <v>2024-08</v>
      </c>
      <c r="N2395" s="112" t="str">
        <f t="shared" si="10"/>
        <v>2024-H2</v>
      </c>
    </row>
    <row r="2396">
      <c r="A2396" s="113" t="s">
        <v>610</v>
      </c>
      <c r="J2396" s="108" t="str">
        <f t="shared" si="6"/>
        <v>2024</v>
      </c>
      <c r="K2396" s="110">
        <f t="shared" si="7"/>
        <v>8</v>
      </c>
      <c r="L2396" s="108" t="str">
        <f t="shared" si="8"/>
        <v>2024-Q3</v>
      </c>
      <c r="M2396" s="111" t="str">
        <f t="shared" si="9"/>
        <v>2024-08</v>
      </c>
      <c r="N2396" s="112" t="str">
        <f t="shared" si="10"/>
        <v>2024-H2</v>
      </c>
    </row>
    <row r="2397">
      <c r="A2397" s="113" t="s">
        <v>610</v>
      </c>
      <c r="J2397" s="108" t="str">
        <f t="shared" si="6"/>
        <v>2024</v>
      </c>
      <c r="K2397" s="110">
        <f t="shared" si="7"/>
        <v>8</v>
      </c>
      <c r="L2397" s="108" t="str">
        <f t="shared" si="8"/>
        <v>2024-Q3</v>
      </c>
      <c r="M2397" s="111" t="str">
        <f t="shared" si="9"/>
        <v>2024-08</v>
      </c>
      <c r="N2397" s="112" t="str">
        <f t="shared" si="10"/>
        <v>2024-H2</v>
      </c>
    </row>
    <row r="2398">
      <c r="A2398" s="113" t="s">
        <v>610</v>
      </c>
      <c r="J2398" s="108" t="str">
        <f t="shared" si="6"/>
        <v>2024</v>
      </c>
      <c r="K2398" s="110">
        <f t="shared" si="7"/>
        <v>8</v>
      </c>
      <c r="L2398" s="108" t="str">
        <f t="shared" si="8"/>
        <v>2024-Q3</v>
      </c>
      <c r="M2398" s="111" t="str">
        <f t="shared" si="9"/>
        <v>2024-08</v>
      </c>
      <c r="N2398" s="112" t="str">
        <f t="shared" si="10"/>
        <v>2024-H2</v>
      </c>
    </row>
    <row r="2399">
      <c r="A2399" s="113" t="s">
        <v>610</v>
      </c>
      <c r="J2399" s="108" t="str">
        <f t="shared" si="6"/>
        <v>2024</v>
      </c>
      <c r="K2399" s="110">
        <f t="shared" si="7"/>
        <v>8</v>
      </c>
      <c r="L2399" s="108" t="str">
        <f t="shared" si="8"/>
        <v>2024-Q3</v>
      </c>
      <c r="M2399" s="111" t="str">
        <f t="shared" si="9"/>
        <v>2024-08</v>
      </c>
      <c r="N2399" s="112" t="str">
        <f t="shared" si="10"/>
        <v>2024-H2</v>
      </c>
    </row>
    <row r="2400">
      <c r="A2400" s="113" t="s">
        <v>610</v>
      </c>
      <c r="J2400" s="108" t="str">
        <f t="shared" si="6"/>
        <v>2024</v>
      </c>
      <c r="K2400" s="110">
        <f t="shared" si="7"/>
        <v>8</v>
      </c>
      <c r="L2400" s="108" t="str">
        <f t="shared" si="8"/>
        <v>2024-Q3</v>
      </c>
      <c r="M2400" s="111" t="str">
        <f t="shared" si="9"/>
        <v>2024-08</v>
      </c>
      <c r="N2400" s="112" t="str">
        <f t="shared" si="10"/>
        <v>2024-H2</v>
      </c>
    </row>
    <row r="2401">
      <c r="A2401" s="113" t="s">
        <v>610</v>
      </c>
      <c r="J2401" s="108" t="str">
        <f t="shared" si="6"/>
        <v>2024</v>
      </c>
      <c r="K2401" s="110">
        <f t="shared" si="7"/>
        <v>8</v>
      </c>
      <c r="L2401" s="108" t="str">
        <f t="shared" si="8"/>
        <v>2024-Q3</v>
      </c>
      <c r="M2401" s="111" t="str">
        <f t="shared" si="9"/>
        <v>2024-08</v>
      </c>
      <c r="N2401" s="112" t="str">
        <f t="shared" si="10"/>
        <v>2024-H2</v>
      </c>
    </row>
    <row r="2402">
      <c r="A2402" s="113" t="s">
        <v>610</v>
      </c>
      <c r="J2402" s="108" t="str">
        <f t="shared" si="6"/>
        <v>2024</v>
      </c>
      <c r="K2402" s="110">
        <f t="shared" si="7"/>
        <v>8</v>
      </c>
      <c r="L2402" s="108" t="str">
        <f t="shared" si="8"/>
        <v>2024-Q3</v>
      </c>
      <c r="M2402" s="111" t="str">
        <f t="shared" si="9"/>
        <v>2024-08</v>
      </c>
      <c r="N2402" s="112" t="str">
        <f t="shared" si="10"/>
        <v>2024-H2</v>
      </c>
    </row>
    <row r="2403">
      <c r="A2403" s="113" t="s">
        <v>610</v>
      </c>
      <c r="J2403" s="108" t="str">
        <f t="shared" si="6"/>
        <v>2024</v>
      </c>
      <c r="K2403" s="110">
        <f t="shared" si="7"/>
        <v>8</v>
      </c>
      <c r="L2403" s="108" t="str">
        <f t="shared" si="8"/>
        <v>2024-Q3</v>
      </c>
      <c r="M2403" s="111" t="str">
        <f t="shared" si="9"/>
        <v>2024-08</v>
      </c>
      <c r="N2403" s="112" t="str">
        <f t="shared" si="10"/>
        <v>2024-H2</v>
      </c>
    </row>
    <row r="2404">
      <c r="A2404" s="113" t="s">
        <v>610</v>
      </c>
      <c r="J2404" s="108" t="str">
        <f t="shared" si="6"/>
        <v>2024</v>
      </c>
      <c r="K2404" s="110">
        <f t="shared" si="7"/>
        <v>8</v>
      </c>
      <c r="L2404" s="108" t="str">
        <f t="shared" si="8"/>
        <v>2024-Q3</v>
      </c>
      <c r="M2404" s="111" t="str">
        <f t="shared" si="9"/>
        <v>2024-08</v>
      </c>
      <c r="N2404" s="112" t="str">
        <f t="shared" si="10"/>
        <v>2024-H2</v>
      </c>
    </row>
    <row r="2405">
      <c r="A2405" s="113" t="s">
        <v>610</v>
      </c>
      <c r="J2405" s="108" t="str">
        <f t="shared" si="6"/>
        <v>2024</v>
      </c>
      <c r="K2405" s="110">
        <f t="shared" si="7"/>
        <v>8</v>
      </c>
      <c r="L2405" s="108" t="str">
        <f t="shared" si="8"/>
        <v>2024-Q3</v>
      </c>
      <c r="M2405" s="111" t="str">
        <f t="shared" si="9"/>
        <v>2024-08</v>
      </c>
      <c r="N2405" s="112" t="str">
        <f t="shared" si="10"/>
        <v>2024-H2</v>
      </c>
    </row>
    <row r="2406">
      <c r="A2406" s="113" t="s">
        <v>610</v>
      </c>
      <c r="J2406" s="108" t="str">
        <f t="shared" si="6"/>
        <v>2024</v>
      </c>
      <c r="K2406" s="110">
        <f t="shared" si="7"/>
        <v>8</v>
      </c>
      <c r="L2406" s="108" t="str">
        <f t="shared" si="8"/>
        <v>2024-Q3</v>
      </c>
      <c r="M2406" s="111" t="str">
        <f t="shared" si="9"/>
        <v>2024-08</v>
      </c>
      <c r="N2406" s="112" t="str">
        <f t="shared" si="10"/>
        <v>2024-H2</v>
      </c>
    </row>
    <row r="2407">
      <c r="A2407" s="113" t="s">
        <v>610</v>
      </c>
      <c r="J2407" s="108" t="str">
        <f t="shared" si="6"/>
        <v>2024</v>
      </c>
      <c r="K2407" s="110">
        <f t="shared" si="7"/>
        <v>8</v>
      </c>
      <c r="L2407" s="108" t="str">
        <f t="shared" si="8"/>
        <v>2024-Q3</v>
      </c>
      <c r="M2407" s="111" t="str">
        <f t="shared" si="9"/>
        <v>2024-08</v>
      </c>
      <c r="N2407" s="112" t="str">
        <f t="shared" si="10"/>
        <v>2024-H2</v>
      </c>
    </row>
    <row r="2408">
      <c r="A2408" s="113" t="s">
        <v>610</v>
      </c>
      <c r="J2408" s="108" t="str">
        <f t="shared" si="6"/>
        <v>2024</v>
      </c>
      <c r="K2408" s="110">
        <f t="shared" si="7"/>
        <v>8</v>
      </c>
      <c r="L2408" s="108" t="str">
        <f t="shared" si="8"/>
        <v>2024-Q3</v>
      </c>
      <c r="M2408" s="111" t="str">
        <f t="shared" si="9"/>
        <v>2024-08</v>
      </c>
      <c r="N2408" s="112" t="str">
        <f t="shared" si="10"/>
        <v>2024-H2</v>
      </c>
    </row>
    <row r="2409">
      <c r="A2409" s="113" t="s">
        <v>610</v>
      </c>
      <c r="J2409" s="108" t="str">
        <f t="shared" si="6"/>
        <v>2024</v>
      </c>
      <c r="K2409" s="110">
        <f t="shared" si="7"/>
        <v>8</v>
      </c>
      <c r="L2409" s="108" t="str">
        <f t="shared" si="8"/>
        <v>2024-Q3</v>
      </c>
      <c r="M2409" s="111" t="str">
        <f t="shared" si="9"/>
        <v>2024-08</v>
      </c>
      <c r="N2409" s="112" t="str">
        <f t="shared" si="10"/>
        <v>2024-H2</v>
      </c>
    </row>
    <row r="2410">
      <c r="A2410" s="113" t="s">
        <v>610</v>
      </c>
      <c r="J2410" s="108" t="str">
        <f t="shared" si="6"/>
        <v>2024</v>
      </c>
      <c r="K2410" s="110">
        <f t="shared" si="7"/>
        <v>8</v>
      </c>
      <c r="L2410" s="108" t="str">
        <f t="shared" si="8"/>
        <v>2024-Q3</v>
      </c>
      <c r="M2410" s="111" t="str">
        <f t="shared" si="9"/>
        <v>2024-08</v>
      </c>
      <c r="N2410" s="112" t="str">
        <f t="shared" si="10"/>
        <v>2024-H2</v>
      </c>
    </row>
    <row r="2411">
      <c r="A2411" s="113" t="s">
        <v>610</v>
      </c>
      <c r="J2411" s="108" t="str">
        <f t="shared" si="6"/>
        <v>2024</v>
      </c>
      <c r="K2411" s="110">
        <f t="shared" si="7"/>
        <v>8</v>
      </c>
      <c r="L2411" s="108" t="str">
        <f t="shared" si="8"/>
        <v>2024-Q3</v>
      </c>
      <c r="M2411" s="111" t="str">
        <f t="shared" si="9"/>
        <v>2024-08</v>
      </c>
      <c r="N2411" s="112" t="str">
        <f t="shared" si="10"/>
        <v>2024-H2</v>
      </c>
    </row>
    <row r="2412">
      <c r="A2412" s="113" t="s">
        <v>610</v>
      </c>
      <c r="J2412" s="108" t="str">
        <f t="shared" si="6"/>
        <v>2024</v>
      </c>
      <c r="K2412" s="110">
        <f t="shared" si="7"/>
        <v>8</v>
      </c>
      <c r="L2412" s="108" t="str">
        <f t="shared" si="8"/>
        <v>2024-Q3</v>
      </c>
      <c r="M2412" s="111" t="str">
        <f t="shared" si="9"/>
        <v>2024-08</v>
      </c>
      <c r="N2412" s="112" t="str">
        <f t="shared" si="10"/>
        <v>2024-H2</v>
      </c>
    </row>
    <row r="2413">
      <c r="A2413" s="113" t="s">
        <v>610</v>
      </c>
      <c r="J2413" s="108" t="str">
        <f t="shared" si="6"/>
        <v>2024</v>
      </c>
      <c r="K2413" s="110">
        <f t="shared" si="7"/>
        <v>8</v>
      </c>
      <c r="L2413" s="108" t="str">
        <f t="shared" si="8"/>
        <v>2024-Q3</v>
      </c>
      <c r="M2413" s="111" t="str">
        <f t="shared" si="9"/>
        <v>2024-08</v>
      </c>
      <c r="N2413" s="112" t="str">
        <f t="shared" si="10"/>
        <v>2024-H2</v>
      </c>
    </row>
    <row r="2414">
      <c r="A2414" s="113" t="s">
        <v>610</v>
      </c>
      <c r="J2414" s="108" t="str">
        <f t="shared" si="6"/>
        <v>2024</v>
      </c>
      <c r="K2414" s="110">
        <f t="shared" si="7"/>
        <v>8</v>
      </c>
      <c r="L2414" s="108" t="str">
        <f t="shared" si="8"/>
        <v>2024-Q3</v>
      </c>
      <c r="M2414" s="111" t="str">
        <f t="shared" si="9"/>
        <v>2024-08</v>
      </c>
      <c r="N2414" s="112" t="str">
        <f t="shared" si="10"/>
        <v>2024-H2</v>
      </c>
    </row>
    <row r="2415">
      <c r="A2415" s="113" t="s">
        <v>610</v>
      </c>
      <c r="J2415" s="108" t="str">
        <f t="shared" si="6"/>
        <v>2024</v>
      </c>
      <c r="K2415" s="110">
        <f t="shared" si="7"/>
        <v>8</v>
      </c>
      <c r="L2415" s="108" t="str">
        <f t="shared" si="8"/>
        <v>2024-Q3</v>
      </c>
      <c r="M2415" s="111" t="str">
        <f t="shared" si="9"/>
        <v>2024-08</v>
      </c>
      <c r="N2415" s="112" t="str">
        <f t="shared" si="10"/>
        <v>2024-H2</v>
      </c>
    </row>
    <row r="2416">
      <c r="A2416" s="113" t="s">
        <v>610</v>
      </c>
      <c r="J2416" s="108" t="str">
        <f t="shared" si="6"/>
        <v>2024</v>
      </c>
      <c r="K2416" s="110">
        <f t="shared" si="7"/>
        <v>8</v>
      </c>
      <c r="L2416" s="108" t="str">
        <f t="shared" si="8"/>
        <v>2024-Q3</v>
      </c>
      <c r="M2416" s="111" t="str">
        <f t="shared" si="9"/>
        <v>2024-08</v>
      </c>
      <c r="N2416" s="112" t="str">
        <f t="shared" si="10"/>
        <v>2024-H2</v>
      </c>
    </row>
    <row r="2417">
      <c r="A2417" s="113" t="s">
        <v>610</v>
      </c>
      <c r="J2417" s="108" t="str">
        <f t="shared" si="6"/>
        <v>2024</v>
      </c>
      <c r="K2417" s="110">
        <f t="shared" si="7"/>
        <v>8</v>
      </c>
      <c r="L2417" s="108" t="str">
        <f t="shared" si="8"/>
        <v>2024-Q3</v>
      </c>
      <c r="M2417" s="111" t="str">
        <f t="shared" si="9"/>
        <v>2024-08</v>
      </c>
      <c r="N2417" s="112" t="str">
        <f t="shared" si="10"/>
        <v>2024-H2</v>
      </c>
    </row>
    <row r="2418">
      <c r="A2418" s="113" t="s">
        <v>610</v>
      </c>
      <c r="J2418" s="108" t="str">
        <f t="shared" si="6"/>
        <v>2024</v>
      </c>
      <c r="K2418" s="110">
        <f t="shared" si="7"/>
        <v>8</v>
      </c>
      <c r="L2418" s="108" t="str">
        <f t="shared" si="8"/>
        <v>2024-Q3</v>
      </c>
      <c r="M2418" s="111" t="str">
        <f t="shared" si="9"/>
        <v>2024-08</v>
      </c>
      <c r="N2418" s="112" t="str">
        <f t="shared" si="10"/>
        <v>2024-H2</v>
      </c>
    </row>
    <row r="2419">
      <c r="A2419" s="113" t="s">
        <v>610</v>
      </c>
      <c r="J2419" s="108" t="str">
        <f t="shared" si="6"/>
        <v>2024</v>
      </c>
      <c r="K2419" s="110">
        <f t="shared" si="7"/>
        <v>8</v>
      </c>
      <c r="L2419" s="108" t="str">
        <f t="shared" si="8"/>
        <v>2024-Q3</v>
      </c>
      <c r="M2419" s="111" t="str">
        <f t="shared" si="9"/>
        <v>2024-08</v>
      </c>
      <c r="N2419" s="112" t="str">
        <f t="shared" si="10"/>
        <v>2024-H2</v>
      </c>
    </row>
    <row r="2420">
      <c r="A2420" s="113" t="s">
        <v>610</v>
      </c>
      <c r="J2420" s="108" t="str">
        <f t="shared" si="6"/>
        <v>2024</v>
      </c>
      <c r="K2420" s="110">
        <f t="shared" si="7"/>
        <v>8</v>
      </c>
      <c r="L2420" s="108" t="str">
        <f t="shared" si="8"/>
        <v>2024-Q3</v>
      </c>
      <c r="M2420" s="111" t="str">
        <f t="shared" si="9"/>
        <v>2024-08</v>
      </c>
      <c r="N2420" s="112" t="str">
        <f t="shared" si="10"/>
        <v>2024-H2</v>
      </c>
    </row>
    <row r="2421">
      <c r="A2421" s="113" t="s">
        <v>610</v>
      </c>
      <c r="J2421" s="108" t="str">
        <f t="shared" si="6"/>
        <v>2024</v>
      </c>
      <c r="K2421" s="110">
        <f t="shared" si="7"/>
        <v>8</v>
      </c>
      <c r="L2421" s="108" t="str">
        <f t="shared" si="8"/>
        <v>2024-Q3</v>
      </c>
      <c r="M2421" s="111" t="str">
        <f t="shared" si="9"/>
        <v>2024-08</v>
      </c>
      <c r="N2421" s="112" t="str">
        <f t="shared" si="10"/>
        <v>2024-H2</v>
      </c>
    </row>
    <row r="2422">
      <c r="A2422" s="113" t="s">
        <v>610</v>
      </c>
      <c r="J2422" s="108" t="str">
        <f t="shared" si="6"/>
        <v>2024</v>
      </c>
      <c r="K2422" s="110">
        <f t="shared" si="7"/>
        <v>8</v>
      </c>
      <c r="L2422" s="108" t="str">
        <f t="shared" si="8"/>
        <v>2024-Q3</v>
      </c>
      <c r="M2422" s="111" t="str">
        <f t="shared" si="9"/>
        <v>2024-08</v>
      </c>
      <c r="N2422" s="112" t="str">
        <f t="shared" si="10"/>
        <v>2024-H2</v>
      </c>
    </row>
    <row r="2423">
      <c r="A2423" s="113" t="s">
        <v>610</v>
      </c>
      <c r="J2423" s="108" t="str">
        <f t="shared" si="6"/>
        <v>2024</v>
      </c>
      <c r="K2423" s="110">
        <f t="shared" si="7"/>
        <v>8</v>
      </c>
      <c r="L2423" s="108" t="str">
        <f t="shared" si="8"/>
        <v>2024-Q3</v>
      </c>
      <c r="M2423" s="111" t="str">
        <f t="shared" si="9"/>
        <v>2024-08</v>
      </c>
      <c r="N2423" s="112" t="str">
        <f t="shared" si="10"/>
        <v>2024-H2</v>
      </c>
    </row>
    <row r="2424">
      <c r="A2424" s="113" t="s">
        <v>610</v>
      </c>
      <c r="J2424" s="108" t="str">
        <f t="shared" si="6"/>
        <v>2024</v>
      </c>
      <c r="K2424" s="110">
        <f t="shared" si="7"/>
        <v>8</v>
      </c>
      <c r="L2424" s="108" t="str">
        <f t="shared" si="8"/>
        <v>2024-Q3</v>
      </c>
      <c r="M2424" s="111" t="str">
        <f t="shared" si="9"/>
        <v>2024-08</v>
      </c>
      <c r="N2424" s="112" t="str">
        <f t="shared" si="10"/>
        <v>2024-H2</v>
      </c>
    </row>
    <row r="2425">
      <c r="A2425" s="113" t="s">
        <v>610</v>
      </c>
      <c r="J2425" s="108" t="str">
        <f t="shared" si="6"/>
        <v>2024</v>
      </c>
      <c r="K2425" s="110">
        <f t="shared" si="7"/>
        <v>9</v>
      </c>
      <c r="L2425" s="108" t="str">
        <f t="shared" si="8"/>
        <v>2024-Q3</v>
      </c>
      <c r="M2425" s="111" t="str">
        <f t="shared" si="9"/>
        <v>2024-09</v>
      </c>
      <c r="N2425" s="112" t="str">
        <f t="shared" si="10"/>
        <v>2024-H2</v>
      </c>
    </row>
    <row r="2426">
      <c r="A2426" s="113" t="s">
        <v>610</v>
      </c>
      <c r="J2426" s="108" t="str">
        <f t="shared" si="6"/>
        <v>2024</v>
      </c>
      <c r="K2426" s="110">
        <f t="shared" si="7"/>
        <v>8</v>
      </c>
      <c r="L2426" s="108" t="str">
        <f t="shared" si="8"/>
        <v>2024-Q3</v>
      </c>
      <c r="M2426" s="111" t="str">
        <f t="shared" si="9"/>
        <v>2024-08</v>
      </c>
      <c r="N2426" s="112" t="str">
        <f t="shared" si="10"/>
        <v>2024-H2</v>
      </c>
    </row>
    <row r="2427">
      <c r="A2427" s="113" t="s">
        <v>610</v>
      </c>
      <c r="J2427" s="108" t="str">
        <f t="shared" si="6"/>
        <v>2024</v>
      </c>
      <c r="K2427" s="110">
        <f t="shared" si="7"/>
        <v>8</v>
      </c>
      <c r="L2427" s="108" t="str">
        <f t="shared" si="8"/>
        <v>2024-Q3</v>
      </c>
      <c r="M2427" s="111" t="str">
        <f t="shared" si="9"/>
        <v>2024-08</v>
      </c>
      <c r="N2427" s="112" t="str">
        <f t="shared" si="10"/>
        <v>2024-H2</v>
      </c>
    </row>
    <row r="2428">
      <c r="A2428" s="113" t="s">
        <v>610</v>
      </c>
      <c r="J2428" s="108" t="str">
        <f t="shared" si="6"/>
        <v>2024</v>
      </c>
      <c r="K2428" s="110">
        <f t="shared" si="7"/>
        <v>9</v>
      </c>
      <c r="L2428" s="108" t="str">
        <f t="shared" si="8"/>
        <v>2024-Q3</v>
      </c>
      <c r="M2428" s="111" t="str">
        <f t="shared" si="9"/>
        <v>2024-09</v>
      </c>
      <c r="N2428" s="112" t="str">
        <f t="shared" si="10"/>
        <v>2024-H2</v>
      </c>
    </row>
    <row r="2429">
      <c r="A2429" s="113" t="s">
        <v>610</v>
      </c>
      <c r="J2429" s="108" t="str">
        <f t="shared" si="6"/>
        <v>2024</v>
      </c>
      <c r="K2429" s="110">
        <f t="shared" si="7"/>
        <v>8</v>
      </c>
      <c r="L2429" s="108" t="str">
        <f t="shared" si="8"/>
        <v>2024-Q3</v>
      </c>
      <c r="M2429" s="111" t="str">
        <f t="shared" si="9"/>
        <v>2024-08</v>
      </c>
      <c r="N2429" s="112" t="str">
        <f t="shared" si="10"/>
        <v>2024-H2</v>
      </c>
    </row>
    <row r="2430">
      <c r="A2430" s="113" t="s">
        <v>610</v>
      </c>
      <c r="J2430" s="108" t="str">
        <f t="shared" si="6"/>
        <v>2024</v>
      </c>
      <c r="K2430" s="110">
        <f t="shared" si="7"/>
        <v>8</v>
      </c>
      <c r="L2430" s="108" t="str">
        <f t="shared" si="8"/>
        <v>2024-Q3</v>
      </c>
      <c r="M2430" s="111" t="str">
        <f t="shared" si="9"/>
        <v>2024-08</v>
      </c>
      <c r="N2430" s="112" t="str">
        <f t="shared" si="10"/>
        <v>2024-H2</v>
      </c>
    </row>
    <row r="2431">
      <c r="A2431" s="113" t="s">
        <v>610</v>
      </c>
      <c r="J2431" s="108" t="str">
        <f t="shared" si="6"/>
        <v>2024</v>
      </c>
      <c r="K2431" s="110">
        <f t="shared" si="7"/>
        <v>8</v>
      </c>
      <c r="L2431" s="108" t="str">
        <f t="shared" si="8"/>
        <v>2024-Q3</v>
      </c>
      <c r="M2431" s="111" t="str">
        <f t="shared" si="9"/>
        <v>2024-08</v>
      </c>
      <c r="N2431" s="112" t="str">
        <f t="shared" si="10"/>
        <v>2024-H2</v>
      </c>
    </row>
    <row r="2432">
      <c r="A2432" s="113" t="s">
        <v>610</v>
      </c>
      <c r="J2432" s="108" t="str">
        <f t="shared" si="6"/>
        <v>2024</v>
      </c>
      <c r="K2432" s="110">
        <f t="shared" si="7"/>
        <v>8</v>
      </c>
      <c r="L2432" s="108" t="str">
        <f t="shared" si="8"/>
        <v>2024-Q3</v>
      </c>
      <c r="M2432" s="111" t="str">
        <f t="shared" si="9"/>
        <v>2024-08</v>
      </c>
      <c r="N2432" s="112" t="str">
        <f t="shared" si="10"/>
        <v>2024-H2</v>
      </c>
    </row>
    <row r="2433">
      <c r="A2433" s="113" t="s">
        <v>610</v>
      </c>
      <c r="J2433" s="108" t="str">
        <f t="shared" si="6"/>
        <v>2024</v>
      </c>
      <c r="K2433" s="110">
        <f t="shared" si="7"/>
        <v>8</v>
      </c>
      <c r="L2433" s="108" t="str">
        <f t="shared" si="8"/>
        <v>2024-Q3</v>
      </c>
      <c r="M2433" s="111" t="str">
        <f t="shared" si="9"/>
        <v>2024-08</v>
      </c>
      <c r="N2433" s="112" t="str">
        <f t="shared" si="10"/>
        <v>2024-H2</v>
      </c>
    </row>
    <row r="2434">
      <c r="A2434" s="113" t="s">
        <v>610</v>
      </c>
      <c r="J2434" s="108" t="str">
        <f t="shared" si="6"/>
        <v>2024</v>
      </c>
      <c r="K2434" s="110">
        <f t="shared" si="7"/>
        <v>8</v>
      </c>
      <c r="L2434" s="108" t="str">
        <f t="shared" si="8"/>
        <v>2024-Q3</v>
      </c>
      <c r="M2434" s="111" t="str">
        <f t="shared" si="9"/>
        <v>2024-08</v>
      </c>
      <c r="N2434" s="112" t="str">
        <f t="shared" si="10"/>
        <v>2024-H2</v>
      </c>
    </row>
    <row r="2435">
      <c r="A2435" s="113" t="s">
        <v>610</v>
      </c>
      <c r="J2435" s="108" t="str">
        <f t="shared" si="6"/>
        <v>2024</v>
      </c>
      <c r="K2435" s="110">
        <f t="shared" si="7"/>
        <v>8</v>
      </c>
      <c r="L2435" s="108" t="str">
        <f t="shared" si="8"/>
        <v>2024-Q3</v>
      </c>
      <c r="M2435" s="111" t="str">
        <f t="shared" si="9"/>
        <v>2024-08</v>
      </c>
      <c r="N2435" s="112" t="str">
        <f t="shared" si="10"/>
        <v>2024-H2</v>
      </c>
    </row>
    <row r="2436">
      <c r="A2436" s="113" t="s">
        <v>610</v>
      </c>
      <c r="J2436" s="108" t="str">
        <f t="shared" si="6"/>
        <v>2024</v>
      </c>
      <c r="K2436" s="110">
        <f t="shared" si="7"/>
        <v>8</v>
      </c>
      <c r="L2436" s="108" t="str">
        <f t="shared" si="8"/>
        <v>2024-Q3</v>
      </c>
      <c r="M2436" s="111" t="str">
        <f t="shared" si="9"/>
        <v>2024-08</v>
      </c>
      <c r="N2436" s="112" t="str">
        <f t="shared" si="10"/>
        <v>2024-H2</v>
      </c>
    </row>
    <row r="2437">
      <c r="A2437" s="113" t="s">
        <v>610</v>
      </c>
      <c r="J2437" s="108" t="str">
        <f t="shared" si="6"/>
        <v>2024</v>
      </c>
      <c r="K2437" s="110">
        <f t="shared" si="7"/>
        <v>8</v>
      </c>
      <c r="L2437" s="108" t="str">
        <f t="shared" si="8"/>
        <v>2024-Q3</v>
      </c>
      <c r="M2437" s="111" t="str">
        <f t="shared" si="9"/>
        <v>2024-08</v>
      </c>
      <c r="N2437" s="112" t="str">
        <f t="shared" si="10"/>
        <v>2024-H2</v>
      </c>
    </row>
    <row r="2438">
      <c r="A2438" s="113" t="s">
        <v>610</v>
      </c>
      <c r="J2438" s="108" t="str">
        <f t="shared" si="6"/>
        <v>2024</v>
      </c>
      <c r="K2438" s="110">
        <f t="shared" si="7"/>
        <v>8</v>
      </c>
      <c r="L2438" s="108" t="str">
        <f t="shared" si="8"/>
        <v>2024-Q3</v>
      </c>
      <c r="M2438" s="111" t="str">
        <f t="shared" si="9"/>
        <v>2024-08</v>
      </c>
      <c r="N2438" s="112" t="str">
        <f t="shared" si="10"/>
        <v>2024-H2</v>
      </c>
    </row>
    <row r="2439">
      <c r="A2439" s="113" t="s">
        <v>610</v>
      </c>
      <c r="J2439" s="108" t="str">
        <f t="shared" si="6"/>
        <v>2024</v>
      </c>
      <c r="K2439" s="110">
        <f t="shared" si="7"/>
        <v>8</v>
      </c>
      <c r="L2439" s="108" t="str">
        <f t="shared" si="8"/>
        <v>2024-Q3</v>
      </c>
      <c r="M2439" s="111" t="str">
        <f t="shared" si="9"/>
        <v>2024-08</v>
      </c>
      <c r="N2439" s="112" t="str">
        <f t="shared" si="10"/>
        <v>2024-H2</v>
      </c>
    </row>
    <row r="2440">
      <c r="A2440" s="113" t="s">
        <v>610</v>
      </c>
      <c r="J2440" s="108" t="str">
        <f t="shared" si="6"/>
        <v>2024</v>
      </c>
      <c r="K2440" s="110">
        <f t="shared" si="7"/>
        <v>8</v>
      </c>
      <c r="L2440" s="108" t="str">
        <f t="shared" si="8"/>
        <v>2024-Q3</v>
      </c>
      <c r="M2440" s="111" t="str">
        <f t="shared" si="9"/>
        <v>2024-08</v>
      </c>
      <c r="N2440" s="112" t="str">
        <f t="shared" si="10"/>
        <v>2024-H2</v>
      </c>
    </row>
    <row r="2441">
      <c r="A2441" s="113" t="s">
        <v>610</v>
      </c>
      <c r="J2441" s="108" t="str">
        <f t="shared" si="6"/>
        <v>2024</v>
      </c>
      <c r="K2441" s="110">
        <f t="shared" si="7"/>
        <v>8</v>
      </c>
      <c r="L2441" s="108" t="str">
        <f t="shared" si="8"/>
        <v>2024-Q3</v>
      </c>
      <c r="M2441" s="111" t="str">
        <f t="shared" si="9"/>
        <v>2024-08</v>
      </c>
      <c r="N2441" s="112" t="str">
        <f t="shared" si="10"/>
        <v>2024-H2</v>
      </c>
    </row>
    <row r="2442">
      <c r="A2442" s="113" t="s">
        <v>610</v>
      </c>
      <c r="J2442" s="108" t="str">
        <f t="shared" si="6"/>
        <v>2024</v>
      </c>
      <c r="K2442" s="110">
        <f t="shared" si="7"/>
        <v>8</v>
      </c>
      <c r="L2442" s="108" t="str">
        <f t="shared" si="8"/>
        <v>2024-Q3</v>
      </c>
      <c r="M2442" s="111" t="str">
        <f t="shared" si="9"/>
        <v>2024-08</v>
      </c>
      <c r="N2442" s="112" t="str">
        <f t="shared" si="10"/>
        <v>2024-H2</v>
      </c>
    </row>
    <row r="2443">
      <c r="A2443" s="113" t="s">
        <v>610</v>
      </c>
      <c r="J2443" s="108" t="str">
        <f t="shared" si="6"/>
        <v>2024</v>
      </c>
      <c r="K2443" s="110">
        <f t="shared" si="7"/>
        <v>8</v>
      </c>
      <c r="L2443" s="108" t="str">
        <f t="shared" si="8"/>
        <v>2024-Q3</v>
      </c>
      <c r="M2443" s="111" t="str">
        <f t="shared" si="9"/>
        <v>2024-08</v>
      </c>
      <c r="N2443" s="112" t="str">
        <f t="shared" si="10"/>
        <v>2024-H2</v>
      </c>
    </row>
    <row r="2444">
      <c r="A2444" s="113" t="s">
        <v>610</v>
      </c>
      <c r="J2444" s="108" t="str">
        <f t="shared" si="6"/>
        <v>2024</v>
      </c>
      <c r="K2444" s="110">
        <f t="shared" si="7"/>
        <v>8</v>
      </c>
      <c r="L2444" s="108" t="str">
        <f t="shared" si="8"/>
        <v>2024-Q3</v>
      </c>
      <c r="M2444" s="111" t="str">
        <f t="shared" si="9"/>
        <v>2024-08</v>
      </c>
      <c r="N2444" s="112" t="str">
        <f t="shared" si="10"/>
        <v>2024-H2</v>
      </c>
    </row>
    <row r="2445">
      <c r="A2445" s="113" t="s">
        <v>610</v>
      </c>
      <c r="J2445" s="108" t="str">
        <f t="shared" si="6"/>
        <v>2024</v>
      </c>
      <c r="K2445" s="110">
        <f t="shared" si="7"/>
        <v>8</v>
      </c>
      <c r="L2445" s="108" t="str">
        <f t="shared" si="8"/>
        <v>2024-Q3</v>
      </c>
      <c r="M2445" s="111" t="str">
        <f t="shared" si="9"/>
        <v>2024-08</v>
      </c>
      <c r="N2445" s="112" t="str">
        <f t="shared" si="10"/>
        <v>2024-H2</v>
      </c>
    </row>
    <row r="2446">
      <c r="A2446" s="113" t="s">
        <v>610</v>
      </c>
      <c r="J2446" s="108" t="str">
        <f t="shared" si="6"/>
        <v>2024</v>
      </c>
      <c r="K2446" s="110">
        <f t="shared" si="7"/>
        <v>8</v>
      </c>
      <c r="L2446" s="108" t="str">
        <f t="shared" si="8"/>
        <v>2024-Q3</v>
      </c>
      <c r="M2446" s="111" t="str">
        <f t="shared" si="9"/>
        <v>2024-08</v>
      </c>
      <c r="N2446" s="112" t="str">
        <f t="shared" si="10"/>
        <v>2024-H2</v>
      </c>
    </row>
    <row r="2447">
      <c r="A2447" s="113" t="s">
        <v>610</v>
      </c>
      <c r="J2447" s="108" t="str">
        <f t="shared" si="6"/>
        <v>2024</v>
      </c>
      <c r="K2447" s="110">
        <f t="shared" si="7"/>
        <v>8</v>
      </c>
      <c r="L2447" s="108" t="str">
        <f t="shared" si="8"/>
        <v>2024-Q3</v>
      </c>
      <c r="M2447" s="111" t="str">
        <f t="shared" si="9"/>
        <v>2024-08</v>
      </c>
      <c r="N2447" s="112" t="str">
        <f t="shared" si="10"/>
        <v>2024-H2</v>
      </c>
    </row>
    <row r="2448">
      <c r="A2448" s="113" t="s">
        <v>610</v>
      </c>
      <c r="J2448" s="108" t="str">
        <f t="shared" si="6"/>
        <v>2024</v>
      </c>
      <c r="K2448" s="110">
        <f t="shared" si="7"/>
        <v>8</v>
      </c>
      <c r="L2448" s="108" t="str">
        <f t="shared" si="8"/>
        <v>2024-Q3</v>
      </c>
      <c r="M2448" s="111" t="str">
        <f t="shared" si="9"/>
        <v>2024-08</v>
      </c>
      <c r="N2448" s="112" t="str">
        <f t="shared" si="10"/>
        <v>2024-H2</v>
      </c>
    </row>
    <row r="2449">
      <c r="A2449" s="113" t="s">
        <v>610</v>
      </c>
      <c r="J2449" s="108" t="str">
        <f t="shared" si="6"/>
        <v>2024</v>
      </c>
      <c r="K2449" s="110">
        <f t="shared" si="7"/>
        <v>8</v>
      </c>
      <c r="L2449" s="108" t="str">
        <f t="shared" si="8"/>
        <v>2024-Q3</v>
      </c>
      <c r="M2449" s="111" t="str">
        <f t="shared" si="9"/>
        <v>2024-08</v>
      </c>
      <c r="N2449" s="112" t="str">
        <f t="shared" si="10"/>
        <v>2024-H2</v>
      </c>
    </row>
    <row r="2450">
      <c r="A2450" s="113" t="s">
        <v>610</v>
      </c>
      <c r="J2450" s="108" t="str">
        <f t="shared" si="6"/>
        <v>2024</v>
      </c>
      <c r="K2450" s="110">
        <f t="shared" si="7"/>
        <v>8</v>
      </c>
      <c r="L2450" s="108" t="str">
        <f t="shared" si="8"/>
        <v>2024-Q3</v>
      </c>
      <c r="M2450" s="111" t="str">
        <f t="shared" si="9"/>
        <v>2024-08</v>
      </c>
      <c r="N2450" s="112" t="str">
        <f t="shared" si="10"/>
        <v>2024-H2</v>
      </c>
    </row>
    <row r="2451">
      <c r="A2451" s="113" t="s">
        <v>610</v>
      </c>
      <c r="J2451" s="108" t="str">
        <f t="shared" si="6"/>
        <v>2024</v>
      </c>
      <c r="K2451" s="110">
        <f t="shared" si="7"/>
        <v>8</v>
      </c>
      <c r="L2451" s="108" t="str">
        <f t="shared" si="8"/>
        <v>2024-Q3</v>
      </c>
      <c r="M2451" s="111" t="str">
        <f t="shared" si="9"/>
        <v>2024-08</v>
      </c>
      <c r="N2451" s="112" t="str">
        <f t="shared" si="10"/>
        <v>2024-H2</v>
      </c>
    </row>
    <row r="2452">
      <c r="A2452" s="113" t="s">
        <v>610</v>
      </c>
      <c r="J2452" s="108" t="str">
        <f t="shared" si="6"/>
        <v>2024</v>
      </c>
      <c r="K2452" s="110">
        <f t="shared" si="7"/>
        <v>8</v>
      </c>
      <c r="L2452" s="108" t="str">
        <f t="shared" si="8"/>
        <v>2024-Q3</v>
      </c>
      <c r="M2452" s="111" t="str">
        <f t="shared" si="9"/>
        <v>2024-08</v>
      </c>
      <c r="N2452" s="112" t="str">
        <f t="shared" si="10"/>
        <v>2024-H2</v>
      </c>
    </row>
    <row r="2453">
      <c r="A2453" s="113" t="s">
        <v>610</v>
      </c>
      <c r="J2453" s="108" t="str">
        <f t="shared" si="6"/>
        <v>2024</v>
      </c>
      <c r="K2453" s="110">
        <f t="shared" si="7"/>
        <v>8</v>
      </c>
      <c r="L2453" s="108" t="str">
        <f t="shared" si="8"/>
        <v>2024-Q3</v>
      </c>
      <c r="M2453" s="111" t="str">
        <f t="shared" si="9"/>
        <v>2024-08</v>
      </c>
      <c r="N2453" s="112" t="str">
        <f t="shared" si="10"/>
        <v>2024-H2</v>
      </c>
    </row>
    <row r="2454">
      <c r="A2454" s="113" t="s">
        <v>610</v>
      </c>
      <c r="J2454" s="108" t="str">
        <f t="shared" si="6"/>
        <v>2024</v>
      </c>
      <c r="K2454" s="110">
        <f t="shared" si="7"/>
        <v>8</v>
      </c>
      <c r="L2454" s="108" t="str">
        <f t="shared" si="8"/>
        <v>2024-Q3</v>
      </c>
      <c r="M2454" s="111" t="str">
        <f t="shared" si="9"/>
        <v>2024-08</v>
      </c>
      <c r="N2454" s="112" t="str">
        <f t="shared" si="10"/>
        <v>2024-H2</v>
      </c>
    </row>
    <row r="2455">
      <c r="A2455" s="113" t="s">
        <v>610</v>
      </c>
      <c r="J2455" s="108" t="str">
        <f t="shared" si="6"/>
        <v>2024</v>
      </c>
      <c r="K2455" s="110">
        <f t="shared" si="7"/>
        <v>8</v>
      </c>
      <c r="L2455" s="108" t="str">
        <f t="shared" si="8"/>
        <v>2024-Q3</v>
      </c>
      <c r="M2455" s="111" t="str">
        <f t="shared" si="9"/>
        <v>2024-08</v>
      </c>
      <c r="N2455" s="112" t="str">
        <f t="shared" si="10"/>
        <v>2024-H2</v>
      </c>
    </row>
    <row r="2456">
      <c r="A2456" s="113" t="s">
        <v>610</v>
      </c>
      <c r="J2456" s="108" t="str">
        <f t="shared" si="6"/>
        <v>2024</v>
      </c>
      <c r="K2456" s="110">
        <f t="shared" si="7"/>
        <v>8</v>
      </c>
      <c r="L2456" s="108" t="str">
        <f t="shared" si="8"/>
        <v>2024-Q3</v>
      </c>
      <c r="M2456" s="111" t="str">
        <f t="shared" si="9"/>
        <v>2024-08</v>
      </c>
      <c r="N2456" s="112" t="str">
        <f t="shared" si="10"/>
        <v>2024-H2</v>
      </c>
    </row>
    <row r="2457">
      <c r="A2457" s="113" t="s">
        <v>610</v>
      </c>
      <c r="J2457" s="108" t="str">
        <f t="shared" si="6"/>
        <v>2024</v>
      </c>
      <c r="K2457" s="110">
        <f t="shared" si="7"/>
        <v>8</v>
      </c>
      <c r="L2457" s="108" t="str">
        <f t="shared" si="8"/>
        <v>2024-Q3</v>
      </c>
      <c r="M2457" s="111" t="str">
        <f t="shared" si="9"/>
        <v>2024-08</v>
      </c>
      <c r="N2457" s="112" t="str">
        <f t="shared" si="10"/>
        <v>2024-H2</v>
      </c>
    </row>
    <row r="2458">
      <c r="A2458" s="113" t="s">
        <v>610</v>
      </c>
      <c r="J2458" s="108" t="str">
        <f t="shared" si="6"/>
        <v>2024</v>
      </c>
      <c r="K2458" s="110">
        <f t="shared" si="7"/>
        <v>8</v>
      </c>
      <c r="L2458" s="108" t="str">
        <f t="shared" si="8"/>
        <v>2024-Q3</v>
      </c>
      <c r="M2458" s="111" t="str">
        <f t="shared" si="9"/>
        <v>2024-08</v>
      </c>
      <c r="N2458" s="112" t="str">
        <f t="shared" si="10"/>
        <v>2024-H2</v>
      </c>
    </row>
    <row r="2459">
      <c r="A2459" s="113" t="s">
        <v>610</v>
      </c>
      <c r="J2459" s="108" t="str">
        <f t="shared" si="6"/>
        <v>2024</v>
      </c>
      <c r="K2459" s="110">
        <f t="shared" si="7"/>
        <v>8</v>
      </c>
      <c r="L2459" s="108" t="str">
        <f t="shared" si="8"/>
        <v>2024-Q3</v>
      </c>
      <c r="M2459" s="111" t="str">
        <f t="shared" si="9"/>
        <v>2024-08</v>
      </c>
      <c r="N2459" s="112" t="str">
        <f t="shared" si="10"/>
        <v>2024-H2</v>
      </c>
    </row>
    <row r="2460">
      <c r="A2460" s="113" t="s">
        <v>610</v>
      </c>
      <c r="J2460" s="108" t="str">
        <f t="shared" si="6"/>
        <v>2024</v>
      </c>
      <c r="K2460" s="110">
        <f t="shared" si="7"/>
        <v>8</v>
      </c>
      <c r="L2460" s="108" t="str">
        <f t="shared" si="8"/>
        <v>2024-Q3</v>
      </c>
      <c r="M2460" s="111" t="str">
        <f t="shared" si="9"/>
        <v>2024-08</v>
      </c>
      <c r="N2460" s="112" t="str">
        <f t="shared" si="10"/>
        <v>2024-H2</v>
      </c>
    </row>
    <row r="2461">
      <c r="A2461" s="113" t="s">
        <v>610</v>
      </c>
      <c r="J2461" s="108" t="str">
        <f t="shared" si="6"/>
        <v>2024</v>
      </c>
      <c r="K2461" s="110">
        <f t="shared" si="7"/>
        <v>8</v>
      </c>
      <c r="L2461" s="108" t="str">
        <f t="shared" si="8"/>
        <v>2024-Q3</v>
      </c>
      <c r="M2461" s="111" t="str">
        <f t="shared" si="9"/>
        <v>2024-08</v>
      </c>
      <c r="N2461" s="112" t="str">
        <f t="shared" si="10"/>
        <v>2024-H2</v>
      </c>
    </row>
    <row r="2462">
      <c r="A2462" s="113" t="s">
        <v>610</v>
      </c>
      <c r="J2462" s="108" t="str">
        <f t="shared" si="6"/>
        <v>2024</v>
      </c>
      <c r="K2462" s="110">
        <f t="shared" si="7"/>
        <v>8</v>
      </c>
      <c r="L2462" s="108" t="str">
        <f t="shared" si="8"/>
        <v>2024-Q3</v>
      </c>
      <c r="M2462" s="111" t="str">
        <f t="shared" si="9"/>
        <v>2024-08</v>
      </c>
      <c r="N2462" s="112" t="str">
        <f t="shared" si="10"/>
        <v>2024-H2</v>
      </c>
    </row>
    <row r="2463">
      <c r="A2463" s="113" t="s">
        <v>610</v>
      </c>
      <c r="J2463" s="108" t="str">
        <f t="shared" si="6"/>
        <v>2024</v>
      </c>
      <c r="K2463" s="110">
        <f t="shared" si="7"/>
        <v>8</v>
      </c>
      <c r="L2463" s="108" t="str">
        <f t="shared" si="8"/>
        <v>2024-Q3</v>
      </c>
      <c r="M2463" s="111" t="str">
        <f t="shared" si="9"/>
        <v>2024-08</v>
      </c>
      <c r="N2463" s="112" t="str">
        <f t="shared" si="10"/>
        <v>2024-H2</v>
      </c>
    </row>
    <row r="2464">
      <c r="A2464" s="113" t="s">
        <v>610</v>
      </c>
      <c r="J2464" s="108" t="str">
        <f t="shared" si="6"/>
        <v>2024</v>
      </c>
      <c r="K2464" s="110">
        <f t="shared" si="7"/>
        <v>8</v>
      </c>
      <c r="L2464" s="108" t="str">
        <f t="shared" si="8"/>
        <v>2024-Q3</v>
      </c>
      <c r="M2464" s="111" t="str">
        <f t="shared" si="9"/>
        <v>2024-08</v>
      </c>
      <c r="N2464" s="112" t="str">
        <f t="shared" si="10"/>
        <v>2024-H2</v>
      </c>
    </row>
    <row r="2465">
      <c r="A2465" s="113" t="s">
        <v>610</v>
      </c>
      <c r="J2465" s="108" t="str">
        <f t="shared" si="6"/>
        <v>2024</v>
      </c>
      <c r="K2465" s="110">
        <f t="shared" si="7"/>
        <v>8</v>
      </c>
      <c r="L2465" s="108" t="str">
        <f t="shared" si="8"/>
        <v>2024-Q3</v>
      </c>
      <c r="M2465" s="111" t="str">
        <f t="shared" si="9"/>
        <v>2024-08</v>
      </c>
      <c r="N2465" s="112" t="str">
        <f t="shared" si="10"/>
        <v>2024-H2</v>
      </c>
    </row>
    <row r="2466">
      <c r="A2466" s="113" t="s">
        <v>610</v>
      </c>
      <c r="J2466" s="108" t="str">
        <f t="shared" si="6"/>
        <v>2024</v>
      </c>
      <c r="K2466" s="110">
        <f t="shared" si="7"/>
        <v>8</v>
      </c>
      <c r="L2466" s="108" t="str">
        <f t="shared" si="8"/>
        <v>2024-Q3</v>
      </c>
      <c r="M2466" s="111" t="str">
        <f t="shared" si="9"/>
        <v>2024-08</v>
      </c>
      <c r="N2466" s="112" t="str">
        <f t="shared" si="10"/>
        <v>2024-H2</v>
      </c>
    </row>
    <row r="2467">
      <c r="A2467" s="113" t="s">
        <v>610</v>
      </c>
      <c r="J2467" s="108" t="str">
        <f t="shared" si="6"/>
        <v>2024</v>
      </c>
      <c r="K2467" s="110">
        <f t="shared" si="7"/>
        <v>8</v>
      </c>
      <c r="L2467" s="108" t="str">
        <f t="shared" si="8"/>
        <v>2024-Q3</v>
      </c>
      <c r="M2467" s="111" t="str">
        <f t="shared" si="9"/>
        <v>2024-08</v>
      </c>
      <c r="N2467" s="112" t="str">
        <f t="shared" si="10"/>
        <v>2024-H2</v>
      </c>
    </row>
    <row r="2468">
      <c r="A2468" s="113" t="s">
        <v>610</v>
      </c>
      <c r="J2468" s="108" t="str">
        <f t="shared" si="6"/>
        <v>2024</v>
      </c>
      <c r="K2468" s="110">
        <f t="shared" si="7"/>
        <v>8</v>
      </c>
      <c r="L2468" s="108" t="str">
        <f t="shared" si="8"/>
        <v>2024-Q3</v>
      </c>
      <c r="M2468" s="111" t="str">
        <f t="shared" si="9"/>
        <v>2024-08</v>
      </c>
      <c r="N2468" s="112" t="str">
        <f t="shared" si="10"/>
        <v>2024-H2</v>
      </c>
    </row>
    <row r="2469">
      <c r="A2469" s="113" t="s">
        <v>610</v>
      </c>
      <c r="J2469" s="108" t="str">
        <f t="shared" si="6"/>
        <v>2024</v>
      </c>
      <c r="K2469" s="110">
        <f t="shared" si="7"/>
        <v>8</v>
      </c>
      <c r="L2469" s="108" t="str">
        <f t="shared" si="8"/>
        <v>2024-Q3</v>
      </c>
      <c r="M2469" s="111" t="str">
        <f t="shared" si="9"/>
        <v>2024-08</v>
      </c>
      <c r="N2469" s="112" t="str">
        <f t="shared" si="10"/>
        <v>2024-H2</v>
      </c>
    </row>
    <row r="2470">
      <c r="A2470" s="113" t="s">
        <v>610</v>
      </c>
      <c r="J2470" s="108" t="str">
        <f t="shared" si="6"/>
        <v>2024</v>
      </c>
      <c r="K2470" s="110">
        <f t="shared" si="7"/>
        <v>8</v>
      </c>
      <c r="L2470" s="108" t="str">
        <f t="shared" si="8"/>
        <v>2024-Q3</v>
      </c>
      <c r="M2470" s="111" t="str">
        <f t="shared" si="9"/>
        <v>2024-08</v>
      </c>
      <c r="N2470" s="112" t="str">
        <f t="shared" si="10"/>
        <v>2024-H2</v>
      </c>
    </row>
    <row r="2471">
      <c r="A2471" s="113" t="s">
        <v>610</v>
      </c>
      <c r="J2471" s="108" t="str">
        <f t="shared" si="6"/>
        <v>2024</v>
      </c>
      <c r="K2471" s="110">
        <f t="shared" si="7"/>
        <v>8</v>
      </c>
      <c r="L2471" s="108" t="str">
        <f t="shared" si="8"/>
        <v>2024-Q3</v>
      </c>
      <c r="M2471" s="111" t="str">
        <f t="shared" si="9"/>
        <v>2024-08</v>
      </c>
      <c r="N2471" s="112" t="str">
        <f t="shared" si="10"/>
        <v>2024-H2</v>
      </c>
    </row>
    <row r="2472">
      <c r="A2472" s="113" t="s">
        <v>610</v>
      </c>
      <c r="J2472" s="108" t="str">
        <f t="shared" si="6"/>
        <v>2024</v>
      </c>
      <c r="K2472" s="110">
        <f t="shared" si="7"/>
        <v>8</v>
      </c>
      <c r="L2472" s="108" t="str">
        <f t="shared" si="8"/>
        <v>2024-Q3</v>
      </c>
      <c r="M2472" s="111" t="str">
        <f t="shared" si="9"/>
        <v>2024-08</v>
      </c>
      <c r="N2472" s="112" t="str">
        <f t="shared" si="10"/>
        <v>2024-H2</v>
      </c>
    </row>
    <row r="2473">
      <c r="A2473" s="113" t="s">
        <v>610</v>
      </c>
      <c r="J2473" s="108" t="str">
        <f t="shared" si="6"/>
        <v>2024</v>
      </c>
      <c r="K2473" s="110">
        <f t="shared" si="7"/>
        <v>8</v>
      </c>
      <c r="L2473" s="108" t="str">
        <f t="shared" si="8"/>
        <v>2024-Q3</v>
      </c>
      <c r="M2473" s="111" t="str">
        <f t="shared" si="9"/>
        <v>2024-08</v>
      </c>
      <c r="N2473" s="112" t="str">
        <f t="shared" si="10"/>
        <v>2024-H2</v>
      </c>
    </row>
    <row r="2474">
      <c r="A2474" s="113" t="s">
        <v>610</v>
      </c>
      <c r="J2474" s="108" t="str">
        <f t="shared" si="6"/>
        <v>2024</v>
      </c>
      <c r="K2474" s="110">
        <f t="shared" si="7"/>
        <v>8</v>
      </c>
      <c r="L2474" s="108" t="str">
        <f t="shared" si="8"/>
        <v>2024-Q3</v>
      </c>
      <c r="M2474" s="111" t="str">
        <f t="shared" si="9"/>
        <v>2024-08</v>
      </c>
      <c r="N2474" s="112" t="str">
        <f t="shared" si="10"/>
        <v>2024-H2</v>
      </c>
    </row>
    <row r="2475">
      <c r="A2475" s="113" t="s">
        <v>610</v>
      </c>
      <c r="J2475" s="108" t="str">
        <f t="shared" si="6"/>
        <v>2024</v>
      </c>
      <c r="K2475" s="110">
        <f t="shared" si="7"/>
        <v>8</v>
      </c>
      <c r="L2475" s="108" t="str">
        <f t="shared" si="8"/>
        <v>2024-Q3</v>
      </c>
      <c r="M2475" s="111" t="str">
        <f t="shared" si="9"/>
        <v>2024-08</v>
      </c>
      <c r="N2475" s="112" t="str">
        <f t="shared" si="10"/>
        <v>2024-H2</v>
      </c>
    </row>
    <row r="2476">
      <c r="A2476" s="113" t="s">
        <v>610</v>
      </c>
      <c r="J2476" s="108" t="str">
        <f t="shared" si="6"/>
        <v>2024</v>
      </c>
      <c r="K2476" s="110">
        <f t="shared" si="7"/>
        <v>8</v>
      </c>
      <c r="L2476" s="108" t="str">
        <f t="shared" si="8"/>
        <v>2024-Q3</v>
      </c>
      <c r="M2476" s="111" t="str">
        <f t="shared" si="9"/>
        <v>2024-08</v>
      </c>
      <c r="N2476" s="112" t="str">
        <f t="shared" si="10"/>
        <v>2024-H2</v>
      </c>
    </row>
    <row r="2477">
      <c r="A2477" s="113" t="s">
        <v>610</v>
      </c>
      <c r="J2477" s="108" t="str">
        <f t="shared" si="6"/>
        <v>2024</v>
      </c>
      <c r="K2477" s="110">
        <f t="shared" si="7"/>
        <v>8</v>
      </c>
      <c r="L2477" s="108" t="str">
        <f t="shared" si="8"/>
        <v>2024-Q3</v>
      </c>
      <c r="M2477" s="111" t="str">
        <f t="shared" si="9"/>
        <v>2024-08</v>
      </c>
      <c r="N2477" s="112" t="str">
        <f t="shared" si="10"/>
        <v>2024-H2</v>
      </c>
    </row>
    <row r="2478">
      <c r="A2478" s="113" t="s">
        <v>610</v>
      </c>
      <c r="J2478" s="108" t="str">
        <f t="shared" si="6"/>
        <v>2024</v>
      </c>
      <c r="K2478" s="110">
        <f t="shared" si="7"/>
        <v>9</v>
      </c>
      <c r="L2478" s="108" t="str">
        <f t="shared" si="8"/>
        <v>2024-Q3</v>
      </c>
      <c r="M2478" s="111" t="str">
        <f t="shared" si="9"/>
        <v>2024-09</v>
      </c>
      <c r="N2478" s="112" t="str">
        <f t="shared" si="10"/>
        <v>2024-H2</v>
      </c>
    </row>
    <row r="2479">
      <c r="A2479" s="113" t="s">
        <v>610</v>
      </c>
      <c r="J2479" s="108" t="str">
        <f t="shared" si="6"/>
        <v>2024</v>
      </c>
      <c r="K2479" s="110">
        <f t="shared" si="7"/>
        <v>8</v>
      </c>
      <c r="L2479" s="108" t="str">
        <f t="shared" si="8"/>
        <v>2024-Q3</v>
      </c>
      <c r="M2479" s="111" t="str">
        <f t="shared" si="9"/>
        <v>2024-08</v>
      </c>
      <c r="N2479" s="112" t="str">
        <f t="shared" si="10"/>
        <v>2024-H2</v>
      </c>
    </row>
    <row r="2480">
      <c r="A2480" s="113" t="s">
        <v>610</v>
      </c>
      <c r="J2480" s="108" t="str">
        <f t="shared" si="6"/>
        <v>2024</v>
      </c>
      <c r="K2480" s="110">
        <f t="shared" si="7"/>
        <v>8</v>
      </c>
      <c r="L2480" s="108" t="str">
        <f t="shared" si="8"/>
        <v>2024-Q3</v>
      </c>
      <c r="M2480" s="111" t="str">
        <f t="shared" si="9"/>
        <v>2024-08</v>
      </c>
      <c r="N2480" s="112" t="str">
        <f t="shared" si="10"/>
        <v>2024-H2</v>
      </c>
    </row>
    <row r="2481">
      <c r="A2481" s="113" t="s">
        <v>610</v>
      </c>
      <c r="J2481" s="108" t="str">
        <f t="shared" si="6"/>
        <v>2024</v>
      </c>
      <c r="K2481" s="110">
        <f t="shared" si="7"/>
        <v>8</v>
      </c>
      <c r="L2481" s="108" t="str">
        <f t="shared" si="8"/>
        <v>2024-Q3</v>
      </c>
      <c r="M2481" s="111" t="str">
        <f t="shared" si="9"/>
        <v>2024-08</v>
      </c>
      <c r="N2481" s="112" t="str">
        <f t="shared" si="10"/>
        <v>2024-H2</v>
      </c>
    </row>
    <row r="2482">
      <c r="A2482" s="113" t="s">
        <v>610</v>
      </c>
      <c r="J2482" s="108" t="str">
        <f t="shared" si="6"/>
        <v>2024</v>
      </c>
      <c r="K2482" s="110">
        <f t="shared" si="7"/>
        <v>8</v>
      </c>
      <c r="L2482" s="108" t="str">
        <f t="shared" si="8"/>
        <v>2024-Q3</v>
      </c>
      <c r="M2482" s="111" t="str">
        <f t="shared" si="9"/>
        <v>2024-08</v>
      </c>
      <c r="N2482" s="112" t="str">
        <f t="shared" si="10"/>
        <v>2024-H2</v>
      </c>
    </row>
    <row r="2483">
      <c r="A2483" s="113" t="s">
        <v>610</v>
      </c>
      <c r="J2483" s="108" t="str">
        <f t="shared" si="6"/>
        <v>2024</v>
      </c>
      <c r="K2483" s="110">
        <f t="shared" si="7"/>
        <v>8</v>
      </c>
      <c r="L2483" s="108" t="str">
        <f t="shared" si="8"/>
        <v>2024-Q3</v>
      </c>
      <c r="M2483" s="111" t="str">
        <f t="shared" si="9"/>
        <v>2024-08</v>
      </c>
      <c r="N2483" s="112" t="str">
        <f t="shared" si="10"/>
        <v>2024-H2</v>
      </c>
    </row>
    <row r="2484">
      <c r="A2484" s="113" t="s">
        <v>610</v>
      </c>
      <c r="J2484" s="108" t="str">
        <f t="shared" si="6"/>
        <v>2024</v>
      </c>
      <c r="K2484" s="110">
        <f t="shared" si="7"/>
        <v>8</v>
      </c>
      <c r="L2484" s="108" t="str">
        <f t="shared" si="8"/>
        <v>2024-Q3</v>
      </c>
      <c r="M2484" s="111" t="str">
        <f t="shared" si="9"/>
        <v>2024-08</v>
      </c>
      <c r="N2484" s="112" t="str">
        <f t="shared" si="10"/>
        <v>2024-H2</v>
      </c>
    </row>
    <row r="2485">
      <c r="A2485" s="113" t="s">
        <v>610</v>
      </c>
      <c r="J2485" s="108" t="str">
        <f t="shared" si="6"/>
        <v>2024</v>
      </c>
      <c r="K2485" s="110">
        <f t="shared" si="7"/>
        <v>8</v>
      </c>
      <c r="L2485" s="108" t="str">
        <f t="shared" si="8"/>
        <v>2024-Q3</v>
      </c>
      <c r="M2485" s="111" t="str">
        <f t="shared" si="9"/>
        <v>2024-08</v>
      </c>
      <c r="N2485" s="112" t="str">
        <f t="shared" si="10"/>
        <v>2024-H2</v>
      </c>
    </row>
    <row r="2486">
      <c r="A2486" s="113" t="s">
        <v>610</v>
      </c>
      <c r="J2486" s="108" t="str">
        <f t="shared" si="6"/>
        <v>2024</v>
      </c>
      <c r="K2486" s="110">
        <f t="shared" si="7"/>
        <v>8</v>
      </c>
      <c r="L2486" s="108" t="str">
        <f t="shared" si="8"/>
        <v>2024-Q3</v>
      </c>
      <c r="M2486" s="111" t="str">
        <f t="shared" si="9"/>
        <v>2024-08</v>
      </c>
      <c r="N2486" s="112" t="str">
        <f t="shared" si="10"/>
        <v>2024-H2</v>
      </c>
    </row>
    <row r="2487">
      <c r="A2487" s="113" t="s">
        <v>610</v>
      </c>
      <c r="J2487" s="108" t="str">
        <f t="shared" si="6"/>
        <v>2024</v>
      </c>
      <c r="K2487" s="110">
        <f t="shared" si="7"/>
        <v>8</v>
      </c>
      <c r="L2487" s="108" t="str">
        <f t="shared" si="8"/>
        <v>2024-Q3</v>
      </c>
      <c r="M2487" s="111" t="str">
        <f t="shared" si="9"/>
        <v>2024-08</v>
      </c>
      <c r="N2487" s="112" t="str">
        <f t="shared" si="10"/>
        <v>2024-H2</v>
      </c>
    </row>
    <row r="2488">
      <c r="A2488" s="113" t="s">
        <v>610</v>
      </c>
      <c r="J2488" s="108" t="str">
        <f t="shared" si="6"/>
        <v>2024</v>
      </c>
      <c r="K2488" s="110">
        <f t="shared" si="7"/>
        <v>8</v>
      </c>
      <c r="L2488" s="108" t="str">
        <f t="shared" si="8"/>
        <v>2024-Q3</v>
      </c>
      <c r="M2488" s="111" t="str">
        <f t="shared" si="9"/>
        <v>2024-08</v>
      </c>
      <c r="N2488" s="112" t="str">
        <f t="shared" si="10"/>
        <v>2024-H2</v>
      </c>
    </row>
    <row r="2489">
      <c r="A2489" s="113" t="s">
        <v>610</v>
      </c>
      <c r="J2489" s="108" t="str">
        <f t="shared" si="6"/>
        <v>2024</v>
      </c>
      <c r="K2489" s="110">
        <f t="shared" si="7"/>
        <v>8</v>
      </c>
      <c r="L2489" s="108" t="str">
        <f t="shared" si="8"/>
        <v>2024-Q3</v>
      </c>
      <c r="M2489" s="111" t="str">
        <f t="shared" si="9"/>
        <v>2024-08</v>
      </c>
      <c r="N2489" s="112" t="str">
        <f t="shared" si="10"/>
        <v>2024-H2</v>
      </c>
    </row>
    <row r="2490">
      <c r="A2490" s="113" t="s">
        <v>610</v>
      </c>
      <c r="J2490" s="108" t="str">
        <f t="shared" si="6"/>
        <v>2024</v>
      </c>
      <c r="K2490" s="110">
        <f t="shared" si="7"/>
        <v>8</v>
      </c>
      <c r="L2490" s="108" t="str">
        <f t="shared" si="8"/>
        <v>2024-Q3</v>
      </c>
      <c r="M2490" s="111" t="str">
        <f t="shared" si="9"/>
        <v>2024-08</v>
      </c>
      <c r="N2490" s="112" t="str">
        <f t="shared" si="10"/>
        <v>2024-H2</v>
      </c>
    </row>
    <row r="2491">
      <c r="A2491" s="113" t="s">
        <v>610</v>
      </c>
      <c r="J2491" s="108" t="str">
        <f t="shared" si="6"/>
        <v>2024</v>
      </c>
      <c r="K2491" s="110">
        <f t="shared" si="7"/>
        <v>8</v>
      </c>
      <c r="L2491" s="108" t="str">
        <f t="shared" si="8"/>
        <v>2024-Q3</v>
      </c>
      <c r="M2491" s="111" t="str">
        <f t="shared" si="9"/>
        <v>2024-08</v>
      </c>
      <c r="N2491" s="112" t="str">
        <f t="shared" si="10"/>
        <v>2024-H2</v>
      </c>
    </row>
    <row r="2492">
      <c r="A2492" s="113" t="s">
        <v>610</v>
      </c>
      <c r="J2492" s="108" t="str">
        <f t="shared" si="6"/>
        <v>2024</v>
      </c>
      <c r="K2492" s="110">
        <f t="shared" si="7"/>
        <v>8</v>
      </c>
      <c r="L2492" s="108" t="str">
        <f t="shared" si="8"/>
        <v>2024-Q3</v>
      </c>
      <c r="M2492" s="111" t="str">
        <f t="shared" si="9"/>
        <v>2024-08</v>
      </c>
      <c r="N2492" s="112" t="str">
        <f t="shared" si="10"/>
        <v>2024-H2</v>
      </c>
    </row>
    <row r="2493">
      <c r="A2493" s="113" t="s">
        <v>610</v>
      </c>
      <c r="J2493" s="108" t="str">
        <f t="shared" si="6"/>
        <v>2024</v>
      </c>
      <c r="K2493" s="110">
        <f t="shared" si="7"/>
        <v>8</v>
      </c>
      <c r="L2493" s="108" t="str">
        <f t="shared" si="8"/>
        <v>2024-Q3</v>
      </c>
      <c r="M2493" s="111" t="str">
        <f t="shared" si="9"/>
        <v>2024-08</v>
      </c>
      <c r="N2493" s="112" t="str">
        <f t="shared" si="10"/>
        <v>2024-H2</v>
      </c>
    </row>
    <row r="2494">
      <c r="A2494" s="113" t="s">
        <v>610</v>
      </c>
      <c r="J2494" s="108" t="str">
        <f t="shared" si="6"/>
        <v>2024</v>
      </c>
      <c r="K2494" s="110">
        <f t="shared" si="7"/>
        <v>8</v>
      </c>
      <c r="L2494" s="108" t="str">
        <f t="shared" si="8"/>
        <v>2024-Q3</v>
      </c>
      <c r="M2494" s="111" t="str">
        <f t="shared" si="9"/>
        <v>2024-08</v>
      </c>
      <c r="N2494" s="112" t="str">
        <f t="shared" si="10"/>
        <v>2024-H2</v>
      </c>
    </row>
    <row r="2495">
      <c r="A2495" s="113" t="s">
        <v>610</v>
      </c>
      <c r="J2495" s="108" t="str">
        <f t="shared" si="6"/>
        <v>2024</v>
      </c>
      <c r="K2495" s="110">
        <f t="shared" si="7"/>
        <v>8</v>
      </c>
      <c r="L2495" s="108" t="str">
        <f t="shared" si="8"/>
        <v>2024-Q3</v>
      </c>
      <c r="M2495" s="111" t="str">
        <f t="shared" si="9"/>
        <v>2024-08</v>
      </c>
      <c r="N2495" s="112" t="str">
        <f t="shared" si="10"/>
        <v>2024-H2</v>
      </c>
    </row>
    <row r="2496">
      <c r="A2496" s="113" t="s">
        <v>610</v>
      </c>
      <c r="J2496" s="108" t="str">
        <f t="shared" si="6"/>
        <v>2024</v>
      </c>
      <c r="K2496" s="110">
        <f t="shared" si="7"/>
        <v>8</v>
      </c>
      <c r="L2496" s="108" t="str">
        <f t="shared" si="8"/>
        <v>2024-Q3</v>
      </c>
      <c r="M2496" s="111" t="str">
        <f t="shared" si="9"/>
        <v>2024-08</v>
      </c>
      <c r="N2496" s="112" t="str">
        <f t="shared" si="10"/>
        <v>2024-H2</v>
      </c>
    </row>
    <row r="2497">
      <c r="A2497" s="113" t="s">
        <v>610</v>
      </c>
      <c r="J2497" s="108" t="str">
        <f t="shared" si="6"/>
        <v>2024</v>
      </c>
      <c r="K2497" s="110">
        <f t="shared" si="7"/>
        <v>8</v>
      </c>
      <c r="L2497" s="108" t="str">
        <f t="shared" si="8"/>
        <v>2024-Q3</v>
      </c>
      <c r="M2497" s="111" t="str">
        <f t="shared" si="9"/>
        <v>2024-08</v>
      </c>
      <c r="N2497" s="112" t="str">
        <f t="shared" si="10"/>
        <v>2024-H2</v>
      </c>
    </row>
    <row r="2498">
      <c r="A2498" s="113" t="s">
        <v>610</v>
      </c>
      <c r="J2498" s="108" t="str">
        <f t="shared" si="6"/>
        <v>2024</v>
      </c>
      <c r="K2498" s="110">
        <f t="shared" si="7"/>
        <v>8</v>
      </c>
      <c r="L2498" s="108" t="str">
        <f t="shared" si="8"/>
        <v>2024-Q3</v>
      </c>
      <c r="M2498" s="111" t="str">
        <f t="shared" si="9"/>
        <v>2024-08</v>
      </c>
      <c r="N2498" s="112" t="str">
        <f t="shared" si="10"/>
        <v>2024-H2</v>
      </c>
    </row>
    <row r="2499">
      <c r="A2499" s="113" t="s">
        <v>610</v>
      </c>
      <c r="J2499" s="108" t="str">
        <f t="shared" si="6"/>
        <v>2024</v>
      </c>
      <c r="K2499" s="110">
        <f t="shared" si="7"/>
        <v>9</v>
      </c>
      <c r="L2499" s="108" t="str">
        <f t="shared" si="8"/>
        <v>2024-Q3</v>
      </c>
      <c r="M2499" s="111" t="str">
        <f t="shared" si="9"/>
        <v>2024-09</v>
      </c>
      <c r="N2499" s="112" t="str">
        <f t="shared" si="10"/>
        <v>2024-H2</v>
      </c>
    </row>
    <row r="2500">
      <c r="A2500" s="113" t="s">
        <v>610</v>
      </c>
      <c r="J2500" s="108" t="str">
        <f t="shared" si="6"/>
        <v>2024</v>
      </c>
      <c r="K2500" s="110">
        <f t="shared" si="7"/>
        <v>9</v>
      </c>
      <c r="L2500" s="108" t="str">
        <f t="shared" si="8"/>
        <v>2024-Q3</v>
      </c>
      <c r="M2500" s="111" t="str">
        <f t="shared" si="9"/>
        <v>2024-09</v>
      </c>
      <c r="N2500" s="112" t="str">
        <f t="shared" si="10"/>
        <v>2024-H2</v>
      </c>
    </row>
    <row r="2501">
      <c r="A2501" s="113" t="s">
        <v>610</v>
      </c>
      <c r="J2501" s="108" t="str">
        <f t="shared" si="6"/>
        <v>2024</v>
      </c>
      <c r="K2501" s="110">
        <f t="shared" si="7"/>
        <v>8</v>
      </c>
      <c r="L2501" s="108" t="str">
        <f t="shared" si="8"/>
        <v>2024-Q3</v>
      </c>
      <c r="M2501" s="111" t="str">
        <f t="shared" si="9"/>
        <v>2024-08</v>
      </c>
      <c r="N2501" s="112" t="str">
        <f t="shared" si="10"/>
        <v>2024-H2</v>
      </c>
    </row>
    <row r="2502">
      <c r="A2502" s="113" t="s">
        <v>610</v>
      </c>
      <c r="J2502" s="108" t="str">
        <f t="shared" si="6"/>
        <v>2024</v>
      </c>
      <c r="K2502" s="110">
        <f t="shared" si="7"/>
        <v>8</v>
      </c>
      <c r="L2502" s="108" t="str">
        <f t="shared" si="8"/>
        <v>2024-Q3</v>
      </c>
      <c r="M2502" s="111" t="str">
        <f t="shared" si="9"/>
        <v>2024-08</v>
      </c>
      <c r="N2502" s="112" t="str">
        <f t="shared" si="10"/>
        <v>2024-H2</v>
      </c>
    </row>
    <row r="2503">
      <c r="A2503" s="113" t="s">
        <v>610</v>
      </c>
      <c r="J2503" s="108" t="str">
        <f t="shared" si="6"/>
        <v>2024</v>
      </c>
      <c r="K2503" s="110">
        <f t="shared" si="7"/>
        <v>8</v>
      </c>
      <c r="L2503" s="108" t="str">
        <f t="shared" si="8"/>
        <v>2024-Q3</v>
      </c>
      <c r="M2503" s="111" t="str">
        <f t="shared" si="9"/>
        <v>2024-08</v>
      </c>
      <c r="N2503" s="112" t="str">
        <f t="shared" si="10"/>
        <v>2024-H2</v>
      </c>
    </row>
    <row r="2504">
      <c r="A2504" s="113" t="s">
        <v>610</v>
      </c>
      <c r="J2504" s="108" t="str">
        <f t="shared" si="6"/>
        <v>2024</v>
      </c>
      <c r="K2504" s="110">
        <f t="shared" si="7"/>
        <v>8</v>
      </c>
      <c r="L2504" s="108" t="str">
        <f t="shared" si="8"/>
        <v>2024-Q3</v>
      </c>
      <c r="M2504" s="111" t="str">
        <f t="shared" si="9"/>
        <v>2024-08</v>
      </c>
      <c r="N2504" s="112" t="str">
        <f t="shared" si="10"/>
        <v>2024-H2</v>
      </c>
    </row>
    <row r="2505">
      <c r="A2505" s="113" t="s">
        <v>610</v>
      </c>
      <c r="J2505" s="108" t="str">
        <f t="shared" si="6"/>
        <v>2024</v>
      </c>
      <c r="K2505" s="110">
        <f t="shared" si="7"/>
        <v>8</v>
      </c>
      <c r="L2505" s="108" t="str">
        <f t="shared" si="8"/>
        <v>2024-Q3</v>
      </c>
      <c r="M2505" s="111" t="str">
        <f t="shared" si="9"/>
        <v>2024-08</v>
      </c>
      <c r="N2505" s="112" t="str">
        <f t="shared" si="10"/>
        <v>2024-H2</v>
      </c>
    </row>
    <row r="2506">
      <c r="A2506" s="113" t="s">
        <v>610</v>
      </c>
      <c r="J2506" s="108" t="str">
        <f t="shared" si="6"/>
        <v>2024</v>
      </c>
      <c r="K2506" s="110">
        <f t="shared" si="7"/>
        <v>8</v>
      </c>
      <c r="L2506" s="108" t="str">
        <f t="shared" si="8"/>
        <v>2024-Q3</v>
      </c>
      <c r="M2506" s="111" t="str">
        <f t="shared" si="9"/>
        <v>2024-08</v>
      </c>
      <c r="N2506" s="112" t="str">
        <f t="shared" si="10"/>
        <v>2024-H2</v>
      </c>
    </row>
    <row r="2507">
      <c r="A2507" s="113" t="s">
        <v>610</v>
      </c>
      <c r="J2507" s="108" t="str">
        <f t="shared" si="6"/>
        <v>2024</v>
      </c>
      <c r="K2507" s="110">
        <f t="shared" si="7"/>
        <v>8</v>
      </c>
      <c r="L2507" s="108" t="str">
        <f t="shared" si="8"/>
        <v>2024-Q3</v>
      </c>
      <c r="M2507" s="111" t="str">
        <f t="shared" si="9"/>
        <v>2024-08</v>
      </c>
      <c r="N2507" s="112" t="str">
        <f t="shared" si="10"/>
        <v>2024-H2</v>
      </c>
    </row>
    <row r="2508">
      <c r="A2508" s="113" t="s">
        <v>610</v>
      </c>
      <c r="J2508" s="108" t="str">
        <f t="shared" si="6"/>
        <v>2024</v>
      </c>
      <c r="K2508" s="110">
        <f t="shared" si="7"/>
        <v>8</v>
      </c>
      <c r="L2508" s="108" t="str">
        <f t="shared" si="8"/>
        <v>2024-Q3</v>
      </c>
      <c r="M2508" s="111" t="str">
        <f t="shared" si="9"/>
        <v>2024-08</v>
      </c>
      <c r="N2508" s="112" t="str">
        <f t="shared" si="10"/>
        <v>2024-H2</v>
      </c>
    </row>
    <row r="2509">
      <c r="A2509" s="113" t="s">
        <v>610</v>
      </c>
      <c r="J2509" s="108" t="str">
        <f t="shared" si="6"/>
        <v>2024</v>
      </c>
      <c r="K2509" s="110">
        <f t="shared" si="7"/>
        <v>8</v>
      </c>
      <c r="L2509" s="108" t="str">
        <f t="shared" si="8"/>
        <v>2024-Q3</v>
      </c>
      <c r="M2509" s="111" t="str">
        <f t="shared" si="9"/>
        <v>2024-08</v>
      </c>
      <c r="N2509" s="112" t="str">
        <f t="shared" si="10"/>
        <v>2024-H2</v>
      </c>
    </row>
    <row r="2510">
      <c r="A2510" s="113" t="s">
        <v>610</v>
      </c>
      <c r="J2510" s="108" t="str">
        <f t="shared" si="6"/>
        <v>2024</v>
      </c>
      <c r="K2510" s="110">
        <f t="shared" si="7"/>
        <v>9</v>
      </c>
      <c r="L2510" s="108" t="str">
        <f t="shared" si="8"/>
        <v>2024-Q3</v>
      </c>
      <c r="M2510" s="111" t="str">
        <f t="shared" si="9"/>
        <v>2024-09</v>
      </c>
      <c r="N2510" s="112" t="str">
        <f t="shared" si="10"/>
        <v>2024-H2</v>
      </c>
    </row>
    <row r="2511">
      <c r="A2511" s="113" t="s">
        <v>610</v>
      </c>
      <c r="J2511" s="108" t="str">
        <f t="shared" si="6"/>
        <v>2024</v>
      </c>
      <c r="K2511" s="110">
        <f t="shared" si="7"/>
        <v>9</v>
      </c>
      <c r="L2511" s="108" t="str">
        <f t="shared" si="8"/>
        <v>2024-Q3</v>
      </c>
      <c r="M2511" s="111" t="str">
        <f t="shared" si="9"/>
        <v>2024-09</v>
      </c>
      <c r="N2511" s="112" t="str">
        <f t="shared" si="10"/>
        <v>2024-H2</v>
      </c>
    </row>
    <row r="2512">
      <c r="A2512" s="113" t="s">
        <v>610</v>
      </c>
      <c r="J2512" s="108" t="str">
        <f t="shared" si="6"/>
        <v>2024</v>
      </c>
      <c r="K2512" s="110">
        <f t="shared" si="7"/>
        <v>8</v>
      </c>
      <c r="L2512" s="108" t="str">
        <f t="shared" si="8"/>
        <v>2024-Q3</v>
      </c>
      <c r="M2512" s="111" t="str">
        <f t="shared" si="9"/>
        <v>2024-08</v>
      </c>
      <c r="N2512" s="112" t="str">
        <f t="shared" si="10"/>
        <v>2024-H2</v>
      </c>
    </row>
    <row r="2513">
      <c r="A2513" s="113" t="s">
        <v>610</v>
      </c>
      <c r="J2513" s="108" t="str">
        <f t="shared" si="6"/>
        <v>2024</v>
      </c>
      <c r="K2513" s="110">
        <f t="shared" si="7"/>
        <v>8</v>
      </c>
      <c r="L2513" s="108" t="str">
        <f t="shared" si="8"/>
        <v>2024-Q3</v>
      </c>
      <c r="M2513" s="111" t="str">
        <f t="shared" si="9"/>
        <v>2024-08</v>
      </c>
      <c r="N2513" s="112" t="str">
        <f t="shared" si="10"/>
        <v>2024-H2</v>
      </c>
    </row>
    <row r="2514">
      <c r="A2514" s="113" t="s">
        <v>610</v>
      </c>
      <c r="J2514" s="108" t="str">
        <f t="shared" si="6"/>
        <v>2024</v>
      </c>
      <c r="K2514" s="110">
        <f t="shared" si="7"/>
        <v>8</v>
      </c>
      <c r="L2514" s="108" t="str">
        <f t="shared" si="8"/>
        <v>2024-Q3</v>
      </c>
      <c r="M2514" s="111" t="str">
        <f t="shared" si="9"/>
        <v>2024-08</v>
      </c>
      <c r="N2514" s="112" t="str">
        <f t="shared" si="10"/>
        <v>2024-H2</v>
      </c>
    </row>
    <row r="2515">
      <c r="A2515" s="113" t="s">
        <v>610</v>
      </c>
      <c r="J2515" s="108" t="str">
        <f t="shared" si="6"/>
        <v>2024</v>
      </c>
      <c r="K2515" s="110">
        <f t="shared" si="7"/>
        <v>9</v>
      </c>
      <c r="L2515" s="108" t="str">
        <f t="shared" si="8"/>
        <v>2024-Q3</v>
      </c>
      <c r="M2515" s="111" t="str">
        <f t="shared" si="9"/>
        <v>2024-09</v>
      </c>
      <c r="N2515" s="112" t="str">
        <f t="shared" si="10"/>
        <v>2024-H2</v>
      </c>
    </row>
    <row r="2516">
      <c r="A2516" s="113" t="s">
        <v>610</v>
      </c>
      <c r="J2516" s="108" t="str">
        <f t="shared" si="6"/>
        <v>2024</v>
      </c>
      <c r="K2516" s="110">
        <f t="shared" si="7"/>
        <v>8</v>
      </c>
      <c r="L2516" s="108" t="str">
        <f t="shared" si="8"/>
        <v>2024-Q3</v>
      </c>
      <c r="M2516" s="111" t="str">
        <f t="shared" si="9"/>
        <v>2024-08</v>
      </c>
      <c r="N2516" s="112" t="str">
        <f t="shared" si="10"/>
        <v>2024-H2</v>
      </c>
    </row>
    <row r="2517">
      <c r="A2517" s="113" t="s">
        <v>610</v>
      </c>
      <c r="J2517" s="108" t="str">
        <f t="shared" si="6"/>
        <v>2024</v>
      </c>
      <c r="K2517" s="110">
        <f t="shared" si="7"/>
        <v>8</v>
      </c>
      <c r="L2517" s="108" t="str">
        <f t="shared" si="8"/>
        <v>2024-Q3</v>
      </c>
      <c r="M2517" s="111" t="str">
        <f t="shared" si="9"/>
        <v>2024-08</v>
      </c>
      <c r="N2517" s="112" t="str">
        <f t="shared" si="10"/>
        <v>2024-H2</v>
      </c>
    </row>
    <row r="2518">
      <c r="A2518" s="113" t="s">
        <v>610</v>
      </c>
      <c r="J2518" s="108" t="str">
        <f t="shared" si="6"/>
        <v>2024</v>
      </c>
      <c r="K2518" s="110">
        <f t="shared" si="7"/>
        <v>8</v>
      </c>
      <c r="L2518" s="108" t="str">
        <f t="shared" si="8"/>
        <v>2024-Q3</v>
      </c>
      <c r="M2518" s="111" t="str">
        <f t="shared" si="9"/>
        <v>2024-08</v>
      </c>
      <c r="N2518" s="112" t="str">
        <f t="shared" si="10"/>
        <v>2024-H2</v>
      </c>
    </row>
    <row r="2519">
      <c r="A2519" s="113" t="s">
        <v>610</v>
      </c>
      <c r="J2519" s="108" t="str">
        <f t="shared" si="6"/>
        <v>2024</v>
      </c>
      <c r="K2519" s="110">
        <f t="shared" si="7"/>
        <v>8</v>
      </c>
      <c r="L2519" s="108" t="str">
        <f t="shared" si="8"/>
        <v>2024-Q3</v>
      </c>
      <c r="M2519" s="111" t="str">
        <f t="shared" si="9"/>
        <v>2024-08</v>
      </c>
      <c r="N2519" s="112" t="str">
        <f t="shared" si="10"/>
        <v>2024-H2</v>
      </c>
    </row>
    <row r="2520">
      <c r="A2520" s="113" t="s">
        <v>610</v>
      </c>
      <c r="J2520" s="108" t="str">
        <f t="shared" si="6"/>
        <v>2024</v>
      </c>
      <c r="K2520" s="110">
        <f t="shared" si="7"/>
        <v>8</v>
      </c>
      <c r="L2520" s="108" t="str">
        <f t="shared" si="8"/>
        <v>2024-Q3</v>
      </c>
      <c r="M2520" s="111" t="str">
        <f t="shared" si="9"/>
        <v>2024-08</v>
      </c>
      <c r="N2520" s="112" t="str">
        <f t="shared" si="10"/>
        <v>2024-H2</v>
      </c>
    </row>
    <row r="2521">
      <c r="A2521" s="113" t="s">
        <v>610</v>
      </c>
      <c r="J2521" s="108" t="str">
        <f t="shared" si="6"/>
        <v>2024</v>
      </c>
      <c r="K2521" s="110">
        <f t="shared" si="7"/>
        <v>8</v>
      </c>
      <c r="L2521" s="108" t="str">
        <f t="shared" si="8"/>
        <v>2024-Q3</v>
      </c>
      <c r="M2521" s="111" t="str">
        <f t="shared" si="9"/>
        <v>2024-08</v>
      </c>
      <c r="N2521" s="112" t="str">
        <f t="shared" si="10"/>
        <v>2024-H2</v>
      </c>
    </row>
    <row r="2522">
      <c r="A2522" s="113" t="s">
        <v>610</v>
      </c>
      <c r="J2522" s="108" t="str">
        <f t="shared" si="6"/>
        <v>2024</v>
      </c>
      <c r="K2522" s="110">
        <f t="shared" si="7"/>
        <v>8</v>
      </c>
      <c r="L2522" s="108" t="str">
        <f t="shared" si="8"/>
        <v>2024-Q3</v>
      </c>
      <c r="M2522" s="111" t="str">
        <f t="shared" si="9"/>
        <v>2024-08</v>
      </c>
      <c r="N2522" s="112" t="str">
        <f t="shared" si="10"/>
        <v>2024-H2</v>
      </c>
    </row>
    <row r="2523">
      <c r="A2523" s="113" t="s">
        <v>610</v>
      </c>
      <c r="J2523" s="108" t="str">
        <f t="shared" si="6"/>
        <v>2024</v>
      </c>
      <c r="K2523" s="110">
        <f t="shared" si="7"/>
        <v>9</v>
      </c>
      <c r="L2523" s="108" t="str">
        <f t="shared" si="8"/>
        <v>2024-Q3</v>
      </c>
      <c r="M2523" s="111" t="str">
        <f t="shared" si="9"/>
        <v>2024-09</v>
      </c>
      <c r="N2523" s="112" t="str">
        <f t="shared" si="10"/>
        <v>2024-H2</v>
      </c>
    </row>
    <row r="2524">
      <c r="A2524" s="113" t="s">
        <v>610</v>
      </c>
      <c r="J2524" s="108" t="str">
        <f t="shared" si="6"/>
        <v>2024</v>
      </c>
      <c r="K2524" s="110">
        <f t="shared" si="7"/>
        <v>9</v>
      </c>
      <c r="L2524" s="108" t="str">
        <f t="shared" si="8"/>
        <v>2024-Q3</v>
      </c>
      <c r="M2524" s="111" t="str">
        <f t="shared" si="9"/>
        <v>2024-09</v>
      </c>
      <c r="N2524" s="112" t="str">
        <f t="shared" si="10"/>
        <v>2024-H2</v>
      </c>
    </row>
    <row r="2525">
      <c r="A2525" s="113" t="s">
        <v>610</v>
      </c>
      <c r="J2525" s="108" t="str">
        <f t="shared" si="6"/>
        <v>2024</v>
      </c>
      <c r="K2525" s="110">
        <f t="shared" si="7"/>
        <v>8</v>
      </c>
      <c r="L2525" s="108" t="str">
        <f t="shared" si="8"/>
        <v>2024-Q3</v>
      </c>
      <c r="M2525" s="111" t="str">
        <f t="shared" si="9"/>
        <v>2024-08</v>
      </c>
      <c r="N2525" s="112" t="str">
        <f t="shared" si="10"/>
        <v>2024-H2</v>
      </c>
    </row>
    <row r="2526">
      <c r="A2526" s="113" t="s">
        <v>610</v>
      </c>
      <c r="J2526" s="108" t="str">
        <f t="shared" si="6"/>
        <v>2024</v>
      </c>
      <c r="K2526" s="110">
        <f t="shared" si="7"/>
        <v>8</v>
      </c>
      <c r="L2526" s="108" t="str">
        <f t="shared" si="8"/>
        <v>2024-Q3</v>
      </c>
      <c r="M2526" s="111" t="str">
        <f t="shared" si="9"/>
        <v>2024-08</v>
      </c>
      <c r="N2526" s="112" t="str">
        <f t="shared" si="10"/>
        <v>2024-H2</v>
      </c>
    </row>
    <row r="2527">
      <c r="A2527" s="113" t="s">
        <v>610</v>
      </c>
      <c r="J2527" s="108" t="str">
        <f t="shared" si="6"/>
        <v>2024</v>
      </c>
      <c r="K2527" s="110">
        <f t="shared" si="7"/>
        <v>8</v>
      </c>
      <c r="L2527" s="108" t="str">
        <f t="shared" si="8"/>
        <v>2024-Q3</v>
      </c>
      <c r="M2527" s="111" t="str">
        <f t="shared" si="9"/>
        <v>2024-08</v>
      </c>
      <c r="N2527" s="112" t="str">
        <f t="shared" si="10"/>
        <v>2024-H2</v>
      </c>
    </row>
    <row r="2528">
      <c r="A2528" s="113" t="s">
        <v>610</v>
      </c>
      <c r="J2528" s="108" t="str">
        <f t="shared" si="6"/>
        <v>2024</v>
      </c>
      <c r="K2528" s="110">
        <f t="shared" si="7"/>
        <v>8</v>
      </c>
      <c r="L2528" s="108" t="str">
        <f t="shared" si="8"/>
        <v>2024-Q3</v>
      </c>
      <c r="M2528" s="111" t="str">
        <f t="shared" si="9"/>
        <v>2024-08</v>
      </c>
      <c r="N2528" s="112" t="str">
        <f t="shared" si="10"/>
        <v>2024-H2</v>
      </c>
    </row>
    <row r="2529">
      <c r="A2529" s="113" t="s">
        <v>610</v>
      </c>
      <c r="J2529" s="108" t="str">
        <f t="shared" si="6"/>
        <v>2024</v>
      </c>
      <c r="K2529" s="110">
        <f t="shared" si="7"/>
        <v>8</v>
      </c>
      <c r="L2529" s="108" t="str">
        <f t="shared" si="8"/>
        <v>2024-Q3</v>
      </c>
      <c r="M2529" s="111" t="str">
        <f t="shared" si="9"/>
        <v>2024-08</v>
      </c>
      <c r="N2529" s="112" t="str">
        <f t="shared" si="10"/>
        <v>2024-H2</v>
      </c>
    </row>
    <row r="2530">
      <c r="A2530" s="113" t="s">
        <v>610</v>
      </c>
      <c r="J2530" s="108" t="str">
        <f t="shared" si="6"/>
        <v>2024</v>
      </c>
      <c r="K2530" s="110">
        <f t="shared" si="7"/>
        <v>8</v>
      </c>
      <c r="L2530" s="108" t="str">
        <f t="shared" si="8"/>
        <v>2024-Q3</v>
      </c>
      <c r="M2530" s="111" t="str">
        <f t="shared" si="9"/>
        <v>2024-08</v>
      </c>
      <c r="N2530" s="112" t="str">
        <f t="shared" si="10"/>
        <v>2024-H2</v>
      </c>
    </row>
    <row r="2531">
      <c r="A2531" s="113" t="s">
        <v>610</v>
      </c>
      <c r="J2531" s="108" t="str">
        <f t="shared" si="6"/>
        <v>2024</v>
      </c>
      <c r="K2531" s="110">
        <f t="shared" si="7"/>
        <v>8</v>
      </c>
      <c r="L2531" s="108" t="str">
        <f t="shared" si="8"/>
        <v>2024-Q3</v>
      </c>
      <c r="M2531" s="111" t="str">
        <f t="shared" si="9"/>
        <v>2024-08</v>
      </c>
      <c r="N2531" s="112" t="str">
        <f t="shared" si="10"/>
        <v>2024-H2</v>
      </c>
    </row>
    <row r="2532">
      <c r="A2532" s="113" t="s">
        <v>610</v>
      </c>
      <c r="J2532" s="108" t="str">
        <f t="shared" si="6"/>
        <v>2024</v>
      </c>
      <c r="K2532" s="110">
        <f t="shared" si="7"/>
        <v>8</v>
      </c>
      <c r="L2532" s="108" t="str">
        <f t="shared" si="8"/>
        <v>2024-Q3</v>
      </c>
      <c r="M2532" s="111" t="str">
        <f t="shared" si="9"/>
        <v>2024-08</v>
      </c>
      <c r="N2532" s="112" t="str">
        <f t="shared" si="10"/>
        <v>2024-H2</v>
      </c>
    </row>
    <row r="2533">
      <c r="A2533" s="113" t="s">
        <v>610</v>
      </c>
      <c r="J2533" s="108" t="str">
        <f t="shared" si="6"/>
        <v>2024</v>
      </c>
      <c r="K2533" s="110">
        <f t="shared" si="7"/>
        <v>8</v>
      </c>
      <c r="L2533" s="108" t="str">
        <f t="shared" si="8"/>
        <v>2024-Q3</v>
      </c>
      <c r="M2533" s="111" t="str">
        <f t="shared" si="9"/>
        <v>2024-08</v>
      </c>
      <c r="N2533" s="112" t="str">
        <f t="shared" si="10"/>
        <v>2024-H2</v>
      </c>
    </row>
    <row r="2534">
      <c r="A2534" s="113" t="s">
        <v>610</v>
      </c>
      <c r="J2534" s="108" t="str">
        <f t="shared" si="6"/>
        <v>2024</v>
      </c>
      <c r="K2534" s="110">
        <f t="shared" si="7"/>
        <v>8</v>
      </c>
      <c r="L2534" s="108" t="str">
        <f t="shared" si="8"/>
        <v>2024-Q3</v>
      </c>
      <c r="M2534" s="111" t="str">
        <f t="shared" si="9"/>
        <v>2024-08</v>
      </c>
      <c r="N2534" s="112" t="str">
        <f t="shared" si="10"/>
        <v>2024-H2</v>
      </c>
    </row>
    <row r="2535">
      <c r="A2535" s="113" t="s">
        <v>610</v>
      </c>
      <c r="J2535" s="108" t="str">
        <f t="shared" si="6"/>
        <v>2024</v>
      </c>
      <c r="K2535" s="110">
        <f t="shared" si="7"/>
        <v>9</v>
      </c>
      <c r="L2535" s="108" t="str">
        <f t="shared" si="8"/>
        <v>2024-Q3</v>
      </c>
      <c r="M2535" s="111" t="str">
        <f t="shared" si="9"/>
        <v>2024-09</v>
      </c>
      <c r="N2535" s="112" t="str">
        <f t="shared" si="10"/>
        <v>2024-H2</v>
      </c>
    </row>
    <row r="2536">
      <c r="A2536" s="113" t="s">
        <v>610</v>
      </c>
      <c r="J2536" s="108" t="str">
        <f t="shared" si="6"/>
        <v>2024</v>
      </c>
      <c r="K2536" s="110">
        <f t="shared" si="7"/>
        <v>9</v>
      </c>
      <c r="L2536" s="108" t="str">
        <f t="shared" si="8"/>
        <v>2024-Q3</v>
      </c>
      <c r="M2536" s="111" t="str">
        <f t="shared" si="9"/>
        <v>2024-09</v>
      </c>
      <c r="N2536" s="112" t="str">
        <f t="shared" si="10"/>
        <v>2024-H2</v>
      </c>
    </row>
    <row r="2537">
      <c r="A2537" s="113" t="s">
        <v>610</v>
      </c>
      <c r="J2537" s="108" t="str">
        <f t="shared" si="6"/>
        <v>2024</v>
      </c>
      <c r="K2537" s="110">
        <f t="shared" si="7"/>
        <v>8</v>
      </c>
      <c r="L2537" s="108" t="str">
        <f t="shared" si="8"/>
        <v>2024-Q3</v>
      </c>
      <c r="M2537" s="111" t="str">
        <f t="shared" si="9"/>
        <v>2024-08</v>
      </c>
      <c r="N2537" s="112" t="str">
        <f t="shared" si="10"/>
        <v>2024-H2</v>
      </c>
    </row>
    <row r="2538">
      <c r="A2538" s="113" t="s">
        <v>610</v>
      </c>
      <c r="J2538" s="108" t="str">
        <f t="shared" si="6"/>
        <v>2024</v>
      </c>
      <c r="K2538" s="110">
        <f t="shared" si="7"/>
        <v>8</v>
      </c>
      <c r="L2538" s="108" t="str">
        <f t="shared" si="8"/>
        <v>2024-Q3</v>
      </c>
      <c r="M2538" s="111" t="str">
        <f t="shared" si="9"/>
        <v>2024-08</v>
      </c>
      <c r="N2538" s="112" t="str">
        <f t="shared" si="10"/>
        <v>2024-H2</v>
      </c>
    </row>
    <row r="2539">
      <c r="A2539" s="113" t="s">
        <v>610</v>
      </c>
      <c r="J2539" s="108" t="str">
        <f t="shared" si="6"/>
        <v>2024</v>
      </c>
      <c r="K2539" s="110">
        <f t="shared" si="7"/>
        <v>8</v>
      </c>
      <c r="L2539" s="108" t="str">
        <f t="shared" si="8"/>
        <v>2024-Q3</v>
      </c>
      <c r="M2539" s="111" t="str">
        <f t="shared" si="9"/>
        <v>2024-08</v>
      </c>
      <c r="N2539" s="112" t="str">
        <f t="shared" si="10"/>
        <v>2024-H2</v>
      </c>
    </row>
    <row r="2540">
      <c r="A2540" s="113" t="s">
        <v>610</v>
      </c>
      <c r="J2540" s="108" t="str">
        <f t="shared" si="6"/>
        <v>2024</v>
      </c>
      <c r="K2540" s="110">
        <f t="shared" si="7"/>
        <v>8</v>
      </c>
      <c r="L2540" s="108" t="str">
        <f t="shared" si="8"/>
        <v>2024-Q3</v>
      </c>
      <c r="M2540" s="111" t="str">
        <f t="shared" si="9"/>
        <v>2024-08</v>
      </c>
      <c r="N2540" s="112" t="str">
        <f t="shared" si="10"/>
        <v>2024-H2</v>
      </c>
    </row>
    <row r="2541">
      <c r="A2541" s="113" t="s">
        <v>610</v>
      </c>
      <c r="J2541" s="108" t="str">
        <f t="shared" si="6"/>
        <v>2024</v>
      </c>
      <c r="K2541" s="110">
        <f t="shared" si="7"/>
        <v>9</v>
      </c>
      <c r="L2541" s="108" t="str">
        <f t="shared" si="8"/>
        <v>2024-Q3</v>
      </c>
      <c r="M2541" s="111" t="str">
        <f t="shared" si="9"/>
        <v>2024-09</v>
      </c>
      <c r="N2541" s="112" t="str">
        <f t="shared" si="10"/>
        <v>2024-H2</v>
      </c>
    </row>
    <row r="2542">
      <c r="A2542" s="113" t="s">
        <v>610</v>
      </c>
      <c r="J2542" s="108" t="str">
        <f t="shared" si="6"/>
        <v>2024</v>
      </c>
      <c r="K2542" s="110">
        <f t="shared" si="7"/>
        <v>9</v>
      </c>
      <c r="L2542" s="108" t="str">
        <f t="shared" si="8"/>
        <v>2024-Q3</v>
      </c>
      <c r="M2542" s="111" t="str">
        <f t="shared" si="9"/>
        <v>2024-09</v>
      </c>
      <c r="N2542" s="112" t="str">
        <f t="shared" si="10"/>
        <v>2024-H2</v>
      </c>
    </row>
    <row r="2543">
      <c r="A2543" s="113" t="s">
        <v>610</v>
      </c>
      <c r="J2543" s="108" t="str">
        <f t="shared" si="6"/>
        <v>2024</v>
      </c>
      <c r="K2543" s="110">
        <f t="shared" si="7"/>
        <v>8</v>
      </c>
      <c r="L2543" s="108" t="str">
        <f t="shared" si="8"/>
        <v>2024-Q3</v>
      </c>
      <c r="M2543" s="111" t="str">
        <f t="shared" si="9"/>
        <v>2024-08</v>
      </c>
      <c r="N2543" s="112" t="str">
        <f t="shared" si="10"/>
        <v>2024-H2</v>
      </c>
    </row>
    <row r="2544">
      <c r="A2544" s="113" t="s">
        <v>610</v>
      </c>
      <c r="J2544" s="108" t="str">
        <f t="shared" si="6"/>
        <v>2024</v>
      </c>
      <c r="K2544" s="110">
        <f t="shared" si="7"/>
        <v>8</v>
      </c>
      <c r="L2544" s="108" t="str">
        <f t="shared" si="8"/>
        <v>2024-Q3</v>
      </c>
      <c r="M2544" s="111" t="str">
        <f t="shared" si="9"/>
        <v>2024-08</v>
      </c>
      <c r="N2544" s="112" t="str">
        <f t="shared" si="10"/>
        <v>2024-H2</v>
      </c>
    </row>
    <row r="2545">
      <c r="A2545" s="113" t="s">
        <v>610</v>
      </c>
      <c r="J2545" s="108" t="str">
        <f t="shared" si="6"/>
        <v>2024</v>
      </c>
      <c r="K2545" s="110">
        <f t="shared" si="7"/>
        <v>8</v>
      </c>
      <c r="L2545" s="108" t="str">
        <f t="shared" si="8"/>
        <v>2024-Q3</v>
      </c>
      <c r="M2545" s="111" t="str">
        <f t="shared" si="9"/>
        <v>2024-08</v>
      </c>
      <c r="N2545" s="112" t="str">
        <f t="shared" si="10"/>
        <v>2024-H2</v>
      </c>
    </row>
    <row r="2546">
      <c r="A2546" s="113" t="s">
        <v>610</v>
      </c>
      <c r="J2546" s="108" t="str">
        <f t="shared" si="6"/>
        <v>2024</v>
      </c>
      <c r="K2546" s="110">
        <f t="shared" si="7"/>
        <v>8</v>
      </c>
      <c r="L2546" s="108" t="str">
        <f t="shared" si="8"/>
        <v>2024-Q3</v>
      </c>
      <c r="M2546" s="111" t="str">
        <f t="shared" si="9"/>
        <v>2024-08</v>
      </c>
      <c r="N2546" s="112" t="str">
        <f t="shared" si="10"/>
        <v>2024-H2</v>
      </c>
    </row>
    <row r="2547">
      <c r="A2547" s="113" t="s">
        <v>610</v>
      </c>
      <c r="J2547" s="108" t="str">
        <f t="shared" si="6"/>
        <v>2024</v>
      </c>
      <c r="K2547" s="110">
        <f t="shared" si="7"/>
        <v>9</v>
      </c>
      <c r="L2547" s="108" t="str">
        <f t="shared" si="8"/>
        <v>2024-Q3</v>
      </c>
      <c r="M2547" s="111" t="str">
        <f t="shared" si="9"/>
        <v>2024-09</v>
      </c>
      <c r="N2547" s="112" t="str">
        <f t="shared" si="10"/>
        <v>2024-H2</v>
      </c>
    </row>
    <row r="2548">
      <c r="A2548" s="113" t="s">
        <v>610</v>
      </c>
      <c r="J2548" s="108" t="str">
        <f t="shared" si="6"/>
        <v>2024</v>
      </c>
      <c r="K2548" s="110">
        <f t="shared" si="7"/>
        <v>8</v>
      </c>
      <c r="L2548" s="108" t="str">
        <f t="shared" si="8"/>
        <v>2024-Q3</v>
      </c>
      <c r="M2548" s="111" t="str">
        <f t="shared" si="9"/>
        <v>2024-08</v>
      </c>
      <c r="N2548" s="112" t="str">
        <f t="shared" si="10"/>
        <v>2024-H2</v>
      </c>
    </row>
    <row r="2549">
      <c r="A2549" s="113" t="s">
        <v>610</v>
      </c>
      <c r="J2549" s="108" t="str">
        <f t="shared" si="6"/>
        <v>2024</v>
      </c>
      <c r="K2549" s="110">
        <f t="shared" si="7"/>
        <v>8</v>
      </c>
      <c r="L2549" s="108" t="str">
        <f t="shared" si="8"/>
        <v>2024-Q3</v>
      </c>
      <c r="M2549" s="111" t="str">
        <f t="shared" si="9"/>
        <v>2024-08</v>
      </c>
      <c r="N2549" s="112" t="str">
        <f t="shared" si="10"/>
        <v>2024-H2</v>
      </c>
    </row>
    <row r="2550">
      <c r="A2550" s="113" t="s">
        <v>610</v>
      </c>
      <c r="J2550" s="108" t="str">
        <f t="shared" si="6"/>
        <v>2024</v>
      </c>
      <c r="K2550" s="110">
        <f t="shared" si="7"/>
        <v>8</v>
      </c>
      <c r="L2550" s="108" t="str">
        <f t="shared" si="8"/>
        <v>2024-Q3</v>
      </c>
      <c r="M2550" s="111" t="str">
        <f t="shared" si="9"/>
        <v>2024-08</v>
      </c>
      <c r="N2550" s="112" t="str">
        <f t="shared" si="10"/>
        <v>2024-H2</v>
      </c>
    </row>
    <row r="2551">
      <c r="A2551" s="113" t="s">
        <v>610</v>
      </c>
      <c r="J2551" s="108" t="str">
        <f t="shared" si="6"/>
        <v>2024</v>
      </c>
      <c r="K2551" s="110">
        <f t="shared" si="7"/>
        <v>8</v>
      </c>
      <c r="L2551" s="108" t="str">
        <f t="shared" si="8"/>
        <v>2024-Q3</v>
      </c>
      <c r="M2551" s="111" t="str">
        <f t="shared" si="9"/>
        <v>2024-08</v>
      </c>
      <c r="N2551" s="112" t="str">
        <f t="shared" si="10"/>
        <v>2024-H2</v>
      </c>
    </row>
    <row r="2552">
      <c r="A2552" s="113" t="s">
        <v>610</v>
      </c>
      <c r="J2552" s="108" t="str">
        <f t="shared" si="6"/>
        <v>2024</v>
      </c>
      <c r="K2552" s="110">
        <f t="shared" si="7"/>
        <v>9</v>
      </c>
      <c r="L2552" s="108" t="str">
        <f t="shared" si="8"/>
        <v>2024-Q3</v>
      </c>
      <c r="M2552" s="111" t="str">
        <f t="shared" si="9"/>
        <v>2024-09</v>
      </c>
      <c r="N2552" s="112" t="str">
        <f t="shared" si="10"/>
        <v>2024-H2</v>
      </c>
    </row>
    <row r="2553">
      <c r="A2553" s="113" t="s">
        <v>610</v>
      </c>
      <c r="J2553" s="108" t="str">
        <f t="shared" si="6"/>
        <v>2024</v>
      </c>
      <c r="K2553" s="110">
        <f t="shared" si="7"/>
        <v>9</v>
      </c>
      <c r="L2553" s="108" t="str">
        <f t="shared" si="8"/>
        <v>2024-Q3</v>
      </c>
      <c r="M2553" s="111" t="str">
        <f t="shared" si="9"/>
        <v>2024-09</v>
      </c>
      <c r="N2553" s="112" t="str">
        <f t="shared" si="10"/>
        <v>2024-H2</v>
      </c>
    </row>
    <row r="2554">
      <c r="A2554" s="113" t="s">
        <v>610</v>
      </c>
      <c r="J2554" s="108" t="str">
        <f t="shared" si="6"/>
        <v>2024</v>
      </c>
      <c r="K2554" s="110">
        <f t="shared" si="7"/>
        <v>9</v>
      </c>
      <c r="L2554" s="108" t="str">
        <f t="shared" si="8"/>
        <v>2024-Q3</v>
      </c>
      <c r="M2554" s="111" t="str">
        <f t="shared" si="9"/>
        <v>2024-09</v>
      </c>
      <c r="N2554" s="112" t="str">
        <f t="shared" si="10"/>
        <v>2024-H2</v>
      </c>
    </row>
    <row r="2555">
      <c r="A2555" s="113" t="s">
        <v>610</v>
      </c>
      <c r="J2555" s="108" t="str">
        <f t="shared" si="6"/>
        <v>2024</v>
      </c>
      <c r="K2555" s="110">
        <f t="shared" si="7"/>
        <v>9</v>
      </c>
      <c r="L2555" s="108" t="str">
        <f t="shared" si="8"/>
        <v>2024-Q3</v>
      </c>
      <c r="M2555" s="111" t="str">
        <f t="shared" si="9"/>
        <v>2024-09</v>
      </c>
      <c r="N2555" s="112" t="str">
        <f t="shared" si="10"/>
        <v>2024-H2</v>
      </c>
    </row>
    <row r="2556">
      <c r="A2556" s="113" t="s">
        <v>610</v>
      </c>
      <c r="J2556" s="108" t="str">
        <f t="shared" si="6"/>
        <v>2024</v>
      </c>
      <c r="K2556" s="110">
        <f t="shared" si="7"/>
        <v>9</v>
      </c>
      <c r="L2556" s="108" t="str">
        <f t="shared" si="8"/>
        <v>2024-Q3</v>
      </c>
      <c r="M2556" s="111" t="str">
        <f t="shared" si="9"/>
        <v>2024-09</v>
      </c>
      <c r="N2556" s="112" t="str">
        <f t="shared" si="10"/>
        <v>2024-H2</v>
      </c>
    </row>
    <row r="2557">
      <c r="A2557" s="113" t="s">
        <v>610</v>
      </c>
      <c r="J2557" s="108" t="str">
        <f t="shared" si="6"/>
        <v>2024</v>
      </c>
      <c r="K2557" s="110">
        <f t="shared" si="7"/>
        <v>9</v>
      </c>
      <c r="L2557" s="108" t="str">
        <f t="shared" si="8"/>
        <v>2024-Q3</v>
      </c>
      <c r="M2557" s="111" t="str">
        <f t="shared" si="9"/>
        <v>2024-09</v>
      </c>
      <c r="N2557" s="112" t="str">
        <f t="shared" si="10"/>
        <v>2024-H2</v>
      </c>
    </row>
    <row r="2558">
      <c r="A2558" s="113" t="s">
        <v>610</v>
      </c>
      <c r="J2558" s="108" t="str">
        <f t="shared" si="6"/>
        <v>2024</v>
      </c>
      <c r="K2558" s="110">
        <f t="shared" si="7"/>
        <v>9</v>
      </c>
      <c r="L2558" s="108" t="str">
        <f t="shared" si="8"/>
        <v>2024-Q3</v>
      </c>
      <c r="M2558" s="111" t="str">
        <f t="shared" si="9"/>
        <v>2024-09</v>
      </c>
      <c r="N2558" s="112" t="str">
        <f t="shared" si="10"/>
        <v>2024-H2</v>
      </c>
    </row>
    <row r="2559">
      <c r="A2559" s="113" t="s">
        <v>610</v>
      </c>
      <c r="J2559" s="108" t="str">
        <f t="shared" si="6"/>
        <v>2024</v>
      </c>
      <c r="K2559" s="110">
        <f t="shared" si="7"/>
        <v>8</v>
      </c>
      <c r="L2559" s="108" t="str">
        <f t="shared" si="8"/>
        <v>2024-Q3</v>
      </c>
      <c r="M2559" s="111" t="str">
        <f t="shared" si="9"/>
        <v>2024-08</v>
      </c>
      <c r="N2559" s="112" t="str">
        <f t="shared" si="10"/>
        <v>2024-H2</v>
      </c>
    </row>
    <row r="2560">
      <c r="A2560" s="113" t="s">
        <v>610</v>
      </c>
      <c r="J2560" s="108" t="str">
        <f t="shared" si="6"/>
        <v>2024</v>
      </c>
      <c r="K2560" s="110">
        <f t="shared" si="7"/>
        <v>8</v>
      </c>
      <c r="L2560" s="108" t="str">
        <f t="shared" si="8"/>
        <v>2024-Q3</v>
      </c>
      <c r="M2560" s="111" t="str">
        <f t="shared" si="9"/>
        <v>2024-08</v>
      </c>
      <c r="N2560" s="112" t="str">
        <f t="shared" si="10"/>
        <v>2024-H2</v>
      </c>
    </row>
    <row r="2561">
      <c r="A2561" s="113" t="s">
        <v>610</v>
      </c>
      <c r="J2561" s="108" t="str">
        <f t="shared" si="6"/>
        <v>2024</v>
      </c>
      <c r="K2561" s="110">
        <f t="shared" si="7"/>
        <v>8</v>
      </c>
      <c r="L2561" s="108" t="str">
        <f t="shared" si="8"/>
        <v>2024-Q3</v>
      </c>
      <c r="M2561" s="111" t="str">
        <f t="shared" si="9"/>
        <v>2024-08</v>
      </c>
      <c r="N2561" s="112" t="str">
        <f t="shared" si="10"/>
        <v>2024-H2</v>
      </c>
    </row>
    <row r="2562">
      <c r="A2562" s="113" t="s">
        <v>610</v>
      </c>
      <c r="J2562" s="108" t="str">
        <f t="shared" si="6"/>
        <v>2024</v>
      </c>
      <c r="K2562" s="110">
        <f t="shared" si="7"/>
        <v>8</v>
      </c>
      <c r="L2562" s="108" t="str">
        <f t="shared" si="8"/>
        <v>2024-Q3</v>
      </c>
      <c r="M2562" s="111" t="str">
        <f t="shared" si="9"/>
        <v>2024-08</v>
      </c>
      <c r="N2562" s="112" t="str">
        <f t="shared" si="10"/>
        <v>2024-H2</v>
      </c>
    </row>
    <row r="2563">
      <c r="A2563" s="113" t="s">
        <v>610</v>
      </c>
      <c r="J2563" s="108" t="str">
        <f t="shared" si="6"/>
        <v>2024</v>
      </c>
      <c r="K2563" s="110">
        <f t="shared" si="7"/>
        <v>8</v>
      </c>
      <c r="L2563" s="108" t="str">
        <f t="shared" si="8"/>
        <v>2024-Q3</v>
      </c>
      <c r="M2563" s="111" t="str">
        <f t="shared" si="9"/>
        <v>2024-08</v>
      </c>
      <c r="N2563" s="112" t="str">
        <f t="shared" si="10"/>
        <v>2024-H2</v>
      </c>
    </row>
    <row r="2564">
      <c r="A2564" s="113" t="s">
        <v>610</v>
      </c>
      <c r="J2564" s="108" t="str">
        <f t="shared" si="6"/>
        <v>2024</v>
      </c>
      <c r="K2564" s="110">
        <f t="shared" si="7"/>
        <v>8</v>
      </c>
      <c r="L2564" s="108" t="str">
        <f t="shared" si="8"/>
        <v>2024-Q3</v>
      </c>
      <c r="M2564" s="111" t="str">
        <f t="shared" si="9"/>
        <v>2024-08</v>
      </c>
      <c r="N2564" s="112" t="str">
        <f t="shared" si="10"/>
        <v>2024-H2</v>
      </c>
    </row>
    <row r="2565">
      <c r="A2565" s="113" t="s">
        <v>610</v>
      </c>
      <c r="J2565" s="108" t="str">
        <f t="shared" si="6"/>
        <v>2024</v>
      </c>
      <c r="K2565" s="110">
        <f t="shared" si="7"/>
        <v>8</v>
      </c>
      <c r="L2565" s="108" t="str">
        <f t="shared" si="8"/>
        <v>2024-Q3</v>
      </c>
      <c r="M2565" s="111" t="str">
        <f t="shared" si="9"/>
        <v>2024-08</v>
      </c>
      <c r="N2565" s="112" t="str">
        <f t="shared" si="10"/>
        <v>2024-H2</v>
      </c>
    </row>
    <row r="2566">
      <c r="A2566" s="113" t="s">
        <v>610</v>
      </c>
      <c r="J2566" s="108" t="str">
        <f t="shared" si="6"/>
        <v>2024</v>
      </c>
      <c r="K2566" s="110">
        <f t="shared" si="7"/>
        <v>8</v>
      </c>
      <c r="L2566" s="108" t="str">
        <f t="shared" si="8"/>
        <v>2024-Q3</v>
      </c>
      <c r="M2566" s="111" t="str">
        <f t="shared" si="9"/>
        <v>2024-08</v>
      </c>
      <c r="N2566" s="112" t="str">
        <f t="shared" si="10"/>
        <v>2024-H2</v>
      </c>
    </row>
    <row r="2567">
      <c r="A2567" s="113" t="s">
        <v>610</v>
      </c>
      <c r="J2567" s="108" t="str">
        <f t="shared" si="6"/>
        <v>2024</v>
      </c>
      <c r="K2567" s="110">
        <f t="shared" si="7"/>
        <v>8</v>
      </c>
      <c r="L2567" s="108" t="str">
        <f t="shared" si="8"/>
        <v>2024-Q3</v>
      </c>
      <c r="M2567" s="111" t="str">
        <f t="shared" si="9"/>
        <v>2024-08</v>
      </c>
      <c r="N2567" s="112" t="str">
        <f t="shared" si="10"/>
        <v>2024-H2</v>
      </c>
    </row>
    <row r="2568">
      <c r="A2568" s="113" t="s">
        <v>610</v>
      </c>
      <c r="J2568" s="108" t="str">
        <f t="shared" si="6"/>
        <v>2024</v>
      </c>
      <c r="K2568" s="110">
        <f t="shared" si="7"/>
        <v>8</v>
      </c>
      <c r="L2568" s="108" t="str">
        <f t="shared" si="8"/>
        <v>2024-Q3</v>
      </c>
      <c r="M2568" s="111" t="str">
        <f t="shared" si="9"/>
        <v>2024-08</v>
      </c>
      <c r="N2568" s="112" t="str">
        <f t="shared" si="10"/>
        <v>2024-H2</v>
      </c>
    </row>
    <row r="2569">
      <c r="A2569" s="113" t="s">
        <v>610</v>
      </c>
      <c r="J2569" s="108" t="str">
        <f t="shared" si="6"/>
        <v>2024</v>
      </c>
      <c r="K2569" s="110">
        <f t="shared" si="7"/>
        <v>8</v>
      </c>
      <c r="L2569" s="108" t="str">
        <f t="shared" si="8"/>
        <v>2024-Q3</v>
      </c>
      <c r="M2569" s="111" t="str">
        <f t="shared" si="9"/>
        <v>2024-08</v>
      </c>
      <c r="N2569" s="112" t="str">
        <f t="shared" si="10"/>
        <v>2024-H2</v>
      </c>
    </row>
    <row r="2570">
      <c r="A2570" s="113" t="s">
        <v>610</v>
      </c>
      <c r="J2570" s="108" t="str">
        <f t="shared" si="6"/>
        <v>2024</v>
      </c>
      <c r="K2570" s="110">
        <f t="shared" si="7"/>
        <v>8</v>
      </c>
      <c r="L2570" s="108" t="str">
        <f t="shared" si="8"/>
        <v>2024-Q3</v>
      </c>
      <c r="M2570" s="111" t="str">
        <f t="shared" si="9"/>
        <v>2024-08</v>
      </c>
      <c r="N2570" s="112" t="str">
        <f t="shared" si="10"/>
        <v>2024-H2</v>
      </c>
    </row>
    <row r="2571">
      <c r="A2571" s="113" t="s">
        <v>610</v>
      </c>
      <c r="J2571" s="108" t="str">
        <f t="shared" si="6"/>
        <v>2024</v>
      </c>
      <c r="K2571" s="110">
        <f t="shared" si="7"/>
        <v>9</v>
      </c>
      <c r="L2571" s="108" t="str">
        <f t="shared" si="8"/>
        <v>2024-Q3</v>
      </c>
      <c r="M2571" s="111" t="str">
        <f t="shared" si="9"/>
        <v>2024-09</v>
      </c>
      <c r="N2571" s="112" t="str">
        <f t="shared" si="10"/>
        <v>2024-H2</v>
      </c>
    </row>
    <row r="2572">
      <c r="A2572" s="113" t="s">
        <v>610</v>
      </c>
      <c r="J2572" s="108" t="str">
        <f t="shared" si="6"/>
        <v>2024</v>
      </c>
      <c r="K2572" s="110">
        <f t="shared" si="7"/>
        <v>8</v>
      </c>
      <c r="L2572" s="108" t="str">
        <f t="shared" si="8"/>
        <v>2024-Q3</v>
      </c>
      <c r="M2572" s="111" t="str">
        <f t="shared" si="9"/>
        <v>2024-08</v>
      </c>
      <c r="N2572" s="112" t="str">
        <f t="shared" si="10"/>
        <v>2024-H2</v>
      </c>
    </row>
    <row r="2573">
      <c r="A2573" s="113" t="s">
        <v>610</v>
      </c>
      <c r="J2573" s="108" t="str">
        <f t="shared" si="6"/>
        <v>2024</v>
      </c>
      <c r="K2573" s="110">
        <f t="shared" si="7"/>
        <v>9</v>
      </c>
      <c r="L2573" s="108" t="str">
        <f t="shared" si="8"/>
        <v>2024-Q3</v>
      </c>
      <c r="M2573" s="111" t="str">
        <f t="shared" si="9"/>
        <v>2024-09</v>
      </c>
      <c r="N2573" s="112" t="str">
        <f t="shared" si="10"/>
        <v>2024-H2</v>
      </c>
    </row>
    <row r="2574">
      <c r="A2574" s="113" t="s">
        <v>610</v>
      </c>
      <c r="J2574" s="108" t="str">
        <f t="shared" si="6"/>
        <v>2024</v>
      </c>
      <c r="K2574" s="110">
        <f t="shared" si="7"/>
        <v>8</v>
      </c>
      <c r="L2574" s="108" t="str">
        <f t="shared" si="8"/>
        <v>2024-Q3</v>
      </c>
      <c r="M2574" s="111" t="str">
        <f t="shared" si="9"/>
        <v>2024-08</v>
      </c>
      <c r="N2574" s="112" t="str">
        <f t="shared" si="10"/>
        <v>2024-H2</v>
      </c>
    </row>
    <row r="2575">
      <c r="A2575" s="113" t="s">
        <v>610</v>
      </c>
      <c r="J2575" s="108" t="str">
        <f t="shared" si="6"/>
        <v>2024</v>
      </c>
      <c r="K2575" s="110">
        <f t="shared" si="7"/>
        <v>8</v>
      </c>
      <c r="L2575" s="108" t="str">
        <f t="shared" si="8"/>
        <v>2024-Q3</v>
      </c>
      <c r="M2575" s="111" t="str">
        <f t="shared" si="9"/>
        <v>2024-08</v>
      </c>
      <c r="N2575" s="112" t="str">
        <f t="shared" si="10"/>
        <v>2024-H2</v>
      </c>
    </row>
    <row r="2576">
      <c r="A2576" s="113" t="s">
        <v>610</v>
      </c>
      <c r="J2576" s="108" t="str">
        <f t="shared" si="6"/>
        <v>2024</v>
      </c>
      <c r="K2576" s="110">
        <f t="shared" si="7"/>
        <v>8</v>
      </c>
      <c r="L2576" s="108" t="str">
        <f t="shared" si="8"/>
        <v>2024-Q3</v>
      </c>
      <c r="M2576" s="111" t="str">
        <f t="shared" si="9"/>
        <v>2024-08</v>
      </c>
      <c r="N2576" s="112" t="str">
        <f t="shared" si="10"/>
        <v>2024-H2</v>
      </c>
    </row>
    <row r="2577">
      <c r="A2577" s="113" t="s">
        <v>610</v>
      </c>
      <c r="J2577" s="108" t="str">
        <f t="shared" si="6"/>
        <v>2024</v>
      </c>
      <c r="K2577" s="110">
        <f t="shared" si="7"/>
        <v>9</v>
      </c>
      <c r="L2577" s="108" t="str">
        <f t="shared" si="8"/>
        <v>2024-Q3</v>
      </c>
      <c r="M2577" s="111" t="str">
        <f t="shared" si="9"/>
        <v>2024-09</v>
      </c>
      <c r="N2577" s="112" t="str">
        <f t="shared" si="10"/>
        <v>2024-H2</v>
      </c>
    </row>
    <row r="2578">
      <c r="A2578" s="113" t="s">
        <v>610</v>
      </c>
      <c r="J2578" s="108" t="str">
        <f t="shared" si="6"/>
        <v>2024</v>
      </c>
      <c r="K2578" s="110">
        <f t="shared" si="7"/>
        <v>9</v>
      </c>
      <c r="L2578" s="108" t="str">
        <f t="shared" si="8"/>
        <v>2024-Q3</v>
      </c>
      <c r="M2578" s="111" t="str">
        <f t="shared" si="9"/>
        <v>2024-09</v>
      </c>
      <c r="N2578" s="112" t="str">
        <f t="shared" si="10"/>
        <v>2024-H2</v>
      </c>
    </row>
    <row r="2579">
      <c r="A2579" s="113" t="s">
        <v>610</v>
      </c>
      <c r="J2579" s="108" t="str">
        <f t="shared" si="6"/>
        <v>2024</v>
      </c>
      <c r="K2579" s="110">
        <f t="shared" si="7"/>
        <v>9</v>
      </c>
      <c r="L2579" s="108" t="str">
        <f t="shared" si="8"/>
        <v>2024-Q3</v>
      </c>
      <c r="M2579" s="111" t="str">
        <f t="shared" si="9"/>
        <v>2024-09</v>
      </c>
      <c r="N2579" s="112" t="str">
        <f t="shared" si="10"/>
        <v>2024-H2</v>
      </c>
    </row>
    <row r="2580">
      <c r="A2580" s="113" t="s">
        <v>610</v>
      </c>
      <c r="J2580" s="108" t="str">
        <f t="shared" si="6"/>
        <v>2024</v>
      </c>
      <c r="K2580" s="110">
        <f t="shared" si="7"/>
        <v>9</v>
      </c>
      <c r="L2580" s="108" t="str">
        <f t="shared" si="8"/>
        <v>2024-Q3</v>
      </c>
      <c r="M2580" s="111" t="str">
        <f t="shared" si="9"/>
        <v>2024-09</v>
      </c>
      <c r="N2580" s="112" t="str">
        <f t="shared" si="10"/>
        <v>2024-H2</v>
      </c>
    </row>
    <row r="2581">
      <c r="A2581" s="113" t="s">
        <v>610</v>
      </c>
      <c r="J2581" s="108" t="str">
        <f t="shared" si="6"/>
        <v>2024</v>
      </c>
      <c r="K2581" s="110">
        <f t="shared" si="7"/>
        <v>9</v>
      </c>
      <c r="L2581" s="108" t="str">
        <f t="shared" si="8"/>
        <v>2024-Q3</v>
      </c>
      <c r="M2581" s="111" t="str">
        <f t="shared" si="9"/>
        <v>2024-09</v>
      </c>
      <c r="N2581" s="112" t="str">
        <f t="shared" si="10"/>
        <v>2024-H2</v>
      </c>
    </row>
    <row r="2582">
      <c r="A2582" s="113" t="s">
        <v>610</v>
      </c>
      <c r="J2582" s="108" t="str">
        <f t="shared" si="6"/>
        <v>2024</v>
      </c>
      <c r="K2582" s="110">
        <f t="shared" si="7"/>
        <v>9</v>
      </c>
      <c r="L2582" s="108" t="str">
        <f t="shared" si="8"/>
        <v>2024-Q3</v>
      </c>
      <c r="M2582" s="111" t="str">
        <f t="shared" si="9"/>
        <v>2024-09</v>
      </c>
      <c r="N2582" s="112" t="str">
        <f t="shared" si="10"/>
        <v>2024-H2</v>
      </c>
    </row>
    <row r="2583">
      <c r="A2583" s="113" t="s">
        <v>610</v>
      </c>
      <c r="J2583" s="108" t="str">
        <f t="shared" si="6"/>
        <v>2024</v>
      </c>
      <c r="K2583" s="110">
        <f t="shared" si="7"/>
        <v>9</v>
      </c>
      <c r="L2583" s="108" t="str">
        <f t="shared" si="8"/>
        <v>2024-Q3</v>
      </c>
      <c r="M2583" s="111" t="str">
        <f t="shared" si="9"/>
        <v>2024-09</v>
      </c>
      <c r="N2583" s="112" t="str">
        <f t="shared" si="10"/>
        <v>2024-H2</v>
      </c>
    </row>
    <row r="2584">
      <c r="A2584" s="113" t="s">
        <v>610</v>
      </c>
      <c r="J2584" s="108" t="str">
        <f t="shared" si="6"/>
        <v>2024</v>
      </c>
      <c r="K2584" s="110">
        <f t="shared" si="7"/>
        <v>9</v>
      </c>
      <c r="L2584" s="108" t="str">
        <f t="shared" si="8"/>
        <v>2024-Q3</v>
      </c>
      <c r="M2584" s="111" t="str">
        <f t="shared" si="9"/>
        <v>2024-09</v>
      </c>
      <c r="N2584" s="112" t="str">
        <f t="shared" si="10"/>
        <v>2024-H2</v>
      </c>
    </row>
    <row r="2585">
      <c r="A2585" s="113" t="s">
        <v>610</v>
      </c>
      <c r="J2585" s="108" t="str">
        <f t="shared" si="6"/>
        <v>2024</v>
      </c>
      <c r="K2585" s="110">
        <f t="shared" si="7"/>
        <v>9</v>
      </c>
      <c r="L2585" s="108" t="str">
        <f t="shared" si="8"/>
        <v>2024-Q3</v>
      </c>
      <c r="M2585" s="111" t="str">
        <f t="shared" si="9"/>
        <v>2024-09</v>
      </c>
      <c r="N2585" s="112" t="str">
        <f t="shared" si="10"/>
        <v>2024-H2</v>
      </c>
    </row>
    <row r="2586">
      <c r="A2586" s="113" t="s">
        <v>610</v>
      </c>
      <c r="J2586" s="108" t="str">
        <f t="shared" si="6"/>
        <v>2024</v>
      </c>
      <c r="K2586" s="110">
        <f t="shared" si="7"/>
        <v>9</v>
      </c>
      <c r="L2586" s="108" t="str">
        <f t="shared" si="8"/>
        <v>2024-Q3</v>
      </c>
      <c r="M2586" s="111" t="str">
        <f t="shared" si="9"/>
        <v>2024-09</v>
      </c>
      <c r="N2586" s="112" t="str">
        <f t="shared" si="10"/>
        <v>2024-H2</v>
      </c>
    </row>
    <row r="2587">
      <c r="A2587" s="113" t="s">
        <v>610</v>
      </c>
      <c r="J2587" s="108" t="str">
        <f t="shared" si="6"/>
        <v>2024</v>
      </c>
      <c r="K2587" s="110">
        <f t="shared" si="7"/>
        <v>9</v>
      </c>
      <c r="L2587" s="108" t="str">
        <f t="shared" si="8"/>
        <v>2024-Q3</v>
      </c>
      <c r="M2587" s="111" t="str">
        <f t="shared" si="9"/>
        <v>2024-09</v>
      </c>
      <c r="N2587" s="112" t="str">
        <f t="shared" si="10"/>
        <v>2024-H2</v>
      </c>
    </row>
    <row r="2588">
      <c r="A2588" s="113" t="s">
        <v>610</v>
      </c>
      <c r="J2588" s="108" t="str">
        <f t="shared" si="6"/>
        <v>2024</v>
      </c>
      <c r="K2588" s="110">
        <f t="shared" si="7"/>
        <v>9</v>
      </c>
      <c r="L2588" s="108" t="str">
        <f t="shared" si="8"/>
        <v>2024-Q3</v>
      </c>
      <c r="M2588" s="111" t="str">
        <f t="shared" si="9"/>
        <v>2024-09</v>
      </c>
      <c r="N2588" s="112" t="str">
        <f t="shared" si="10"/>
        <v>2024-H2</v>
      </c>
    </row>
    <row r="2589">
      <c r="A2589" s="113" t="s">
        <v>610</v>
      </c>
      <c r="J2589" s="108" t="str">
        <f t="shared" si="6"/>
        <v>2024</v>
      </c>
      <c r="K2589" s="110">
        <f t="shared" si="7"/>
        <v>9</v>
      </c>
      <c r="L2589" s="108" t="str">
        <f t="shared" si="8"/>
        <v>2024-Q3</v>
      </c>
      <c r="M2589" s="111" t="str">
        <f t="shared" si="9"/>
        <v>2024-09</v>
      </c>
      <c r="N2589" s="112" t="str">
        <f t="shared" si="10"/>
        <v>2024-H2</v>
      </c>
    </row>
    <row r="2590">
      <c r="A2590" s="113" t="s">
        <v>610</v>
      </c>
      <c r="J2590" s="108" t="str">
        <f t="shared" si="6"/>
        <v>2024</v>
      </c>
      <c r="K2590" s="110">
        <f t="shared" si="7"/>
        <v>9</v>
      </c>
      <c r="L2590" s="108" t="str">
        <f t="shared" si="8"/>
        <v>2024-Q3</v>
      </c>
      <c r="M2590" s="111" t="str">
        <f t="shared" si="9"/>
        <v>2024-09</v>
      </c>
      <c r="N2590" s="112" t="str">
        <f t="shared" si="10"/>
        <v>2024-H2</v>
      </c>
    </row>
    <row r="2591">
      <c r="A2591" s="113" t="s">
        <v>610</v>
      </c>
      <c r="J2591" s="108" t="str">
        <f t="shared" si="6"/>
        <v>2024</v>
      </c>
      <c r="K2591" s="110">
        <f t="shared" si="7"/>
        <v>9</v>
      </c>
      <c r="L2591" s="108" t="str">
        <f t="shared" si="8"/>
        <v>2024-Q3</v>
      </c>
      <c r="M2591" s="111" t="str">
        <f t="shared" si="9"/>
        <v>2024-09</v>
      </c>
      <c r="N2591" s="112" t="str">
        <f t="shared" si="10"/>
        <v>2024-H2</v>
      </c>
    </row>
    <row r="2592">
      <c r="A2592" s="113" t="s">
        <v>610</v>
      </c>
      <c r="J2592" s="108" t="str">
        <f t="shared" si="6"/>
        <v>2024</v>
      </c>
      <c r="K2592" s="110">
        <f t="shared" si="7"/>
        <v>9</v>
      </c>
      <c r="L2592" s="108" t="str">
        <f t="shared" si="8"/>
        <v>2024-Q3</v>
      </c>
      <c r="M2592" s="111" t="str">
        <f t="shared" si="9"/>
        <v>2024-09</v>
      </c>
      <c r="N2592" s="112" t="str">
        <f t="shared" si="10"/>
        <v>2024-H2</v>
      </c>
    </row>
    <row r="2593">
      <c r="A2593" s="113" t="s">
        <v>610</v>
      </c>
      <c r="J2593" s="108" t="str">
        <f t="shared" si="6"/>
        <v>2024</v>
      </c>
      <c r="K2593" s="110">
        <f t="shared" si="7"/>
        <v>9</v>
      </c>
      <c r="L2593" s="108" t="str">
        <f t="shared" si="8"/>
        <v>2024-Q3</v>
      </c>
      <c r="M2593" s="111" t="str">
        <f t="shared" si="9"/>
        <v>2024-09</v>
      </c>
      <c r="N2593" s="112" t="str">
        <f t="shared" si="10"/>
        <v>2024-H2</v>
      </c>
    </row>
    <row r="2594">
      <c r="A2594" s="113" t="s">
        <v>610</v>
      </c>
      <c r="J2594" s="108" t="str">
        <f t="shared" si="6"/>
        <v>2024</v>
      </c>
      <c r="K2594" s="110">
        <f t="shared" si="7"/>
        <v>9</v>
      </c>
      <c r="L2594" s="108" t="str">
        <f t="shared" si="8"/>
        <v>2024-Q3</v>
      </c>
      <c r="M2594" s="111" t="str">
        <f t="shared" si="9"/>
        <v>2024-09</v>
      </c>
      <c r="N2594" s="112" t="str">
        <f t="shared" si="10"/>
        <v>2024-H2</v>
      </c>
    </row>
    <row r="2595">
      <c r="A2595" s="113" t="s">
        <v>610</v>
      </c>
      <c r="J2595" s="108" t="str">
        <f t="shared" si="6"/>
        <v>2024</v>
      </c>
      <c r="K2595" s="110">
        <f t="shared" si="7"/>
        <v>9</v>
      </c>
      <c r="L2595" s="108" t="str">
        <f t="shared" si="8"/>
        <v>2024-Q3</v>
      </c>
      <c r="M2595" s="111" t="str">
        <f t="shared" si="9"/>
        <v>2024-09</v>
      </c>
      <c r="N2595" s="112" t="str">
        <f t="shared" si="10"/>
        <v>2024-H2</v>
      </c>
    </row>
    <row r="2596">
      <c r="A2596" s="113" t="s">
        <v>610</v>
      </c>
      <c r="J2596" s="108" t="str">
        <f t="shared" si="6"/>
        <v>2024</v>
      </c>
      <c r="K2596" s="110">
        <f t="shared" si="7"/>
        <v>9</v>
      </c>
      <c r="L2596" s="108" t="str">
        <f t="shared" si="8"/>
        <v>2024-Q3</v>
      </c>
      <c r="M2596" s="111" t="str">
        <f t="shared" si="9"/>
        <v>2024-09</v>
      </c>
      <c r="N2596" s="112" t="str">
        <f t="shared" si="10"/>
        <v>2024-H2</v>
      </c>
    </row>
    <row r="2597">
      <c r="A2597" s="113" t="s">
        <v>610</v>
      </c>
      <c r="J2597" s="108" t="str">
        <f t="shared" si="6"/>
        <v>2024</v>
      </c>
      <c r="K2597" s="110">
        <f t="shared" si="7"/>
        <v>9</v>
      </c>
      <c r="L2597" s="108" t="str">
        <f t="shared" si="8"/>
        <v>2024-Q3</v>
      </c>
      <c r="M2597" s="111" t="str">
        <f t="shared" si="9"/>
        <v>2024-09</v>
      </c>
      <c r="N2597" s="112" t="str">
        <f t="shared" si="10"/>
        <v>2024-H2</v>
      </c>
    </row>
    <row r="2598">
      <c r="A2598" s="113" t="s">
        <v>610</v>
      </c>
      <c r="J2598" s="108" t="str">
        <f t="shared" si="6"/>
        <v>2024</v>
      </c>
      <c r="K2598" s="110">
        <f t="shared" si="7"/>
        <v>9</v>
      </c>
      <c r="L2598" s="108" t="str">
        <f t="shared" si="8"/>
        <v>2024-Q3</v>
      </c>
      <c r="M2598" s="111" t="str">
        <f t="shared" si="9"/>
        <v>2024-09</v>
      </c>
      <c r="N2598" s="112" t="str">
        <f t="shared" si="10"/>
        <v>2024-H2</v>
      </c>
    </row>
    <row r="2599">
      <c r="A2599" s="113" t="s">
        <v>610</v>
      </c>
      <c r="J2599" s="108" t="str">
        <f t="shared" si="6"/>
        <v>2024</v>
      </c>
      <c r="K2599" s="110">
        <f t="shared" si="7"/>
        <v>9</v>
      </c>
      <c r="L2599" s="108" t="str">
        <f t="shared" si="8"/>
        <v>2024-Q3</v>
      </c>
      <c r="M2599" s="111" t="str">
        <f t="shared" si="9"/>
        <v>2024-09</v>
      </c>
      <c r="N2599" s="112" t="str">
        <f t="shared" si="10"/>
        <v>2024-H2</v>
      </c>
    </row>
    <row r="2600">
      <c r="A2600" s="113" t="s">
        <v>610</v>
      </c>
      <c r="J2600" s="108" t="str">
        <f t="shared" si="6"/>
        <v>2024</v>
      </c>
      <c r="K2600" s="110">
        <f t="shared" si="7"/>
        <v>9</v>
      </c>
      <c r="L2600" s="108" t="str">
        <f t="shared" si="8"/>
        <v>2024-Q3</v>
      </c>
      <c r="M2600" s="111" t="str">
        <f t="shared" si="9"/>
        <v>2024-09</v>
      </c>
      <c r="N2600" s="112" t="str">
        <f t="shared" si="10"/>
        <v>2024-H2</v>
      </c>
    </row>
    <row r="2601">
      <c r="A2601" s="113" t="s">
        <v>610</v>
      </c>
      <c r="J2601" s="108" t="str">
        <f t="shared" si="6"/>
        <v>2024</v>
      </c>
      <c r="K2601" s="110">
        <f t="shared" si="7"/>
        <v>9</v>
      </c>
      <c r="L2601" s="108" t="str">
        <f t="shared" si="8"/>
        <v>2024-Q3</v>
      </c>
      <c r="M2601" s="111" t="str">
        <f t="shared" si="9"/>
        <v>2024-09</v>
      </c>
      <c r="N2601" s="112" t="str">
        <f t="shared" si="10"/>
        <v>2024-H2</v>
      </c>
    </row>
    <row r="2602">
      <c r="A2602" s="113" t="s">
        <v>610</v>
      </c>
      <c r="J2602" s="108" t="str">
        <f t="shared" si="6"/>
        <v>2024</v>
      </c>
      <c r="K2602" s="110">
        <f t="shared" si="7"/>
        <v>9</v>
      </c>
      <c r="L2602" s="108" t="str">
        <f t="shared" si="8"/>
        <v>2024-Q3</v>
      </c>
      <c r="M2602" s="111" t="str">
        <f t="shared" si="9"/>
        <v>2024-09</v>
      </c>
      <c r="N2602" s="112" t="str">
        <f t="shared" si="10"/>
        <v>2024-H2</v>
      </c>
    </row>
    <row r="2603">
      <c r="A2603" s="113" t="s">
        <v>610</v>
      </c>
      <c r="J2603" s="108" t="str">
        <f t="shared" si="6"/>
        <v>2024</v>
      </c>
      <c r="K2603" s="110">
        <f t="shared" si="7"/>
        <v>9</v>
      </c>
      <c r="L2603" s="108" t="str">
        <f t="shared" si="8"/>
        <v>2024-Q3</v>
      </c>
      <c r="M2603" s="111" t="str">
        <f t="shared" si="9"/>
        <v>2024-09</v>
      </c>
      <c r="N2603" s="112" t="str">
        <f t="shared" si="10"/>
        <v>2024-H2</v>
      </c>
    </row>
    <row r="2604">
      <c r="A2604" s="113" t="s">
        <v>610</v>
      </c>
      <c r="J2604" s="108" t="str">
        <f t="shared" si="6"/>
        <v>2024</v>
      </c>
      <c r="K2604" s="110">
        <f t="shared" si="7"/>
        <v>9</v>
      </c>
      <c r="L2604" s="108" t="str">
        <f t="shared" si="8"/>
        <v>2024-Q3</v>
      </c>
      <c r="M2604" s="111" t="str">
        <f t="shared" si="9"/>
        <v>2024-09</v>
      </c>
      <c r="N2604" s="112" t="str">
        <f t="shared" si="10"/>
        <v>2024-H2</v>
      </c>
    </row>
    <row r="2605">
      <c r="A2605" s="113" t="s">
        <v>610</v>
      </c>
      <c r="J2605" s="108" t="str">
        <f t="shared" si="6"/>
        <v>2024</v>
      </c>
      <c r="K2605" s="110">
        <f t="shared" si="7"/>
        <v>9</v>
      </c>
      <c r="L2605" s="108" t="str">
        <f t="shared" si="8"/>
        <v>2024-Q3</v>
      </c>
      <c r="M2605" s="111" t="str">
        <f t="shared" si="9"/>
        <v>2024-09</v>
      </c>
      <c r="N2605" s="112" t="str">
        <f t="shared" si="10"/>
        <v>2024-H2</v>
      </c>
    </row>
    <row r="2606">
      <c r="A2606" s="113" t="s">
        <v>610</v>
      </c>
      <c r="J2606" s="108" t="str">
        <f t="shared" si="6"/>
        <v>2024</v>
      </c>
      <c r="K2606" s="110">
        <f t="shared" si="7"/>
        <v>9</v>
      </c>
      <c r="L2606" s="108" t="str">
        <f t="shared" si="8"/>
        <v>2024-Q3</v>
      </c>
      <c r="M2606" s="111" t="str">
        <f t="shared" si="9"/>
        <v>2024-09</v>
      </c>
      <c r="N2606" s="112" t="str">
        <f t="shared" si="10"/>
        <v>2024-H2</v>
      </c>
    </row>
    <row r="2607">
      <c r="A2607" s="113" t="s">
        <v>610</v>
      </c>
      <c r="J2607" s="108" t="str">
        <f t="shared" si="6"/>
        <v>2024</v>
      </c>
      <c r="K2607" s="110">
        <f t="shared" si="7"/>
        <v>9</v>
      </c>
      <c r="L2607" s="108" t="str">
        <f t="shared" si="8"/>
        <v>2024-Q3</v>
      </c>
      <c r="M2607" s="111" t="str">
        <f t="shared" si="9"/>
        <v>2024-09</v>
      </c>
      <c r="N2607" s="112" t="str">
        <f t="shared" si="10"/>
        <v>2024-H2</v>
      </c>
    </row>
    <row r="2608">
      <c r="A2608" s="113" t="s">
        <v>610</v>
      </c>
      <c r="J2608" s="108" t="str">
        <f t="shared" si="6"/>
        <v>2024</v>
      </c>
      <c r="K2608" s="110">
        <f t="shared" si="7"/>
        <v>9</v>
      </c>
      <c r="L2608" s="108" t="str">
        <f t="shared" si="8"/>
        <v>2024-Q3</v>
      </c>
      <c r="M2608" s="111" t="str">
        <f t="shared" si="9"/>
        <v>2024-09</v>
      </c>
      <c r="N2608" s="112" t="str">
        <f t="shared" si="10"/>
        <v>2024-H2</v>
      </c>
    </row>
    <row r="2609">
      <c r="A2609" s="113" t="s">
        <v>610</v>
      </c>
      <c r="J2609" s="108" t="str">
        <f t="shared" si="6"/>
        <v>2024</v>
      </c>
      <c r="K2609" s="110">
        <f t="shared" si="7"/>
        <v>9</v>
      </c>
      <c r="L2609" s="108" t="str">
        <f t="shared" si="8"/>
        <v>2024-Q3</v>
      </c>
      <c r="M2609" s="111" t="str">
        <f t="shared" si="9"/>
        <v>2024-09</v>
      </c>
      <c r="N2609" s="112" t="str">
        <f t="shared" si="10"/>
        <v>2024-H2</v>
      </c>
    </row>
    <row r="2610">
      <c r="A2610" s="113" t="s">
        <v>610</v>
      </c>
      <c r="J2610" s="108" t="str">
        <f t="shared" si="6"/>
        <v>2024</v>
      </c>
      <c r="K2610" s="110">
        <f t="shared" si="7"/>
        <v>9</v>
      </c>
      <c r="L2610" s="108" t="str">
        <f t="shared" si="8"/>
        <v>2024-Q3</v>
      </c>
      <c r="M2610" s="111" t="str">
        <f t="shared" si="9"/>
        <v>2024-09</v>
      </c>
      <c r="N2610" s="112" t="str">
        <f t="shared" si="10"/>
        <v>2024-H2</v>
      </c>
    </row>
    <row r="2611">
      <c r="A2611" s="113" t="s">
        <v>610</v>
      </c>
      <c r="J2611" s="108" t="str">
        <f t="shared" si="6"/>
        <v>2024</v>
      </c>
      <c r="K2611" s="110">
        <f t="shared" si="7"/>
        <v>9</v>
      </c>
      <c r="L2611" s="108" t="str">
        <f t="shared" si="8"/>
        <v>2024-Q3</v>
      </c>
      <c r="M2611" s="111" t="str">
        <f t="shared" si="9"/>
        <v>2024-09</v>
      </c>
      <c r="N2611" s="112" t="str">
        <f t="shared" si="10"/>
        <v>2024-H2</v>
      </c>
    </row>
    <row r="2612">
      <c r="A2612" s="113" t="s">
        <v>610</v>
      </c>
      <c r="J2612" s="108" t="str">
        <f t="shared" si="6"/>
        <v>2024</v>
      </c>
      <c r="K2612" s="110">
        <f t="shared" si="7"/>
        <v>9</v>
      </c>
      <c r="L2612" s="108" t="str">
        <f t="shared" si="8"/>
        <v>2024-Q3</v>
      </c>
      <c r="M2612" s="111" t="str">
        <f t="shared" si="9"/>
        <v>2024-09</v>
      </c>
      <c r="N2612" s="112" t="str">
        <f t="shared" si="10"/>
        <v>2024-H2</v>
      </c>
    </row>
    <row r="2613">
      <c r="A2613" s="113" t="s">
        <v>610</v>
      </c>
      <c r="J2613" s="108" t="str">
        <f t="shared" si="6"/>
        <v>2024</v>
      </c>
      <c r="K2613" s="110">
        <f t="shared" si="7"/>
        <v>9</v>
      </c>
      <c r="L2613" s="108" t="str">
        <f t="shared" si="8"/>
        <v>2024-Q3</v>
      </c>
      <c r="M2613" s="111" t="str">
        <f t="shared" si="9"/>
        <v>2024-09</v>
      </c>
      <c r="N2613" s="112" t="str">
        <f t="shared" si="10"/>
        <v>2024-H2</v>
      </c>
    </row>
    <row r="2614">
      <c r="A2614" s="113" t="s">
        <v>610</v>
      </c>
      <c r="J2614" s="108" t="str">
        <f t="shared" si="6"/>
        <v>2024</v>
      </c>
      <c r="K2614" s="110">
        <f t="shared" si="7"/>
        <v>9</v>
      </c>
      <c r="L2614" s="108" t="str">
        <f t="shared" si="8"/>
        <v>2024-Q3</v>
      </c>
      <c r="M2614" s="111" t="str">
        <f t="shared" si="9"/>
        <v>2024-09</v>
      </c>
      <c r="N2614" s="112" t="str">
        <f t="shared" si="10"/>
        <v>2024-H2</v>
      </c>
    </row>
    <row r="2615">
      <c r="A2615" s="113" t="s">
        <v>610</v>
      </c>
      <c r="J2615" s="108" t="str">
        <f t="shared" si="6"/>
        <v>2024</v>
      </c>
      <c r="K2615" s="110">
        <f t="shared" si="7"/>
        <v>9</v>
      </c>
      <c r="L2615" s="108" t="str">
        <f t="shared" si="8"/>
        <v>2024-Q3</v>
      </c>
      <c r="M2615" s="111" t="str">
        <f t="shared" si="9"/>
        <v>2024-09</v>
      </c>
      <c r="N2615" s="112" t="str">
        <f t="shared" si="10"/>
        <v>2024-H2</v>
      </c>
    </row>
    <row r="2616">
      <c r="A2616" s="113" t="s">
        <v>610</v>
      </c>
      <c r="J2616" s="108" t="str">
        <f t="shared" si="6"/>
        <v>2024</v>
      </c>
      <c r="K2616" s="110">
        <f t="shared" si="7"/>
        <v>9</v>
      </c>
      <c r="L2616" s="108" t="str">
        <f t="shared" si="8"/>
        <v>2024-Q3</v>
      </c>
      <c r="M2616" s="111" t="str">
        <f t="shared" si="9"/>
        <v>2024-09</v>
      </c>
      <c r="N2616" s="112" t="str">
        <f t="shared" si="10"/>
        <v>2024-H2</v>
      </c>
    </row>
    <row r="2617">
      <c r="A2617" s="113" t="s">
        <v>610</v>
      </c>
      <c r="J2617" s="108" t="str">
        <f t="shared" si="6"/>
        <v>2024</v>
      </c>
      <c r="K2617" s="110">
        <f t="shared" si="7"/>
        <v>9</v>
      </c>
      <c r="L2617" s="108" t="str">
        <f t="shared" si="8"/>
        <v>2024-Q3</v>
      </c>
      <c r="M2617" s="111" t="str">
        <f t="shared" si="9"/>
        <v>2024-09</v>
      </c>
      <c r="N2617" s="112" t="str">
        <f t="shared" si="10"/>
        <v>2024-H2</v>
      </c>
    </row>
    <row r="2618">
      <c r="A2618" s="113" t="s">
        <v>610</v>
      </c>
      <c r="J2618" s="108" t="str">
        <f t="shared" si="6"/>
        <v>2024</v>
      </c>
      <c r="K2618" s="110">
        <f t="shared" si="7"/>
        <v>9</v>
      </c>
      <c r="L2618" s="108" t="str">
        <f t="shared" si="8"/>
        <v>2024-Q3</v>
      </c>
      <c r="M2618" s="111" t="str">
        <f t="shared" si="9"/>
        <v>2024-09</v>
      </c>
      <c r="N2618" s="112" t="str">
        <f t="shared" si="10"/>
        <v>2024-H2</v>
      </c>
    </row>
    <row r="2619">
      <c r="A2619" s="113" t="s">
        <v>610</v>
      </c>
      <c r="J2619" s="108" t="str">
        <f t="shared" si="6"/>
        <v>2024</v>
      </c>
      <c r="K2619" s="110">
        <f t="shared" si="7"/>
        <v>9</v>
      </c>
      <c r="L2619" s="108" t="str">
        <f t="shared" si="8"/>
        <v>2024-Q3</v>
      </c>
      <c r="M2619" s="111" t="str">
        <f t="shared" si="9"/>
        <v>2024-09</v>
      </c>
      <c r="N2619" s="112" t="str">
        <f t="shared" si="10"/>
        <v>2024-H2</v>
      </c>
    </row>
    <row r="2620">
      <c r="A2620" s="113" t="s">
        <v>610</v>
      </c>
      <c r="J2620" s="108" t="str">
        <f t="shared" si="6"/>
        <v>2024</v>
      </c>
      <c r="K2620" s="110">
        <f t="shared" si="7"/>
        <v>9</v>
      </c>
      <c r="L2620" s="108" t="str">
        <f t="shared" si="8"/>
        <v>2024-Q3</v>
      </c>
      <c r="M2620" s="111" t="str">
        <f t="shared" si="9"/>
        <v>2024-09</v>
      </c>
      <c r="N2620" s="112" t="str">
        <f t="shared" si="10"/>
        <v>2024-H2</v>
      </c>
    </row>
    <row r="2621">
      <c r="A2621" s="113" t="s">
        <v>610</v>
      </c>
      <c r="J2621" s="108" t="str">
        <f t="shared" si="6"/>
        <v>2024</v>
      </c>
      <c r="K2621" s="110">
        <f t="shared" si="7"/>
        <v>9</v>
      </c>
      <c r="L2621" s="108" t="str">
        <f t="shared" si="8"/>
        <v>2024-Q3</v>
      </c>
      <c r="M2621" s="111" t="str">
        <f t="shared" si="9"/>
        <v>2024-09</v>
      </c>
      <c r="N2621" s="112" t="str">
        <f t="shared" si="10"/>
        <v>2024-H2</v>
      </c>
    </row>
    <row r="2622">
      <c r="A2622" s="113" t="s">
        <v>610</v>
      </c>
      <c r="J2622" s="108" t="str">
        <f t="shared" si="6"/>
        <v>2024</v>
      </c>
      <c r="K2622" s="110">
        <f t="shared" si="7"/>
        <v>9</v>
      </c>
      <c r="L2622" s="108" t="str">
        <f t="shared" si="8"/>
        <v>2024-Q3</v>
      </c>
      <c r="M2622" s="111" t="str">
        <f t="shared" si="9"/>
        <v>2024-09</v>
      </c>
      <c r="N2622" s="112" t="str">
        <f t="shared" si="10"/>
        <v>2024-H2</v>
      </c>
    </row>
    <row r="2623">
      <c r="A2623" s="113" t="s">
        <v>610</v>
      </c>
      <c r="J2623" s="108" t="str">
        <f t="shared" si="6"/>
        <v>2024</v>
      </c>
      <c r="K2623" s="110">
        <f t="shared" si="7"/>
        <v>9</v>
      </c>
      <c r="L2623" s="108" t="str">
        <f t="shared" si="8"/>
        <v>2024-Q3</v>
      </c>
      <c r="M2623" s="111" t="str">
        <f t="shared" si="9"/>
        <v>2024-09</v>
      </c>
      <c r="N2623" s="112" t="str">
        <f t="shared" si="10"/>
        <v>2024-H2</v>
      </c>
    </row>
    <row r="2624">
      <c r="A2624" s="113" t="s">
        <v>610</v>
      </c>
      <c r="J2624" s="108" t="str">
        <f t="shared" si="6"/>
        <v>2024</v>
      </c>
      <c r="K2624" s="110">
        <f t="shared" si="7"/>
        <v>9</v>
      </c>
      <c r="L2624" s="108" t="str">
        <f t="shared" si="8"/>
        <v>2024-Q3</v>
      </c>
      <c r="M2624" s="111" t="str">
        <f t="shared" si="9"/>
        <v>2024-09</v>
      </c>
      <c r="N2624" s="112" t="str">
        <f t="shared" si="10"/>
        <v>2024-H2</v>
      </c>
    </row>
    <row r="2625">
      <c r="A2625" s="113" t="s">
        <v>610</v>
      </c>
      <c r="J2625" s="108" t="str">
        <f t="shared" si="6"/>
        <v>2024</v>
      </c>
      <c r="K2625" s="110">
        <f t="shared" si="7"/>
        <v>9</v>
      </c>
      <c r="L2625" s="108" t="str">
        <f t="shared" si="8"/>
        <v>2024-Q3</v>
      </c>
      <c r="M2625" s="111" t="str">
        <f t="shared" si="9"/>
        <v>2024-09</v>
      </c>
      <c r="N2625" s="112" t="str">
        <f t="shared" si="10"/>
        <v>2024-H2</v>
      </c>
    </row>
    <row r="2626">
      <c r="A2626" s="113" t="s">
        <v>610</v>
      </c>
      <c r="J2626" s="108" t="str">
        <f t="shared" si="6"/>
        <v>2024</v>
      </c>
      <c r="K2626" s="110">
        <f t="shared" si="7"/>
        <v>9</v>
      </c>
      <c r="L2626" s="108" t="str">
        <f t="shared" si="8"/>
        <v>2024-Q3</v>
      </c>
      <c r="M2626" s="111" t="str">
        <f t="shared" si="9"/>
        <v>2024-09</v>
      </c>
      <c r="N2626" s="112" t="str">
        <f t="shared" si="10"/>
        <v>2024-H2</v>
      </c>
    </row>
    <row r="2627">
      <c r="A2627" s="113" t="s">
        <v>610</v>
      </c>
      <c r="J2627" s="108" t="str">
        <f t="shared" si="6"/>
        <v>2024</v>
      </c>
      <c r="K2627" s="110">
        <f t="shared" si="7"/>
        <v>9</v>
      </c>
      <c r="L2627" s="108" t="str">
        <f t="shared" si="8"/>
        <v>2024-Q3</v>
      </c>
      <c r="M2627" s="111" t="str">
        <f t="shared" si="9"/>
        <v>2024-09</v>
      </c>
      <c r="N2627" s="112" t="str">
        <f t="shared" si="10"/>
        <v>2024-H2</v>
      </c>
    </row>
    <row r="2628">
      <c r="A2628" s="113" t="s">
        <v>610</v>
      </c>
      <c r="J2628" s="108" t="str">
        <f t="shared" si="6"/>
        <v>2024</v>
      </c>
      <c r="K2628" s="110">
        <f t="shared" si="7"/>
        <v>9</v>
      </c>
      <c r="L2628" s="108" t="str">
        <f t="shared" si="8"/>
        <v>2024-Q3</v>
      </c>
      <c r="M2628" s="111" t="str">
        <f t="shared" si="9"/>
        <v>2024-09</v>
      </c>
      <c r="N2628" s="112" t="str">
        <f t="shared" si="10"/>
        <v>2024-H2</v>
      </c>
    </row>
    <row r="2629">
      <c r="A2629" s="113" t="s">
        <v>610</v>
      </c>
      <c r="J2629" s="108" t="str">
        <f t="shared" si="6"/>
        <v>2024</v>
      </c>
      <c r="K2629" s="110">
        <f t="shared" si="7"/>
        <v>9</v>
      </c>
      <c r="L2629" s="108" t="str">
        <f t="shared" si="8"/>
        <v>2024-Q3</v>
      </c>
      <c r="M2629" s="111" t="str">
        <f t="shared" si="9"/>
        <v>2024-09</v>
      </c>
      <c r="N2629" s="112" t="str">
        <f t="shared" si="10"/>
        <v>2024-H2</v>
      </c>
    </row>
    <row r="2630">
      <c r="A2630" s="113" t="s">
        <v>610</v>
      </c>
      <c r="J2630" s="108" t="str">
        <f t="shared" si="6"/>
        <v>2024</v>
      </c>
      <c r="K2630" s="110">
        <f t="shared" si="7"/>
        <v>9</v>
      </c>
      <c r="L2630" s="108" t="str">
        <f t="shared" si="8"/>
        <v>2024-Q3</v>
      </c>
      <c r="M2630" s="111" t="str">
        <f t="shared" si="9"/>
        <v>2024-09</v>
      </c>
      <c r="N2630" s="112" t="str">
        <f t="shared" si="10"/>
        <v>2024-H2</v>
      </c>
    </row>
    <row r="2631">
      <c r="A2631" s="113" t="s">
        <v>610</v>
      </c>
      <c r="J2631" s="108" t="str">
        <f t="shared" si="6"/>
        <v>2024</v>
      </c>
      <c r="K2631" s="110">
        <f t="shared" si="7"/>
        <v>9</v>
      </c>
      <c r="L2631" s="108" t="str">
        <f t="shared" si="8"/>
        <v>2024-Q3</v>
      </c>
      <c r="M2631" s="111" t="str">
        <f t="shared" si="9"/>
        <v>2024-09</v>
      </c>
      <c r="N2631" s="112" t="str">
        <f t="shared" si="10"/>
        <v>2024-H2</v>
      </c>
    </row>
    <row r="2632">
      <c r="A2632" s="113" t="s">
        <v>610</v>
      </c>
      <c r="J2632" s="108" t="str">
        <f t="shared" si="6"/>
        <v>2024</v>
      </c>
      <c r="K2632" s="110">
        <f t="shared" si="7"/>
        <v>9</v>
      </c>
      <c r="L2632" s="108" t="str">
        <f t="shared" si="8"/>
        <v>2024-Q3</v>
      </c>
      <c r="M2632" s="111" t="str">
        <f t="shared" si="9"/>
        <v>2024-09</v>
      </c>
      <c r="N2632" s="112" t="str">
        <f t="shared" si="10"/>
        <v>2024-H2</v>
      </c>
    </row>
    <row r="2633">
      <c r="A2633" s="113" t="s">
        <v>610</v>
      </c>
      <c r="J2633" s="108" t="str">
        <f t="shared" si="6"/>
        <v>2024</v>
      </c>
      <c r="K2633" s="110">
        <f t="shared" si="7"/>
        <v>9</v>
      </c>
      <c r="L2633" s="108" t="str">
        <f t="shared" si="8"/>
        <v>2024-Q3</v>
      </c>
      <c r="M2633" s="111" t="str">
        <f t="shared" si="9"/>
        <v>2024-09</v>
      </c>
      <c r="N2633" s="112" t="str">
        <f t="shared" si="10"/>
        <v>2024-H2</v>
      </c>
    </row>
    <row r="2634">
      <c r="A2634" s="113" t="s">
        <v>610</v>
      </c>
      <c r="J2634" s="108" t="str">
        <f t="shared" si="6"/>
        <v>2024</v>
      </c>
      <c r="K2634" s="110">
        <f t="shared" si="7"/>
        <v>9</v>
      </c>
      <c r="L2634" s="108" t="str">
        <f t="shared" si="8"/>
        <v>2024-Q3</v>
      </c>
      <c r="M2634" s="111" t="str">
        <f t="shared" si="9"/>
        <v>2024-09</v>
      </c>
      <c r="N2634" s="112" t="str">
        <f t="shared" si="10"/>
        <v>2024-H2</v>
      </c>
    </row>
    <row r="2635">
      <c r="A2635" s="113" t="s">
        <v>610</v>
      </c>
      <c r="J2635" s="108" t="str">
        <f t="shared" si="6"/>
        <v>2024</v>
      </c>
      <c r="K2635" s="110">
        <f t="shared" si="7"/>
        <v>9</v>
      </c>
      <c r="L2635" s="108" t="str">
        <f t="shared" si="8"/>
        <v>2024-Q3</v>
      </c>
      <c r="M2635" s="111" t="str">
        <f t="shared" si="9"/>
        <v>2024-09</v>
      </c>
      <c r="N2635" s="112" t="str">
        <f t="shared" si="10"/>
        <v>2024-H2</v>
      </c>
    </row>
    <row r="2636">
      <c r="A2636" s="113" t="s">
        <v>610</v>
      </c>
      <c r="J2636" s="108" t="str">
        <f t="shared" si="6"/>
        <v>2024</v>
      </c>
      <c r="K2636" s="110">
        <f t="shared" si="7"/>
        <v>9</v>
      </c>
      <c r="L2636" s="108" t="str">
        <f t="shared" si="8"/>
        <v>2024-Q3</v>
      </c>
      <c r="M2636" s="111" t="str">
        <f t="shared" si="9"/>
        <v>2024-09</v>
      </c>
      <c r="N2636" s="112" t="str">
        <f t="shared" si="10"/>
        <v>2024-H2</v>
      </c>
    </row>
    <row r="2637">
      <c r="A2637" s="113" t="s">
        <v>610</v>
      </c>
      <c r="J2637" s="108" t="str">
        <f t="shared" si="6"/>
        <v>2024</v>
      </c>
      <c r="K2637" s="110">
        <f t="shared" si="7"/>
        <v>9</v>
      </c>
      <c r="L2637" s="108" t="str">
        <f t="shared" si="8"/>
        <v>2024-Q3</v>
      </c>
      <c r="M2637" s="111" t="str">
        <f t="shared" si="9"/>
        <v>2024-09</v>
      </c>
      <c r="N2637" s="112" t="str">
        <f t="shared" si="10"/>
        <v>2024-H2</v>
      </c>
    </row>
    <row r="2638">
      <c r="A2638" s="113" t="s">
        <v>610</v>
      </c>
      <c r="J2638" s="108" t="str">
        <f t="shared" si="6"/>
        <v>2024</v>
      </c>
      <c r="K2638" s="110">
        <f t="shared" si="7"/>
        <v>9</v>
      </c>
      <c r="L2638" s="108" t="str">
        <f t="shared" si="8"/>
        <v>2024-Q3</v>
      </c>
      <c r="M2638" s="111" t="str">
        <f t="shared" si="9"/>
        <v>2024-09</v>
      </c>
      <c r="N2638" s="112" t="str">
        <f t="shared" si="10"/>
        <v>2024-H2</v>
      </c>
    </row>
    <row r="2639">
      <c r="A2639" s="113" t="s">
        <v>610</v>
      </c>
      <c r="J2639" s="108" t="str">
        <f t="shared" si="6"/>
        <v>2024</v>
      </c>
      <c r="K2639" s="110">
        <f t="shared" si="7"/>
        <v>9</v>
      </c>
      <c r="L2639" s="108" t="str">
        <f t="shared" si="8"/>
        <v>2024-Q3</v>
      </c>
      <c r="M2639" s="111" t="str">
        <f t="shared" si="9"/>
        <v>2024-09</v>
      </c>
      <c r="N2639" s="112" t="str">
        <f t="shared" si="10"/>
        <v>2024-H2</v>
      </c>
    </row>
    <row r="2640">
      <c r="A2640" s="113" t="s">
        <v>610</v>
      </c>
      <c r="J2640" s="108" t="str">
        <f t="shared" si="6"/>
        <v>2024</v>
      </c>
      <c r="K2640" s="110">
        <f t="shared" si="7"/>
        <v>9</v>
      </c>
      <c r="L2640" s="108" t="str">
        <f t="shared" si="8"/>
        <v>2024-Q3</v>
      </c>
      <c r="M2640" s="111" t="str">
        <f t="shared" si="9"/>
        <v>2024-09</v>
      </c>
      <c r="N2640" s="112" t="str">
        <f t="shared" si="10"/>
        <v>2024-H2</v>
      </c>
    </row>
    <row r="2641">
      <c r="A2641" s="113" t="s">
        <v>610</v>
      </c>
      <c r="J2641" s="108" t="str">
        <f t="shared" si="6"/>
        <v>2024</v>
      </c>
      <c r="K2641" s="110">
        <f t="shared" si="7"/>
        <v>9</v>
      </c>
      <c r="L2641" s="108" t="str">
        <f t="shared" si="8"/>
        <v>2024-Q3</v>
      </c>
      <c r="M2641" s="111" t="str">
        <f t="shared" si="9"/>
        <v>2024-09</v>
      </c>
      <c r="N2641" s="112" t="str">
        <f t="shared" si="10"/>
        <v>2024-H2</v>
      </c>
    </row>
    <row r="2642">
      <c r="A2642" s="113" t="s">
        <v>610</v>
      </c>
      <c r="J2642" s="108" t="str">
        <f t="shared" si="6"/>
        <v>2024</v>
      </c>
      <c r="K2642" s="110">
        <f t="shared" si="7"/>
        <v>9</v>
      </c>
      <c r="L2642" s="108" t="str">
        <f t="shared" si="8"/>
        <v>2024-Q3</v>
      </c>
      <c r="M2642" s="111" t="str">
        <f t="shared" si="9"/>
        <v>2024-09</v>
      </c>
      <c r="N2642" s="112" t="str">
        <f t="shared" si="10"/>
        <v>2024-H2</v>
      </c>
    </row>
    <row r="2643">
      <c r="A2643" s="113" t="s">
        <v>610</v>
      </c>
      <c r="J2643" s="108" t="str">
        <f t="shared" si="6"/>
        <v>2024</v>
      </c>
      <c r="K2643" s="110">
        <f t="shared" si="7"/>
        <v>9</v>
      </c>
      <c r="L2643" s="108" t="str">
        <f t="shared" si="8"/>
        <v>2024-Q3</v>
      </c>
      <c r="M2643" s="111" t="str">
        <f t="shared" si="9"/>
        <v>2024-09</v>
      </c>
      <c r="N2643" s="112" t="str">
        <f t="shared" si="10"/>
        <v>2024-H2</v>
      </c>
    </row>
    <row r="2644">
      <c r="A2644" s="113" t="s">
        <v>610</v>
      </c>
      <c r="J2644" s="108" t="str">
        <f t="shared" si="6"/>
        <v>2024</v>
      </c>
      <c r="K2644" s="110">
        <f t="shared" si="7"/>
        <v>9</v>
      </c>
      <c r="L2644" s="108" t="str">
        <f t="shared" si="8"/>
        <v>2024-Q3</v>
      </c>
      <c r="M2644" s="111" t="str">
        <f t="shared" si="9"/>
        <v>2024-09</v>
      </c>
      <c r="N2644" s="112" t="str">
        <f t="shared" si="10"/>
        <v>2024-H2</v>
      </c>
    </row>
    <row r="2645">
      <c r="A2645" s="113" t="s">
        <v>610</v>
      </c>
      <c r="J2645" s="108" t="str">
        <f t="shared" si="6"/>
        <v>2024</v>
      </c>
      <c r="K2645" s="110">
        <f t="shared" si="7"/>
        <v>9</v>
      </c>
      <c r="L2645" s="108" t="str">
        <f t="shared" si="8"/>
        <v>2024-Q3</v>
      </c>
      <c r="M2645" s="111" t="str">
        <f t="shared" si="9"/>
        <v>2024-09</v>
      </c>
      <c r="N2645" s="112" t="str">
        <f t="shared" si="10"/>
        <v>2024-H2</v>
      </c>
    </row>
    <row r="2646">
      <c r="A2646" s="113" t="s">
        <v>610</v>
      </c>
      <c r="J2646" s="108" t="str">
        <f t="shared" si="6"/>
        <v>2024</v>
      </c>
      <c r="K2646" s="110">
        <f t="shared" si="7"/>
        <v>9</v>
      </c>
      <c r="L2646" s="108" t="str">
        <f t="shared" si="8"/>
        <v>2024-Q3</v>
      </c>
      <c r="M2646" s="111" t="str">
        <f t="shared" si="9"/>
        <v>2024-09</v>
      </c>
      <c r="N2646" s="112" t="str">
        <f t="shared" si="10"/>
        <v>2024-H2</v>
      </c>
    </row>
    <row r="2647">
      <c r="A2647" s="113" t="s">
        <v>610</v>
      </c>
      <c r="J2647" s="108" t="str">
        <f t="shared" si="6"/>
        <v>2024</v>
      </c>
      <c r="K2647" s="110">
        <f t="shared" si="7"/>
        <v>9</v>
      </c>
      <c r="L2647" s="108" t="str">
        <f t="shared" si="8"/>
        <v>2024-Q3</v>
      </c>
      <c r="M2647" s="111" t="str">
        <f t="shared" si="9"/>
        <v>2024-09</v>
      </c>
      <c r="N2647" s="112" t="str">
        <f t="shared" si="10"/>
        <v>2024-H2</v>
      </c>
    </row>
    <row r="2648">
      <c r="A2648" s="113" t="s">
        <v>610</v>
      </c>
      <c r="J2648" s="108" t="str">
        <f t="shared" si="6"/>
        <v>2024</v>
      </c>
      <c r="K2648" s="110">
        <f t="shared" si="7"/>
        <v>9</v>
      </c>
      <c r="L2648" s="108" t="str">
        <f t="shared" si="8"/>
        <v>2024-Q3</v>
      </c>
      <c r="M2648" s="111" t="str">
        <f t="shared" si="9"/>
        <v>2024-09</v>
      </c>
      <c r="N2648" s="112" t="str">
        <f t="shared" si="10"/>
        <v>2024-H2</v>
      </c>
    </row>
    <row r="2649">
      <c r="A2649" s="113" t="s">
        <v>610</v>
      </c>
      <c r="J2649" s="108" t="str">
        <f t="shared" si="6"/>
        <v>2024</v>
      </c>
      <c r="K2649" s="110">
        <f t="shared" si="7"/>
        <v>9</v>
      </c>
      <c r="L2649" s="108" t="str">
        <f t="shared" si="8"/>
        <v>2024-Q3</v>
      </c>
      <c r="M2649" s="111" t="str">
        <f t="shared" si="9"/>
        <v>2024-09</v>
      </c>
      <c r="N2649" s="112" t="str">
        <f t="shared" si="10"/>
        <v>2024-H2</v>
      </c>
    </row>
    <row r="2650">
      <c r="A2650" s="113" t="s">
        <v>610</v>
      </c>
      <c r="J2650" s="108" t="str">
        <f t="shared" si="6"/>
        <v>2024</v>
      </c>
      <c r="K2650" s="110">
        <f t="shared" si="7"/>
        <v>9</v>
      </c>
      <c r="L2650" s="108" t="str">
        <f t="shared" si="8"/>
        <v>2024-Q3</v>
      </c>
      <c r="M2650" s="111" t="str">
        <f t="shared" si="9"/>
        <v>2024-09</v>
      </c>
      <c r="N2650" s="112" t="str">
        <f t="shared" si="10"/>
        <v>2024-H2</v>
      </c>
    </row>
    <row r="2651">
      <c r="A2651" s="113" t="s">
        <v>610</v>
      </c>
      <c r="J2651" s="108" t="str">
        <f t="shared" si="6"/>
        <v>2024</v>
      </c>
      <c r="K2651" s="110">
        <f t="shared" si="7"/>
        <v>9</v>
      </c>
      <c r="L2651" s="108" t="str">
        <f t="shared" si="8"/>
        <v>2024-Q3</v>
      </c>
      <c r="M2651" s="111" t="str">
        <f t="shared" si="9"/>
        <v>2024-09</v>
      </c>
      <c r="N2651" s="112" t="str">
        <f t="shared" si="10"/>
        <v>2024-H2</v>
      </c>
    </row>
    <row r="2652">
      <c r="A2652" s="113" t="s">
        <v>610</v>
      </c>
      <c r="J2652" s="108" t="str">
        <f t="shared" si="6"/>
        <v>2024</v>
      </c>
      <c r="K2652" s="110">
        <f t="shared" si="7"/>
        <v>9</v>
      </c>
      <c r="L2652" s="108" t="str">
        <f t="shared" si="8"/>
        <v>2024-Q3</v>
      </c>
      <c r="M2652" s="111" t="str">
        <f t="shared" si="9"/>
        <v>2024-09</v>
      </c>
      <c r="N2652" s="112" t="str">
        <f t="shared" si="10"/>
        <v>2024-H2</v>
      </c>
    </row>
    <row r="2653">
      <c r="A2653" s="113" t="s">
        <v>610</v>
      </c>
      <c r="J2653" s="108" t="str">
        <f t="shared" si="6"/>
        <v>2024</v>
      </c>
      <c r="K2653" s="110">
        <f t="shared" si="7"/>
        <v>9</v>
      </c>
      <c r="L2653" s="108" t="str">
        <f t="shared" si="8"/>
        <v>2024-Q3</v>
      </c>
      <c r="M2653" s="111" t="str">
        <f t="shared" si="9"/>
        <v>2024-09</v>
      </c>
      <c r="N2653" s="112" t="str">
        <f t="shared" si="10"/>
        <v>2024-H2</v>
      </c>
    </row>
    <row r="2654">
      <c r="A2654" s="113" t="s">
        <v>610</v>
      </c>
      <c r="J2654" s="108" t="str">
        <f t="shared" si="6"/>
        <v>2024</v>
      </c>
      <c r="K2654" s="110">
        <f t="shared" si="7"/>
        <v>9</v>
      </c>
      <c r="L2654" s="108" t="str">
        <f t="shared" si="8"/>
        <v>2024-Q3</v>
      </c>
      <c r="M2654" s="111" t="str">
        <f t="shared" si="9"/>
        <v>2024-09</v>
      </c>
      <c r="N2654" s="112" t="str">
        <f t="shared" si="10"/>
        <v>2024-H2</v>
      </c>
    </row>
    <row r="2655">
      <c r="A2655" s="113" t="s">
        <v>610</v>
      </c>
      <c r="J2655" s="108" t="str">
        <f t="shared" si="6"/>
        <v>2024</v>
      </c>
      <c r="K2655" s="110">
        <f t="shared" si="7"/>
        <v>9</v>
      </c>
      <c r="L2655" s="108" t="str">
        <f t="shared" si="8"/>
        <v>2024-Q3</v>
      </c>
      <c r="M2655" s="111" t="str">
        <f t="shared" si="9"/>
        <v>2024-09</v>
      </c>
      <c r="N2655" s="112" t="str">
        <f t="shared" si="10"/>
        <v>2024-H2</v>
      </c>
    </row>
    <row r="2656">
      <c r="A2656" s="113" t="s">
        <v>610</v>
      </c>
      <c r="J2656" s="108" t="str">
        <f t="shared" si="6"/>
        <v>2024</v>
      </c>
      <c r="K2656" s="110">
        <f t="shared" si="7"/>
        <v>9</v>
      </c>
      <c r="L2656" s="108" t="str">
        <f t="shared" si="8"/>
        <v>2024-Q3</v>
      </c>
      <c r="M2656" s="111" t="str">
        <f t="shared" si="9"/>
        <v>2024-09</v>
      </c>
      <c r="N2656" s="112" t="str">
        <f t="shared" si="10"/>
        <v>2024-H2</v>
      </c>
    </row>
    <row r="2657">
      <c r="A2657" s="113" t="s">
        <v>610</v>
      </c>
      <c r="J2657" s="108" t="str">
        <f t="shared" si="6"/>
        <v>2024</v>
      </c>
      <c r="K2657" s="110">
        <f t="shared" si="7"/>
        <v>9</v>
      </c>
      <c r="L2657" s="108" t="str">
        <f t="shared" si="8"/>
        <v>2024-Q3</v>
      </c>
      <c r="M2657" s="111" t="str">
        <f t="shared" si="9"/>
        <v>2024-09</v>
      </c>
      <c r="N2657" s="112" t="str">
        <f t="shared" si="10"/>
        <v>2024-H2</v>
      </c>
    </row>
    <row r="2658">
      <c r="A2658" s="113" t="s">
        <v>610</v>
      </c>
      <c r="J2658" s="108" t="str">
        <f t="shared" si="6"/>
        <v>2024</v>
      </c>
      <c r="K2658" s="110">
        <f t="shared" si="7"/>
        <v>9</v>
      </c>
      <c r="L2658" s="108" t="str">
        <f t="shared" si="8"/>
        <v>2024-Q3</v>
      </c>
      <c r="M2658" s="111" t="str">
        <f t="shared" si="9"/>
        <v>2024-09</v>
      </c>
      <c r="N2658" s="112" t="str">
        <f t="shared" si="10"/>
        <v>2024-H2</v>
      </c>
    </row>
    <row r="2659">
      <c r="A2659" s="113" t="s">
        <v>610</v>
      </c>
      <c r="J2659" s="108" t="str">
        <f t="shared" si="6"/>
        <v>2024</v>
      </c>
      <c r="K2659" s="110">
        <f t="shared" si="7"/>
        <v>9</v>
      </c>
      <c r="L2659" s="108" t="str">
        <f t="shared" si="8"/>
        <v>2024-Q3</v>
      </c>
      <c r="M2659" s="111" t="str">
        <f t="shared" si="9"/>
        <v>2024-09</v>
      </c>
      <c r="N2659" s="112" t="str">
        <f t="shared" si="10"/>
        <v>2024-H2</v>
      </c>
    </row>
    <row r="2660">
      <c r="A2660" s="113" t="s">
        <v>610</v>
      </c>
      <c r="J2660" s="108" t="str">
        <f t="shared" si="6"/>
        <v>2024</v>
      </c>
      <c r="K2660" s="110">
        <f t="shared" si="7"/>
        <v>9</v>
      </c>
      <c r="L2660" s="108" t="str">
        <f t="shared" si="8"/>
        <v>2024-Q3</v>
      </c>
      <c r="M2660" s="111" t="str">
        <f t="shared" si="9"/>
        <v>2024-09</v>
      </c>
      <c r="N2660" s="112" t="str">
        <f t="shared" si="10"/>
        <v>2024-H2</v>
      </c>
    </row>
    <row r="2661">
      <c r="A2661" s="113" t="s">
        <v>610</v>
      </c>
      <c r="J2661" s="108" t="str">
        <f t="shared" si="6"/>
        <v>2024</v>
      </c>
      <c r="K2661" s="110">
        <f t="shared" si="7"/>
        <v>9</v>
      </c>
      <c r="L2661" s="108" t="str">
        <f t="shared" si="8"/>
        <v>2024-Q3</v>
      </c>
      <c r="M2661" s="111" t="str">
        <f t="shared" si="9"/>
        <v>2024-09</v>
      </c>
      <c r="N2661" s="112" t="str">
        <f t="shared" si="10"/>
        <v>2024-H2</v>
      </c>
    </row>
    <row r="2662">
      <c r="A2662" s="113" t="s">
        <v>610</v>
      </c>
      <c r="J2662" s="108" t="str">
        <f t="shared" si="6"/>
        <v>2024</v>
      </c>
      <c r="K2662" s="110">
        <f t="shared" si="7"/>
        <v>9</v>
      </c>
      <c r="L2662" s="108" t="str">
        <f t="shared" si="8"/>
        <v>2024-Q3</v>
      </c>
      <c r="M2662" s="111" t="str">
        <f t="shared" si="9"/>
        <v>2024-09</v>
      </c>
      <c r="N2662" s="112" t="str">
        <f t="shared" si="10"/>
        <v>2024-H2</v>
      </c>
    </row>
    <row r="2663">
      <c r="A2663" s="113" t="s">
        <v>610</v>
      </c>
      <c r="J2663" s="108" t="str">
        <f t="shared" si="6"/>
        <v>2024</v>
      </c>
      <c r="K2663" s="110">
        <f t="shared" si="7"/>
        <v>9</v>
      </c>
      <c r="L2663" s="108" t="str">
        <f t="shared" si="8"/>
        <v>2024-Q3</v>
      </c>
      <c r="M2663" s="111" t="str">
        <f t="shared" si="9"/>
        <v>2024-09</v>
      </c>
      <c r="N2663" s="112" t="str">
        <f t="shared" si="10"/>
        <v>2024-H2</v>
      </c>
    </row>
    <row r="2664">
      <c r="A2664" s="113" t="s">
        <v>610</v>
      </c>
      <c r="J2664" s="108" t="str">
        <f t="shared" si="6"/>
        <v>2024</v>
      </c>
      <c r="K2664" s="110">
        <f t="shared" si="7"/>
        <v>9</v>
      </c>
      <c r="L2664" s="108" t="str">
        <f t="shared" si="8"/>
        <v>2024-Q3</v>
      </c>
      <c r="M2664" s="111" t="str">
        <f t="shared" si="9"/>
        <v>2024-09</v>
      </c>
      <c r="N2664" s="112" t="str">
        <f t="shared" si="10"/>
        <v>2024-H2</v>
      </c>
    </row>
    <row r="2665">
      <c r="A2665" s="113" t="s">
        <v>610</v>
      </c>
      <c r="J2665" s="108" t="str">
        <f t="shared" si="6"/>
        <v>2024</v>
      </c>
      <c r="K2665" s="110">
        <f t="shared" si="7"/>
        <v>9</v>
      </c>
      <c r="L2665" s="108" t="str">
        <f t="shared" si="8"/>
        <v>2024-Q3</v>
      </c>
      <c r="M2665" s="111" t="str">
        <f t="shared" si="9"/>
        <v>2024-09</v>
      </c>
      <c r="N2665" s="112" t="str">
        <f t="shared" si="10"/>
        <v>2024-H2</v>
      </c>
    </row>
    <row r="2666">
      <c r="A2666" s="113" t="s">
        <v>610</v>
      </c>
      <c r="J2666" s="108" t="str">
        <f t="shared" si="6"/>
        <v>2024</v>
      </c>
      <c r="K2666" s="110">
        <f t="shared" si="7"/>
        <v>9</v>
      </c>
      <c r="L2666" s="108" t="str">
        <f t="shared" si="8"/>
        <v>2024-Q3</v>
      </c>
      <c r="M2666" s="111" t="str">
        <f t="shared" si="9"/>
        <v>2024-09</v>
      </c>
      <c r="N2666" s="112" t="str">
        <f t="shared" si="10"/>
        <v>2024-H2</v>
      </c>
    </row>
    <row r="2667">
      <c r="A2667" s="113" t="s">
        <v>610</v>
      </c>
      <c r="J2667" s="108" t="str">
        <f t="shared" si="6"/>
        <v>2024</v>
      </c>
      <c r="K2667" s="110">
        <f t="shared" si="7"/>
        <v>9</v>
      </c>
      <c r="L2667" s="108" t="str">
        <f t="shared" si="8"/>
        <v>2024-Q3</v>
      </c>
      <c r="M2667" s="111" t="str">
        <f t="shared" si="9"/>
        <v>2024-09</v>
      </c>
      <c r="N2667" s="112" t="str">
        <f t="shared" si="10"/>
        <v>2024-H2</v>
      </c>
    </row>
    <row r="2668">
      <c r="A2668" s="113" t="s">
        <v>610</v>
      </c>
      <c r="J2668" s="108" t="str">
        <f t="shared" si="6"/>
        <v>2024</v>
      </c>
      <c r="K2668" s="110">
        <f t="shared" si="7"/>
        <v>9</v>
      </c>
      <c r="L2668" s="108" t="str">
        <f t="shared" si="8"/>
        <v>2024-Q3</v>
      </c>
      <c r="M2668" s="111" t="str">
        <f t="shared" si="9"/>
        <v>2024-09</v>
      </c>
      <c r="N2668" s="112" t="str">
        <f t="shared" si="10"/>
        <v>2024-H2</v>
      </c>
    </row>
    <row r="2669">
      <c r="A2669" s="113" t="s">
        <v>610</v>
      </c>
      <c r="J2669" s="108" t="str">
        <f t="shared" si="6"/>
        <v>2024</v>
      </c>
      <c r="K2669" s="110">
        <f t="shared" si="7"/>
        <v>9</v>
      </c>
      <c r="L2669" s="108" t="str">
        <f t="shared" si="8"/>
        <v>2024-Q3</v>
      </c>
      <c r="M2669" s="111" t="str">
        <f t="shared" si="9"/>
        <v>2024-09</v>
      </c>
      <c r="N2669" s="112" t="str">
        <f t="shared" si="10"/>
        <v>2024-H2</v>
      </c>
    </row>
    <row r="2670">
      <c r="A2670" s="113" t="s">
        <v>610</v>
      </c>
      <c r="J2670" s="108" t="str">
        <f t="shared" si="6"/>
        <v>2024</v>
      </c>
      <c r="K2670" s="110">
        <f t="shared" si="7"/>
        <v>9</v>
      </c>
      <c r="L2670" s="108" t="str">
        <f t="shared" si="8"/>
        <v>2024-Q3</v>
      </c>
      <c r="M2670" s="111" t="str">
        <f t="shared" si="9"/>
        <v>2024-09</v>
      </c>
      <c r="N2670" s="112" t="str">
        <f t="shared" si="10"/>
        <v>2024-H2</v>
      </c>
    </row>
    <row r="2671">
      <c r="A2671" s="113" t="s">
        <v>610</v>
      </c>
      <c r="J2671" s="108" t="str">
        <f t="shared" si="6"/>
        <v>2024</v>
      </c>
      <c r="K2671" s="110">
        <f t="shared" si="7"/>
        <v>9</v>
      </c>
      <c r="L2671" s="108" t="str">
        <f t="shared" si="8"/>
        <v>2024-Q3</v>
      </c>
      <c r="M2671" s="111" t="str">
        <f t="shared" si="9"/>
        <v>2024-09</v>
      </c>
      <c r="N2671" s="112" t="str">
        <f t="shared" si="10"/>
        <v>2024-H2</v>
      </c>
    </row>
    <row r="2672">
      <c r="A2672" s="113" t="s">
        <v>610</v>
      </c>
      <c r="J2672" s="108" t="str">
        <f t="shared" si="6"/>
        <v>2024</v>
      </c>
      <c r="K2672" s="110">
        <f t="shared" si="7"/>
        <v>9</v>
      </c>
      <c r="L2672" s="108" t="str">
        <f t="shared" si="8"/>
        <v>2024-Q3</v>
      </c>
      <c r="M2672" s="111" t="str">
        <f t="shared" si="9"/>
        <v>2024-09</v>
      </c>
      <c r="N2672" s="112" t="str">
        <f t="shared" si="10"/>
        <v>2024-H2</v>
      </c>
    </row>
    <row r="2673">
      <c r="A2673" s="113" t="s">
        <v>610</v>
      </c>
      <c r="J2673" s="108" t="str">
        <f t="shared" si="6"/>
        <v>2024</v>
      </c>
      <c r="K2673" s="110">
        <f t="shared" si="7"/>
        <v>9</v>
      </c>
      <c r="L2673" s="108" t="str">
        <f t="shared" si="8"/>
        <v>2024-Q3</v>
      </c>
      <c r="M2673" s="111" t="str">
        <f t="shared" si="9"/>
        <v>2024-09</v>
      </c>
      <c r="N2673" s="112" t="str">
        <f t="shared" si="10"/>
        <v>2024-H2</v>
      </c>
    </row>
    <row r="2674">
      <c r="A2674" s="113" t="s">
        <v>610</v>
      </c>
      <c r="J2674" s="108" t="str">
        <f t="shared" si="6"/>
        <v>2024</v>
      </c>
      <c r="K2674" s="110">
        <f t="shared" si="7"/>
        <v>9</v>
      </c>
      <c r="L2674" s="108" t="str">
        <f t="shared" si="8"/>
        <v>2024-Q3</v>
      </c>
      <c r="M2674" s="111" t="str">
        <f t="shared" si="9"/>
        <v>2024-09</v>
      </c>
      <c r="N2674" s="112" t="str">
        <f t="shared" si="10"/>
        <v>2024-H2</v>
      </c>
    </row>
    <row r="2675">
      <c r="A2675" s="113" t="s">
        <v>610</v>
      </c>
      <c r="J2675" s="108" t="str">
        <f t="shared" si="6"/>
        <v>2024</v>
      </c>
      <c r="K2675" s="110">
        <f t="shared" si="7"/>
        <v>9</v>
      </c>
      <c r="L2675" s="108" t="str">
        <f t="shared" si="8"/>
        <v>2024-Q3</v>
      </c>
      <c r="M2675" s="111" t="str">
        <f t="shared" si="9"/>
        <v>2024-09</v>
      </c>
      <c r="N2675" s="112" t="str">
        <f t="shared" si="10"/>
        <v>2024-H2</v>
      </c>
    </row>
    <row r="2676">
      <c r="A2676" s="113" t="s">
        <v>610</v>
      </c>
      <c r="J2676" s="108" t="str">
        <f t="shared" si="6"/>
        <v>2024</v>
      </c>
      <c r="K2676" s="110">
        <f t="shared" si="7"/>
        <v>9</v>
      </c>
      <c r="L2676" s="108" t="str">
        <f t="shared" si="8"/>
        <v>2024-Q3</v>
      </c>
      <c r="M2676" s="111" t="str">
        <f t="shared" si="9"/>
        <v>2024-09</v>
      </c>
      <c r="N2676" s="112" t="str">
        <f t="shared" si="10"/>
        <v>2024-H2</v>
      </c>
    </row>
    <row r="2677">
      <c r="A2677" s="113" t="s">
        <v>610</v>
      </c>
      <c r="J2677" s="108" t="str">
        <f t="shared" si="6"/>
        <v>2024</v>
      </c>
      <c r="K2677" s="110">
        <f t="shared" si="7"/>
        <v>9</v>
      </c>
      <c r="L2677" s="108" t="str">
        <f t="shared" si="8"/>
        <v>2024-Q3</v>
      </c>
      <c r="M2677" s="111" t="str">
        <f t="shared" si="9"/>
        <v>2024-09</v>
      </c>
      <c r="N2677" s="112" t="str">
        <f t="shared" si="10"/>
        <v>2024-H2</v>
      </c>
    </row>
    <row r="2678">
      <c r="A2678" s="113" t="s">
        <v>610</v>
      </c>
      <c r="J2678" s="108" t="str">
        <f t="shared" si="6"/>
        <v>2024</v>
      </c>
      <c r="K2678" s="110">
        <f t="shared" si="7"/>
        <v>9</v>
      </c>
      <c r="L2678" s="108" t="str">
        <f t="shared" si="8"/>
        <v>2024-Q3</v>
      </c>
      <c r="M2678" s="111" t="str">
        <f t="shared" si="9"/>
        <v>2024-09</v>
      </c>
      <c r="N2678" s="112" t="str">
        <f t="shared" si="10"/>
        <v>2024-H2</v>
      </c>
    </row>
    <row r="2679">
      <c r="A2679" s="113" t="s">
        <v>610</v>
      </c>
      <c r="J2679" s="108" t="str">
        <f t="shared" si="6"/>
        <v>2024</v>
      </c>
      <c r="K2679" s="110">
        <f t="shared" si="7"/>
        <v>9</v>
      </c>
      <c r="L2679" s="108" t="str">
        <f t="shared" si="8"/>
        <v>2024-Q3</v>
      </c>
      <c r="M2679" s="111" t="str">
        <f t="shared" si="9"/>
        <v>2024-09</v>
      </c>
      <c r="N2679" s="112" t="str">
        <f t="shared" si="10"/>
        <v>2024-H2</v>
      </c>
    </row>
    <row r="2680">
      <c r="A2680" s="113" t="s">
        <v>610</v>
      </c>
      <c r="J2680" s="108" t="str">
        <f t="shared" si="6"/>
        <v>2024</v>
      </c>
      <c r="K2680" s="110">
        <f t="shared" si="7"/>
        <v>9</v>
      </c>
      <c r="L2680" s="108" t="str">
        <f t="shared" si="8"/>
        <v>2024-Q3</v>
      </c>
      <c r="M2680" s="111" t="str">
        <f t="shared" si="9"/>
        <v>2024-09</v>
      </c>
      <c r="N2680" s="112" t="str">
        <f t="shared" si="10"/>
        <v>2024-H2</v>
      </c>
    </row>
    <row r="2681">
      <c r="A2681" s="113" t="s">
        <v>610</v>
      </c>
      <c r="J2681" s="108" t="str">
        <f t="shared" si="6"/>
        <v>2024</v>
      </c>
      <c r="K2681" s="110">
        <f t="shared" si="7"/>
        <v>9</v>
      </c>
      <c r="L2681" s="108" t="str">
        <f t="shared" si="8"/>
        <v>2024-Q3</v>
      </c>
      <c r="M2681" s="111" t="str">
        <f t="shared" si="9"/>
        <v>2024-09</v>
      </c>
      <c r="N2681" s="112" t="str">
        <f t="shared" si="10"/>
        <v>2024-H2</v>
      </c>
    </row>
    <row r="2682">
      <c r="A2682" s="113" t="s">
        <v>610</v>
      </c>
      <c r="J2682" s="108" t="str">
        <f t="shared" si="6"/>
        <v>2024</v>
      </c>
      <c r="K2682" s="110">
        <f t="shared" si="7"/>
        <v>9</v>
      </c>
      <c r="L2682" s="108" t="str">
        <f t="shared" si="8"/>
        <v>2024-Q3</v>
      </c>
      <c r="M2682" s="111" t="str">
        <f t="shared" si="9"/>
        <v>2024-09</v>
      </c>
      <c r="N2682" s="112" t="str">
        <f t="shared" si="10"/>
        <v>2024-H2</v>
      </c>
    </row>
    <row r="2683">
      <c r="A2683" s="113" t="s">
        <v>610</v>
      </c>
      <c r="J2683" s="108" t="str">
        <f t="shared" si="6"/>
        <v>2024</v>
      </c>
      <c r="K2683" s="110">
        <f t="shared" si="7"/>
        <v>9</v>
      </c>
      <c r="L2683" s="108" t="str">
        <f t="shared" si="8"/>
        <v>2024-Q3</v>
      </c>
      <c r="M2683" s="111" t="str">
        <f t="shared" si="9"/>
        <v>2024-09</v>
      </c>
      <c r="N2683" s="112" t="str">
        <f t="shared" si="10"/>
        <v>2024-H2</v>
      </c>
    </row>
    <row r="2684">
      <c r="A2684" s="113" t="s">
        <v>610</v>
      </c>
      <c r="J2684" s="108" t="str">
        <f t="shared" si="6"/>
        <v>2024</v>
      </c>
      <c r="K2684" s="110">
        <f t="shared" si="7"/>
        <v>9</v>
      </c>
      <c r="L2684" s="108" t="str">
        <f t="shared" si="8"/>
        <v>2024-Q3</v>
      </c>
      <c r="M2684" s="111" t="str">
        <f t="shared" si="9"/>
        <v>2024-09</v>
      </c>
      <c r="N2684" s="112" t="str">
        <f t="shared" si="10"/>
        <v>2024-H2</v>
      </c>
    </row>
    <row r="2685">
      <c r="A2685" s="113" t="s">
        <v>610</v>
      </c>
      <c r="J2685" s="108" t="str">
        <f t="shared" si="6"/>
        <v>2024</v>
      </c>
      <c r="K2685" s="110">
        <f t="shared" si="7"/>
        <v>9</v>
      </c>
      <c r="L2685" s="108" t="str">
        <f t="shared" si="8"/>
        <v>2024-Q3</v>
      </c>
      <c r="M2685" s="111" t="str">
        <f t="shared" si="9"/>
        <v>2024-09</v>
      </c>
      <c r="N2685" s="112" t="str">
        <f t="shared" si="10"/>
        <v>2024-H2</v>
      </c>
    </row>
    <row r="2686">
      <c r="A2686" s="113" t="s">
        <v>610</v>
      </c>
      <c r="J2686" s="108" t="str">
        <f t="shared" si="6"/>
        <v>2024</v>
      </c>
      <c r="K2686" s="110">
        <f t="shared" si="7"/>
        <v>9</v>
      </c>
      <c r="L2686" s="108" t="str">
        <f t="shared" si="8"/>
        <v>2024-Q3</v>
      </c>
      <c r="M2686" s="111" t="str">
        <f t="shared" si="9"/>
        <v>2024-09</v>
      </c>
      <c r="N2686" s="112" t="str">
        <f t="shared" si="10"/>
        <v>2024-H2</v>
      </c>
    </row>
    <row r="2687">
      <c r="A2687" s="113" t="s">
        <v>610</v>
      </c>
      <c r="J2687" s="108" t="str">
        <f t="shared" si="6"/>
        <v>2024</v>
      </c>
      <c r="K2687" s="110">
        <f t="shared" si="7"/>
        <v>9</v>
      </c>
      <c r="L2687" s="108" t="str">
        <f t="shared" si="8"/>
        <v>2024-Q3</v>
      </c>
      <c r="M2687" s="111" t="str">
        <f t="shared" si="9"/>
        <v>2024-09</v>
      </c>
      <c r="N2687" s="112" t="str">
        <f t="shared" si="10"/>
        <v>2024-H2</v>
      </c>
    </row>
    <row r="2688">
      <c r="A2688" s="113" t="s">
        <v>610</v>
      </c>
      <c r="J2688" s="108" t="str">
        <f t="shared" si="6"/>
        <v>2024</v>
      </c>
      <c r="K2688" s="110">
        <f t="shared" si="7"/>
        <v>9</v>
      </c>
      <c r="L2688" s="108" t="str">
        <f t="shared" si="8"/>
        <v>2024-Q3</v>
      </c>
      <c r="M2688" s="111" t="str">
        <f t="shared" si="9"/>
        <v>2024-09</v>
      </c>
      <c r="N2688" s="112" t="str">
        <f t="shared" si="10"/>
        <v>2024-H2</v>
      </c>
    </row>
    <row r="2689">
      <c r="A2689" s="113" t="s">
        <v>610</v>
      </c>
      <c r="J2689" s="108" t="str">
        <f t="shared" si="6"/>
        <v>2024</v>
      </c>
      <c r="K2689" s="110">
        <f t="shared" si="7"/>
        <v>9</v>
      </c>
      <c r="L2689" s="108" t="str">
        <f t="shared" si="8"/>
        <v>2024-Q3</v>
      </c>
      <c r="M2689" s="111" t="str">
        <f t="shared" si="9"/>
        <v>2024-09</v>
      </c>
      <c r="N2689" s="112" t="str">
        <f t="shared" si="10"/>
        <v>2024-H2</v>
      </c>
    </row>
    <row r="2690">
      <c r="A2690" s="113" t="s">
        <v>610</v>
      </c>
      <c r="J2690" s="108" t="str">
        <f t="shared" si="6"/>
        <v>2024</v>
      </c>
      <c r="K2690" s="110">
        <f t="shared" si="7"/>
        <v>9</v>
      </c>
      <c r="L2690" s="108" t="str">
        <f t="shared" si="8"/>
        <v>2024-Q3</v>
      </c>
      <c r="M2690" s="111" t="str">
        <f t="shared" si="9"/>
        <v>2024-09</v>
      </c>
      <c r="N2690" s="112" t="str">
        <f t="shared" si="10"/>
        <v>2024-H2</v>
      </c>
    </row>
    <row r="2691">
      <c r="A2691" s="113" t="s">
        <v>610</v>
      </c>
      <c r="J2691" s="108" t="str">
        <f t="shared" si="6"/>
        <v>2024</v>
      </c>
      <c r="K2691" s="110">
        <f t="shared" si="7"/>
        <v>9</v>
      </c>
      <c r="L2691" s="108" t="str">
        <f t="shared" si="8"/>
        <v>2024-Q3</v>
      </c>
      <c r="M2691" s="111" t="str">
        <f t="shared" si="9"/>
        <v>2024-09</v>
      </c>
      <c r="N2691" s="112" t="str">
        <f t="shared" si="10"/>
        <v>2024-H2</v>
      </c>
    </row>
    <row r="2692">
      <c r="A2692" s="113" t="s">
        <v>610</v>
      </c>
      <c r="J2692" s="108" t="str">
        <f t="shared" si="6"/>
        <v>2024</v>
      </c>
      <c r="K2692" s="110">
        <f t="shared" si="7"/>
        <v>9</v>
      </c>
      <c r="L2692" s="108" t="str">
        <f t="shared" si="8"/>
        <v>2024-Q3</v>
      </c>
      <c r="M2692" s="111" t="str">
        <f t="shared" si="9"/>
        <v>2024-09</v>
      </c>
      <c r="N2692" s="112" t="str">
        <f t="shared" si="10"/>
        <v>2024-H2</v>
      </c>
    </row>
    <row r="2693">
      <c r="A2693" s="113" t="s">
        <v>610</v>
      </c>
      <c r="J2693" s="108" t="str">
        <f t="shared" si="6"/>
        <v>2024</v>
      </c>
      <c r="K2693" s="110">
        <f t="shared" si="7"/>
        <v>9</v>
      </c>
      <c r="L2693" s="108" t="str">
        <f t="shared" si="8"/>
        <v>2024-Q3</v>
      </c>
      <c r="M2693" s="111" t="str">
        <f t="shared" si="9"/>
        <v>2024-09</v>
      </c>
      <c r="N2693" s="112" t="str">
        <f t="shared" si="10"/>
        <v>2024-H2</v>
      </c>
    </row>
    <row r="2694">
      <c r="A2694" s="113" t="s">
        <v>610</v>
      </c>
      <c r="J2694" s="108" t="str">
        <f t="shared" si="6"/>
        <v>2024</v>
      </c>
      <c r="K2694" s="110">
        <f t="shared" si="7"/>
        <v>9</v>
      </c>
      <c r="L2694" s="108" t="str">
        <f t="shared" si="8"/>
        <v>2024-Q3</v>
      </c>
      <c r="M2694" s="111" t="str">
        <f t="shared" si="9"/>
        <v>2024-09</v>
      </c>
      <c r="N2694" s="112" t="str">
        <f t="shared" si="10"/>
        <v>2024-H2</v>
      </c>
    </row>
    <row r="2695">
      <c r="A2695" s="113" t="s">
        <v>610</v>
      </c>
      <c r="J2695" s="108" t="str">
        <f t="shared" si="6"/>
        <v>2024</v>
      </c>
      <c r="K2695" s="110">
        <f t="shared" si="7"/>
        <v>9</v>
      </c>
      <c r="L2695" s="108" t="str">
        <f t="shared" si="8"/>
        <v>2024-Q3</v>
      </c>
      <c r="M2695" s="111" t="str">
        <f t="shared" si="9"/>
        <v>2024-09</v>
      </c>
      <c r="N2695" s="112" t="str">
        <f t="shared" si="10"/>
        <v>2024-H2</v>
      </c>
    </row>
    <row r="2696">
      <c r="A2696" s="113" t="s">
        <v>610</v>
      </c>
      <c r="J2696" s="108" t="str">
        <f t="shared" si="6"/>
        <v>2024</v>
      </c>
      <c r="K2696" s="110">
        <f t="shared" si="7"/>
        <v>9</v>
      </c>
      <c r="L2696" s="108" t="str">
        <f t="shared" si="8"/>
        <v>2024-Q3</v>
      </c>
      <c r="M2696" s="111" t="str">
        <f t="shared" si="9"/>
        <v>2024-09</v>
      </c>
      <c r="N2696" s="112" t="str">
        <f t="shared" si="10"/>
        <v>2024-H2</v>
      </c>
    </row>
    <row r="2697">
      <c r="A2697" s="113" t="s">
        <v>610</v>
      </c>
      <c r="J2697" s="108" t="str">
        <f t="shared" si="6"/>
        <v>2024</v>
      </c>
      <c r="K2697" s="110">
        <f t="shared" si="7"/>
        <v>9</v>
      </c>
      <c r="L2697" s="108" t="str">
        <f t="shared" si="8"/>
        <v>2024-Q3</v>
      </c>
      <c r="M2697" s="111" t="str">
        <f t="shared" si="9"/>
        <v>2024-09</v>
      </c>
      <c r="N2697" s="112" t="str">
        <f t="shared" si="10"/>
        <v>2024-H2</v>
      </c>
    </row>
    <row r="2698">
      <c r="A2698" s="113" t="s">
        <v>610</v>
      </c>
      <c r="J2698" s="108" t="str">
        <f t="shared" si="6"/>
        <v>2024</v>
      </c>
      <c r="K2698" s="110">
        <f t="shared" si="7"/>
        <v>9</v>
      </c>
      <c r="L2698" s="108" t="str">
        <f t="shared" si="8"/>
        <v>2024-Q3</v>
      </c>
      <c r="M2698" s="111" t="str">
        <f t="shared" si="9"/>
        <v>2024-09</v>
      </c>
      <c r="N2698" s="112" t="str">
        <f t="shared" si="10"/>
        <v>2024-H2</v>
      </c>
    </row>
    <row r="2699">
      <c r="A2699" s="113" t="s">
        <v>610</v>
      </c>
      <c r="J2699" s="108" t="str">
        <f t="shared" si="6"/>
        <v>2024</v>
      </c>
      <c r="K2699" s="110">
        <f t="shared" si="7"/>
        <v>9</v>
      </c>
      <c r="L2699" s="108" t="str">
        <f t="shared" si="8"/>
        <v>2024-Q3</v>
      </c>
      <c r="M2699" s="111" t="str">
        <f t="shared" si="9"/>
        <v>2024-09</v>
      </c>
      <c r="N2699" s="112" t="str">
        <f t="shared" si="10"/>
        <v>2024-H2</v>
      </c>
    </row>
    <row r="2700">
      <c r="A2700" s="113" t="s">
        <v>610</v>
      </c>
      <c r="J2700" s="108" t="str">
        <f t="shared" si="6"/>
        <v>2024</v>
      </c>
      <c r="K2700" s="110">
        <f t="shared" si="7"/>
        <v>9</v>
      </c>
      <c r="L2700" s="108" t="str">
        <f t="shared" si="8"/>
        <v>2024-Q3</v>
      </c>
      <c r="M2700" s="111" t="str">
        <f t="shared" si="9"/>
        <v>2024-09</v>
      </c>
      <c r="N2700" s="112" t="str">
        <f t="shared" si="10"/>
        <v>2024-H2</v>
      </c>
    </row>
    <row r="2701">
      <c r="A2701" s="113" t="s">
        <v>610</v>
      </c>
      <c r="J2701" s="108" t="str">
        <f t="shared" si="6"/>
        <v>2024</v>
      </c>
      <c r="K2701" s="110">
        <f t="shared" si="7"/>
        <v>9</v>
      </c>
      <c r="L2701" s="108" t="str">
        <f t="shared" si="8"/>
        <v>2024-Q3</v>
      </c>
      <c r="M2701" s="111" t="str">
        <f t="shared" si="9"/>
        <v>2024-09</v>
      </c>
      <c r="N2701" s="112" t="str">
        <f t="shared" si="10"/>
        <v>2024-H2</v>
      </c>
    </row>
    <row r="2702">
      <c r="A2702" s="113" t="s">
        <v>610</v>
      </c>
      <c r="J2702" s="108" t="str">
        <f t="shared" si="6"/>
        <v>2024</v>
      </c>
      <c r="K2702" s="110">
        <f t="shared" si="7"/>
        <v>9</v>
      </c>
      <c r="L2702" s="108" t="str">
        <f t="shared" si="8"/>
        <v>2024-Q3</v>
      </c>
      <c r="M2702" s="111" t="str">
        <f t="shared" si="9"/>
        <v>2024-09</v>
      </c>
      <c r="N2702" s="112" t="str">
        <f t="shared" si="10"/>
        <v>2024-H2</v>
      </c>
    </row>
    <row r="2703">
      <c r="A2703" s="113" t="s">
        <v>610</v>
      </c>
      <c r="J2703" s="108" t="str">
        <f t="shared" si="6"/>
        <v>2024</v>
      </c>
      <c r="K2703" s="110">
        <f t="shared" si="7"/>
        <v>9</v>
      </c>
      <c r="L2703" s="108" t="str">
        <f t="shared" si="8"/>
        <v>2024-Q3</v>
      </c>
      <c r="M2703" s="111" t="str">
        <f t="shared" si="9"/>
        <v>2024-09</v>
      </c>
      <c r="N2703" s="112" t="str">
        <f t="shared" si="10"/>
        <v>2024-H2</v>
      </c>
    </row>
    <row r="2704">
      <c r="A2704" s="113" t="s">
        <v>610</v>
      </c>
      <c r="J2704" s="108" t="str">
        <f t="shared" si="6"/>
        <v>2024</v>
      </c>
      <c r="K2704" s="110">
        <f t="shared" si="7"/>
        <v>9</v>
      </c>
      <c r="L2704" s="108" t="str">
        <f t="shared" si="8"/>
        <v>2024-Q3</v>
      </c>
      <c r="M2704" s="111" t="str">
        <f t="shared" si="9"/>
        <v>2024-09</v>
      </c>
      <c r="N2704" s="112" t="str">
        <f t="shared" si="10"/>
        <v>2024-H2</v>
      </c>
    </row>
    <row r="2705">
      <c r="A2705" s="113" t="s">
        <v>610</v>
      </c>
      <c r="J2705" s="108" t="str">
        <f t="shared" si="6"/>
        <v>2024</v>
      </c>
      <c r="K2705" s="110">
        <f t="shared" si="7"/>
        <v>9</v>
      </c>
      <c r="L2705" s="108" t="str">
        <f t="shared" si="8"/>
        <v>2024-Q3</v>
      </c>
      <c r="M2705" s="111" t="str">
        <f t="shared" si="9"/>
        <v>2024-09</v>
      </c>
      <c r="N2705" s="112" t="str">
        <f t="shared" si="10"/>
        <v>2024-H2</v>
      </c>
    </row>
    <row r="2706">
      <c r="A2706" s="113" t="s">
        <v>610</v>
      </c>
      <c r="J2706" s="108" t="str">
        <f t="shared" si="6"/>
        <v>2024</v>
      </c>
      <c r="K2706" s="110">
        <f t="shared" si="7"/>
        <v>9</v>
      </c>
      <c r="L2706" s="108" t="str">
        <f t="shared" si="8"/>
        <v>2024-Q3</v>
      </c>
      <c r="M2706" s="111" t="str">
        <f t="shared" si="9"/>
        <v>2024-09</v>
      </c>
      <c r="N2706" s="112" t="str">
        <f t="shared" si="10"/>
        <v>2024-H2</v>
      </c>
    </row>
    <row r="2707">
      <c r="A2707" s="113" t="s">
        <v>610</v>
      </c>
      <c r="J2707" s="108" t="str">
        <f t="shared" si="6"/>
        <v>2024</v>
      </c>
      <c r="K2707" s="110">
        <f t="shared" si="7"/>
        <v>9</v>
      </c>
      <c r="L2707" s="108" t="str">
        <f t="shared" si="8"/>
        <v>2024-Q3</v>
      </c>
      <c r="M2707" s="111" t="str">
        <f t="shared" si="9"/>
        <v>2024-09</v>
      </c>
      <c r="N2707" s="112" t="str">
        <f t="shared" si="10"/>
        <v>2024-H2</v>
      </c>
    </row>
    <row r="2708">
      <c r="A2708" s="113" t="s">
        <v>610</v>
      </c>
      <c r="J2708" s="108" t="str">
        <f t="shared" si="6"/>
        <v>2024</v>
      </c>
      <c r="K2708" s="110">
        <f t="shared" si="7"/>
        <v>9</v>
      </c>
      <c r="L2708" s="108" t="str">
        <f t="shared" si="8"/>
        <v>2024-Q3</v>
      </c>
      <c r="M2708" s="111" t="str">
        <f t="shared" si="9"/>
        <v>2024-09</v>
      </c>
      <c r="N2708" s="112" t="str">
        <f t="shared" si="10"/>
        <v>2024-H2</v>
      </c>
    </row>
    <row r="2709">
      <c r="A2709" s="113" t="s">
        <v>610</v>
      </c>
      <c r="J2709" s="108" t="str">
        <f t="shared" si="6"/>
        <v>2024</v>
      </c>
      <c r="K2709" s="110">
        <f t="shared" si="7"/>
        <v>9</v>
      </c>
      <c r="L2709" s="108" t="str">
        <f t="shared" si="8"/>
        <v>2024-Q3</v>
      </c>
      <c r="M2709" s="111" t="str">
        <f t="shared" si="9"/>
        <v>2024-09</v>
      </c>
      <c r="N2709" s="112" t="str">
        <f t="shared" si="10"/>
        <v>2024-H2</v>
      </c>
    </row>
    <row r="2710">
      <c r="A2710" s="113" t="s">
        <v>610</v>
      </c>
      <c r="J2710" s="108" t="str">
        <f t="shared" si="6"/>
        <v>2024</v>
      </c>
      <c r="K2710" s="110">
        <f t="shared" si="7"/>
        <v>9</v>
      </c>
      <c r="L2710" s="108" t="str">
        <f t="shared" si="8"/>
        <v>2024-Q3</v>
      </c>
      <c r="M2710" s="111" t="str">
        <f t="shared" si="9"/>
        <v>2024-09</v>
      </c>
      <c r="N2710" s="112" t="str">
        <f t="shared" si="10"/>
        <v>2024-H2</v>
      </c>
    </row>
    <row r="2711">
      <c r="A2711" s="113" t="s">
        <v>610</v>
      </c>
      <c r="J2711" s="108" t="str">
        <f t="shared" si="6"/>
        <v>2024</v>
      </c>
      <c r="K2711" s="110">
        <f t="shared" si="7"/>
        <v>9</v>
      </c>
      <c r="L2711" s="108" t="str">
        <f t="shared" si="8"/>
        <v>2024-Q3</v>
      </c>
      <c r="M2711" s="111" t="str">
        <f t="shared" si="9"/>
        <v>2024-09</v>
      </c>
      <c r="N2711" s="112" t="str">
        <f t="shared" si="10"/>
        <v>2024-H2</v>
      </c>
    </row>
    <row r="2712">
      <c r="A2712" s="113" t="s">
        <v>610</v>
      </c>
      <c r="J2712" s="108" t="str">
        <f t="shared" si="6"/>
        <v>2024</v>
      </c>
      <c r="K2712" s="110">
        <f t="shared" si="7"/>
        <v>9</v>
      </c>
      <c r="L2712" s="108" t="str">
        <f t="shared" si="8"/>
        <v>2024-Q3</v>
      </c>
      <c r="M2712" s="111" t="str">
        <f t="shared" si="9"/>
        <v>2024-09</v>
      </c>
      <c r="N2712" s="112" t="str">
        <f t="shared" si="10"/>
        <v>2024-H2</v>
      </c>
    </row>
    <row r="2713">
      <c r="A2713" s="113" t="s">
        <v>610</v>
      </c>
      <c r="J2713" s="108" t="str">
        <f t="shared" si="6"/>
        <v>2024</v>
      </c>
      <c r="K2713" s="110">
        <f t="shared" si="7"/>
        <v>9</v>
      </c>
      <c r="L2713" s="108" t="str">
        <f t="shared" si="8"/>
        <v>2024-Q3</v>
      </c>
      <c r="M2713" s="111" t="str">
        <f t="shared" si="9"/>
        <v>2024-09</v>
      </c>
      <c r="N2713" s="112" t="str">
        <f t="shared" si="10"/>
        <v>2024-H2</v>
      </c>
    </row>
    <row r="2714">
      <c r="A2714" s="113" t="s">
        <v>610</v>
      </c>
      <c r="J2714" s="108" t="str">
        <f t="shared" si="6"/>
        <v>2024</v>
      </c>
      <c r="K2714" s="110">
        <f t="shared" si="7"/>
        <v>9</v>
      </c>
      <c r="L2714" s="108" t="str">
        <f t="shared" si="8"/>
        <v>2024-Q3</v>
      </c>
      <c r="M2714" s="111" t="str">
        <f t="shared" si="9"/>
        <v>2024-09</v>
      </c>
      <c r="N2714" s="112" t="str">
        <f t="shared" si="10"/>
        <v>2024-H2</v>
      </c>
    </row>
    <row r="2715">
      <c r="A2715" s="113" t="s">
        <v>610</v>
      </c>
      <c r="J2715" s="108" t="str">
        <f t="shared" si="6"/>
        <v>2024</v>
      </c>
      <c r="K2715" s="110">
        <f t="shared" si="7"/>
        <v>9</v>
      </c>
      <c r="L2715" s="108" t="str">
        <f t="shared" si="8"/>
        <v>2024-Q3</v>
      </c>
      <c r="M2715" s="111" t="str">
        <f t="shared" si="9"/>
        <v>2024-09</v>
      </c>
      <c r="N2715" s="112" t="str">
        <f t="shared" si="10"/>
        <v>2024-H2</v>
      </c>
    </row>
    <row r="2716">
      <c r="A2716" s="113" t="s">
        <v>610</v>
      </c>
      <c r="J2716" s="108" t="str">
        <f t="shared" si="6"/>
        <v>2024</v>
      </c>
      <c r="K2716" s="110">
        <f t="shared" si="7"/>
        <v>9</v>
      </c>
      <c r="L2716" s="108" t="str">
        <f t="shared" si="8"/>
        <v>2024-Q3</v>
      </c>
      <c r="M2716" s="111" t="str">
        <f t="shared" si="9"/>
        <v>2024-09</v>
      </c>
      <c r="N2716" s="112" t="str">
        <f t="shared" si="10"/>
        <v>2024-H2</v>
      </c>
    </row>
    <row r="2717">
      <c r="A2717" s="113" t="s">
        <v>610</v>
      </c>
      <c r="J2717" s="108" t="str">
        <f t="shared" si="6"/>
        <v>2024</v>
      </c>
      <c r="K2717" s="110">
        <f t="shared" si="7"/>
        <v>9</v>
      </c>
      <c r="L2717" s="108" t="str">
        <f t="shared" si="8"/>
        <v>2024-Q3</v>
      </c>
      <c r="M2717" s="111" t="str">
        <f t="shared" si="9"/>
        <v>2024-09</v>
      </c>
      <c r="N2717" s="112" t="str">
        <f t="shared" si="10"/>
        <v>2024-H2</v>
      </c>
    </row>
    <row r="2718">
      <c r="A2718" s="113" t="s">
        <v>610</v>
      </c>
      <c r="J2718" s="108" t="str">
        <f t="shared" si="6"/>
        <v>2024</v>
      </c>
      <c r="K2718" s="110">
        <f t="shared" si="7"/>
        <v>9</v>
      </c>
      <c r="L2718" s="108" t="str">
        <f t="shared" si="8"/>
        <v>2024-Q3</v>
      </c>
      <c r="M2718" s="111" t="str">
        <f t="shared" si="9"/>
        <v>2024-09</v>
      </c>
      <c r="N2718" s="112" t="str">
        <f t="shared" si="10"/>
        <v>2024-H2</v>
      </c>
    </row>
    <row r="2719">
      <c r="A2719" s="113" t="s">
        <v>610</v>
      </c>
      <c r="J2719" s="108" t="str">
        <f t="shared" si="6"/>
        <v>2024</v>
      </c>
      <c r="K2719" s="110">
        <f t="shared" si="7"/>
        <v>9</v>
      </c>
      <c r="L2719" s="108" t="str">
        <f t="shared" si="8"/>
        <v>2024-Q3</v>
      </c>
      <c r="M2719" s="111" t="str">
        <f t="shared" si="9"/>
        <v>2024-09</v>
      </c>
      <c r="N2719" s="112" t="str">
        <f t="shared" si="10"/>
        <v>2024-H2</v>
      </c>
    </row>
    <row r="2720">
      <c r="A2720" s="113" t="s">
        <v>610</v>
      </c>
      <c r="J2720" s="108" t="str">
        <f t="shared" si="6"/>
        <v>2024</v>
      </c>
      <c r="K2720" s="110">
        <f t="shared" si="7"/>
        <v>9</v>
      </c>
      <c r="L2720" s="108" t="str">
        <f t="shared" si="8"/>
        <v>2024-Q3</v>
      </c>
      <c r="M2720" s="111" t="str">
        <f t="shared" si="9"/>
        <v>2024-09</v>
      </c>
      <c r="N2720" s="112" t="str">
        <f t="shared" si="10"/>
        <v>2024-H2</v>
      </c>
    </row>
    <row r="2721">
      <c r="A2721" s="113" t="s">
        <v>610</v>
      </c>
      <c r="J2721" s="108" t="str">
        <f t="shared" si="6"/>
        <v>2024</v>
      </c>
      <c r="K2721" s="110">
        <f t="shared" si="7"/>
        <v>9</v>
      </c>
      <c r="L2721" s="108" t="str">
        <f t="shared" si="8"/>
        <v>2024-Q3</v>
      </c>
      <c r="M2721" s="111" t="str">
        <f t="shared" si="9"/>
        <v>2024-09</v>
      </c>
      <c r="N2721" s="112" t="str">
        <f t="shared" si="10"/>
        <v>2024-H2</v>
      </c>
    </row>
    <row r="2722">
      <c r="A2722" s="113" t="s">
        <v>610</v>
      </c>
      <c r="J2722" s="108" t="str">
        <f t="shared" si="6"/>
        <v>2024</v>
      </c>
      <c r="K2722" s="110">
        <f t="shared" si="7"/>
        <v>9</v>
      </c>
      <c r="L2722" s="108" t="str">
        <f t="shared" si="8"/>
        <v>2024-Q3</v>
      </c>
      <c r="M2722" s="111" t="str">
        <f t="shared" si="9"/>
        <v>2024-09</v>
      </c>
      <c r="N2722" s="112" t="str">
        <f t="shared" si="10"/>
        <v>2024-H2</v>
      </c>
    </row>
    <row r="2723">
      <c r="A2723" s="113" t="s">
        <v>610</v>
      </c>
      <c r="J2723" s="108" t="str">
        <f t="shared" si="6"/>
        <v>2024</v>
      </c>
      <c r="K2723" s="110">
        <f t="shared" si="7"/>
        <v>9</v>
      </c>
      <c r="L2723" s="108" t="str">
        <f t="shared" si="8"/>
        <v>2024-Q3</v>
      </c>
      <c r="M2723" s="111" t="str">
        <f t="shared" si="9"/>
        <v>2024-09</v>
      </c>
      <c r="N2723" s="112" t="str">
        <f t="shared" si="10"/>
        <v>2024-H2</v>
      </c>
    </row>
    <row r="2724">
      <c r="A2724" s="113" t="s">
        <v>610</v>
      </c>
      <c r="J2724" s="108" t="str">
        <f t="shared" si="6"/>
        <v>2024</v>
      </c>
      <c r="K2724" s="110">
        <f t="shared" si="7"/>
        <v>9</v>
      </c>
      <c r="L2724" s="108" t="str">
        <f t="shared" si="8"/>
        <v>2024-Q3</v>
      </c>
      <c r="M2724" s="111" t="str">
        <f t="shared" si="9"/>
        <v>2024-09</v>
      </c>
      <c r="N2724" s="112" t="str">
        <f t="shared" si="10"/>
        <v>2024-H2</v>
      </c>
    </row>
    <row r="2725">
      <c r="A2725" s="113" t="s">
        <v>610</v>
      </c>
      <c r="J2725" s="108" t="str">
        <f t="shared" si="6"/>
        <v>2024</v>
      </c>
      <c r="K2725" s="110">
        <f t="shared" si="7"/>
        <v>9</v>
      </c>
      <c r="L2725" s="108" t="str">
        <f t="shared" si="8"/>
        <v>2024-Q3</v>
      </c>
      <c r="M2725" s="111" t="str">
        <f t="shared" si="9"/>
        <v>2024-09</v>
      </c>
      <c r="N2725" s="112" t="str">
        <f t="shared" si="10"/>
        <v>2024-H2</v>
      </c>
    </row>
    <row r="2726">
      <c r="A2726" s="113" t="s">
        <v>610</v>
      </c>
      <c r="J2726" s="108" t="str">
        <f t="shared" si="6"/>
        <v>2024</v>
      </c>
      <c r="K2726" s="110">
        <f t="shared" si="7"/>
        <v>9</v>
      </c>
      <c r="L2726" s="108" t="str">
        <f t="shared" si="8"/>
        <v>2024-Q3</v>
      </c>
      <c r="M2726" s="111" t="str">
        <f t="shared" si="9"/>
        <v>2024-09</v>
      </c>
      <c r="N2726" s="112" t="str">
        <f t="shared" si="10"/>
        <v>2024-H2</v>
      </c>
    </row>
    <row r="2727">
      <c r="A2727" s="113" t="s">
        <v>610</v>
      </c>
      <c r="J2727" s="108" t="str">
        <f t="shared" si="6"/>
        <v>2024</v>
      </c>
      <c r="K2727" s="110">
        <f t="shared" si="7"/>
        <v>9</v>
      </c>
      <c r="L2727" s="108" t="str">
        <f t="shared" si="8"/>
        <v>2024-Q3</v>
      </c>
      <c r="M2727" s="111" t="str">
        <f t="shared" si="9"/>
        <v>2024-09</v>
      </c>
      <c r="N2727" s="112" t="str">
        <f t="shared" si="10"/>
        <v>2024-H2</v>
      </c>
    </row>
    <row r="2728">
      <c r="A2728" s="113" t="s">
        <v>610</v>
      </c>
      <c r="J2728" s="108" t="str">
        <f t="shared" si="6"/>
        <v>2024</v>
      </c>
      <c r="K2728" s="110">
        <f t="shared" si="7"/>
        <v>9</v>
      </c>
      <c r="L2728" s="108" t="str">
        <f t="shared" si="8"/>
        <v>2024-Q3</v>
      </c>
      <c r="M2728" s="111" t="str">
        <f t="shared" si="9"/>
        <v>2024-09</v>
      </c>
      <c r="N2728" s="112" t="str">
        <f t="shared" si="10"/>
        <v>2024-H2</v>
      </c>
    </row>
    <row r="2729">
      <c r="A2729" s="113" t="s">
        <v>610</v>
      </c>
      <c r="J2729" s="108" t="str">
        <f t="shared" si="6"/>
        <v>2024</v>
      </c>
      <c r="K2729" s="110">
        <f t="shared" si="7"/>
        <v>9</v>
      </c>
      <c r="L2729" s="108" t="str">
        <f t="shared" si="8"/>
        <v>2024-Q3</v>
      </c>
      <c r="M2729" s="111" t="str">
        <f t="shared" si="9"/>
        <v>2024-09</v>
      </c>
      <c r="N2729" s="112" t="str">
        <f t="shared" si="10"/>
        <v>2024-H2</v>
      </c>
    </row>
    <row r="2730">
      <c r="A2730" s="113" t="s">
        <v>610</v>
      </c>
      <c r="J2730" s="108" t="str">
        <f t="shared" si="6"/>
        <v>2024</v>
      </c>
      <c r="K2730" s="110">
        <f t="shared" si="7"/>
        <v>9</v>
      </c>
      <c r="L2730" s="108" t="str">
        <f t="shared" si="8"/>
        <v>2024-Q3</v>
      </c>
      <c r="M2730" s="111" t="str">
        <f t="shared" si="9"/>
        <v>2024-09</v>
      </c>
      <c r="N2730" s="112" t="str">
        <f t="shared" si="10"/>
        <v>2024-H2</v>
      </c>
    </row>
    <row r="2731">
      <c r="A2731" s="113" t="s">
        <v>610</v>
      </c>
      <c r="J2731" s="108" t="str">
        <f t="shared" si="6"/>
        <v>2024</v>
      </c>
      <c r="K2731" s="110">
        <f t="shared" si="7"/>
        <v>9</v>
      </c>
      <c r="L2731" s="108" t="str">
        <f t="shared" si="8"/>
        <v>2024-Q3</v>
      </c>
      <c r="M2731" s="111" t="str">
        <f t="shared" si="9"/>
        <v>2024-09</v>
      </c>
      <c r="N2731" s="112" t="str">
        <f t="shared" si="10"/>
        <v>2024-H2</v>
      </c>
    </row>
    <row r="2732">
      <c r="A2732" s="113" t="s">
        <v>610</v>
      </c>
      <c r="J2732" s="108" t="str">
        <f t="shared" si="6"/>
        <v>2024</v>
      </c>
      <c r="K2732" s="110">
        <f t="shared" si="7"/>
        <v>9</v>
      </c>
      <c r="L2732" s="108" t="str">
        <f t="shared" si="8"/>
        <v>2024-Q3</v>
      </c>
      <c r="M2732" s="111" t="str">
        <f t="shared" si="9"/>
        <v>2024-09</v>
      </c>
      <c r="N2732" s="112" t="str">
        <f t="shared" si="10"/>
        <v>2024-H2</v>
      </c>
    </row>
    <row r="2733">
      <c r="A2733" s="113" t="s">
        <v>610</v>
      </c>
      <c r="J2733" s="108" t="str">
        <f t="shared" si="6"/>
        <v>2024</v>
      </c>
      <c r="K2733" s="110">
        <f t="shared" si="7"/>
        <v>9</v>
      </c>
      <c r="L2733" s="108" t="str">
        <f t="shared" si="8"/>
        <v>2024-Q3</v>
      </c>
      <c r="M2733" s="111" t="str">
        <f t="shared" si="9"/>
        <v>2024-09</v>
      </c>
      <c r="N2733" s="112" t="str">
        <f t="shared" si="10"/>
        <v>2024-H2</v>
      </c>
    </row>
    <row r="2734">
      <c r="A2734" s="113" t="s">
        <v>610</v>
      </c>
      <c r="J2734" s="108" t="str">
        <f t="shared" si="6"/>
        <v>2024</v>
      </c>
      <c r="K2734" s="110">
        <f t="shared" si="7"/>
        <v>9</v>
      </c>
      <c r="L2734" s="108" t="str">
        <f t="shared" si="8"/>
        <v>2024-Q3</v>
      </c>
      <c r="M2734" s="111" t="str">
        <f t="shared" si="9"/>
        <v>2024-09</v>
      </c>
      <c r="N2734" s="112" t="str">
        <f t="shared" si="10"/>
        <v>2024-H2</v>
      </c>
    </row>
    <row r="2735">
      <c r="A2735" s="113" t="s">
        <v>610</v>
      </c>
      <c r="J2735" s="108" t="str">
        <f t="shared" si="6"/>
        <v>2024</v>
      </c>
      <c r="K2735" s="110">
        <f t="shared" si="7"/>
        <v>9</v>
      </c>
      <c r="L2735" s="108" t="str">
        <f t="shared" si="8"/>
        <v>2024-Q3</v>
      </c>
      <c r="M2735" s="111" t="str">
        <f t="shared" si="9"/>
        <v>2024-09</v>
      </c>
      <c r="N2735" s="112" t="str">
        <f t="shared" si="10"/>
        <v>2024-H2</v>
      </c>
    </row>
    <row r="2736">
      <c r="A2736" s="113" t="s">
        <v>610</v>
      </c>
      <c r="J2736" s="108" t="str">
        <f t="shared" si="6"/>
        <v>2024</v>
      </c>
      <c r="K2736" s="110">
        <f t="shared" si="7"/>
        <v>9</v>
      </c>
      <c r="L2736" s="108" t="str">
        <f t="shared" si="8"/>
        <v>2024-Q3</v>
      </c>
      <c r="M2736" s="111" t="str">
        <f t="shared" si="9"/>
        <v>2024-09</v>
      </c>
      <c r="N2736" s="112" t="str">
        <f t="shared" si="10"/>
        <v>2024-H2</v>
      </c>
    </row>
    <row r="2737">
      <c r="A2737" s="113" t="s">
        <v>610</v>
      </c>
      <c r="J2737" s="108" t="str">
        <f t="shared" si="6"/>
        <v>2024</v>
      </c>
      <c r="K2737" s="110">
        <f t="shared" si="7"/>
        <v>9</v>
      </c>
      <c r="L2737" s="108" t="str">
        <f t="shared" si="8"/>
        <v>2024-Q3</v>
      </c>
      <c r="M2737" s="111" t="str">
        <f t="shared" si="9"/>
        <v>2024-09</v>
      </c>
      <c r="N2737" s="112" t="str">
        <f t="shared" si="10"/>
        <v>2024-H2</v>
      </c>
    </row>
    <row r="2738">
      <c r="A2738" s="113" t="s">
        <v>610</v>
      </c>
      <c r="J2738" s="108" t="str">
        <f t="shared" si="6"/>
        <v>2024</v>
      </c>
      <c r="K2738" s="110">
        <f t="shared" si="7"/>
        <v>9</v>
      </c>
      <c r="L2738" s="108" t="str">
        <f t="shared" si="8"/>
        <v>2024-Q3</v>
      </c>
      <c r="M2738" s="111" t="str">
        <f t="shared" si="9"/>
        <v>2024-09</v>
      </c>
      <c r="N2738" s="112" t="str">
        <f t="shared" si="10"/>
        <v>2024-H2</v>
      </c>
    </row>
    <row r="2739">
      <c r="A2739" s="113" t="s">
        <v>610</v>
      </c>
      <c r="J2739" s="108" t="str">
        <f t="shared" si="6"/>
        <v>2024</v>
      </c>
      <c r="K2739" s="110">
        <f t="shared" si="7"/>
        <v>9</v>
      </c>
      <c r="L2739" s="108" t="str">
        <f t="shared" si="8"/>
        <v>2024-Q3</v>
      </c>
      <c r="M2739" s="111" t="str">
        <f t="shared" si="9"/>
        <v>2024-09</v>
      </c>
      <c r="N2739" s="112" t="str">
        <f t="shared" si="10"/>
        <v>2024-H2</v>
      </c>
    </row>
    <row r="2740">
      <c r="A2740" s="113" t="s">
        <v>610</v>
      </c>
      <c r="J2740" s="108" t="str">
        <f t="shared" si="6"/>
        <v>2024</v>
      </c>
      <c r="K2740" s="110">
        <f t="shared" si="7"/>
        <v>9</v>
      </c>
      <c r="L2740" s="108" t="str">
        <f t="shared" si="8"/>
        <v>2024-Q3</v>
      </c>
      <c r="M2740" s="111" t="str">
        <f t="shared" si="9"/>
        <v>2024-09</v>
      </c>
      <c r="N2740" s="112" t="str">
        <f t="shared" si="10"/>
        <v>2024-H2</v>
      </c>
    </row>
    <row r="2741">
      <c r="A2741" s="113" t="s">
        <v>610</v>
      </c>
      <c r="J2741" s="108" t="str">
        <f t="shared" si="6"/>
        <v>2024</v>
      </c>
      <c r="K2741" s="110">
        <f t="shared" si="7"/>
        <v>9</v>
      </c>
      <c r="L2741" s="108" t="str">
        <f t="shared" si="8"/>
        <v>2024-Q3</v>
      </c>
      <c r="M2741" s="111" t="str">
        <f t="shared" si="9"/>
        <v>2024-09</v>
      </c>
      <c r="N2741" s="112" t="str">
        <f t="shared" si="10"/>
        <v>2024-H2</v>
      </c>
    </row>
    <row r="2742">
      <c r="A2742" s="113" t="s">
        <v>610</v>
      </c>
      <c r="J2742" s="108" t="str">
        <f t="shared" si="6"/>
        <v>2024</v>
      </c>
      <c r="K2742" s="110">
        <f t="shared" si="7"/>
        <v>9</v>
      </c>
      <c r="L2742" s="108" t="str">
        <f t="shared" si="8"/>
        <v>2024-Q3</v>
      </c>
      <c r="M2742" s="111" t="str">
        <f t="shared" si="9"/>
        <v>2024-09</v>
      </c>
      <c r="N2742" s="112" t="str">
        <f t="shared" si="10"/>
        <v>2024-H2</v>
      </c>
    </row>
    <row r="2743">
      <c r="A2743" s="113" t="s">
        <v>610</v>
      </c>
      <c r="J2743" s="108" t="str">
        <f t="shared" si="6"/>
        <v>2024</v>
      </c>
      <c r="K2743" s="110">
        <f t="shared" si="7"/>
        <v>9</v>
      </c>
      <c r="L2743" s="108" t="str">
        <f t="shared" si="8"/>
        <v>2024-Q3</v>
      </c>
      <c r="M2743" s="111" t="str">
        <f t="shared" si="9"/>
        <v>2024-09</v>
      </c>
      <c r="N2743" s="112" t="str">
        <f t="shared" si="10"/>
        <v>2024-H2</v>
      </c>
    </row>
    <row r="2744">
      <c r="A2744" s="113" t="s">
        <v>610</v>
      </c>
      <c r="J2744" s="108" t="str">
        <f t="shared" si="6"/>
        <v>2024</v>
      </c>
      <c r="K2744" s="110">
        <f t="shared" si="7"/>
        <v>9</v>
      </c>
      <c r="L2744" s="108" t="str">
        <f t="shared" si="8"/>
        <v>2024-Q3</v>
      </c>
      <c r="M2744" s="111" t="str">
        <f t="shared" si="9"/>
        <v>2024-09</v>
      </c>
      <c r="N2744" s="112" t="str">
        <f t="shared" si="10"/>
        <v>2024-H2</v>
      </c>
    </row>
    <row r="2745">
      <c r="A2745" s="113" t="s">
        <v>610</v>
      </c>
      <c r="J2745" s="108" t="str">
        <f t="shared" si="6"/>
        <v>2024</v>
      </c>
      <c r="K2745" s="110">
        <f t="shared" si="7"/>
        <v>9</v>
      </c>
      <c r="L2745" s="108" t="str">
        <f t="shared" si="8"/>
        <v>2024-Q3</v>
      </c>
      <c r="M2745" s="111" t="str">
        <f t="shared" si="9"/>
        <v>2024-09</v>
      </c>
      <c r="N2745" s="112" t="str">
        <f t="shared" si="10"/>
        <v>2024-H2</v>
      </c>
    </row>
    <row r="2746">
      <c r="A2746" s="113" t="s">
        <v>610</v>
      </c>
      <c r="J2746" s="108" t="str">
        <f t="shared" si="6"/>
        <v>2024</v>
      </c>
      <c r="K2746" s="110">
        <f t="shared" si="7"/>
        <v>9</v>
      </c>
      <c r="L2746" s="108" t="str">
        <f t="shared" si="8"/>
        <v>2024-Q3</v>
      </c>
      <c r="M2746" s="111" t="str">
        <f t="shared" si="9"/>
        <v>2024-09</v>
      </c>
      <c r="N2746" s="112" t="str">
        <f t="shared" si="10"/>
        <v>2024-H2</v>
      </c>
    </row>
    <row r="2747">
      <c r="A2747" s="113" t="s">
        <v>610</v>
      </c>
      <c r="J2747" s="108" t="str">
        <f t="shared" si="6"/>
        <v>2024</v>
      </c>
      <c r="K2747" s="110">
        <f t="shared" si="7"/>
        <v>9</v>
      </c>
      <c r="L2747" s="108" t="str">
        <f t="shared" si="8"/>
        <v>2024-Q3</v>
      </c>
      <c r="M2747" s="111" t="str">
        <f t="shared" si="9"/>
        <v>2024-09</v>
      </c>
      <c r="N2747" s="112" t="str">
        <f t="shared" si="10"/>
        <v>2024-H2</v>
      </c>
    </row>
    <row r="2748">
      <c r="A2748" s="113" t="s">
        <v>610</v>
      </c>
      <c r="J2748" s="108" t="str">
        <f t="shared" si="6"/>
        <v>2024</v>
      </c>
      <c r="K2748" s="110">
        <f t="shared" si="7"/>
        <v>9</v>
      </c>
      <c r="L2748" s="108" t="str">
        <f t="shared" si="8"/>
        <v>2024-Q3</v>
      </c>
      <c r="M2748" s="111" t="str">
        <f t="shared" si="9"/>
        <v>2024-09</v>
      </c>
      <c r="N2748" s="112" t="str">
        <f t="shared" si="10"/>
        <v>2024-H2</v>
      </c>
    </row>
    <row r="2749">
      <c r="A2749" s="113" t="s">
        <v>610</v>
      </c>
      <c r="J2749" s="108" t="str">
        <f t="shared" si="6"/>
        <v>2024</v>
      </c>
      <c r="K2749" s="110">
        <f t="shared" si="7"/>
        <v>9</v>
      </c>
      <c r="L2749" s="108" t="str">
        <f t="shared" si="8"/>
        <v>2024-Q3</v>
      </c>
      <c r="M2749" s="111" t="str">
        <f t="shared" si="9"/>
        <v>2024-09</v>
      </c>
      <c r="N2749" s="112" t="str">
        <f t="shared" si="10"/>
        <v>2024-H2</v>
      </c>
    </row>
    <row r="2750">
      <c r="A2750" s="113" t="s">
        <v>610</v>
      </c>
      <c r="J2750" s="108" t="str">
        <f t="shared" si="6"/>
        <v>2024</v>
      </c>
      <c r="K2750" s="110">
        <f t="shared" si="7"/>
        <v>9</v>
      </c>
      <c r="L2750" s="108" t="str">
        <f t="shared" si="8"/>
        <v>2024-Q3</v>
      </c>
      <c r="M2750" s="111" t="str">
        <f t="shared" si="9"/>
        <v>2024-09</v>
      </c>
      <c r="N2750" s="112" t="str">
        <f t="shared" si="10"/>
        <v>2024-H2</v>
      </c>
    </row>
    <row r="2751">
      <c r="A2751" s="113" t="s">
        <v>610</v>
      </c>
      <c r="J2751" s="108" t="str">
        <f t="shared" si="6"/>
        <v>2024</v>
      </c>
      <c r="K2751" s="110">
        <f t="shared" si="7"/>
        <v>9</v>
      </c>
      <c r="L2751" s="108" t="str">
        <f t="shared" si="8"/>
        <v>2024-Q3</v>
      </c>
      <c r="M2751" s="111" t="str">
        <f t="shared" si="9"/>
        <v>2024-09</v>
      </c>
      <c r="N2751" s="112" t="str">
        <f t="shared" si="10"/>
        <v>2024-H2</v>
      </c>
    </row>
    <row r="2752">
      <c r="A2752" s="113" t="s">
        <v>610</v>
      </c>
      <c r="J2752" s="108" t="str">
        <f t="shared" si="6"/>
        <v>2024</v>
      </c>
      <c r="K2752" s="110">
        <f t="shared" si="7"/>
        <v>9</v>
      </c>
      <c r="L2752" s="108" t="str">
        <f t="shared" si="8"/>
        <v>2024-Q3</v>
      </c>
      <c r="M2752" s="111" t="str">
        <f t="shared" si="9"/>
        <v>2024-09</v>
      </c>
      <c r="N2752" s="112" t="str">
        <f t="shared" si="10"/>
        <v>2024-H2</v>
      </c>
    </row>
    <row r="2753">
      <c r="A2753" s="113" t="s">
        <v>610</v>
      </c>
      <c r="J2753" s="108" t="str">
        <f t="shared" si="6"/>
        <v>2024</v>
      </c>
      <c r="K2753" s="110">
        <f t="shared" si="7"/>
        <v>9</v>
      </c>
      <c r="L2753" s="108" t="str">
        <f t="shared" si="8"/>
        <v>2024-Q3</v>
      </c>
      <c r="M2753" s="111" t="str">
        <f t="shared" si="9"/>
        <v>2024-09</v>
      </c>
      <c r="N2753" s="112" t="str">
        <f t="shared" si="10"/>
        <v>2024-H2</v>
      </c>
    </row>
    <row r="2754">
      <c r="A2754" s="113" t="s">
        <v>610</v>
      </c>
      <c r="J2754" s="108" t="str">
        <f t="shared" si="6"/>
        <v>2024</v>
      </c>
      <c r="K2754" s="110">
        <f t="shared" si="7"/>
        <v>9</v>
      </c>
      <c r="L2754" s="108" t="str">
        <f t="shared" si="8"/>
        <v>2024-Q3</v>
      </c>
      <c r="M2754" s="111" t="str">
        <f t="shared" si="9"/>
        <v>2024-09</v>
      </c>
      <c r="N2754" s="112" t="str">
        <f t="shared" si="10"/>
        <v>2024-H2</v>
      </c>
    </row>
    <row r="2755">
      <c r="A2755" s="113" t="s">
        <v>610</v>
      </c>
      <c r="J2755" s="108" t="str">
        <f t="shared" si="6"/>
        <v>2024</v>
      </c>
      <c r="K2755" s="110">
        <f t="shared" si="7"/>
        <v>9</v>
      </c>
      <c r="L2755" s="108" t="str">
        <f t="shared" si="8"/>
        <v>2024-Q3</v>
      </c>
      <c r="M2755" s="111" t="str">
        <f t="shared" si="9"/>
        <v>2024-09</v>
      </c>
      <c r="N2755" s="112" t="str">
        <f t="shared" si="10"/>
        <v>2024-H2</v>
      </c>
    </row>
    <row r="2756">
      <c r="A2756" s="113" t="s">
        <v>610</v>
      </c>
      <c r="J2756" s="108" t="str">
        <f t="shared" si="6"/>
        <v>2024</v>
      </c>
      <c r="K2756" s="110">
        <f t="shared" si="7"/>
        <v>9</v>
      </c>
      <c r="L2756" s="108" t="str">
        <f t="shared" si="8"/>
        <v>2024-Q3</v>
      </c>
      <c r="M2756" s="111" t="str">
        <f t="shared" si="9"/>
        <v>2024-09</v>
      </c>
      <c r="N2756" s="112" t="str">
        <f t="shared" si="10"/>
        <v>2024-H2</v>
      </c>
    </row>
    <row r="2757">
      <c r="A2757" s="113" t="s">
        <v>610</v>
      </c>
      <c r="J2757" s="108" t="str">
        <f t="shared" si="6"/>
        <v>2024</v>
      </c>
      <c r="K2757" s="110">
        <f t="shared" si="7"/>
        <v>9</v>
      </c>
      <c r="L2757" s="108" t="str">
        <f t="shared" si="8"/>
        <v>2024-Q3</v>
      </c>
      <c r="M2757" s="111" t="str">
        <f t="shared" si="9"/>
        <v>2024-09</v>
      </c>
      <c r="N2757" s="112" t="str">
        <f t="shared" si="10"/>
        <v>2024-H2</v>
      </c>
    </row>
    <row r="2758">
      <c r="A2758" s="113" t="s">
        <v>610</v>
      </c>
      <c r="J2758" s="108" t="str">
        <f t="shared" si="6"/>
        <v>2024</v>
      </c>
      <c r="K2758" s="110">
        <f t="shared" si="7"/>
        <v>9</v>
      </c>
      <c r="L2758" s="108" t="str">
        <f t="shared" si="8"/>
        <v>2024-Q3</v>
      </c>
      <c r="M2758" s="111" t="str">
        <f t="shared" si="9"/>
        <v>2024-09</v>
      </c>
      <c r="N2758" s="112" t="str">
        <f t="shared" si="10"/>
        <v>2024-H2</v>
      </c>
    </row>
    <row r="2759">
      <c r="A2759" s="113" t="s">
        <v>610</v>
      </c>
      <c r="J2759" s="108" t="str">
        <f t="shared" si="6"/>
        <v>2024</v>
      </c>
      <c r="K2759" s="110">
        <f t="shared" si="7"/>
        <v>9</v>
      </c>
      <c r="L2759" s="108" t="str">
        <f t="shared" si="8"/>
        <v>2024-Q3</v>
      </c>
      <c r="M2759" s="111" t="str">
        <f t="shared" si="9"/>
        <v>2024-09</v>
      </c>
      <c r="N2759" s="112" t="str">
        <f t="shared" si="10"/>
        <v>2024-H2</v>
      </c>
    </row>
    <row r="2760">
      <c r="A2760" s="113" t="s">
        <v>610</v>
      </c>
      <c r="J2760" s="108" t="str">
        <f t="shared" si="6"/>
        <v>2024</v>
      </c>
      <c r="K2760" s="110">
        <f t="shared" si="7"/>
        <v>9</v>
      </c>
      <c r="L2760" s="108" t="str">
        <f t="shared" si="8"/>
        <v>2024-Q3</v>
      </c>
      <c r="M2760" s="111" t="str">
        <f t="shared" si="9"/>
        <v>2024-09</v>
      </c>
      <c r="N2760" s="112" t="str">
        <f t="shared" si="10"/>
        <v>2024-H2</v>
      </c>
    </row>
    <row r="2761">
      <c r="A2761" s="113" t="s">
        <v>610</v>
      </c>
      <c r="J2761" s="108" t="str">
        <f t="shared" si="6"/>
        <v>2024</v>
      </c>
      <c r="K2761" s="110">
        <f t="shared" si="7"/>
        <v>9</v>
      </c>
      <c r="L2761" s="108" t="str">
        <f t="shared" si="8"/>
        <v>2024-Q3</v>
      </c>
      <c r="M2761" s="111" t="str">
        <f t="shared" si="9"/>
        <v>2024-09</v>
      </c>
      <c r="N2761" s="112" t="str">
        <f t="shared" si="10"/>
        <v>2024-H2</v>
      </c>
    </row>
    <row r="2762">
      <c r="A2762" s="113" t="s">
        <v>610</v>
      </c>
      <c r="J2762" s="108" t="str">
        <f t="shared" si="6"/>
        <v>2024</v>
      </c>
      <c r="K2762" s="110">
        <f t="shared" si="7"/>
        <v>9</v>
      </c>
      <c r="L2762" s="108" t="str">
        <f t="shared" si="8"/>
        <v>2024-Q3</v>
      </c>
      <c r="M2762" s="111" t="str">
        <f t="shared" si="9"/>
        <v>2024-09</v>
      </c>
      <c r="N2762" s="112" t="str">
        <f t="shared" si="10"/>
        <v>2024-H2</v>
      </c>
    </row>
    <row r="2763">
      <c r="A2763" s="113" t="s">
        <v>610</v>
      </c>
      <c r="J2763" s="108" t="str">
        <f t="shared" si="6"/>
        <v>2024</v>
      </c>
      <c r="K2763" s="110">
        <f t="shared" si="7"/>
        <v>9</v>
      </c>
      <c r="L2763" s="108" t="str">
        <f t="shared" si="8"/>
        <v>2024-Q3</v>
      </c>
      <c r="M2763" s="111" t="str">
        <f t="shared" si="9"/>
        <v>2024-09</v>
      </c>
      <c r="N2763" s="112" t="str">
        <f t="shared" si="10"/>
        <v>2024-H2</v>
      </c>
    </row>
    <row r="2764">
      <c r="A2764" s="113" t="s">
        <v>610</v>
      </c>
      <c r="J2764" s="108" t="str">
        <f t="shared" si="6"/>
        <v>2024</v>
      </c>
      <c r="K2764" s="110">
        <f t="shared" si="7"/>
        <v>9</v>
      </c>
      <c r="L2764" s="108" t="str">
        <f t="shared" si="8"/>
        <v>2024-Q3</v>
      </c>
      <c r="M2764" s="111" t="str">
        <f t="shared" si="9"/>
        <v>2024-09</v>
      </c>
      <c r="N2764" s="112" t="str">
        <f t="shared" si="10"/>
        <v>2024-H2</v>
      </c>
    </row>
    <row r="2765">
      <c r="A2765" s="113" t="s">
        <v>610</v>
      </c>
      <c r="J2765" s="108" t="str">
        <f t="shared" si="6"/>
        <v>2024</v>
      </c>
      <c r="K2765" s="110">
        <f t="shared" si="7"/>
        <v>9</v>
      </c>
      <c r="L2765" s="108" t="str">
        <f t="shared" si="8"/>
        <v>2024-Q3</v>
      </c>
      <c r="M2765" s="111" t="str">
        <f t="shared" si="9"/>
        <v>2024-09</v>
      </c>
      <c r="N2765" s="112" t="str">
        <f t="shared" si="10"/>
        <v>2024-H2</v>
      </c>
    </row>
    <row r="2766">
      <c r="A2766" s="113" t="s">
        <v>610</v>
      </c>
      <c r="J2766" s="108" t="str">
        <f t="shared" si="6"/>
        <v>2024</v>
      </c>
      <c r="K2766" s="110">
        <f t="shared" si="7"/>
        <v>9</v>
      </c>
      <c r="L2766" s="108" t="str">
        <f t="shared" si="8"/>
        <v>2024-Q3</v>
      </c>
      <c r="M2766" s="111" t="str">
        <f t="shared" si="9"/>
        <v>2024-09</v>
      </c>
      <c r="N2766" s="112" t="str">
        <f t="shared" si="10"/>
        <v>2024-H2</v>
      </c>
    </row>
    <row r="2767">
      <c r="A2767" s="113" t="s">
        <v>610</v>
      </c>
      <c r="J2767" s="108" t="str">
        <f t="shared" si="6"/>
        <v>2024</v>
      </c>
      <c r="K2767" s="110">
        <f t="shared" si="7"/>
        <v>9</v>
      </c>
      <c r="L2767" s="108" t="str">
        <f t="shared" si="8"/>
        <v>2024-Q3</v>
      </c>
      <c r="M2767" s="111" t="str">
        <f t="shared" si="9"/>
        <v>2024-09</v>
      </c>
      <c r="N2767" s="112" t="str">
        <f t="shared" si="10"/>
        <v>2024-H2</v>
      </c>
    </row>
    <row r="2768">
      <c r="A2768" s="113" t="s">
        <v>610</v>
      </c>
      <c r="J2768" s="108" t="str">
        <f t="shared" si="6"/>
        <v>2024</v>
      </c>
      <c r="K2768" s="110">
        <f t="shared" si="7"/>
        <v>9</v>
      </c>
      <c r="L2768" s="108" t="str">
        <f t="shared" si="8"/>
        <v>2024-Q3</v>
      </c>
      <c r="M2768" s="111" t="str">
        <f t="shared" si="9"/>
        <v>2024-09</v>
      </c>
      <c r="N2768" s="112" t="str">
        <f t="shared" si="10"/>
        <v>2024-H2</v>
      </c>
    </row>
    <row r="2769">
      <c r="A2769" s="113" t="s">
        <v>610</v>
      </c>
      <c r="J2769" s="108" t="str">
        <f t="shared" si="6"/>
        <v>2024</v>
      </c>
      <c r="K2769" s="110">
        <f t="shared" si="7"/>
        <v>9</v>
      </c>
      <c r="L2769" s="108" t="str">
        <f t="shared" si="8"/>
        <v>2024-Q3</v>
      </c>
      <c r="M2769" s="111" t="str">
        <f t="shared" si="9"/>
        <v>2024-09</v>
      </c>
      <c r="N2769" s="112" t="str">
        <f t="shared" si="10"/>
        <v>2024-H2</v>
      </c>
    </row>
    <row r="2770">
      <c r="A2770" s="113" t="s">
        <v>610</v>
      </c>
      <c r="J2770" s="108" t="str">
        <f t="shared" si="6"/>
        <v>2024</v>
      </c>
      <c r="K2770" s="110">
        <f t="shared" si="7"/>
        <v>9</v>
      </c>
      <c r="L2770" s="108" t="str">
        <f t="shared" si="8"/>
        <v>2024-Q3</v>
      </c>
      <c r="M2770" s="111" t="str">
        <f t="shared" si="9"/>
        <v>2024-09</v>
      </c>
      <c r="N2770" s="112" t="str">
        <f t="shared" si="10"/>
        <v>2024-H2</v>
      </c>
    </row>
    <row r="2771">
      <c r="A2771" s="113" t="s">
        <v>610</v>
      </c>
      <c r="J2771" s="108" t="str">
        <f t="shared" si="6"/>
        <v>2024</v>
      </c>
      <c r="K2771" s="110">
        <f t="shared" si="7"/>
        <v>9</v>
      </c>
      <c r="L2771" s="108" t="str">
        <f t="shared" si="8"/>
        <v>2024-Q3</v>
      </c>
      <c r="M2771" s="111" t="str">
        <f t="shared" si="9"/>
        <v>2024-09</v>
      </c>
      <c r="N2771" s="112" t="str">
        <f t="shared" si="10"/>
        <v>2024-H2</v>
      </c>
    </row>
    <row r="2772">
      <c r="A2772" s="113" t="s">
        <v>610</v>
      </c>
      <c r="J2772" s="108" t="str">
        <f t="shared" si="6"/>
        <v>2024</v>
      </c>
      <c r="K2772" s="110">
        <f t="shared" si="7"/>
        <v>9</v>
      </c>
      <c r="L2772" s="108" t="str">
        <f t="shared" si="8"/>
        <v>2024-Q3</v>
      </c>
      <c r="M2772" s="111" t="str">
        <f t="shared" si="9"/>
        <v>2024-09</v>
      </c>
      <c r="N2772" s="112" t="str">
        <f t="shared" si="10"/>
        <v>2024-H2</v>
      </c>
    </row>
    <row r="2773">
      <c r="A2773" s="113" t="s">
        <v>610</v>
      </c>
      <c r="J2773" s="108" t="str">
        <f t="shared" si="6"/>
        <v>2024</v>
      </c>
      <c r="K2773" s="110">
        <f t="shared" si="7"/>
        <v>9</v>
      </c>
      <c r="L2773" s="108" t="str">
        <f t="shared" si="8"/>
        <v>2024-Q3</v>
      </c>
      <c r="M2773" s="111" t="str">
        <f t="shared" si="9"/>
        <v>2024-09</v>
      </c>
      <c r="N2773" s="112" t="str">
        <f t="shared" si="10"/>
        <v>2024-H2</v>
      </c>
    </row>
    <row r="2774">
      <c r="A2774" s="113" t="s">
        <v>610</v>
      </c>
      <c r="J2774" s="108" t="str">
        <f t="shared" si="6"/>
        <v>2024</v>
      </c>
      <c r="K2774" s="110">
        <f t="shared" si="7"/>
        <v>9</v>
      </c>
      <c r="L2774" s="108" t="str">
        <f t="shared" si="8"/>
        <v>2024-Q3</v>
      </c>
      <c r="M2774" s="111" t="str">
        <f t="shared" si="9"/>
        <v>2024-09</v>
      </c>
      <c r="N2774" s="112" t="str">
        <f t="shared" si="10"/>
        <v>2024-H2</v>
      </c>
    </row>
    <row r="2775">
      <c r="A2775" s="113" t="s">
        <v>610</v>
      </c>
      <c r="J2775" s="108" t="str">
        <f t="shared" si="6"/>
        <v>2024</v>
      </c>
      <c r="K2775" s="110">
        <f t="shared" si="7"/>
        <v>9</v>
      </c>
      <c r="L2775" s="108" t="str">
        <f t="shared" si="8"/>
        <v>2024-Q3</v>
      </c>
      <c r="M2775" s="111" t="str">
        <f t="shared" si="9"/>
        <v>2024-09</v>
      </c>
      <c r="N2775" s="112" t="str">
        <f t="shared" si="10"/>
        <v>2024-H2</v>
      </c>
    </row>
    <row r="2776">
      <c r="A2776" s="113" t="s">
        <v>610</v>
      </c>
      <c r="J2776" s="108" t="str">
        <f t="shared" si="6"/>
        <v>2024</v>
      </c>
      <c r="K2776" s="110">
        <f t="shared" si="7"/>
        <v>9</v>
      </c>
      <c r="L2776" s="108" t="str">
        <f t="shared" si="8"/>
        <v>2024-Q3</v>
      </c>
      <c r="M2776" s="111" t="str">
        <f t="shared" si="9"/>
        <v>2024-09</v>
      </c>
      <c r="N2776" s="112" t="str">
        <f t="shared" si="10"/>
        <v>2024-H2</v>
      </c>
    </row>
    <row r="2777">
      <c r="A2777" s="113" t="s">
        <v>610</v>
      </c>
      <c r="J2777" s="108" t="str">
        <f t="shared" si="6"/>
        <v>2024</v>
      </c>
      <c r="K2777" s="110">
        <f t="shared" si="7"/>
        <v>9</v>
      </c>
      <c r="L2777" s="108" t="str">
        <f t="shared" si="8"/>
        <v>2024-Q3</v>
      </c>
      <c r="M2777" s="111" t="str">
        <f t="shared" si="9"/>
        <v>2024-09</v>
      </c>
      <c r="N2777" s="112" t="str">
        <f t="shared" si="10"/>
        <v>2024-H2</v>
      </c>
    </row>
    <row r="2778">
      <c r="A2778" s="113" t="s">
        <v>610</v>
      </c>
      <c r="J2778" s="108" t="str">
        <f t="shared" si="6"/>
        <v>2024</v>
      </c>
      <c r="K2778" s="110">
        <f t="shared" si="7"/>
        <v>9</v>
      </c>
      <c r="L2778" s="108" t="str">
        <f t="shared" si="8"/>
        <v>2024-Q3</v>
      </c>
      <c r="M2778" s="111" t="str">
        <f t="shared" si="9"/>
        <v>2024-09</v>
      </c>
      <c r="N2778" s="112" t="str">
        <f t="shared" si="10"/>
        <v>2024-H2</v>
      </c>
    </row>
    <row r="2779">
      <c r="A2779" s="113" t="s">
        <v>610</v>
      </c>
      <c r="J2779" s="108" t="str">
        <f t="shared" si="6"/>
        <v>2024</v>
      </c>
      <c r="K2779" s="110">
        <f t="shared" si="7"/>
        <v>9</v>
      </c>
      <c r="L2779" s="108" t="str">
        <f t="shared" si="8"/>
        <v>2024-Q3</v>
      </c>
      <c r="M2779" s="111" t="str">
        <f t="shared" si="9"/>
        <v>2024-09</v>
      </c>
      <c r="N2779" s="112" t="str">
        <f t="shared" si="10"/>
        <v>2024-H2</v>
      </c>
    </row>
    <row r="2780">
      <c r="A2780" s="113" t="s">
        <v>610</v>
      </c>
      <c r="J2780" s="108" t="str">
        <f t="shared" si="6"/>
        <v>2024</v>
      </c>
      <c r="K2780" s="110">
        <f t="shared" si="7"/>
        <v>9</v>
      </c>
      <c r="L2780" s="108" t="str">
        <f t="shared" si="8"/>
        <v>2024-Q3</v>
      </c>
      <c r="M2780" s="111" t="str">
        <f t="shared" si="9"/>
        <v>2024-09</v>
      </c>
      <c r="N2780" s="112" t="str">
        <f t="shared" si="10"/>
        <v>2024-H2</v>
      </c>
    </row>
    <row r="2781">
      <c r="A2781" s="113" t="s">
        <v>610</v>
      </c>
      <c r="J2781" s="108" t="str">
        <f t="shared" si="6"/>
        <v>2024</v>
      </c>
      <c r="K2781" s="110">
        <f t="shared" si="7"/>
        <v>9</v>
      </c>
      <c r="L2781" s="108" t="str">
        <f t="shared" si="8"/>
        <v>2024-Q3</v>
      </c>
      <c r="M2781" s="111" t="str">
        <f t="shared" si="9"/>
        <v>2024-09</v>
      </c>
      <c r="N2781" s="112" t="str">
        <f t="shared" si="10"/>
        <v>2024-H2</v>
      </c>
    </row>
    <row r="2782">
      <c r="A2782" s="113" t="s">
        <v>610</v>
      </c>
      <c r="J2782" s="108" t="str">
        <f t="shared" si="6"/>
        <v>2024</v>
      </c>
      <c r="K2782" s="110">
        <f t="shared" si="7"/>
        <v>9</v>
      </c>
      <c r="L2782" s="108" t="str">
        <f t="shared" si="8"/>
        <v>2024-Q3</v>
      </c>
      <c r="M2782" s="111" t="str">
        <f t="shared" si="9"/>
        <v>2024-09</v>
      </c>
      <c r="N2782" s="112" t="str">
        <f t="shared" si="10"/>
        <v>2024-H2</v>
      </c>
    </row>
    <row r="2783">
      <c r="A2783" s="113" t="s">
        <v>610</v>
      </c>
      <c r="J2783" s="108" t="str">
        <f t="shared" si="6"/>
        <v>2024</v>
      </c>
      <c r="K2783" s="110">
        <f t="shared" si="7"/>
        <v>9</v>
      </c>
      <c r="L2783" s="108" t="str">
        <f t="shared" si="8"/>
        <v>2024-Q3</v>
      </c>
      <c r="M2783" s="111" t="str">
        <f t="shared" si="9"/>
        <v>2024-09</v>
      </c>
      <c r="N2783" s="112" t="str">
        <f t="shared" si="10"/>
        <v>2024-H2</v>
      </c>
    </row>
    <row r="2784">
      <c r="A2784" s="113" t="s">
        <v>610</v>
      </c>
      <c r="J2784" s="108" t="str">
        <f t="shared" si="6"/>
        <v>2024</v>
      </c>
      <c r="K2784" s="110">
        <f t="shared" si="7"/>
        <v>9</v>
      </c>
      <c r="L2784" s="108" t="str">
        <f t="shared" si="8"/>
        <v>2024-Q3</v>
      </c>
      <c r="M2784" s="111" t="str">
        <f t="shared" si="9"/>
        <v>2024-09</v>
      </c>
      <c r="N2784" s="112" t="str">
        <f t="shared" si="10"/>
        <v>2024-H2</v>
      </c>
    </row>
    <row r="2785">
      <c r="A2785" s="113" t="s">
        <v>610</v>
      </c>
      <c r="J2785" s="108" t="str">
        <f t="shared" si="6"/>
        <v>2024</v>
      </c>
      <c r="K2785" s="110">
        <f t="shared" si="7"/>
        <v>9</v>
      </c>
      <c r="L2785" s="108" t="str">
        <f t="shared" si="8"/>
        <v>2024-Q3</v>
      </c>
      <c r="M2785" s="111" t="str">
        <f t="shared" si="9"/>
        <v>2024-09</v>
      </c>
      <c r="N2785" s="112" t="str">
        <f t="shared" si="10"/>
        <v>2024-H2</v>
      </c>
    </row>
    <row r="2786">
      <c r="A2786" s="113" t="s">
        <v>610</v>
      </c>
      <c r="J2786" s="108" t="str">
        <f t="shared" si="6"/>
        <v>2024</v>
      </c>
      <c r="K2786" s="110">
        <f t="shared" si="7"/>
        <v>9</v>
      </c>
      <c r="L2786" s="108" t="str">
        <f t="shared" si="8"/>
        <v>2024-Q3</v>
      </c>
      <c r="M2786" s="111" t="str">
        <f t="shared" si="9"/>
        <v>2024-09</v>
      </c>
      <c r="N2786" s="112" t="str">
        <f t="shared" si="10"/>
        <v>2024-H2</v>
      </c>
    </row>
    <row r="2787">
      <c r="A2787" s="113" t="s">
        <v>610</v>
      </c>
      <c r="J2787" s="108" t="str">
        <f t="shared" si="6"/>
        <v>2024</v>
      </c>
      <c r="K2787" s="110">
        <f t="shared" si="7"/>
        <v>9</v>
      </c>
      <c r="L2787" s="108" t="str">
        <f t="shared" si="8"/>
        <v>2024-Q3</v>
      </c>
      <c r="M2787" s="111" t="str">
        <f t="shared" si="9"/>
        <v>2024-09</v>
      </c>
      <c r="N2787" s="112" t="str">
        <f t="shared" si="10"/>
        <v>2024-H2</v>
      </c>
    </row>
    <row r="2788">
      <c r="A2788" s="113" t="s">
        <v>610</v>
      </c>
      <c r="J2788" s="108" t="str">
        <f t="shared" si="6"/>
        <v>2024</v>
      </c>
      <c r="K2788" s="110">
        <f t="shared" si="7"/>
        <v>9</v>
      </c>
      <c r="L2788" s="108" t="str">
        <f t="shared" si="8"/>
        <v>2024-Q3</v>
      </c>
      <c r="M2788" s="111" t="str">
        <f t="shared" si="9"/>
        <v>2024-09</v>
      </c>
      <c r="N2788" s="112" t="str">
        <f t="shared" si="10"/>
        <v>2024-H2</v>
      </c>
    </row>
    <row r="2789">
      <c r="A2789" s="113" t="s">
        <v>610</v>
      </c>
      <c r="J2789" s="108" t="str">
        <f t="shared" si="6"/>
        <v>2024</v>
      </c>
      <c r="K2789" s="110">
        <f t="shared" si="7"/>
        <v>9</v>
      </c>
      <c r="L2789" s="108" t="str">
        <f t="shared" si="8"/>
        <v>2024-Q3</v>
      </c>
      <c r="M2789" s="111" t="str">
        <f t="shared" si="9"/>
        <v>2024-09</v>
      </c>
      <c r="N2789" s="112" t="str">
        <f t="shared" si="10"/>
        <v>2024-H2</v>
      </c>
    </row>
    <row r="2790">
      <c r="A2790" s="113" t="s">
        <v>610</v>
      </c>
      <c r="J2790" s="108" t="str">
        <f t="shared" si="6"/>
        <v>2024</v>
      </c>
      <c r="K2790" s="110">
        <f t="shared" si="7"/>
        <v>9</v>
      </c>
      <c r="L2790" s="108" t="str">
        <f t="shared" si="8"/>
        <v>2024-Q3</v>
      </c>
      <c r="M2790" s="111" t="str">
        <f t="shared" si="9"/>
        <v>2024-09</v>
      </c>
      <c r="N2790" s="112" t="str">
        <f t="shared" si="10"/>
        <v>2024-H2</v>
      </c>
    </row>
    <row r="2791">
      <c r="A2791" s="113" t="s">
        <v>610</v>
      </c>
      <c r="J2791" s="108" t="str">
        <f t="shared" si="6"/>
        <v>2024</v>
      </c>
      <c r="K2791" s="110">
        <f t="shared" si="7"/>
        <v>9</v>
      </c>
      <c r="L2791" s="108" t="str">
        <f t="shared" si="8"/>
        <v>2024-Q3</v>
      </c>
      <c r="M2791" s="111" t="str">
        <f t="shared" si="9"/>
        <v>2024-09</v>
      </c>
      <c r="N2791" s="112" t="str">
        <f t="shared" si="10"/>
        <v>2024-H2</v>
      </c>
    </row>
    <row r="2792">
      <c r="A2792" s="113" t="s">
        <v>610</v>
      </c>
      <c r="J2792" s="108" t="str">
        <f t="shared" si="6"/>
        <v>2024</v>
      </c>
      <c r="K2792" s="110">
        <f t="shared" si="7"/>
        <v>9</v>
      </c>
      <c r="L2792" s="108" t="str">
        <f t="shared" si="8"/>
        <v>2024-Q3</v>
      </c>
      <c r="M2792" s="111" t="str">
        <f t="shared" si="9"/>
        <v>2024-09</v>
      </c>
      <c r="N2792" s="112" t="str">
        <f t="shared" si="10"/>
        <v>2024-H2</v>
      </c>
    </row>
    <row r="2793">
      <c r="A2793" s="113" t="s">
        <v>610</v>
      </c>
      <c r="J2793" s="108" t="str">
        <f t="shared" si="6"/>
        <v>2024</v>
      </c>
      <c r="K2793" s="110">
        <f t="shared" si="7"/>
        <v>9</v>
      </c>
      <c r="L2793" s="108" t="str">
        <f t="shared" si="8"/>
        <v>2024-Q3</v>
      </c>
      <c r="M2793" s="111" t="str">
        <f t="shared" si="9"/>
        <v>2024-09</v>
      </c>
      <c r="N2793" s="112" t="str">
        <f t="shared" si="10"/>
        <v>2024-H2</v>
      </c>
    </row>
    <row r="2794">
      <c r="A2794" s="113" t="s">
        <v>610</v>
      </c>
      <c r="J2794" s="108" t="str">
        <f t="shared" si="6"/>
        <v>2024</v>
      </c>
      <c r="K2794" s="110">
        <f t="shared" si="7"/>
        <v>9</v>
      </c>
      <c r="L2794" s="108" t="str">
        <f t="shared" si="8"/>
        <v>2024-Q3</v>
      </c>
      <c r="M2794" s="111" t="str">
        <f t="shared" si="9"/>
        <v>2024-09</v>
      </c>
      <c r="N2794" s="112" t="str">
        <f t="shared" si="10"/>
        <v>2024-H2</v>
      </c>
    </row>
    <row r="2795">
      <c r="A2795" s="113" t="s">
        <v>610</v>
      </c>
      <c r="J2795" s="108" t="str">
        <f t="shared" si="6"/>
        <v>2024</v>
      </c>
      <c r="K2795" s="110">
        <f t="shared" si="7"/>
        <v>9</v>
      </c>
      <c r="L2795" s="108" t="str">
        <f t="shared" si="8"/>
        <v>2024-Q3</v>
      </c>
      <c r="M2795" s="111" t="str">
        <f t="shared" si="9"/>
        <v>2024-09</v>
      </c>
      <c r="N2795" s="112" t="str">
        <f t="shared" si="10"/>
        <v>2024-H2</v>
      </c>
    </row>
    <row r="2796">
      <c r="A2796" s="113" t="s">
        <v>610</v>
      </c>
      <c r="J2796" s="108" t="str">
        <f t="shared" si="6"/>
        <v>2024</v>
      </c>
      <c r="K2796" s="110">
        <f t="shared" si="7"/>
        <v>9</v>
      </c>
      <c r="L2796" s="108" t="str">
        <f t="shared" si="8"/>
        <v>2024-Q3</v>
      </c>
      <c r="M2796" s="111" t="str">
        <f t="shared" si="9"/>
        <v>2024-09</v>
      </c>
      <c r="N2796" s="112" t="str">
        <f t="shared" si="10"/>
        <v>2024-H2</v>
      </c>
    </row>
    <row r="2797">
      <c r="A2797" s="113" t="s">
        <v>610</v>
      </c>
      <c r="J2797" s="108" t="str">
        <f t="shared" si="6"/>
        <v>2024</v>
      </c>
      <c r="K2797" s="110">
        <f t="shared" si="7"/>
        <v>9</v>
      </c>
      <c r="L2797" s="108" t="str">
        <f t="shared" si="8"/>
        <v>2024-Q3</v>
      </c>
      <c r="M2797" s="111" t="str">
        <f t="shared" si="9"/>
        <v>2024-09</v>
      </c>
      <c r="N2797" s="112" t="str">
        <f t="shared" si="10"/>
        <v>2024-H2</v>
      </c>
    </row>
    <row r="2798">
      <c r="A2798" s="113" t="s">
        <v>610</v>
      </c>
      <c r="J2798" s="108" t="str">
        <f t="shared" si="6"/>
        <v>2024</v>
      </c>
      <c r="K2798" s="110">
        <f t="shared" si="7"/>
        <v>9</v>
      </c>
      <c r="L2798" s="108" t="str">
        <f t="shared" si="8"/>
        <v>2024-Q3</v>
      </c>
      <c r="M2798" s="111" t="str">
        <f t="shared" si="9"/>
        <v>2024-09</v>
      </c>
      <c r="N2798" s="112" t="str">
        <f t="shared" si="10"/>
        <v>2024-H2</v>
      </c>
    </row>
    <row r="2799">
      <c r="A2799" s="113" t="s">
        <v>610</v>
      </c>
      <c r="J2799" s="108" t="str">
        <f t="shared" si="6"/>
        <v>2024</v>
      </c>
      <c r="K2799" s="110">
        <f t="shared" si="7"/>
        <v>9</v>
      </c>
      <c r="L2799" s="108" t="str">
        <f t="shared" si="8"/>
        <v>2024-Q3</v>
      </c>
      <c r="M2799" s="111" t="str">
        <f t="shared" si="9"/>
        <v>2024-09</v>
      </c>
      <c r="N2799" s="112" t="str">
        <f t="shared" si="10"/>
        <v>2024-H2</v>
      </c>
    </row>
    <row r="2800">
      <c r="A2800" s="113" t="s">
        <v>610</v>
      </c>
      <c r="J2800" s="108" t="str">
        <f t="shared" si="6"/>
        <v>2024</v>
      </c>
      <c r="K2800" s="110">
        <f t="shared" si="7"/>
        <v>9</v>
      </c>
      <c r="L2800" s="108" t="str">
        <f t="shared" si="8"/>
        <v>2024-Q3</v>
      </c>
      <c r="M2800" s="111" t="str">
        <f t="shared" si="9"/>
        <v>2024-09</v>
      </c>
      <c r="N2800" s="112" t="str">
        <f t="shared" si="10"/>
        <v>2024-H2</v>
      </c>
    </row>
    <row r="2801">
      <c r="A2801" s="113" t="s">
        <v>610</v>
      </c>
      <c r="J2801" s="108" t="str">
        <f t="shared" si="6"/>
        <v>2024</v>
      </c>
      <c r="K2801" s="110">
        <f t="shared" si="7"/>
        <v>9</v>
      </c>
      <c r="L2801" s="108" t="str">
        <f t="shared" si="8"/>
        <v>2024-Q3</v>
      </c>
      <c r="M2801" s="111" t="str">
        <f t="shared" si="9"/>
        <v>2024-09</v>
      </c>
      <c r="N2801" s="112" t="str">
        <f t="shared" si="10"/>
        <v>2024-H2</v>
      </c>
    </row>
    <row r="2802">
      <c r="A2802" s="113" t="s">
        <v>610</v>
      </c>
      <c r="J2802" s="108" t="str">
        <f t="shared" si="6"/>
        <v>2024</v>
      </c>
      <c r="K2802" s="110">
        <f t="shared" si="7"/>
        <v>9</v>
      </c>
      <c r="L2802" s="108" t="str">
        <f t="shared" si="8"/>
        <v>2024-Q3</v>
      </c>
      <c r="M2802" s="111" t="str">
        <f t="shared" si="9"/>
        <v>2024-09</v>
      </c>
      <c r="N2802" s="112" t="str">
        <f t="shared" si="10"/>
        <v>2024-H2</v>
      </c>
    </row>
    <row r="2803">
      <c r="A2803" s="113" t="s">
        <v>610</v>
      </c>
      <c r="J2803" s="108" t="str">
        <f t="shared" si="6"/>
        <v>2024</v>
      </c>
      <c r="K2803" s="110">
        <f t="shared" si="7"/>
        <v>9</v>
      </c>
      <c r="L2803" s="108" t="str">
        <f t="shared" si="8"/>
        <v>2024-Q3</v>
      </c>
      <c r="M2803" s="111" t="str">
        <f t="shared" si="9"/>
        <v>2024-09</v>
      </c>
      <c r="N2803" s="112" t="str">
        <f t="shared" si="10"/>
        <v>2024-H2</v>
      </c>
    </row>
    <row r="2804">
      <c r="A2804" s="113" t="s">
        <v>610</v>
      </c>
      <c r="J2804" s="108" t="str">
        <f t="shared" si="6"/>
        <v>2024</v>
      </c>
      <c r="K2804" s="110">
        <f t="shared" si="7"/>
        <v>9</v>
      </c>
      <c r="L2804" s="108" t="str">
        <f t="shared" si="8"/>
        <v>2024-Q3</v>
      </c>
      <c r="M2804" s="111" t="str">
        <f t="shared" si="9"/>
        <v>2024-09</v>
      </c>
      <c r="N2804" s="112" t="str">
        <f t="shared" si="10"/>
        <v>2024-H2</v>
      </c>
    </row>
    <row r="2805">
      <c r="A2805" s="113" t="s">
        <v>610</v>
      </c>
      <c r="J2805" s="108" t="str">
        <f t="shared" si="6"/>
        <v>2024</v>
      </c>
      <c r="K2805" s="110">
        <f t="shared" si="7"/>
        <v>9</v>
      </c>
      <c r="L2805" s="108" t="str">
        <f t="shared" si="8"/>
        <v>2024-Q3</v>
      </c>
      <c r="M2805" s="111" t="str">
        <f t="shared" si="9"/>
        <v>2024-09</v>
      </c>
      <c r="N2805" s="112" t="str">
        <f t="shared" si="10"/>
        <v>2024-H2</v>
      </c>
    </row>
    <row r="2806">
      <c r="A2806" s="113" t="s">
        <v>610</v>
      </c>
      <c r="J2806" s="108" t="str">
        <f t="shared" si="6"/>
        <v>2024</v>
      </c>
      <c r="K2806" s="110">
        <f t="shared" si="7"/>
        <v>9</v>
      </c>
      <c r="L2806" s="108" t="str">
        <f t="shared" si="8"/>
        <v>2024-Q3</v>
      </c>
      <c r="M2806" s="111" t="str">
        <f t="shared" si="9"/>
        <v>2024-09</v>
      </c>
      <c r="N2806" s="112" t="str">
        <f t="shared" si="10"/>
        <v>2024-H2</v>
      </c>
    </row>
    <row r="2807">
      <c r="A2807" s="113" t="s">
        <v>610</v>
      </c>
      <c r="J2807" s="108" t="str">
        <f t="shared" si="6"/>
        <v>2024</v>
      </c>
      <c r="K2807" s="110">
        <f t="shared" si="7"/>
        <v>9</v>
      </c>
      <c r="L2807" s="108" t="str">
        <f t="shared" si="8"/>
        <v>2024-Q3</v>
      </c>
      <c r="M2807" s="111" t="str">
        <f t="shared" si="9"/>
        <v>2024-09</v>
      </c>
      <c r="N2807" s="112" t="str">
        <f t="shared" si="10"/>
        <v>2024-H2</v>
      </c>
    </row>
    <row r="2808">
      <c r="A2808" s="113" t="s">
        <v>610</v>
      </c>
      <c r="J2808" s="108" t="str">
        <f t="shared" si="6"/>
        <v>2024</v>
      </c>
      <c r="K2808" s="110">
        <f t="shared" si="7"/>
        <v>9</v>
      </c>
      <c r="L2808" s="108" t="str">
        <f t="shared" si="8"/>
        <v>2024-Q3</v>
      </c>
      <c r="M2808" s="111" t="str">
        <f t="shared" si="9"/>
        <v>2024-09</v>
      </c>
      <c r="N2808" s="112" t="str">
        <f t="shared" si="10"/>
        <v>2024-H2</v>
      </c>
    </row>
    <row r="2809">
      <c r="A2809" s="113" t="s">
        <v>610</v>
      </c>
      <c r="J2809" s="108" t="str">
        <f t="shared" si="6"/>
        <v>2024</v>
      </c>
      <c r="K2809" s="110">
        <f t="shared" si="7"/>
        <v>9</v>
      </c>
      <c r="L2809" s="108" t="str">
        <f t="shared" si="8"/>
        <v>2024-Q3</v>
      </c>
      <c r="M2809" s="111" t="str">
        <f t="shared" si="9"/>
        <v>2024-09</v>
      </c>
      <c r="N2809" s="112" t="str">
        <f t="shared" si="10"/>
        <v>2024-H2</v>
      </c>
    </row>
    <row r="2810">
      <c r="A2810" s="113" t="s">
        <v>610</v>
      </c>
      <c r="J2810" s="108" t="str">
        <f t="shared" si="6"/>
        <v/>
      </c>
      <c r="K2810" s="110">
        <f t="shared" si="7"/>
        <v>0</v>
      </c>
      <c r="L2810" s="108" t="str">
        <f t="shared" si="8"/>
        <v>#NUM!</v>
      </c>
      <c r="M2810" s="111" t="str">
        <f t="shared" si="9"/>
        <v>-00</v>
      </c>
      <c r="N2810" s="112" t="str">
        <f t="shared" si="10"/>
        <v>#NUM!</v>
      </c>
    </row>
    <row r="2811">
      <c r="A2811" s="113"/>
      <c r="J2811" s="108" t="str">
        <f t="shared" si="6"/>
        <v/>
      </c>
      <c r="K2811" s="110"/>
      <c r="L2811" s="108"/>
      <c r="M2811" s="111"/>
      <c r="N2811" s="112"/>
    </row>
    <row r="2812">
      <c r="A2812" s="113"/>
      <c r="J2812" s="108" t="str">
        <f t="shared" si="6"/>
        <v/>
      </c>
      <c r="K2812" s="110"/>
      <c r="L2812" s="108"/>
      <c r="M2812" s="111"/>
      <c r="N2812" s="112"/>
    </row>
    <row r="2813">
      <c r="A2813" s="113"/>
      <c r="J2813" s="108" t="str">
        <f t="shared" si="6"/>
        <v/>
      </c>
      <c r="K2813" s="110"/>
      <c r="L2813" s="108"/>
      <c r="M2813" s="111"/>
      <c r="N2813" s="112"/>
    </row>
    <row r="2814">
      <c r="A2814" s="113"/>
      <c r="J2814" s="108" t="str">
        <f t="shared" si="6"/>
        <v/>
      </c>
      <c r="K2814" s="110"/>
      <c r="L2814" s="108"/>
      <c r="M2814" s="111"/>
      <c r="N2814" s="112"/>
    </row>
    <row r="2815">
      <c r="A2815" s="113"/>
      <c r="J2815" s="108" t="str">
        <f t="shared" si="6"/>
        <v/>
      </c>
      <c r="K2815" s="110"/>
      <c r="L2815" s="108"/>
      <c r="M2815" s="111"/>
      <c r="N2815" s="112"/>
    </row>
    <row r="2816">
      <c r="A2816" s="113"/>
      <c r="J2816" s="108" t="str">
        <f t="shared" si="6"/>
        <v/>
      </c>
      <c r="K2816" s="110"/>
      <c r="L2816" s="108"/>
      <c r="M2816" s="111"/>
      <c r="N2816" s="112"/>
    </row>
    <row r="2817">
      <c r="A2817" s="113"/>
      <c r="J2817" s="108" t="str">
        <f t="shared" si="6"/>
        <v/>
      </c>
      <c r="K2817" s="110"/>
      <c r="L2817" s="108"/>
      <c r="M2817" s="111"/>
      <c r="N2817" s="112"/>
    </row>
    <row r="2818">
      <c r="A2818" s="113"/>
      <c r="J2818" s="108" t="str">
        <f t="shared" si="6"/>
        <v/>
      </c>
      <c r="K2818" s="110"/>
      <c r="L2818" s="108"/>
      <c r="M2818" s="111"/>
      <c r="N2818" s="112"/>
    </row>
    <row r="2819">
      <c r="A2819" s="113"/>
      <c r="J2819" s="108" t="str">
        <f t="shared" si="6"/>
        <v/>
      </c>
      <c r="K2819" s="110"/>
      <c r="L2819" s="108"/>
      <c r="M2819" s="111"/>
      <c r="N2819" s="112"/>
    </row>
    <row r="2820">
      <c r="A2820" s="113"/>
      <c r="J2820" s="108" t="str">
        <f t="shared" si="6"/>
        <v/>
      </c>
      <c r="K2820" s="110"/>
      <c r="L2820" s="108"/>
      <c r="M2820" s="111"/>
      <c r="N2820" s="112"/>
    </row>
    <row r="2821">
      <c r="A2821" s="113"/>
      <c r="J2821" s="108" t="str">
        <f t="shared" si="6"/>
        <v/>
      </c>
      <c r="K2821" s="110"/>
      <c r="L2821" s="108"/>
      <c r="M2821" s="111"/>
      <c r="N2821" s="112"/>
    </row>
    <row r="2822">
      <c r="A2822" s="113"/>
      <c r="J2822" s="108" t="str">
        <f t="shared" si="6"/>
        <v/>
      </c>
      <c r="K2822" s="110"/>
      <c r="L2822" s="108"/>
      <c r="M2822" s="111"/>
      <c r="N2822" s="112"/>
    </row>
    <row r="2823">
      <c r="A2823" s="113"/>
      <c r="J2823" s="108" t="str">
        <f t="shared" si="6"/>
        <v/>
      </c>
      <c r="K2823" s="110"/>
      <c r="L2823" s="108"/>
      <c r="M2823" s="111"/>
      <c r="N2823" s="112"/>
    </row>
    <row r="2824">
      <c r="A2824" s="113"/>
      <c r="J2824" s="108" t="str">
        <f t="shared" si="6"/>
        <v/>
      </c>
      <c r="K2824" s="110"/>
      <c r="L2824" s="108"/>
      <c r="M2824" s="111"/>
      <c r="N2824" s="112"/>
    </row>
    <row r="2825">
      <c r="A2825" s="113"/>
      <c r="J2825" s="108" t="str">
        <f t="shared" si="6"/>
        <v/>
      </c>
      <c r="K2825" s="110"/>
      <c r="L2825" s="108"/>
      <c r="M2825" s="111"/>
      <c r="N2825" s="112"/>
    </row>
    <row r="2826">
      <c r="A2826" s="113"/>
      <c r="J2826" s="108" t="str">
        <f t="shared" si="6"/>
        <v/>
      </c>
      <c r="K2826" s="110"/>
      <c r="L2826" s="108"/>
      <c r="M2826" s="111"/>
      <c r="N2826" s="112"/>
    </row>
    <row r="2827">
      <c r="A2827" s="113"/>
      <c r="J2827" s="108" t="str">
        <f t="shared" si="6"/>
        <v/>
      </c>
      <c r="K2827" s="110"/>
      <c r="L2827" s="108"/>
      <c r="M2827" s="111"/>
      <c r="N2827" s="112"/>
    </row>
    <row r="2828">
      <c r="A2828" s="113"/>
      <c r="J2828" s="108" t="str">
        <f t="shared" si="6"/>
        <v/>
      </c>
      <c r="K2828" s="110"/>
      <c r="L2828" s="108"/>
      <c r="M2828" s="111"/>
      <c r="N2828" s="112"/>
    </row>
    <row r="2829">
      <c r="A2829" s="113"/>
      <c r="J2829" s="108" t="str">
        <f t="shared" si="6"/>
        <v/>
      </c>
      <c r="K2829" s="110"/>
      <c r="L2829" s="108"/>
      <c r="M2829" s="111"/>
      <c r="N2829" s="112"/>
    </row>
    <row r="2830">
      <c r="A2830" s="113"/>
      <c r="J2830" s="108" t="str">
        <f t="shared" si="6"/>
        <v/>
      </c>
      <c r="K2830" s="110"/>
      <c r="L2830" s="108"/>
      <c r="M2830" s="111"/>
      <c r="N2830" s="112"/>
    </row>
    <row r="2831">
      <c r="A2831" s="113"/>
      <c r="J2831" s="108" t="str">
        <f t="shared" si="6"/>
        <v/>
      </c>
      <c r="K2831" s="110"/>
      <c r="L2831" s="108"/>
      <c r="M2831" s="111"/>
      <c r="N2831" s="112"/>
    </row>
    <row r="2832">
      <c r="A2832" s="113"/>
      <c r="J2832" s="108" t="str">
        <f t="shared" si="6"/>
        <v/>
      </c>
      <c r="K2832" s="110"/>
      <c r="L2832" s="108"/>
      <c r="M2832" s="111"/>
      <c r="N2832" s="112"/>
    </row>
    <row r="2833">
      <c r="A2833" s="113"/>
      <c r="J2833" s="108" t="str">
        <f t="shared" si="6"/>
        <v/>
      </c>
      <c r="K2833" s="110"/>
      <c r="L2833" s="108"/>
      <c r="M2833" s="111"/>
      <c r="N2833" s="112"/>
    </row>
    <row r="2834">
      <c r="A2834" s="113"/>
      <c r="J2834" s="108" t="str">
        <f t="shared" si="6"/>
        <v/>
      </c>
      <c r="K2834" s="110"/>
      <c r="L2834" s="108"/>
      <c r="M2834" s="111"/>
      <c r="N2834" s="112"/>
    </row>
    <row r="2835">
      <c r="A2835" s="113"/>
      <c r="J2835" s="108" t="str">
        <f t="shared" si="6"/>
        <v/>
      </c>
      <c r="K2835" s="110"/>
      <c r="L2835" s="108"/>
      <c r="M2835" s="111"/>
      <c r="N2835" s="112"/>
    </row>
    <row r="2836">
      <c r="A2836" s="113"/>
      <c r="J2836" s="108" t="str">
        <f t="shared" si="6"/>
        <v/>
      </c>
      <c r="K2836" s="110"/>
      <c r="L2836" s="108"/>
      <c r="M2836" s="111"/>
      <c r="N2836" s="112"/>
    </row>
    <row r="2837">
      <c r="A2837" s="113"/>
      <c r="J2837" s="108" t="str">
        <f t="shared" si="6"/>
        <v/>
      </c>
      <c r="K2837" s="110"/>
      <c r="L2837" s="108"/>
      <c r="M2837" s="111"/>
      <c r="N2837" s="112"/>
    </row>
    <row r="2838">
      <c r="A2838" s="113"/>
      <c r="J2838" s="108" t="str">
        <f t="shared" si="6"/>
        <v/>
      </c>
      <c r="K2838" s="110"/>
      <c r="L2838" s="108"/>
      <c r="M2838" s="111"/>
      <c r="N2838" s="112"/>
    </row>
    <row r="2839">
      <c r="A2839" s="113"/>
      <c r="J2839" s="108" t="str">
        <f t="shared" si="6"/>
        <v/>
      </c>
      <c r="K2839" s="110"/>
      <c r="L2839" s="108"/>
      <c r="M2839" s="111"/>
      <c r="N2839" s="112"/>
    </row>
    <row r="2840">
      <c r="A2840" s="113"/>
      <c r="J2840" s="108" t="str">
        <f t="shared" si="6"/>
        <v/>
      </c>
      <c r="K2840" s="110"/>
      <c r="L2840" s="108"/>
      <c r="M2840" s="111"/>
      <c r="N2840" s="112"/>
    </row>
    <row r="2841">
      <c r="A2841" s="113"/>
      <c r="J2841" s="108" t="str">
        <f t="shared" si="6"/>
        <v/>
      </c>
      <c r="K2841" s="110"/>
      <c r="L2841" s="108"/>
      <c r="M2841" s="111"/>
      <c r="N2841" s="112"/>
    </row>
    <row r="2842">
      <c r="A2842" s="113"/>
      <c r="J2842" s="108" t="str">
        <f t="shared" si="6"/>
        <v/>
      </c>
      <c r="K2842" s="110"/>
      <c r="L2842" s="108"/>
      <c r="M2842" s="111"/>
      <c r="N2842" s="112"/>
    </row>
    <row r="2843">
      <c r="A2843" s="113"/>
      <c r="J2843" s="108" t="str">
        <f t="shared" si="6"/>
        <v/>
      </c>
      <c r="K2843" s="110"/>
      <c r="L2843" s="108"/>
      <c r="M2843" s="111"/>
      <c r="N2843" s="112"/>
    </row>
    <row r="2844">
      <c r="A2844" s="113"/>
      <c r="J2844" s="108" t="str">
        <f t="shared" si="6"/>
        <v/>
      </c>
      <c r="K2844" s="110"/>
      <c r="L2844" s="108"/>
      <c r="M2844" s="111"/>
      <c r="N2844" s="112"/>
    </row>
    <row r="2845">
      <c r="A2845" s="113"/>
      <c r="J2845" s="108" t="str">
        <f t="shared" si="6"/>
        <v/>
      </c>
      <c r="K2845" s="110"/>
      <c r="L2845" s="108"/>
      <c r="M2845" s="111"/>
      <c r="N2845" s="112"/>
    </row>
    <row r="2846">
      <c r="A2846" s="113"/>
      <c r="J2846" s="108" t="str">
        <f t="shared" si="6"/>
        <v/>
      </c>
      <c r="K2846" s="110"/>
      <c r="L2846" s="108"/>
      <c r="M2846" s="111"/>
      <c r="N2846" s="112"/>
    </row>
    <row r="2847">
      <c r="A2847" s="113"/>
      <c r="J2847" s="108" t="str">
        <f t="shared" si="6"/>
        <v/>
      </c>
      <c r="K2847" s="110"/>
      <c r="L2847" s="108"/>
      <c r="M2847" s="111"/>
      <c r="N2847" s="112"/>
    </row>
    <row r="2848">
      <c r="A2848" s="113"/>
      <c r="J2848" s="108" t="str">
        <f t="shared" si="6"/>
        <v/>
      </c>
      <c r="K2848" s="110"/>
      <c r="L2848" s="108"/>
      <c r="M2848" s="111"/>
      <c r="N2848" s="112"/>
    </row>
    <row r="2849">
      <c r="A2849" s="113"/>
      <c r="J2849" s="108" t="str">
        <f t="shared" si="6"/>
        <v/>
      </c>
      <c r="K2849" s="110"/>
      <c r="L2849" s="108"/>
      <c r="M2849" s="111"/>
      <c r="N2849" s="112"/>
    </row>
    <row r="2850">
      <c r="A2850" s="113"/>
      <c r="J2850" s="108" t="str">
        <f t="shared" si="6"/>
        <v/>
      </c>
      <c r="K2850" s="110"/>
      <c r="L2850" s="108"/>
      <c r="M2850" s="111"/>
      <c r="N2850" s="112"/>
    </row>
    <row r="2851">
      <c r="A2851" s="113"/>
      <c r="J2851" s="108" t="str">
        <f t="shared" si="6"/>
        <v/>
      </c>
      <c r="K2851" s="110"/>
      <c r="L2851" s="108"/>
      <c r="M2851" s="111"/>
      <c r="N2851" s="112"/>
    </row>
    <row r="2852">
      <c r="A2852" s="113"/>
      <c r="J2852" s="108" t="str">
        <f t="shared" si="6"/>
        <v/>
      </c>
      <c r="K2852" s="110"/>
      <c r="L2852" s="108"/>
      <c r="M2852" s="111"/>
      <c r="N2852" s="112"/>
    </row>
    <row r="2853">
      <c r="A2853" s="113"/>
      <c r="J2853" s="108" t="str">
        <f t="shared" si="6"/>
        <v/>
      </c>
      <c r="K2853" s="110"/>
      <c r="L2853" s="108"/>
      <c r="M2853" s="111"/>
      <c r="N2853" s="112"/>
    </row>
    <row r="2854">
      <c r="A2854" s="113"/>
      <c r="J2854" s="108" t="str">
        <f t="shared" si="6"/>
        <v/>
      </c>
      <c r="K2854" s="110"/>
      <c r="L2854" s="108"/>
      <c r="M2854" s="111"/>
      <c r="N2854" s="112"/>
    </row>
    <row r="2855">
      <c r="A2855" s="113"/>
      <c r="J2855" s="108" t="str">
        <f t="shared" si="6"/>
        <v/>
      </c>
      <c r="K2855" s="110"/>
      <c r="L2855" s="108"/>
      <c r="M2855" s="111"/>
      <c r="N2855" s="112"/>
    </row>
    <row r="2856">
      <c r="A2856" s="113"/>
      <c r="J2856" s="108" t="str">
        <f t="shared" si="6"/>
        <v/>
      </c>
      <c r="K2856" s="110"/>
      <c r="L2856" s="108"/>
      <c r="M2856" s="111"/>
      <c r="N2856" s="112"/>
    </row>
    <row r="2857">
      <c r="A2857" s="113"/>
      <c r="J2857" s="108" t="str">
        <f t="shared" si="6"/>
        <v/>
      </c>
      <c r="K2857" s="110"/>
      <c r="L2857" s="108"/>
      <c r="M2857" s="111"/>
      <c r="N2857" s="112"/>
    </row>
    <row r="2858">
      <c r="A2858" s="113"/>
      <c r="J2858" s="108" t="str">
        <f t="shared" si="6"/>
        <v/>
      </c>
      <c r="K2858" s="110"/>
      <c r="L2858" s="108"/>
      <c r="M2858" s="111"/>
      <c r="N2858" s="112"/>
    </row>
    <row r="2859">
      <c r="A2859" s="113"/>
      <c r="J2859" s="108" t="str">
        <f t="shared" si="6"/>
        <v/>
      </c>
      <c r="K2859" s="110"/>
      <c r="L2859" s="108"/>
      <c r="M2859" s="111"/>
      <c r="N2859" s="112"/>
    </row>
    <row r="2860">
      <c r="A2860" s="113"/>
      <c r="J2860" s="108" t="str">
        <f t="shared" si="6"/>
        <v/>
      </c>
      <c r="K2860" s="110"/>
      <c r="L2860" s="108"/>
      <c r="M2860" s="111"/>
      <c r="N2860" s="112"/>
    </row>
    <row r="2861">
      <c r="A2861" s="113"/>
      <c r="J2861" s="108" t="str">
        <f t="shared" si="6"/>
        <v/>
      </c>
      <c r="K2861" s="110"/>
      <c r="L2861" s="108"/>
      <c r="M2861" s="111"/>
      <c r="N2861" s="112"/>
    </row>
    <row r="2862">
      <c r="A2862" s="113"/>
      <c r="J2862" s="108" t="str">
        <f t="shared" si="6"/>
        <v/>
      </c>
      <c r="K2862" s="110"/>
      <c r="L2862" s="108"/>
      <c r="M2862" s="111"/>
      <c r="N2862" s="112"/>
    </row>
    <row r="2863">
      <c r="A2863" s="113"/>
      <c r="J2863" s="108" t="str">
        <f t="shared" si="6"/>
        <v/>
      </c>
      <c r="K2863" s="110"/>
      <c r="L2863" s="108"/>
      <c r="M2863" s="111"/>
      <c r="N2863" s="112"/>
    </row>
    <row r="2864">
      <c r="A2864" s="113"/>
      <c r="J2864" s="108" t="str">
        <f t="shared" si="6"/>
        <v/>
      </c>
      <c r="K2864" s="110"/>
      <c r="L2864" s="108"/>
      <c r="M2864" s="111"/>
      <c r="N2864" s="112"/>
    </row>
    <row r="2865">
      <c r="A2865" s="113"/>
      <c r="J2865" s="108" t="str">
        <f t="shared" si="6"/>
        <v/>
      </c>
      <c r="K2865" s="110"/>
      <c r="L2865" s="108"/>
      <c r="M2865" s="111"/>
      <c r="N2865" s="112"/>
    </row>
    <row r="2866">
      <c r="A2866" s="113"/>
      <c r="J2866" s="108" t="str">
        <f t="shared" si="6"/>
        <v/>
      </c>
      <c r="K2866" s="110"/>
      <c r="L2866" s="108"/>
      <c r="M2866" s="111"/>
      <c r="N2866" s="112"/>
    </row>
    <row r="2867">
      <c r="A2867" s="113"/>
      <c r="J2867" s="108" t="str">
        <f t="shared" si="6"/>
        <v/>
      </c>
      <c r="K2867" s="110"/>
      <c r="L2867" s="108"/>
      <c r="M2867" s="111"/>
      <c r="N2867" s="112"/>
    </row>
    <row r="2868">
      <c r="A2868" s="113"/>
      <c r="J2868" s="108" t="str">
        <f t="shared" si="6"/>
        <v/>
      </c>
      <c r="K2868" s="110"/>
      <c r="L2868" s="108"/>
      <c r="M2868" s="111"/>
      <c r="N2868" s="112"/>
    </row>
    <row r="2869">
      <c r="A2869" s="113"/>
      <c r="J2869" s="108" t="str">
        <f t="shared" si="6"/>
        <v/>
      </c>
      <c r="K2869" s="110"/>
      <c r="L2869" s="108"/>
      <c r="M2869" s="111"/>
      <c r="N2869" s="112"/>
    </row>
    <row r="2870">
      <c r="A2870" s="113"/>
      <c r="J2870" s="108" t="str">
        <f t="shared" si="6"/>
        <v/>
      </c>
      <c r="K2870" s="110"/>
      <c r="L2870" s="108"/>
      <c r="M2870" s="111"/>
      <c r="N2870" s="112"/>
    </row>
    <row r="2871">
      <c r="A2871" s="113"/>
      <c r="J2871" s="108" t="str">
        <f t="shared" si="6"/>
        <v/>
      </c>
      <c r="K2871" s="110"/>
      <c r="L2871" s="108"/>
      <c r="M2871" s="111"/>
      <c r="N2871" s="112"/>
    </row>
    <row r="2872">
      <c r="A2872" s="113"/>
      <c r="J2872" s="108" t="str">
        <f t="shared" si="6"/>
        <v/>
      </c>
      <c r="K2872" s="110"/>
      <c r="L2872" s="108"/>
      <c r="M2872" s="111"/>
      <c r="N2872" s="112"/>
    </row>
    <row r="2873">
      <c r="A2873" s="113"/>
      <c r="J2873" s="108" t="str">
        <f t="shared" si="6"/>
        <v/>
      </c>
      <c r="K2873" s="110"/>
      <c r="L2873" s="108"/>
      <c r="M2873" s="111"/>
      <c r="N2873" s="112"/>
    </row>
    <row r="2874">
      <c r="A2874" s="113"/>
      <c r="J2874" s="108" t="str">
        <f t="shared" si="6"/>
        <v/>
      </c>
      <c r="K2874" s="110"/>
      <c r="L2874" s="108"/>
      <c r="M2874" s="111"/>
      <c r="N2874" s="112"/>
    </row>
    <row r="2875">
      <c r="A2875" s="113"/>
      <c r="J2875" s="108" t="str">
        <f t="shared" si="6"/>
        <v/>
      </c>
      <c r="K2875" s="110"/>
      <c r="L2875" s="108"/>
      <c r="M2875" s="111"/>
      <c r="N2875" s="112"/>
    </row>
    <row r="2876">
      <c r="A2876" s="113"/>
      <c r="J2876" s="108" t="str">
        <f t="shared" si="6"/>
        <v/>
      </c>
      <c r="K2876" s="110"/>
      <c r="L2876" s="108"/>
      <c r="M2876" s="111"/>
      <c r="N2876" s="112"/>
    </row>
    <row r="2877">
      <c r="A2877" s="113"/>
      <c r="J2877" s="108" t="str">
        <f t="shared" si="6"/>
        <v/>
      </c>
      <c r="K2877" s="110"/>
      <c r="L2877" s="108"/>
      <c r="M2877" s="111"/>
      <c r="N2877" s="112"/>
    </row>
    <row r="2878">
      <c r="A2878" s="113"/>
      <c r="J2878" s="108" t="str">
        <f t="shared" si="6"/>
        <v/>
      </c>
      <c r="K2878" s="110"/>
      <c r="L2878" s="108"/>
      <c r="M2878" s="111"/>
      <c r="N2878" s="112"/>
    </row>
    <row r="2879">
      <c r="A2879" s="113"/>
      <c r="J2879" s="108" t="str">
        <f t="shared" si="6"/>
        <v/>
      </c>
      <c r="K2879" s="110"/>
      <c r="L2879" s="108"/>
      <c r="M2879" s="111"/>
      <c r="N2879" s="112"/>
    </row>
    <row r="2880">
      <c r="A2880" s="113"/>
      <c r="J2880" s="108" t="str">
        <f t="shared" si="6"/>
        <v/>
      </c>
      <c r="K2880" s="110"/>
      <c r="L2880" s="108"/>
      <c r="M2880" s="111"/>
      <c r="N2880" s="112"/>
    </row>
    <row r="2881">
      <c r="A2881" s="113"/>
      <c r="J2881" s="108" t="str">
        <f t="shared" si="6"/>
        <v/>
      </c>
      <c r="K2881" s="110"/>
      <c r="L2881" s="108"/>
      <c r="M2881" s="111"/>
      <c r="N2881" s="112"/>
    </row>
    <row r="2882">
      <c r="A2882" s="113"/>
      <c r="J2882" s="108" t="str">
        <f t="shared" si="6"/>
        <v/>
      </c>
      <c r="K2882" s="110"/>
      <c r="L2882" s="108"/>
      <c r="M2882" s="111"/>
      <c r="N2882" s="112"/>
    </row>
    <row r="2883">
      <c r="A2883" s="113"/>
      <c r="J2883" s="108" t="str">
        <f t="shared" si="6"/>
        <v/>
      </c>
      <c r="K2883" s="110"/>
      <c r="L2883" s="108"/>
      <c r="M2883" s="111"/>
      <c r="N2883" s="112"/>
    </row>
    <row r="2884">
      <c r="A2884" s="113"/>
      <c r="J2884" s="108" t="str">
        <f t="shared" si="6"/>
        <v/>
      </c>
      <c r="K2884" s="110"/>
      <c r="L2884" s="108"/>
      <c r="M2884" s="111"/>
      <c r="N2884" s="112"/>
    </row>
    <row r="2885">
      <c r="A2885" s="113"/>
      <c r="J2885" s="108" t="str">
        <f t="shared" si="6"/>
        <v/>
      </c>
      <c r="K2885" s="110"/>
      <c r="L2885" s="108"/>
      <c r="M2885" s="111"/>
      <c r="N2885" s="112"/>
    </row>
    <row r="2886">
      <c r="A2886" s="113"/>
      <c r="J2886" s="108" t="str">
        <f t="shared" si="6"/>
        <v/>
      </c>
      <c r="K2886" s="110"/>
      <c r="L2886" s="108"/>
      <c r="M2886" s="111"/>
      <c r="N2886" s="112"/>
    </row>
    <row r="2887">
      <c r="A2887" s="113"/>
      <c r="J2887" s="108" t="str">
        <f t="shared" si="6"/>
        <v/>
      </c>
      <c r="K2887" s="110"/>
      <c r="L2887" s="108"/>
      <c r="M2887" s="111"/>
      <c r="N2887" s="112"/>
    </row>
    <row r="2888">
      <c r="A2888" s="113"/>
      <c r="J2888" s="108" t="str">
        <f t="shared" si="6"/>
        <v/>
      </c>
      <c r="K2888" s="110"/>
      <c r="L2888" s="108"/>
      <c r="M2888" s="111"/>
      <c r="N2888" s="112"/>
    </row>
    <row r="2889">
      <c r="A2889" s="113"/>
      <c r="J2889" s="108" t="str">
        <f t="shared" si="6"/>
        <v/>
      </c>
      <c r="K2889" s="110"/>
      <c r="L2889" s="108"/>
      <c r="M2889" s="111"/>
      <c r="N2889" s="112"/>
    </row>
    <row r="2890">
      <c r="A2890" s="113"/>
      <c r="J2890" s="108" t="str">
        <f t="shared" si="6"/>
        <v/>
      </c>
      <c r="K2890" s="110"/>
      <c r="L2890" s="108"/>
      <c r="M2890" s="111"/>
      <c r="N2890" s="112"/>
    </row>
    <row r="2891">
      <c r="A2891" s="113"/>
      <c r="J2891" s="108" t="str">
        <f t="shared" si="6"/>
        <v/>
      </c>
      <c r="K2891" s="110"/>
      <c r="L2891" s="108"/>
      <c r="M2891" s="111"/>
      <c r="N2891" s="112"/>
    </row>
    <row r="2892">
      <c r="A2892" s="113"/>
      <c r="J2892" s="108" t="str">
        <f t="shared" si="6"/>
        <v/>
      </c>
      <c r="K2892" s="110"/>
      <c r="L2892" s="108"/>
      <c r="M2892" s="111"/>
      <c r="N2892" s="112"/>
    </row>
    <row r="2893">
      <c r="A2893" s="113"/>
      <c r="J2893" s="108" t="str">
        <f t="shared" si="6"/>
        <v/>
      </c>
      <c r="K2893" s="110"/>
      <c r="L2893" s="108"/>
      <c r="M2893" s="111"/>
      <c r="N2893" s="112"/>
    </row>
    <row r="2894">
      <c r="A2894" s="113"/>
      <c r="J2894" s="108" t="str">
        <f t="shared" si="6"/>
        <v/>
      </c>
      <c r="K2894" s="110"/>
      <c r="L2894" s="108"/>
      <c r="M2894" s="111"/>
      <c r="N2894" s="112"/>
    </row>
    <row r="2895">
      <c r="A2895" s="113"/>
      <c r="J2895" s="108" t="str">
        <f t="shared" si="6"/>
        <v/>
      </c>
      <c r="K2895" s="110"/>
      <c r="L2895" s="108"/>
      <c r="M2895" s="111"/>
      <c r="N2895" s="112"/>
    </row>
    <row r="2896">
      <c r="A2896" s="113"/>
      <c r="J2896" s="108" t="str">
        <f t="shared" si="6"/>
        <v/>
      </c>
      <c r="K2896" s="110"/>
      <c r="L2896" s="108"/>
      <c r="M2896" s="111"/>
      <c r="N2896" s="112"/>
    </row>
    <row r="2897">
      <c r="A2897" s="113"/>
      <c r="J2897" s="108" t="str">
        <f t="shared" si="6"/>
        <v/>
      </c>
      <c r="K2897" s="110"/>
      <c r="L2897" s="108"/>
      <c r="M2897" s="111"/>
      <c r="N2897" s="112"/>
    </row>
    <row r="2898">
      <c r="A2898" s="113"/>
      <c r="J2898" s="108" t="str">
        <f t="shared" si="6"/>
        <v/>
      </c>
      <c r="K2898" s="110"/>
      <c r="L2898" s="108"/>
      <c r="M2898" s="111"/>
      <c r="N2898" s="112"/>
    </row>
    <row r="2899">
      <c r="A2899" s="113"/>
      <c r="J2899" s="108" t="str">
        <f t="shared" si="6"/>
        <v/>
      </c>
      <c r="K2899" s="110"/>
      <c r="L2899" s="108"/>
      <c r="M2899" s="111"/>
      <c r="N2899" s="112"/>
    </row>
    <row r="2900">
      <c r="A2900" s="113"/>
      <c r="J2900" s="108" t="str">
        <f t="shared" si="6"/>
        <v/>
      </c>
      <c r="K2900" s="110"/>
      <c r="L2900" s="108"/>
      <c r="M2900" s="111"/>
      <c r="N2900" s="112"/>
    </row>
    <row r="2901">
      <c r="A2901" s="113"/>
      <c r="J2901" s="108" t="str">
        <f t="shared" si="6"/>
        <v/>
      </c>
      <c r="K2901" s="110"/>
      <c r="L2901" s="108"/>
      <c r="M2901" s="111"/>
      <c r="N2901" s="112"/>
    </row>
    <row r="2902">
      <c r="A2902" s="113"/>
      <c r="J2902" s="108" t="str">
        <f t="shared" si="6"/>
        <v/>
      </c>
      <c r="K2902" s="110"/>
      <c r="L2902" s="108"/>
      <c r="M2902" s="111"/>
      <c r="N2902" s="112"/>
    </row>
    <row r="2903">
      <c r="A2903" s="113"/>
      <c r="J2903" s="108" t="str">
        <f t="shared" si="6"/>
        <v/>
      </c>
      <c r="K2903" s="110"/>
      <c r="L2903" s="108"/>
      <c r="M2903" s="111"/>
      <c r="N2903" s="112"/>
    </row>
    <row r="2904">
      <c r="A2904" s="113"/>
      <c r="J2904" s="108" t="str">
        <f t="shared" si="6"/>
        <v/>
      </c>
      <c r="K2904" s="110"/>
      <c r="L2904" s="108"/>
      <c r="M2904" s="111"/>
      <c r="N2904" s="112"/>
    </row>
    <row r="2905">
      <c r="A2905" s="113"/>
      <c r="J2905" s="108" t="str">
        <f t="shared" si="6"/>
        <v/>
      </c>
      <c r="K2905" s="110"/>
      <c r="L2905" s="108"/>
      <c r="M2905" s="111"/>
      <c r="N2905" s="112"/>
    </row>
    <row r="2906">
      <c r="A2906" s="113"/>
      <c r="J2906" s="108" t="str">
        <f t="shared" si="6"/>
        <v/>
      </c>
      <c r="K2906" s="110"/>
      <c r="L2906" s="108"/>
      <c r="M2906" s="111"/>
      <c r="N2906" s="112"/>
    </row>
    <row r="2907">
      <c r="A2907" s="113"/>
      <c r="J2907" s="108" t="str">
        <f t="shared" si="6"/>
        <v/>
      </c>
      <c r="K2907" s="110"/>
      <c r="L2907" s="108"/>
      <c r="M2907" s="111"/>
      <c r="N2907" s="112"/>
    </row>
    <row r="2908">
      <c r="A2908" s="113"/>
      <c r="J2908" s="108" t="str">
        <f t="shared" si="6"/>
        <v/>
      </c>
      <c r="K2908" s="110"/>
      <c r="L2908" s="108"/>
      <c r="M2908" s="111"/>
      <c r="N2908" s="112"/>
    </row>
    <row r="2909">
      <c r="A2909" s="113"/>
      <c r="J2909" s="108" t="str">
        <f t="shared" si="6"/>
        <v/>
      </c>
      <c r="K2909" s="110"/>
      <c r="L2909" s="108"/>
      <c r="M2909" s="111"/>
      <c r="N2909" s="112"/>
    </row>
    <row r="2910">
      <c r="A2910" s="113"/>
      <c r="J2910" s="108" t="str">
        <f t="shared" si="6"/>
        <v/>
      </c>
      <c r="K2910" s="110"/>
      <c r="L2910" s="108"/>
      <c r="M2910" s="111"/>
      <c r="N2910" s="112"/>
    </row>
    <row r="2911">
      <c r="A2911" s="113"/>
      <c r="J2911" s="108" t="str">
        <f t="shared" si="6"/>
        <v/>
      </c>
      <c r="K2911" s="110"/>
      <c r="L2911" s="108"/>
      <c r="M2911" s="111"/>
      <c r="N2911" s="112"/>
    </row>
    <row r="2914">
      <c r="A2914" s="108"/>
      <c r="B2914" s="1" t="s">
        <v>2586</v>
      </c>
      <c r="C2914" s="1"/>
      <c r="D2914" s="1"/>
      <c r="E2914" s="1"/>
      <c r="F2914" s="1"/>
      <c r="G2914" s="1"/>
      <c r="H2914" s="1"/>
      <c r="I2914" s="108"/>
      <c r="J2914" s="108"/>
      <c r="K2914" s="108"/>
      <c r="L2914" s="108"/>
      <c r="M2914" s="111"/>
      <c r="N2914" s="114"/>
    </row>
    <row r="2915">
      <c r="A2915" s="108"/>
      <c r="B2915" s="1" t="s">
        <v>126</v>
      </c>
      <c r="C2915" s="1" t="s">
        <v>2587</v>
      </c>
      <c r="D2915" s="5" t="s">
        <v>3</v>
      </c>
      <c r="E2915" s="6" t="s">
        <v>2588</v>
      </c>
      <c r="F2915" s="1" t="s">
        <v>128</v>
      </c>
      <c r="G2915" s="1" t="s">
        <v>129</v>
      </c>
      <c r="H2915" s="1"/>
      <c r="I2915" s="108"/>
      <c r="J2915" s="108"/>
      <c r="K2915" s="108"/>
      <c r="L2915" s="108"/>
      <c r="M2915" s="111"/>
      <c r="N2915" s="114"/>
    </row>
    <row r="2916">
      <c r="A2916" s="108" t="s">
        <v>610</v>
      </c>
      <c r="B2916" s="115">
        <v>28.0</v>
      </c>
      <c r="C2916" s="116">
        <v>45378.0</v>
      </c>
      <c r="D2916" s="13">
        <v>33600.0</v>
      </c>
      <c r="E2916" s="68">
        <v>328746.0</v>
      </c>
      <c r="F2916" s="117" t="s">
        <v>137</v>
      </c>
      <c r="G2916" s="117" t="s">
        <v>243</v>
      </c>
      <c r="H2916" s="1"/>
      <c r="I2916" s="108"/>
      <c r="J2916" s="108" t="str">
        <f t="shared" ref="J2916:J2925" si="11">LEFT(C2916,4)</f>
        <v>2024</v>
      </c>
      <c r="K2916" s="110">
        <f>VALUE(RIGHT(LEFT(C2916,7),2))</f>
        <v>3</v>
      </c>
      <c r="L2916" s="108" t="str">
        <f>J2916 &amp; "-Q" &amp; CHOOSE(CEILING(K2916/3, 1), "1", "2", "3", "4")</f>
        <v>2024-Q1</v>
      </c>
      <c r="M2916" s="111" t="str">
        <f>J2916&amp;"-"&amp;TEXT(K2916, "00")</f>
        <v>2024-03</v>
      </c>
      <c r="N2916" s="112" t="str">
        <f>J2916 &amp; "-H" &amp; CHOOSE(CEILING(K2916/6, 1), "1", "2")</f>
        <v>2024-H1</v>
      </c>
    </row>
    <row r="2917">
      <c r="A2917" s="108"/>
      <c r="B2917" s="1"/>
      <c r="C2917" s="1"/>
      <c r="D2917" s="1"/>
      <c r="E2917" s="1"/>
      <c r="F2917" s="1"/>
      <c r="G2917" s="1"/>
      <c r="H2917" s="1"/>
      <c r="I2917" s="108"/>
      <c r="J2917" s="108" t="str">
        <f t="shared" si="11"/>
        <v/>
      </c>
      <c r="K2917" s="108"/>
      <c r="L2917" s="108"/>
      <c r="M2917" s="111"/>
      <c r="N2917" s="114"/>
    </row>
    <row r="2918">
      <c r="A2918" s="108"/>
      <c r="B2918" s="1" t="s">
        <v>2589</v>
      </c>
      <c r="C2918" s="1"/>
      <c r="D2918" s="5"/>
      <c r="E2918" s="6"/>
      <c r="F2918" s="1"/>
      <c r="G2918" s="1"/>
      <c r="H2918" s="1"/>
      <c r="I2918" s="108"/>
      <c r="J2918" s="108" t="str">
        <f t="shared" si="11"/>
        <v/>
      </c>
      <c r="K2918" s="108"/>
      <c r="L2918" s="108"/>
      <c r="M2918" s="111"/>
      <c r="N2918" s="114"/>
    </row>
    <row r="2919">
      <c r="A2919" s="108" t="s">
        <v>28</v>
      </c>
      <c r="B2919" s="1"/>
      <c r="C2919" s="118">
        <v>45544.0</v>
      </c>
      <c r="D2919" s="13">
        <f>E2919/4.2</f>
        <v>22221.42857</v>
      </c>
      <c r="E2919" s="65">
        <v>93330.0</v>
      </c>
      <c r="F2919" s="117" t="s">
        <v>81</v>
      </c>
      <c r="G2919" s="1" t="s">
        <v>185</v>
      </c>
      <c r="H2919" s="1"/>
      <c r="I2919" s="108"/>
      <c r="J2919" s="108" t="str">
        <f t="shared" si="11"/>
        <v>2024</v>
      </c>
      <c r="K2919" s="110">
        <f t="shared" ref="K2919:K2925" si="12">VALUE(RIGHT(LEFT(C2919,7),2))</f>
        <v>9</v>
      </c>
      <c r="L2919" s="108" t="str">
        <f t="shared" ref="L2919:L2925" si="13">J2919 &amp; "-Q" &amp; CHOOSE(CEILING(K2919/3, 1), "1", "2", "3", "4")</f>
        <v>2024-Q3</v>
      </c>
      <c r="M2919" s="111" t="str">
        <f t="shared" ref="M2919:M2925" si="14">J2919&amp;"-"&amp;TEXT(K2919, "00")</f>
        <v>2024-09</v>
      </c>
      <c r="N2919" s="112" t="str">
        <f t="shared" ref="N2919:N2925" si="15">J2919 &amp; "-H" &amp; CHOOSE(CEILING(K2919/6, 1), "1", "2")</f>
        <v>2024-H2</v>
      </c>
    </row>
    <row r="2920">
      <c r="A2920" s="108" t="s">
        <v>28</v>
      </c>
      <c r="B2920" s="1"/>
      <c r="C2920" s="118">
        <v>45516.0</v>
      </c>
      <c r="D2920" s="13">
        <f t="shared" ref="D2920:D2921" si="16">E2920/5.9</f>
        <v>12147.45763</v>
      </c>
      <c r="E2920" s="65">
        <v>71670.0</v>
      </c>
      <c r="F2920" s="117" t="s">
        <v>81</v>
      </c>
      <c r="G2920" s="1" t="s">
        <v>185</v>
      </c>
      <c r="H2920" s="1"/>
      <c r="I2920" s="108"/>
      <c r="J2920" s="108" t="str">
        <f t="shared" si="11"/>
        <v>2024</v>
      </c>
      <c r="K2920" s="110">
        <f t="shared" si="12"/>
        <v>8</v>
      </c>
      <c r="L2920" s="108" t="str">
        <f t="shared" si="13"/>
        <v>2024-Q3</v>
      </c>
      <c r="M2920" s="111" t="str">
        <f t="shared" si="14"/>
        <v>2024-08</v>
      </c>
      <c r="N2920" s="112" t="str">
        <f t="shared" si="15"/>
        <v>2024-H2</v>
      </c>
    </row>
    <row r="2921">
      <c r="A2921" s="108" t="s">
        <v>28</v>
      </c>
      <c r="B2921" s="1"/>
      <c r="C2921" s="118">
        <v>45481.0</v>
      </c>
      <c r="D2921" s="13">
        <f t="shared" si="16"/>
        <v>11369.49153</v>
      </c>
      <c r="E2921" s="65">
        <v>67080.0</v>
      </c>
      <c r="F2921" s="117" t="s">
        <v>81</v>
      </c>
      <c r="G2921" s="1" t="s">
        <v>185</v>
      </c>
      <c r="H2921" s="1"/>
      <c r="I2921" s="108"/>
      <c r="J2921" s="108" t="str">
        <f t="shared" si="11"/>
        <v>2024</v>
      </c>
      <c r="K2921" s="110">
        <f t="shared" si="12"/>
        <v>7</v>
      </c>
      <c r="L2921" s="108" t="str">
        <f t="shared" si="13"/>
        <v>2024-Q3</v>
      </c>
      <c r="M2921" s="111" t="str">
        <f t="shared" si="14"/>
        <v>2024-07</v>
      </c>
      <c r="N2921" s="112" t="str">
        <f t="shared" si="15"/>
        <v>2024-H2</v>
      </c>
    </row>
    <row r="2922">
      <c r="A2922" s="108" t="s">
        <v>28</v>
      </c>
      <c r="B2922" s="1"/>
      <c r="C2922" s="116">
        <v>45453.0</v>
      </c>
      <c r="D2922" s="13">
        <f>E2922/6.5</f>
        <v>7885.076923</v>
      </c>
      <c r="E2922" s="68">
        <v>51253.0</v>
      </c>
      <c r="F2922" s="117" t="s">
        <v>81</v>
      </c>
      <c r="G2922" s="1" t="s">
        <v>185</v>
      </c>
      <c r="H2922" s="1"/>
      <c r="I2922" s="108"/>
      <c r="J2922" s="108" t="str">
        <f t="shared" si="11"/>
        <v>2024</v>
      </c>
      <c r="K2922" s="110">
        <f t="shared" si="12"/>
        <v>6</v>
      </c>
      <c r="L2922" s="108" t="str">
        <f t="shared" si="13"/>
        <v>2024-Q2</v>
      </c>
      <c r="M2922" s="111" t="str">
        <f t="shared" si="14"/>
        <v>2024-06</v>
      </c>
      <c r="N2922" s="112" t="str">
        <f t="shared" si="15"/>
        <v>2024-H1</v>
      </c>
    </row>
    <row r="2923">
      <c r="A2923" s="108" t="s">
        <v>28</v>
      </c>
      <c r="B2923" s="1"/>
      <c r="C2923" s="116">
        <v>45422.0</v>
      </c>
      <c r="D2923" s="13">
        <f>E2923/6.74</f>
        <v>5192.878338</v>
      </c>
      <c r="E2923" s="68">
        <v>35000.0</v>
      </c>
      <c r="F2923" s="117" t="s">
        <v>81</v>
      </c>
      <c r="G2923" s="1" t="s">
        <v>185</v>
      </c>
      <c r="H2923" s="1"/>
      <c r="I2923" s="108"/>
      <c r="J2923" s="108" t="str">
        <f t="shared" si="11"/>
        <v>2024</v>
      </c>
      <c r="K2923" s="110">
        <f t="shared" si="12"/>
        <v>5</v>
      </c>
      <c r="L2923" s="108" t="str">
        <f t="shared" si="13"/>
        <v>2024-Q2</v>
      </c>
      <c r="M2923" s="111" t="str">
        <f t="shared" si="14"/>
        <v>2024-05</v>
      </c>
      <c r="N2923" s="112" t="str">
        <f t="shared" si="15"/>
        <v>2024-H1</v>
      </c>
    </row>
    <row r="2924">
      <c r="A2924" s="108" t="s">
        <v>28</v>
      </c>
      <c r="B2924" s="1"/>
      <c r="C2924" s="116">
        <v>45387.0</v>
      </c>
      <c r="D2924" s="13">
        <f>E2924/8.4</f>
        <v>1984.52381</v>
      </c>
      <c r="E2924" s="68">
        <v>16670.0</v>
      </c>
      <c r="F2924" s="117" t="s">
        <v>81</v>
      </c>
      <c r="G2924" s="1" t="s">
        <v>185</v>
      </c>
      <c r="H2924" s="1"/>
      <c r="I2924" s="108"/>
      <c r="J2924" s="108" t="str">
        <f t="shared" si="11"/>
        <v>2024</v>
      </c>
      <c r="K2924" s="110">
        <f t="shared" si="12"/>
        <v>4</v>
      </c>
      <c r="L2924" s="108" t="str">
        <f t="shared" si="13"/>
        <v>2024-Q2</v>
      </c>
      <c r="M2924" s="111" t="str">
        <f t="shared" si="14"/>
        <v>2024-04</v>
      </c>
      <c r="N2924" s="112" t="str">
        <f t="shared" si="15"/>
        <v>2024-H1</v>
      </c>
    </row>
    <row r="2925">
      <c r="A2925" s="108" t="s">
        <v>28</v>
      </c>
      <c r="C2925" s="119">
        <v>45355.0</v>
      </c>
      <c r="D2925" s="13">
        <f>E2925/9.8</f>
        <v>9566.326531</v>
      </c>
      <c r="E2925" s="66">
        <v>93750.0</v>
      </c>
      <c r="F2925" s="117" t="s">
        <v>81</v>
      </c>
      <c r="G2925" s="1" t="s">
        <v>185</v>
      </c>
      <c r="J2925" s="108" t="str">
        <f t="shared" si="11"/>
        <v>2024</v>
      </c>
      <c r="K2925" s="110">
        <f t="shared" si="12"/>
        <v>3</v>
      </c>
      <c r="L2925" s="108" t="str">
        <f t="shared" si="13"/>
        <v>2024-Q1</v>
      </c>
      <c r="M2925" s="111" t="str">
        <f t="shared" si="14"/>
        <v>2024-03</v>
      </c>
      <c r="N2925" s="112" t="str">
        <f t="shared" si="15"/>
        <v>2024-H1</v>
      </c>
      <c r="P2925" s="27" t="s">
        <v>2590</v>
      </c>
    </row>
    <row r="2926">
      <c r="E2926" s="64"/>
    </row>
  </sheetData>
  <dataValidations>
    <dataValidation type="list" allowBlank="1" showErrorMessage="1" sqref="F2916 F2919:F2925">
      <formula1>"Development,Operations,Outreach,Research,Talent &amp; Education,Economy"</formula1>
    </dataValidation>
    <dataValidation type="list" allowBlank="1" showErrorMessage="1" sqref="G2916">
      <formula1>"Smart Contracts,Explorers,RPCs and Nodes,SDKs,Protocol Subsidies,Events,Privacy,ZK,Trainings/Hackathon,Governance,Education,Wallets,Snapshots,Anti-Scam,Staking,Research,Multisig,Other,Conference Attendance,Conference Hosting,Substrate,Indexing,Software Se"&amp;"rvices,Bridge,Light Clients,Polkadot SDK,Recruiting,Community Building,Media,Software Development,Business Development,Incubation,Advertising,Infrastructure,Local Outreach,Games,UIs,Loans,Stablecoins,Market Operations,Security,Ecosystem Services"</formula1>
    </dataValidation>
  </dataValidations>
  <hyperlinks>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 r:id="rId54" ref="B55"/>
    <hyperlink r:id="rId55" ref="B56"/>
    <hyperlink r:id="rId56" ref="B57"/>
    <hyperlink r:id="rId57" ref="B58"/>
    <hyperlink r:id="rId58" ref="B59"/>
    <hyperlink r:id="rId59" ref="B60"/>
    <hyperlink r:id="rId60" ref="B61"/>
    <hyperlink r:id="rId61" ref="B62"/>
    <hyperlink r:id="rId62" ref="B63"/>
    <hyperlink r:id="rId63" ref="B64"/>
    <hyperlink r:id="rId64" ref="B65"/>
    <hyperlink r:id="rId65" ref="B66"/>
    <hyperlink r:id="rId66" ref="B67"/>
    <hyperlink r:id="rId67" ref="B68"/>
    <hyperlink r:id="rId68" ref="B69"/>
    <hyperlink r:id="rId69" ref="B70"/>
    <hyperlink r:id="rId70" ref="B71"/>
    <hyperlink r:id="rId71" ref="B72"/>
    <hyperlink r:id="rId72" ref="B73"/>
    <hyperlink r:id="rId73" ref="B74"/>
    <hyperlink r:id="rId74" ref="B75"/>
    <hyperlink r:id="rId75" ref="B76"/>
    <hyperlink r:id="rId76" ref="B77"/>
    <hyperlink r:id="rId77" ref="B78"/>
    <hyperlink r:id="rId78" ref="B79"/>
    <hyperlink r:id="rId79" ref="B80"/>
    <hyperlink r:id="rId80" ref="B81"/>
    <hyperlink r:id="rId81" ref="B82"/>
    <hyperlink r:id="rId82" ref="B83"/>
    <hyperlink r:id="rId83" ref="B84"/>
    <hyperlink r:id="rId84" ref="B85"/>
    <hyperlink r:id="rId85" ref="B86"/>
    <hyperlink r:id="rId86" ref="B87"/>
    <hyperlink r:id="rId87" ref="B88"/>
    <hyperlink r:id="rId88" ref="B89"/>
    <hyperlink r:id="rId89" ref="B90"/>
    <hyperlink r:id="rId90" ref="B91"/>
    <hyperlink r:id="rId91" ref="B92"/>
    <hyperlink r:id="rId92" ref="B93"/>
    <hyperlink r:id="rId93" ref="B94"/>
    <hyperlink r:id="rId94" ref="B95"/>
    <hyperlink r:id="rId95" ref="B96"/>
    <hyperlink r:id="rId96" ref="B97"/>
    <hyperlink r:id="rId97" ref="B98"/>
    <hyperlink r:id="rId98" ref="B99"/>
    <hyperlink r:id="rId99" ref="B100"/>
    <hyperlink r:id="rId100" ref="B101"/>
    <hyperlink r:id="rId101" ref="B102"/>
    <hyperlink r:id="rId102" ref="B103"/>
    <hyperlink r:id="rId103" ref="B104"/>
    <hyperlink r:id="rId104" ref="B105"/>
    <hyperlink r:id="rId105" ref="B106"/>
    <hyperlink r:id="rId106" ref="B107"/>
    <hyperlink r:id="rId107" ref="B108"/>
    <hyperlink r:id="rId108" ref="B109"/>
    <hyperlink r:id="rId109" ref="B110"/>
    <hyperlink r:id="rId110" ref="B111"/>
    <hyperlink r:id="rId111" ref="B112"/>
    <hyperlink r:id="rId112" ref="B113"/>
    <hyperlink r:id="rId113" ref="B114"/>
    <hyperlink r:id="rId114" ref="B115"/>
    <hyperlink r:id="rId115" ref="B116"/>
    <hyperlink r:id="rId116" ref="B117"/>
    <hyperlink r:id="rId117" ref="B118"/>
    <hyperlink r:id="rId118" ref="B119"/>
    <hyperlink r:id="rId119" ref="B120"/>
    <hyperlink r:id="rId120" ref="B121"/>
    <hyperlink r:id="rId121" ref="B122"/>
    <hyperlink r:id="rId122" ref="B123"/>
    <hyperlink r:id="rId123" ref="B124"/>
    <hyperlink r:id="rId124" ref="B125"/>
    <hyperlink r:id="rId125" ref="B126"/>
    <hyperlink r:id="rId126" ref="B127"/>
    <hyperlink r:id="rId127" ref="B128"/>
    <hyperlink r:id="rId128" ref="B129"/>
    <hyperlink r:id="rId129" ref="B130"/>
    <hyperlink r:id="rId130" ref="B131"/>
    <hyperlink r:id="rId131" ref="B132"/>
    <hyperlink r:id="rId132" ref="B133"/>
    <hyperlink r:id="rId133" ref="B134"/>
    <hyperlink r:id="rId134" ref="B135"/>
    <hyperlink r:id="rId135" ref="B136"/>
    <hyperlink r:id="rId136" ref="B137"/>
    <hyperlink r:id="rId137" ref="B138"/>
    <hyperlink r:id="rId138" ref="B139"/>
    <hyperlink r:id="rId139" ref="B140"/>
    <hyperlink r:id="rId140" ref="B141"/>
    <hyperlink r:id="rId141" ref="B142"/>
    <hyperlink r:id="rId142" ref="B143"/>
    <hyperlink r:id="rId143" ref="B144"/>
    <hyperlink r:id="rId144" ref="B145"/>
    <hyperlink r:id="rId145" ref="B146"/>
    <hyperlink r:id="rId146" ref="B147"/>
    <hyperlink r:id="rId147" ref="B148"/>
    <hyperlink r:id="rId148" ref="B149"/>
    <hyperlink r:id="rId149" ref="H149"/>
    <hyperlink r:id="rId150" ref="B150"/>
    <hyperlink r:id="rId151" ref="B151"/>
    <hyperlink r:id="rId152" ref="B152"/>
    <hyperlink r:id="rId153" ref="B153"/>
    <hyperlink r:id="rId154" ref="B154"/>
    <hyperlink r:id="rId155" ref="B155"/>
    <hyperlink r:id="rId156" ref="B156"/>
    <hyperlink r:id="rId157" ref="B157"/>
    <hyperlink r:id="rId158" ref="B158"/>
    <hyperlink r:id="rId159" ref="B159"/>
    <hyperlink r:id="rId160" ref="B160"/>
    <hyperlink r:id="rId161" ref="B161"/>
    <hyperlink r:id="rId162" ref="B162"/>
    <hyperlink r:id="rId163" ref="B163"/>
    <hyperlink r:id="rId164" ref="B164"/>
    <hyperlink r:id="rId165" ref="B165"/>
    <hyperlink r:id="rId166" ref="B166"/>
    <hyperlink r:id="rId167" ref="B167"/>
    <hyperlink r:id="rId168" ref="B168"/>
    <hyperlink r:id="rId169" ref="B169"/>
    <hyperlink r:id="rId170" ref="B170"/>
    <hyperlink r:id="rId171" ref="B171"/>
    <hyperlink r:id="rId172" ref="B172"/>
    <hyperlink r:id="rId173" ref="B173"/>
    <hyperlink r:id="rId174" ref="B174"/>
    <hyperlink r:id="rId175" ref="B175"/>
    <hyperlink r:id="rId176" ref="B176"/>
    <hyperlink r:id="rId177" ref="B177"/>
    <hyperlink r:id="rId178" ref="B178"/>
    <hyperlink r:id="rId179" ref="B179"/>
    <hyperlink r:id="rId180" ref="B180"/>
    <hyperlink r:id="rId181" ref="B181"/>
    <hyperlink r:id="rId182" ref="B182"/>
    <hyperlink r:id="rId183" ref="B183"/>
    <hyperlink r:id="rId184" ref="B184"/>
    <hyperlink r:id="rId185" ref="B185"/>
    <hyperlink r:id="rId186" ref="B186"/>
    <hyperlink r:id="rId187" ref="B187"/>
    <hyperlink r:id="rId188" ref="B188"/>
    <hyperlink r:id="rId189" ref="B189"/>
    <hyperlink r:id="rId190" ref="B190"/>
    <hyperlink r:id="rId191" ref="B191"/>
    <hyperlink r:id="rId192" ref="B192"/>
    <hyperlink r:id="rId193" ref="B193"/>
    <hyperlink r:id="rId194" ref="B194"/>
    <hyperlink r:id="rId195" ref="B195"/>
    <hyperlink r:id="rId196" ref="B196"/>
    <hyperlink r:id="rId197" ref="B197"/>
    <hyperlink r:id="rId198" ref="B198"/>
    <hyperlink r:id="rId199" ref="B199"/>
    <hyperlink r:id="rId200" ref="B200"/>
    <hyperlink r:id="rId201" ref="B201"/>
    <hyperlink r:id="rId202" ref="B202"/>
    <hyperlink r:id="rId203" ref="B203"/>
    <hyperlink r:id="rId204" ref="B204"/>
    <hyperlink r:id="rId205" ref="B205"/>
    <hyperlink r:id="rId206" ref="B206"/>
    <hyperlink r:id="rId207" ref="B207"/>
    <hyperlink r:id="rId208" ref="B208"/>
    <hyperlink r:id="rId209" ref="B209"/>
    <hyperlink r:id="rId210" ref="B210"/>
    <hyperlink r:id="rId211" ref="B211"/>
    <hyperlink r:id="rId212" ref="B212"/>
    <hyperlink r:id="rId213" ref="B213"/>
    <hyperlink r:id="rId214" ref="B214"/>
    <hyperlink r:id="rId215" ref="B215"/>
    <hyperlink r:id="rId216" ref="B216"/>
    <hyperlink r:id="rId217" ref="B217"/>
    <hyperlink r:id="rId218" ref="B218"/>
    <hyperlink r:id="rId219" ref="B219"/>
    <hyperlink r:id="rId220" ref="B220"/>
    <hyperlink r:id="rId221" ref="B221"/>
    <hyperlink r:id="rId222" ref="B222"/>
    <hyperlink r:id="rId223" ref="B223"/>
    <hyperlink r:id="rId224" ref="B224"/>
    <hyperlink r:id="rId225" ref="B225"/>
    <hyperlink r:id="rId226" ref="B226"/>
    <hyperlink r:id="rId227" ref="B227"/>
    <hyperlink r:id="rId228" ref="B228"/>
    <hyperlink r:id="rId229" ref="B229"/>
    <hyperlink r:id="rId230" ref="B230"/>
    <hyperlink r:id="rId231" ref="B231"/>
    <hyperlink r:id="rId232" ref="B232"/>
    <hyperlink r:id="rId233" ref="B233"/>
    <hyperlink r:id="rId234" ref="B234"/>
    <hyperlink r:id="rId235" ref="B235"/>
    <hyperlink r:id="rId236" ref="B236"/>
    <hyperlink r:id="rId237" ref="B237"/>
    <hyperlink r:id="rId238" ref="B238"/>
    <hyperlink r:id="rId239" ref="B239"/>
    <hyperlink r:id="rId240" ref="B240"/>
    <hyperlink r:id="rId241" ref="B241"/>
    <hyperlink r:id="rId242" ref="B242"/>
    <hyperlink r:id="rId243" ref="B243"/>
    <hyperlink r:id="rId244" ref="B244"/>
    <hyperlink r:id="rId245" ref="B245"/>
    <hyperlink r:id="rId246" ref="B246"/>
    <hyperlink r:id="rId247" ref="B247"/>
    <hyperlink r:id="rId248" ref="B248"/>
    <hyperlink r:id="rId249" ref="B249"/>
    <hyperlink r:id="rId250" ref="B250"/>
    <hyperlink r:id="rId251" ref="B251"/>
    <hyperlink r:id="rId252" ref="B252"/>
    <hyperlink r:id="rId253" ref="B253"/>
    <hyperlink r:id="rId254" ref="B254"/>
    <hyperlink r:id="rId255" ref="B255"/>
    <hyperlink r:id="rId256" ref="B256"/>
    <hyperlink r:id="rId257" ref="B257"/>
    <hyperlink r:id="rId258" ref="B258"/>
    <hyperlink r:id="rId259" ref="B259"/>
    <hyperlink r:id="rId260" ref="B260"/>
    <hyperlink r:id="rId261" ref="B261"/>
    <hyperlink r:id="rId262" ref="B262"/>
    <hyperlink r:id="rId263" ref="B263"/>
    <hyperlink r:id="rId264" ref="B264"/>
    <hyperlink r:id="rId265" ref="B265"/>
    <hyperlink r:id="rId266" ref="B266"/>
    <hyperlink r:id="rId267" ref="B267"/>
    <hyperlink r:id="rId268" ref="B268"/>
    <hyperlink r:id="rId269" ref="B269"/>
    <hyperlink r:id="rId270" ref="B270"/>
    <hyperlink r:id="rId271" ref="B271"/>
    <hyperlink r:id="rId272" ref="B272"/>
    <hyperlink r:id="rId273" ref="B273"/>
    <hyperlink r:id="rId274" ref="B274"/>
    <hyperlink r:id="rId275" ref="B275"/>
    <hyperlink r:id="rId276" ref="B276"/>
    <hyperlink r:id="rId277" ref="B277"/>
    <hyperlink r:id="rId278" ref="B278"/>
    <hyperlink r:id="rId279" ref="B279"/>
    <hyperlink r:id="rId280" ref="B280"/>
    <hyperlink r:id="rId281" ref="B281"/>
    <hyperlink r:id="rId282" ref="B282"/>
    <hyperlink r:id="rId283" ref="B283"/>
    <hyperlink r:id="rId284" ref="B284"/>
    <hyperlink r:id="rId285" ref="B285"/>
    <hyperlink r:id="rId286" ref="B286"/>
    <hyperlink r:id="rId287" ref="B287"/>
    <hyperlink r:id="rId288" ref="B288"/>
    <hyperlink r:id="rId289" ref="B289"/>
    <hyperlink r:id="rId290" ref="B290"/>
    <hyperlink r:id="rId291" ref="B291"/>
    <hyperlink r:id="rId292" ref="B292"/>
    <hyperlink r:id="rId293" ref="B293"/>
    <hyperlink r:id="rId294" ref="B294"/>
    <hyperlink r:id="rId295" ref="B295"/>
    <hyperlink r:id="rId296" ref="B296"/>
    <hyperlink r:id="rId297" ref="B297"/>
    <hyperlink r:id="rId298" ref="B298"/>
    <hyperlink r:id="rId299" ref="B299"/>
    <hyperlink r:id="rId300" ref="B300"/>
    <hyperlink r:id="rId301" ref="B301"/>
    <hyperlink r:id="rId302" ref="B302"/>
    <hyperlink r:id="rId303" ref="B303"/>
    <hyperlink r:id="rId304" ref="B304"/>
    <hyperlink r:id="rId305" ref="B305"/>
    <hyperlink r:id="rId306" ref="B306"/>
    <hyperlink r:id="rId307" ref="B307"/>
    <hyperlink r:id="rId308" ref="B308"/>
    <hyperlink r:id="rId309" ref="B309"/>
    <hyperlink r:id="rId310" ref="B310"/>
    <hyperlink r:id="rId311" ref="B311"/>
    <hyperlink r:id="rId312" ref="B312"/>
    <hyperlink r:id="rId313" ref="B313"/>
    <hyperlink r:id="rId314" ref="B314"/>
    <hyperlink r:id="rId315" ref="B315"/>
    <hyperlink r:id="rId316" ref="B316"/>
    <hyperlink r:id="rId317" ref="B317"/>
    <hyperlink r:id="rId318" ref="B318"/>
    <hyperlink r:id="rId319" ref="B319"/>
    <hyperlink r:id="rId320" ref="B320"/>
    <hyperlink r:id="rId321" ref="B321"/>
    <hyperlink r:id="rId322" ref="B322"/>
    <hyperlink r:id="rId323" ref="B323"/>
    <hyperlink r:id="rId324" ref="B324"/>
    <hyperlink r:id="rId325" ref="B325"/>
    <hyperlink r:id="rId326" ref="B326"/>
    <hyperlink r:id="rId327" ref="B327"/>
    <hyperlink r:id="rId328" ref="B328"/>
    <hyperlink r:id="rId329" ref="B329"/>
    <hyperlink r:id="rId330" ref="B330"/>
    <hyperlink r:id="rId331" ref="B331"/>
    <hyperlink r:id="rId332" ref="B332"/>
    <hyperlink r:id="rId333" ref="B333"/>
    <hyperlink r:id="rId334" ref="B334"/>
    <hyperlink r:id="rId335" ref="B335"/>
    <hyperlink r:id="rId336" ref="B336"/>
    <hyperlink r:id="rId337" ref="B337"/>
    <hyperlink r:id="rId338" ref="B338"/>
    <hyperlink r:id="rId339" ref="B339"/>
    <hyperlink r:id="rId340" ref="B340"/>
    <hyperlink r:id="rId341" ref="B341"/>
    <hyperlink r:id="rId342" ref="B342"/>
    <hyperlink r:id="rId343" ref="B343"/>
    <hyperlink r:id="rId344" ref="B344"/>
    <hyperlink r:id="rId345" ref="B345"/>
    <hyperlink r:id="rId346" ref="B346"/>
    <hyperlink r:id="rId347" ref="B347"/>
    <hyperlink r:id="rId348" ref="B348"/>
    <hyperlink r:id="rId349" ref="B349"/>
    <hyperlink r:id="rId350" ref="B350"/>
    <hyperlink r:id="rId351" ref="B351"/>
    <hyperlink r:id="rId352" ref="B352"/>
    <hyperlink r:id="rId353" ref="B353"/>
    <hyperlink r:id="rId354" ref="B354"/>
    <hyperlink r:id="rId355" ref="B355"/>
    <hyperlink r:id="rId356" ref="B356"/>
    <hyperlink r:id="rId357" ref="B357"/>
    <hyperlink r:id="rId358" ref="B358"/>
    <hyperlink r:id="rId359" ref="B359"/>
    <hyperlink r:id="rId360" ref="B360"/>
    <hyperlink r:id="rId361" ref="B361"/>
    <hyperlink r:id="rId362" ref="B362"/>
    <hyperlink r:id="rId363" ref="B363"/>
    <hyperlink r:id="rId364" ref="B364"/>
    <hyperlink r:id="rId365" ref="B365"/>
    <hyperlink r:id="rId366" ref="B366"/>
    <hyperlink r:id="rId367" ref="B367"/>
    <hyperlink r:id="rId368" ref="B368"/>
    <hyperlink r:id="rId369" ref="B369"/>
    <hyperlink r:id="rId370" ref="B370"/>
    <hyperlink r:id="rId371" ref="B371"/>
    <hyperlink r:id="rId372" ref="B372"/>
    <hyperlink r:id="rId373" ref="B373"/>
    <hyperlink r:id="rId374" ref="B374"/>
    <hyperlink r:id="rId375" ref="B375"/>
    <hyperlink r:id="rId376" ref="B376"/>
    <hyperlink r:id="rId377" ref="B377"/>
    <hyperlink r:id="rId378" ref="B378"/>
    <hyperlink r:id="rId379" ref="B379"/>
    <hyperlink r:id="rId380" ref="B380"/>
    <hyperlink r:id="rId381" ref="B381"/>
    <hyperlink r:id="rId382" ref="B382"/>
    <hyperlink r:id="rId383" ref="B383"/>
    <hyperlink r:id="rId384" ref="B384"/>
    <hyperlink r:id="rId385" ref="B385"/>
    <hyperlink r:id="rId386" ref="B386"/>
    <hyperlink r:id="rId387" ref="B387"/>
    <hyperlink r:id="rId388" ref="B388"/>
    <hyperlink r:id="rId389" ref="B389"/>
    <hyperlink r:id="rId390" ref="B390"/>
    <hyperlink r:id="rId391" ref="B391"/>
    <hyperlink r:id="rId392" ref="B392"/>
    <hyperlink r:id="rId393" ref="B393"/>
    <hyperlink r:id="rId394" ref="B394"/>
    <hyperlink r:id="rId395" ref="B395"/>
    <hyperlink r:id="rId396" ref="B396"/>
    <hyperlink r:id="rId397" ref="B397"/>
    <hyperlink r:id="rId398" ref="B398"/>
    <hyperlink r:id="rId399" ref="B399"/>
    <hyperlink r:id="rId400" ref="B400"/>
    <hyperlink r:id="rId401" ref="B401"/>
    <hyperlink r:id="rId402" ref="B402"/>
    <hyperlink r:id="rId403" ref="B403"/>
    <hyperlink r:id="rId404" ref="B404"/>
    <hyperlink r:id="rId405" ref="B405"/>
    <hyperlink r:id="rId406" ref="B406"/>
    <hyperlink r:id="rId407" ref="B407"/>
    <hyperlink r:id="rId408" ref="B408"/>
    <hyperlink r:id="rId409" ref="B409"/>
    <hyperlink r:id="rId410" ref="B410"/>
    <hyperlink r:id="rId411" ref="B411"/>
    <hyperlink r:id="rId412" ref="B412"/>
    <hyperlink r:id="rId413" ref="B413"/>
    <hyperlink r:id="rId414" ref="B414"/>
    <hyperlink r:id="rId415" ref="B415"/>
    <hyperlink r:id="rId416" ref="B416"/>
    <hyperlink r:id="rId417" ref="B417"/>
    <hyperlink r:id="rId418" ref="B418"/>
    <hyperlink r:id="rId419" ref="B419"/>
    <hyperlink r:id="rId420" ref="B420"/>
    <hyperlink r:id="rId421" ref="B421"/>
    <hyperlink r:id="rId422" ref="B422"/>
    <hyperlink r:id="rId423" ref="B423"/>
    <hyperlink r:id="rId424" ref="B424"/>
    <hyperlink r:id="rId425" ref="B425"/>
    <hyperlink r:id="rId426" ref="B426"/>
    <hyperlink r:id="rId427" ref="B427"/>
    <hyperlink r:id="rId428" ref="B428"/>
    <hyperlink r:id="rId429" ref="B429"/>
    <hyperlink r:id="rId430" ref="B430"/>
    <hyperlink r:id="rId431" ref="B431"/>
    <hyperlink r:id="rId432" ref="B432"/>
    <hyperlink r:id="rId433" ref="B433"/>
    <hyperlink r:id="rId434" ref="B434"/>
    <hyperlink r:id="rId435" ref="B435"/>
    <hyperlink r:id="rId436" ref="B436"/>
    <hyperlink r:id="rId437" ref="B437"/>
    <hyperlink r:id="rId438" ref="B438"/>
    <hyperlink r:id="rId439" ref="B439"/>
    <hyperlink r:id="rId440" ref="B440"/>
    <hyperlink r:id="rId441" ref="B441"/>
    <hyperlink r:id="rId442" ref="B442"/>
    <hyperlink r:id="rId443" ref="B443"/>
    <hyperlink r:id="rId444" ref="B444"/>
    <hyperlink r:id="rId445" ref="B445"/>
    <hyperlink r:id="rId446" ref="B446"/>
    <hyperlink r:id="rId447" ref="B447"/>
    <hyperlink r:id="rId448" ref="B448"/>
    <hyperlink r:id="rId449" ref="B449"/>
    <hyperlink r:id="rId450" ref="B450"/>
    <hyperlink r:id="rId451" ref="B451"/>
    <hyperlink r:id="rId452" ref="B452"/>
    <hyperlink r:id="rId453" ref="B453"/>
    <hyperlink r:id="rId454" ref="B454"/>
    <hyperlink r:id="rId455" ref="B455"/>
    <hyperlink r:id="rId456" ref="B456"/>
    <hyperlink r:id="rId457" ref="B457"/>
    <hyperlink r:id="rId458" ref="B458"/>
    <hyperlink r:id="rId459" ref="B459"/>
    <hyperlink r:id="rId460" ref="B460"/>
    <hyperlink r:id="rId461" ref="B461"/>
    <hyperlink r:id="rId462" ref="B462"/>
    <hyperlink r:id="rId463" ref="B463"/>
    <hyperlink r:id="rId464" ref="B464"/>
    <hyperlink r:id="rId465" ref="B465"/>
    <hyperlink r:id="rId466" ref="B466"/>
    <hyperlink r:id="rId467" ref="B467"/>
    <hyperlink r:id="rId468" ref="B468"/>
    <hyperlink r:id="rId469" ref="B747"/>
    <hyperlink r:id="rId470" ref="B748"/>
    <hyperlink r:id="rId471" ref="B749"/>
    <hyperlink r:id="rId472" ref="B750"/>
    <hyperlink r:id="rId473" ref="B751"/>
    <hyperlink r:id="rId474" ref="B752"/>
    <hyperlink r:id="rId475" ref="B753"/>
    <hyperlink r:id="rId476" ref="B754"/>
    <hyperlink r:id="rId477" ref="B755"/>
    <hyperlink r:id="rId478" ref="B756"/>
    <hyperlink r:id="rId479" ref="B757"/>
    <hyperlink r:id="rId480" ref="B758"/>
    <hyperlink r:id="rId481" ref="B759"/>
    <hyperlink r:id="rId482" ref="B760"/>
    <hyperlink r:id="rId483" ref="B761"/>
    <hyperlink r:id="rId484" ref="B762"/>
    <hyperlink r:id="rId485" ref="B763"/>
    <hyperlink r:id="rId486" ref="B764"/>
    <hyperlink r:id="rId487" ref="B765"/>
    <hyperlink r:id="rId488" ref="B766"/>
    <hyperlink r:id="rId489" ref="B767"/>
    <hyperlink r:id="rId490" ref="B768"/>
    <hyperlink r:id="rId491" ref="B769"/>
    <hyperlink r:id="rId492" ref="B770"/>
    <hyperlink r:id="rId493" ref="B771"/>
    <hyperlink r:id="rId494" ref="B772"/>
    <hyperlink r:id="rId495" ref="B773"/>
    <hyperlink r:id="rId496" ref="B774"/>
    <hyperlink r:id="rId497" ref="B775"/>
    <hyperlink r:id="rId498" ref="B776"/>
    <hyperlink r:id="rId499" ref="B777"/>
    <hyperlink r:id="rId500" ref="B778"/>
    <hyperlink r:id="rId501" ref="B779"/>
    <hyperlink r:id="rId502" ref="H779"/>
    <hyperlink r:id="rId503" ref="B780"/>
    <hyperlink r:id="rId504" ref="B781"/>
    <hyperlink r:id="rId505" ref="B782"/>
    <hyperlink r:id="rId506" ref="B783"/>
    <hyperlink r:id="rId507" ref="B784"/>
    <hyperlink r:id="rId508" ref="B785"/>
    <hyperlink r:id="rId509" ref="B786"/>
    <hyperlink r:id="rId510" ref="B787"/>
    <hyperlink r:id="rId511" ref="B788"/>
    <hyperlink r:id="rId512" ref="B789"/>
    <hyperlink r:id="rId513" ref="B790"/>
    <hyperlink r:id="rId514" ref="B791"/>
    <hyperlink r:id="rId515" ref="B792"/>
    <hyperlink r:id="rId516" ref="B793"/>
    <hyperlink r:id="rId517" ref="B794"/>
    <hyperlink r:id="rId518" ref="B795"/>
    <hyperlink r:id="rId519" ref="B796"/>
    <hyperlink r:id="rId520" ref="B797"/>
    <hyperlink r:id="rId521" ref="B798"/>
    <hyperlink r:id="rId522" ref="B799"/>
    <hyperlink r:id="rId523" ref="B800"/>
    <hyperlink r:id="rId524" ref="B801"/>
    <hyperlink r:id="rId525" ref="B802"/>
    <hyperlink r:id="rId526" ref="B803"/>
    <hyperlink r:id="rId527" ref="B804"/>
    <hyperlink r:id="rId528" ref="B805"/>
    <hyperlink r:id="rId529" ref="B806"/>
    <hyperlink r:id="rId530" ref="B807"/>
    <hyperlink r:id="rId531" ref="B808"/>
    <hyperlink r:id="rId532" ref="B809"/>
    <hyperlink r:id="rId533" ref="B810"/>
    <hyperlink r:id="rId534" ref="B811"/>
    <hyperlink r:id="rId535" ref="B812"/>
    <hyperlink r:id="rId536" ref="B813"/>
    <hyperlink r:id="rId537" ref="B814"/>
    <hyperlink r:id="rId538" ref="B815"/>
    <hyperlink r:id="rId539" ref="B816"/>
    <hyperlink r:id="rId540" ref="B817"/>
    <hyperlink r:id="rId541" ref="B818"/>
    <hyperlink r:id="rId542" ref="B819"/>
    <hyperlink r:id="rId543" ref="B820"/>
    <hyperlink r:id="rId544" ref="B821"/>
    <hyperlink r:id="rId545" ref="B822"/>
    <hyperlink r:id="rId546" ref="B823"/>
    <hyperlink r:id="rId547" ref="B824"/>
    <hyperlink r:id="rId548" ref="B825"/>
    <hyperlink r:id="rId549" ref="B826"/>
    <hyperlink r:id="rId550" ref="B827"/>
    <hyperlink r:id="rId551" ref="B828"/>
    <hyperlink r:id="rId552" ref="B829"/>
    <hyperlink r:id="rId553" ref="B830"/>
    <hyperlink r:id="rId554" ref="B831"/>
    <hyperlink r:id="rId555" ref="B832"/>
    <hyperlink r:id="rId556" ref="B833"/>
    <hyperlink r:id="rId557" ref="B834"/>
    <hyperlink r:id="rId558" ref="B835"/>
    <hyperlink r:id="rId559" ref="B836"/>
    <hyperlink r:id="rId560" ref="B837"/>
    <hyperlink r:id="rId561" ref="B838"/>
    <hyperlink r:id="rId562" ref="B839"/>
    <hyperlink r:id="rId563" ref="B840"/>
    <hyperlink r:id="rId564" ref="B841"/>
    <hyperlink r:id="rId565" ref="B842"/>
    <hyperlink r:id="rId566" ref="B843"/>
    <hyperlink r:id="rId567" ref="B844"/>
    <hyperlink r:id="rId568" ref="B845"/>
    <hyperlink r:id="rId569" ref="B846"/>
    <hyperlink r:id="rId570" ref="B847"/>
    <hyperlink r:id="rId571" ref="B848"/>
    <hyperlink r:id="rId572" ref="B849"/>
    <hyperlink r:id="rId573" ref="B850"/>
    <hyperlink r:id="rId574" ref="B851"/>
    <hyperlink r:id="rId575" ref="B852"/>
    <hyperlink r:id="rId576" ref="B853"/>
    <hyperlink r:id="rId577" ref="B854"/>
    <hyperlink r:id="rId578" ref="B855"/>
    <hyperlink r:id="rId579" ref="B856"/>
    <hyperlink r:id="rId580" ref="B857"/>
    <hyperlink r:id="rId581" ref="B858"/>
    <hyperlink r:id="rId582" ref="B859"/>
    <hyperlink r:id="rId583" ref="B860"/>
    <hyperlink r:id="rId584" ref="B861"/>
    <hyperlink r:id="rId585" ref="B862"/>
    <hyperlink r:id="rId586" ref="B863"/>
    <hyperlink r:id="rId587" ref="B864"/>
    <hyperlink r:id="rId588" ref="B865"/>
    <hyperlink r:id="rId589" ref="B866"/>
    <hyperlink r:id="rId590" ref="B867"/>
    <hyperlink r:id="rId591" ref="B868"/>
    <hyperlink r:id="rId592" ref="B869"/>
    <hyperlink r:id="rId593" ref="B870"/>
    <hyperlink r:id="rId594" ref="B871"/>
    <hyperlink r:id="rId595" ref="B872"/>
    <hyperlink r:id="rId596" ref="B873"/>
    <hyperlink r:id="rId597" ref="B874"/>
    <hyperlink r:id="rId598" ref="B875"/>
    <hyperlink r:id="rId599" ref="B876"/>
    <hyperlink r:id="rId600" ref="B877"/>
    <hyperlink r:id="rId601" ref="B878"/>
    <hyperlink r:id="rId602" ref="B879"/>
    <hyperlink r:id="rId603" ref="B880"/>
    <hyperlink r:id="rId604" ref="B881"/>
    <hyperlink r:id="rId605" ref="B882"/>
    <hyperlink r:id="rId606" ref="B883"/>
    <hyperlink r:id="rId607" ref="B884"/>
    <hyperlink r:id="rId608" ref="B885"/>
    <hyperlink r:id="rId609" ref="B886"/>
    <hyperlink r:id="rId610" ref="B887"/>
    <hyperlink r:id="rId611" ref="B888"/>
    <hyperlink r:id="rId612" ref="B889"/>
    <hyperlink r:id="rId613" ref="B890"/>
    <hyperlink r:id="rId614" ref="B891"/>
    <hyperlink r:id="rId615" ref="B892"/>
    <hyperlink r:id="rId616" ref="B893"/>
    <hyperlink r:id="rId617" ref="B894"/>
    <hyperlink r:id="rId618" ref="B895"/>
    <hyperlink r:id="rId619" ref="B896"/>
    <hyperlink r:id="rId620" ref="B897"/>
    <hyperlink r:id="rId621" ref="B898"/>
    <hyperlink r:id="rId622" ref="B899"/>
    <hyperlink r:id="rId623" ref="B900"/>
    <hyperlink r:id="rId624" ref="B901"/>
    <hyperlink r:id="rId625" ref="B902"/>
    <hyperlink r:id="rId626" ref="B903"/>
    <hyperlink r:id="rId627" ref="B904"/>
    <hyperlink r:id="rId628" ref="B905"/>
    <hyperlink r:id="rId629" ref="B906"/>
    <hyperlink r:id="rId630" ref="B907"/>
    <hyperlink r:id="rId631" ref="B908"/>
    <hyperlink r:id="rId632" ref="B909"/>
    <hyperlink r:id="rId633" ref="B910"/>
    <hyperlink r:id="rId634" ref="B911"/>
    <hyperlink r:id="rId635" ref="B912"/>
    <hyperlink r:id="rId636" ref="B913"/>
    <hyperlink r:id="rId637" ref="B914"/>
    <hyperlink r:id="rId638" ref="B915"/>
    <hyperlink r:id="rId639" ref="B916"/>
    <hyperlink r:id="rId640" ref="B917"/>
    <hyperlink r:id="rId641" ref="B918"/>
    <hyperlink r:id="rId642" ref="B919"/>
    <hyperlink r:id="rId643" ref="B920"/>
    <hyperlink r:id="rId644" ref="B921"/>
    <hyperlink r:id="rId645" ref="B922"/>
    <hyperlink r:id="rId646" ref="B923"/>
    <hyperlink r:id="rId647" ref="B924"/>
    <hyperlink r:id="rId648" ref="B925"/>
    <hyperlink r:id="rId649" ref="B926"/>
    <hyperlink r:id="rId650" ref="B927"/>
    <hyperlink r:id="rId651" ref="B928"/>
    <hyperlink r:id="rId652" ref="B929"/>
    <hyperlink r:id="rId653" ref="B930"/>
    <hyperlink r:id="rId654" ref="B931"/>
    <hyperlink r:id="rId655" ref="B932"/>
    <hyperlink r:id="rId656" ref="B933"/>
    <hyperlink r:id="rId657" ref="B934"/>
    <hyperlink r:id="rId658" ref="B935"/>
    <hyperlink r:id="rId659" ref="B936"/>
    <hyperlink r:id="rId660" ref="B937"/>
    <hyperlink r:id="rId661" ref="B938"/>
    <hyperlink r:id="rId662" ref="B939"/>
    <hyperlink r:id="rId663" ref="B940"/>
    <hyperlink r:id="rId664" ref="B941"/>
    <hyperlink r:id="rId665" ref="B942"/>
    <hyperlink r:id="rId666" ref="B943"/>
    <hyperlink r:id="rId667" ref="B944"/>
    <hyperlink r:id="rId668" ref="H944"/>
    <hyperlink r:id="rId669" ref="B945"/>
    <hyperlink r:id="rId670" ref="B946"/>
    <hyperlink r:id="rId671" ref="B947"/>
    <hyperlink r:id="rId672" ref="B948"/>
    <hyperlink r:id="rId673" ref="B949"/>
    <hyperlink r:id="rId674" ref="B950"/>
    <hyperlink r:id="rId675" ref="B951"/>
    <hyperlink r:id="rId676" ref="B952"/>
    <hyperlink r:id="rId677" ref="B953"/>
    <hyperlink r:id="rId678" ref="B954"/>
    <hyperlink r:id="rId679" ref="B955"/>
    <hyperlink r:id="rId680" ref="B956"/>
    <hyperlink r:id="rId681" ref="B957"/>
    <hyperlink r:id="rId682" ref="B958"/>
    <hyperlink r:id="rId683" ref="B959"/>
    <hyperlink r:id="rId684" ref="B960"/>
    <hyperlink r:id="rId685" ref="B961"/>
    <hyperlink r:id="rId686" ref="B962"/>
    <hyperlink r:id="rId687" ref="B963"/>
    <hyperlink r:id="rId688" ref="B964"/>
    <hyperlink r:id="rId689" ref="B965"/>
    <hyperlink r:id="rId690" ref="B966"/>
    <hyperlink r:id="rId691" ref="B967"/>
    <hyperlink r:id="rId692" ref="B968"/>
    <hyperlink r:id="rId693" ref="B969"/>
    <hyperlink r:id="rId694" ref="B970"/>
    <hyperlink r:id="rId695" ref="B971"/>
    <hyperlink r:id="rId696" ref="B972"/>
    <hyperlink r:id="rId697" ref="B973"/>
    <hyperlink r:id="rId698" ref="B974"/>
    <hyperlink r:id="rId699" ref="B975"/>
    <hyperlink r:id="rId700" ref="B976"/>
    <hyperlink r:id="rId701" ref="B977"/>
    <hyperlink r:id="rId702" ref="B978"/>
    <hyperlink r:id="rId703" ref="B979"/>
    <hyperlink r:id="rId704" ref="B980"/>
    <hyperlink r:id="rId705" ref="B981"/>
    <hyperlink r:id="rId706" ref="B982"/>
    <hyperlink r:id="rId707" ref="B983"/>
    <hyperlink r:id="rId708" ref="B984"/>
    <hyperlink r:id="rId709" ref="B985"/>
    <hyperlink r:id="rId710" ref="B986"/>
    <hyperlink r:id="rId711" ref="B987"/>
    <hyperlink r:id="rId712" ref="B988"/>
    <hyperlink r:id="rId713" ref="B989"/>
    <hyperlink r:id="rId714" ref="B990"/>
    <hyperlink r:id="rId715" ref="B991"/>
    <hyperlink r:id="rId716" ref="B992"/>
    <hyperlink r:id="rId717" ref="B993"/>
    <hyperlink r:id="rId718" ref="B994"/>
    <hyperlink r:id="rId719" ref="B995"/>
    <hyperlink r:id="rId720" ref="B996"/>
    <hyperlink r:id="rId721" ref="B997"/>
    <hyperlink r:id="rId722" ref="B998"/>
    <hyperlink r:id="rId723" ref="B999"/>
    <hyperlink r:id="rId724" ref="B1000"/>
    <hyperlink r:id="rId725" ref="B1001"/>
    <hyperlink r:id="rId726" ref="B1002"/>
    <hyperlink r:id="rId727" ref="B1003"/>
    <hyperlink r:id="rId728" ref="B1004"/>
    <hyperlink r:id="rId729" ref="B1005"/>
    <hyperlink r:id="rId730" ref="B1006"/>
    <hyperlink r:id="rId731" ref="B1007"/>
    <hyperlink r:id="rId732" ref="B1008"/>
    <hyperlink r:id="rId733" ref="B1009"/>
    <hyperlink r:id="rId734" ref="B1010"/>
    <hyperlink r:id="rId735" ref="B1011"/>
    <hyperlink r:id="rId736" ref="B1012"/>
    <hyperlink r:id="rId737" ref="B1013"/>
    <hyperlink r:id="rId738" ref="B1014"/>
    <hyperlink r:id="rId739" ref="B1015"/>
    <hyperlink r:id="rId740" ref="B1016"/>
    <hyperlink r:id="rId741" ref="B1017"/>
    <hyperlink r:id="rId742" ref="B1018"/>
    <hyperlink r:id="rId743" ref="B1019"/>
    <hyperlink r:id="rId744" ref="B1020"/>
    <hyperlink r:id="rId745" ref="B1021"/>
    <hyperlink r:id="rId746" ref="B1022"/>
    <hyperlink r:id="rId747" ref="B1023"/>
    <hyperlink r:id="rId748" ref="B1024"/>
    <hyperlink r:id="rId749" ref="B1025"/>
    <hyperlink r:id="rId750" ref="B1026"/>
    <hyperlink r:id="rId751" ref="B1027"/>
    <hyperlink r:id="rId752" ref="B1028"/>
    <hyperlink r:id="rId753" ref="B1029"/>
    <hyperlink r:id="rId754" ref="B1030"/>
    <hyperlink r:id="rId755" ref="B1031"/>
    <hyperlink r:id="rId756" ref="B1032"/>
    <hyperlink r:id="rId757" ref="B1033"/>
    <hyperlink r:id="rId758" ref="B1034"/>
    <hyperlink r:id="rId759" ref="B1035"/>
    <hyperlink r:id="rId760" ref="B1036"/>
    <hyperlink r:id="rId761" ref="B1037"/>
    <hyperlink r:id="rId762" ref="B1038"/>
    <hyperlink r:id="rId763" ref="B1039"/>
    <hyperlink r:id="rId764" ref="B1040"/>
    <hyperlink r:id="rId765" ref="B1041"/>
    <hyperlink r:id="rId766" ref="B1042"/>
    <hyperlink r:id="rId767" ref="B1043"/>
    <hyperlink r:id="rId768" ref="B1044"/>
    <hyperlink r:id="rId769" ref="B1045"/>
    <hyperlink r:id="rId770" ref="B1046"/>
    <hyperlink r:id="rId771" ref="B1047"/>
    <hyperlink r:id="rId772" ref="B1048"/>
    <hyperlink r:id="rId773" ref="B1049"/>
    <hyperlink r:id="rId774" ref="B1050"/>
    <hyperlink r:id="rId775" ref="B1051"/>
    <hyperlink r:id="rId776" ref="B1052"/>
    <hyperlink r:id="rId777" ref="B1053"/>
    <hyperlink r:id="rId778" ref="B1054"/>
    <hyperlink r:id="rId779" ref="B1055"/>
    <hyperlink r:id="rId780" ref="B1056"/>
    <hyperlink r:id="rId781" ref="B1057"/>
    <hyperlink r:id="rId782" ref="B1058"/>
    <hyperlink r:id="rId783" ref="B1059"/>
    <hyperlink r:id="rId784" ref="B1060"/>
    <hyperlink r:id="rId785" ref="B1061"/>
    <hyperlink r:id="rId786" ref="B1062"/>
    <hyperlink r:id="rId787" ref="B1063"/>
    <hyperlink r:id="rId788" ref="B1064"/>
    <hyperlink r:id="rId789" ref="B1065"/>
    <hyperlink r:id="rId790" ref="B1066"/>
    <hyperlink r:id="rId791" ref="B1067"/>
    <hyperlink r:id="rId792" ref="B1068"/>
    <hyperlink r:id="rId793" ref="B1069"/>
    <hyperlink r:id="rId794" ref="B1070"/>
    <hyperlink r:id="rId795" ref="B1071"/>
    <hyperlink r:id="rId796" ref="B1072"/>
    <hyperlink r:id="rId797" ref="B1073"/>
    <hyperlink r:id="rId798" ref="B1074"/>
    <hyperlink r:id="rId799" ref="B1075"/>
    <hyperlink r:id="rId800" ref="B1076"/>
    <hyperlink r:id="rId801" ref="B1077"/>
    <hyperlink r:id="rId802" ref="B1078"/>
    <hyperlink r:id="rId803" ref="B1079"/>
    <hyperlink r:id="rId804" ref="B1080"/>
    <hyperlink r:id="rId805" ref="B1081"/>
    <hyperlink r:id="rId806" ref="B1082"/>
    <hyperlink r:id="rId807" ref="B1083"/>
    <hyperlink r:id="rId808" ref="B1084"/>
    <hyperlink r:id="rId809" ref="B1085"/>
    <hyperlink r:id="rId810" ref="B1086"/>
    <hyperlink r:id="rId811" ref="B1087"/>
    <hyperlink r:id="rId812" ref="B1088"/>
    <hyperlink r:id="rId813" ref="B1089"/>
    <hyperlink r:id="rId814" ref="B1090"/>
    <hyperlink r:id="rId815" ref="B1091"/>
    <hyperlink r:id="rId816" ref="B1092"/>
    <hyperlink r:id="rId817" ref="B1093"/>
    <hyperlink r:id="rId818" ref="B1094"/>
    <hyperlink r:id="rId819" ref="B1095"/>
    <hyperlink r:id="rId820" ref="B1096"/>
    <hyperlink r:id="rId821" ref="B1097"/>
    <hyperlink r:id="rId822" ref="B1098"/>
    <hyperlink r:id="rId823" ref="B1099"/>
    <hyperlink r:id="rId824" ref="B1100"/>
    <hyperlink r:id="rId825" ref="B1101"/>
    <hyperlink r:id="rId826" ref="B1102"/>
    <hyperlink r:id="rId827" ref="B1103"/>
    <hyperlink r:id="rId828" ref="B1104"/>
    <hyperlink r:id="rId829" ref="B1105"/>
    <hyperlink r:id="rId830" ref="B1106"/>
    <hyperlink r:id="rId831" ref="B1107"/>
    <hyperlink r:id="rId832" ref="B1108"/>
    <hyperlink r:id="rId833" ref="B1109"/>
    <hyperlink r:id="rId834" ref="B1110"/>
    <hyperlink r:id="rId835" ref="B1111"/>
    <hyperlink r:id="rId836" ref="B1112"/>
    <hyperlink r:id="rId837" ref="B1113"/>
    <hyperlink r:id="rId838" ref="B1114"/>
    <hyperlink r:id="rId839" ref="B1115"/>
    <hyperlink r:id="rId840" ref="B1116"/>
    <hyperlink r:id="rId841" ref="B1117"/>
    <hyperlink r:id="rId842" ref="B1118"/>
    <hyperlink r:id="rId843" ref="B1119"/>
    <hyperlink r:id="rId844" ref="B1120"/>
    <hyperlink r:id="rId845" ref="B1121"/>
    <hyperlink r:id="rId846" ref="B1122"/>
    <hyperlink r:id="rId847" ref="B1123"/>
    <hyperlink r:id="rId848" ref="B1124"/>
    <hyperlink r:id="rId849" ref="B1125"/>
    <hyperlink r:id="rId850" ref="B1126"/>
    <hyperlink r:id="rId851" ref="B1127"/>
    <hyperlink r:id="rId852" ref="B1128"/>
    <hyperlink r:id="rId853" ref="B1129"/>
    <hyperlink r:id="rId854" ref="B1130"/>
    <hyperlink r:id="rId855" ref="B1131"/>
    <hyperlink r:id="rId856" ref="B1132"/>
    <hyperlink r:id="rId857" ref="B1133"/>
    <hyperlink r:id="rId858" ref="B1134"/>
    <hyperlink r:id="rId859" ref="B1135"/>
    <hyperlink r:id="rId860" ref="B1136"/>
    <hyperlink r:id="rId861" ref="B1137"/>
    <hyperlink r:id="rId862" ref="B1138"/>
    <hyperlink r:id="rId863" ref="B1139"/>
    <hyperlink r:id="rId864" ref="B1140"/>
    <hyperlink r:id="rId865" ref="B1141"/>
    <hyperlink r:id="rId866" ref="B1142"/>
    <hyperlink r:id="rId867" ref="B1143"/>
    <hyperlink r:id="rId868" ref="B1144"/>
    <hyperlink r:id="rId869" ref="B1145"/>
    <hyperlink r:id="rId870" ref="B1146"/>
    <hyperlink r:id="rId871" ref="B1147"/>
    <hyperlink r:id="rId872" ref="B1148"/>
    <hyperlink r:id="rId873" ref="B1149"/>
    <hyperlink r:id="rId874" ref="B1150"/>
    <hyperlink r:id="rId875" ref="B1151"/>
    <hyperlink r:id="rId876" ref="B1152"/>
    <hyperlink r:id="rId877" ref="B1153"/>
    <hyperlink r:id="rId878" ref="B1154"/>
    <hyperlink r:id="rId879" ref="B1155"/>
    <hyperlink r:id="rId880" ref="B1156"/>
    <hyperlink r:id="rId881" ref="B1157"/>
    <hyperlink r:id="rId882" ref="B1158"/>
    <hyperlink r:id="rId883" ref="B1159"/>
    <hyperlink r:id="rId884" ref="B1160"/>
    <hyperlink r:id="rId885" ref="B1161"/>
    <hyperlink r:id="rId886" ref="B1162"/>
    <hyperlink r:id="rId887" ref="B1163"/>
    <hyperlink r:id="rId888" ref="B1164"/>
    <hyperlink r:id="rId889" ref="B1165"/>
    <hyperlink r:id="rId890" ref="B1166"/>
    <hyperlink r:id="rId891" ref="B1167"/>
    <hyperlink r:id="rId892" ref="B1168"/>
    <hyperlink r:id="rId893" ref="B1169"/>
    <hyperlink r:id="rId894" ref="B1170"/>
    <hyperlink r:id="rId895" ref="B1171"/>
    <hyperlink r:id="rId896" ref="B1172"/>
    <hyperlink r:id="rId897" ref="B1173"/>
    <hyperlink r:id="rId898" ref="B1174"/>
    <hyperlink r:id="rId899" ref="B1175"/>
    <hyperlink r:id="rId900" ref="B1176"/>
    <hyperlink r:id="rId901" ref="B1177"/>
    <hyperlink r:id="rId902" ref="B1178"/>
    <hyperlink r:id="rId903" ref="B1179"/>
    <hyperlink r:id="rId904" ref="B1180"/>
    <hyperlink r:id="rId905" ref="B1181"/>
    <hyperlink r:id="rId906" ref="B1182"/>
    <hyperlink r:id="rId907" ref="B1183"/>
    <hyperlink r:id="rId908" ref="B1184"/>
    <hyperlink r:id="rId909" ref="B1185"/>
    <hyperlink r:id="rId910" ref="B1186"/>
    <hyperlink r:id="rId911" ref="B1187"/>
    <hyperlink r:id="rId912" ref="B1188"/>
    <hyperlink r:id="rId913" ref="B1189"/>
    <hyperlink r:id="rId914" ref="B1190"/>
    <hyperlink r:id="rId915" ref="B1191"/>
    <hyperlink r:id="rId916" ref="B1192"/>
    <hyperlink r:id="rId917" ref="B1193"/>
    <hyperlink r:id="rId918" ref="B1194"/>
    <hyperlink r:id="rId919" ref="B1195"/>
    <hyperlink r:id="rId920" ref="B1196"/>
    <hyperlink r:id="rId921" ref="B1197"/>
    <hyperlink r:id="rId922" ref="B1198"/>
    <hyperlink r:id="rId923" ref="B1199"/>
    <hyperlink r:id="rId924" ref="B1200"/>
    <hyperlink r:id="rId925" ref="B1201"/>
    <hyperlink r:id="rId926" ref="B1202"/>
    <hyperlink r:id="rId927" ref="B1203"/>
    <hyperlink r:id="rId928" ref="B1204"/>
    <hyperlink r:id="rId929" ref="B1205"/>
    <hyperlink r:id="rId930" ref="B1206"/>
    <hyperlink r:id="rId931" ref="B1207"/>
    <hyperlink r:id="rId932" ref="B1208"/>
    <hyperlink r:id="rId933" ref="B1209"/>
    <hyperlink r:id="rId934" ref="B1210"/>
    <hyperlink r:id="rId935" ref="B1211"/>
    <hyperlink r:id="rId936" ref="B1212"/>
    <hyperlink r:id="rId937" ref="B1213"/>
    <hyperlink r:id="rId938" ref="B1214"/>
    <hyperlink r:id="rId939" ref="B1215"/>
    <hyperlink r:id="rId940" ref="B1216"/>
    <hyperlink r:id="rId941" ref="B1217"/>
    <hyperlink r:id="rId942" ref="B1218"/>
    <hyperlink r:id="rId943" ref="B1219"/>
    <hyperlink r:id="rId944" ref="B1220"/>
    <hyperlink r:id="rId945" ref="B1221"/>
    <hyperlink r:id="rId946" ref="B1222"/>
    <hyperlink r:id="rId947" ref="B1223"/>
    <hyperlink r:id="rId948" ref="B1224"/>
    <hyperlink r:id="rId949" ref="B1225"/>
    <hyperlink r:id="rId950" ref="B1226"/>
    <hyperlink r:id="rId951" ref="B1227"/>
    <hyperlink r:id="rId952" ref="B1228"/>
    <hyperlink r:id="rId953" ref="B1229"/>
    <hyperlink r:id="rId954" ref="B1230"/>
    <hyperlink r:id="rId955" ref="B1231"/>
    <hyperlink r:id="rId956" ref="B1232"/>
    <hyperlink r:id="rId957" ref="B1233"/>
    <hyperlink r:id="rId958" ref="B1234"/>
    <hyperlink r:id="rId959" ref="B1235"/>
    <hyperlink r:id="rId960" ref="B1236"/>
    <hyperlink r:id="rId961" ref="B1237"/>
    <hyperlink r:id="rId962" ref="B1238"/>
    <hyperlink r:id="rId963" ref="B1239"/>
    <hyperlink r:id="rId964" ref="B1240"/>
    <hyperlink r:id="rId965" ref="B1241"/>
    <hyperlink r:id="rId966" ref="B1242"/>
    <hyperlink r:id="rId967" ref="B1243"/>
    <hyperlink r:id="rId968" ref="B1244"/>
    <hyperlink r:id="rId969" ref="B1245"/>
    <hyperlink r:id="rId970" ref="B1246"/>
    <hyperlink r:id="rId971" ref="B1247"/>
    <hyperlink r:id="rId972" ref="B1248"/>
    <hyperlink r:id="rId973" ref="B1249"/>
    <hyperlink r:id="rId974" ref="B1250"/>
    <hyperlink r:id="rId975" ref="B1251"/>
    <hyperlink r:id="rId976" ref="B1252"/>
    <hyperlink r:id="rId977" ref="B1253"/>
    <hyperlink r:id="rId978" ref="B1254"/>
    <hyperlink r:id="rId979" ref="B1255"/>
    <hyperlink r:id="rId980" ref="B1256"/>
    <hyperlink r:id="rId981" ref="B1257"/>
    <hyperlink r:id="rId982" ref="B1258"/>
    <hyperlink r:id="rId983" ref="B1259"/>
    <hyperlink r:id="rId984" ref="B1260"/>
    <hyperlink r:id="rId985" ref="B1261"/>
    <hyperlink r:id="rId986" ref="B1262"/>
    <hyperlink r:id="rId987" ref="B1263"/>
    <hyperlink r:id="rId988" ref="B1264"/>
    <hyperlink r:id="rId989" ref="B1265"/>
    <hyperlink r:id="rId990" ref="B1266"/>
    <hyperlink r:id="rId991" ref="B1267"/>
    <hyperlink r:id="rId992" ref="B1268"/>
    <hyperlink r:id="rId993" ref="B1269"/>
    <hyperlink r:id="rId994" ref="B1270"/>
    <hyperlink r:id="rId995" ref="B1271"/>
    <hyperlink r:id="rId996" ref="B1272"/>
    <hyperlink r:id="rId997" ref="B1273"/>
    <hyperlink r:id="rId998" ref="B1274"/>
    <hyperlink r:id="rId999" ref="B1275"/>
    <hyperlink r:id="rId1000" ref="B1276"/>
    <hyperlink r:id="rId1001" ref="B1277"/>
    <hyperlink r:id="rId1002" ref="B1278"/>
    <hyperlink r:id="rId1003" ref="B1279"/>
    <hyperlink r:id="rId1004" ref="B1280"/>
    <hyperlink r:id="rId1005" ref="B1281"/>
    <hyperlink r:id="rId1006" ref="B1282"/>
    <hyperlink r:id="rId1007" ref="B1283"/>
    <hyperlink r:id="rId1008" ref="B1284"/>
    <hyperlink r:id="rId1009" ref="B1285"/>
    <hyperlink r:id="rId1010" ref="B1286"/>
    <hyperlink r:id="rId1011" ref="B1287"/>
    <hyperlink r:id="rId1012" ref="B1288"/>
    <hyperlink r:id="rId1013" ref="B1289"/>
    <hyperlink r:id="rId1014" ref="B1290"/>
    <hyperlink r:id="rId1015" ref="B1291"/>
    <hyperlink r:id="rId1016" ref="B1292"/>
    <hyperlink r:id="rId1017" ref="B1293"/>
    <hyperlink r:id="rId1018" ref="B1294"/>
    <hyperlink r:id="rId1019" ref="B1295"/>
    <hyperlink r:id="rId1020" ref="B1296"/>
    <hyperlink r:id="rId1021" ref="B1297"/>
    <hyperlink r:id="rId1022" ref="B1298"/>
    <hyperlink r:id="rId1023" ref="B1299"/>
    <hyperlink r:id="rId1024" ref="B1300"/>
    <hyperlink r:id="rId1025" ref="B1301"/>
    <hyperlink r:id="rId1026" ref="B1302"/>
    <hyperlink r:id="rId1027" ref="B1303"/>
    <hyperlink r:id="rId1028" ref="B1304"/>
    <hyperlink r:id="rId1029" ref="B1305"/>
    <hyperlink r:id="rId1030" ref="B1306"/>
    <hyperlink r:id="rId1031" ref="B1307"/>
    <hyperlink r:id="rId1032" ref="B1308"/>
    <hyperlink r:id="rId1033" ref="B1309"/>
    <hyperlink r:id="rId1034" ref="B1310"/>
    <hyperlink r:id="rId1035" ref="B1311"/>
    <hyperlink r:id="rId1036" ref="B1312"/>
    <hyperlink r:id="rId1037" ref="B1313"/>
    <hyperlink r:id="rId1038" ref="B1314"/>
    <hyperlink r:id="rId1039" ref="B1315"/>
    <hyperlink r:id="rId1040" ref="B1316"/>
    <hyperlink r:id="rId1041" ref="B1317"/>
    <hyperlink r:id="rId1042" ref="B1318"/>
    <hyperlink r:id="rId1043" ref="B1319"/>
    <hyperlink r:id="rId1044" ref="B1320"/>
    <hyperlink r:id="rId1045" ref="B1321"/>
    <hyperlink r:id="rId1046" ref="B1322"/>
    <hyperlink r:id="rId1047" ref="B1323"/>
    <hyperlink r:id="rId1048" ref="B1324"/>
    <hyperlink r:id="rId1049" ref="B1325"/>
    <hyperlink r:id="rId1050" ref="B1326"/>
    <hyperlink r:id="rId1051" ref="B1327"/>
    <hyperlink r:id="rId1052" ref="B1328"/>
    <hyperlink r:id="rId1053" ref="B1329"/>
    <hyperlink r:id="rId1054" ref="B1330"/>
    <hyperlink r:id="rId1055" ref="B1331"/>
    <hyperlink r:id="rId1056" ref="B1332"/>
    <hyperlink r:id="rId1057" ref="B1333"/>
    <hyperlink r:id="rId1058" ref="B1334"/>
    <hyperlink r:id="rId1059" ref="B1335"/>
    <hyperlink r:id="rId1060" ref="B1336"/>
    <hyperlink r:id="rId1061" ref="B1337"/>
    <hyperlink r:id="rId1062" ref="B1338"/>
    <hyperlink r:id="rId1063" ref="B1339"/>
    <hyperlink r:id="rId1064" ref="B1340"/>
    <hyperlink r:id="rId1065" ref="B1341"/>
    <hyperlink r:id="rId1066" ref="B1342"/>
    <hyperlink r:id="rId1067" ref="B1343"/>
    <hyperlink r:id="rId1068" ref="B1344"/>
    <hyperlink r:id="rId1069" ref="B1345"/>
    <hyperlink r:id="rId1070" ref="B1346"/>
    <hyperlink r:id="rId1071" ref="B1347"/>
    <hyperlink r:id="rId1072" ref="B1348"/>
    <hyperlink r:id="rId1073" ref="B1349"/>
    <hyperlink r:id="rId1074" ref="B1350"/>
    <hyperlink r:id="rId1075" ref="B1351"/>
    <hyperlink r:id="rId1076" ref="B1352"/>
    <hyperlink r:id="rId1077" ref="B1353"/>
    <hyperlink r:id="rId1078" ref="B1354"/>
    <hyperlink r:id="rId1079" ref="B1355"/>
    <hyperlink r:id="rId1080" ref="B1356"/>
    <hyperlink r:id="rId1081" ref="B1357"/>
    <hyperlink r:id="rId1082" ref="B1358"/>
    <hyperlink r:id="rId1083" ref="B1359"/>
    <hyperlink r:id="rId1084" ref="B1360"/>
    <hyperlink r:id="rId1085" ref="B1361"/>
    <hyperlink r:id="rId1086" ref="B1362"/>
    <hyperlink r:id="rId1087" ref="B1363"/>
    <hyperlink r:id="rId1088" ref="B1364"/>
    <hyperlink r:id="rId1089" ref="B1365"/>
    <hyperlink r:id="rId1090" ref="B1366"/>
    <hyperlink r:id="rId1091" ref="B1367"/>
    <hyperlink r:id="rId1092" ref="B1368"/>
    <hyperlink r:id="rId1093" ref="B1369"/>
    <hyperlink r:id="rId1094" ref="B1370"/>
    <hyperlink r:id="rId1095" ref="B1371"/>
    <hyperlink r:id="rId1096" ref="B1372"/>
    <hyperlink r:id="rId1097" ref="B1373"/>
    <hyperlink r:id="rId1098" ref="B1374"/>
    <hyperlink r:id="rId1099" ref="B1375"/>
    <hyperlink r:id="rId1100" ref="B1376"/>
    <hyperlink r:id="rId1101" ref="B1377"/>
    <hyperlink r:id="rId1102" ref="B1378"/>
    <hyperlink r:id="rId1103" ref="B1379"/>
    <hyperlink r:id="rId1104" ref="B1380"/>
    <hyperlink r:id="rId1105" ref="B1381"/>
    <hyperlink r:id="rId1106" ref="B1382"/>
    <hyperlink r:id="rId1107" ref="B1383"/>
    <hyperlink r:id="rId1108" ref="B1384"/>
    <hyperlink r:id="rId1109" ref="B1385"/>
    <hyperlink r:id="rId1110" ref="B1386"/>
    <hyperlink r:id="rId1111" ref="B1387"/>
    <hyperlink r:id="rId1112" ref="B1388"/>
    <hyperlink r:id="rId1113" ref="B1389"/>
    <hyperlink r:id="rId1114" ref="B1390"/>
    <hyperlink r:id="rId1115" ref="B1391"/>
    <hyperlink r:id="rId1116" ref="B1392"/>
    <hyperlink r:id="rId1117" ref="B1393"/>
    <hyperlink r:id="rId1118" ref="B1394"/>
    <hyperlink r:id="rId1119" ref="B1395"/>
    <hyperlink r:id="rId1120" ref="B1396"/>
    <hyperlink r:id="rId1121" ref="B1397"/>
    <hyperlink r:id="rId1122" ref="B1398"/>
    <hyperlink r:id="rId1123" ref="B1399"/>
    <hyperlink r:id="rId1124" ref="B1400"/>
    <hyperlink r:id="rId1125" ref="B1401"/>
    <hyperlink r:id="rId1126" ref="B1402"/>
    <hyperlink r:id="rId1127" ref="B1403"/>
    <hyperlink r:id="rId1128" ref="B1404"/>
    <hyperlink r:id="rId1129" ref="B1405"/>
    <hyperlink r:id="rId1130" ref="B1406"/>
    <hyperlink r:id="rId1131" ref="B1407"/>
    <hyperlink r:id="rId1132" ref="B1408"/>
    <hyperlink r:id="rId1133" ref="B1409"/>
    <hyperlink r:id="rId1134" ref="B1410"/>
    <hyperlink r:id="rId1135" ref="B1411"/>
    <hyperlink r:id="rId1136" ref="B1412"/>
    <hyperlink r:id="rId1137" ref="B1413"/>
    <hyperlink r:id="rId1138" ref="B1414"/>
    <hyperlink r:id="rId1139" ref="B1415"/>
    <hyperlink r:id="rId1140" ref="B1416"/>
    <hyperlink r:id="rId1141" ref="B1417"/>
    <hyperlink r:id="rId1142" ref="B1418"/>
    <hyperlink r:id="rId1143" ref="B1419"/>
    <hyperlink r:id="rId1144" ref="B1420"/>
    <hyperlink r:id="rId1145" ref="B1421"/>
    <hyperlink r:id="rId1146" ref="B1422"/>
    <hyperlink r:id="rId1147" ref="B1423"/>
    <hyperlink r:id="rId1148" ref="B1424"/>
    <hyperlink r:id="rId1149" ref="B1425"/>
    <hyperlink r:id="rId1150" ref="B1426"/>
    <hyperlink r:id="rId1151" ref="B1427"/>
    <hyperlink r:id="rId1152" ref="B1428"/>
    <hyperlink r:id="rId1153" ref="B1429"/>
    <hyperlink r:id="rId1154" ref="B1430"/>
    <hyperlink r:id="rId1155" ref="B1431"/>
    <hyperlink r:id="rId1156" ref="B1432"/>
    <hyperlink r:id="rId1157" ref="B1433"/>
    <hyperlink r:id="rId1158" ref="B1434"/>
    <hyperlink r:id="rId1159" ref="B1435"/>
    <hyperlink r:id="rId1160" ref="B1436"/>
    <hyperlink r:id="rId1161" ref="B1437"/>
    <hyperlink r:id="rId1162" ref="B1438"/>
    <hyperlink r:id="rId1163" ref="B1439"/>
    <hyperlink r:id="rId1164" ref="B1440"/>
    <hyperlink r:id="rId1165" ref="B1441"/>
    <hyperlink r:id="rId1166" ref="B1442"/>
    <hyperlink r:id="rId1167" ref="B1443"/>
    <hyperlink r:id="rId1168" ref="B1444"/>
    <hyperlink r:id="rId1169" ref="B1445"/>
    <hyperlink r:id="rId1170" ref="B1446"/>
    <hyperlink r:id="rId1171" ref="B1447"/>
    <hyperlink r:id="rId1172" ref="B1448"/>
    <hyperlink r:id="rId1173" ref="B1449"/>
    <hyperlink r:id="rId1174" ref="B1450"/>
    <hyperlink r:id="rId1175" ref="B1451"/>
    <hyperlink r:id="rId1176" ref="B1452"/>
    <hyperlink r:id="rId1177" ref="B1453"/>
    <hyperlink r:id="rId1178" ref="B1454"/>
    <hyperlink r:id="rId1179" ref="B1455"/>
    <hyperlink r:id="rId1180" ref="B1456"/>
    <hyperlink r:id="rId1181" ref="B1457"/>
    <hyperlink r:id="rId1182" ref="B1458"/>
    <hyperlink r:id="rId1183" ref="B1459"/>
    <hyperlink r:id="rId1184" ref="B1460"/>
    <hyperlink r:id="rId1185" ref="B1461"/>
    <hyperlink r:id="rId1186" ref="B1462"/>
    <hyperlink r:id="rId1187" ref="B1463"/>
    <hyperlink r:id="rId1188" ref="B1464"/>
    <hyperlink r:id="rId1189" ref="B1465"/>
    <hyperlink r:id="rId1190" ref="B1466"/>
    <hyperlink r:id="rId1191" ref="B1467"/>
    <hyperlink r:id="rId1192" ref="B1468"/>
    <hyperlink r:id="rId1193" ref="B1469"/>
    <hyperlink r:id="rId1194" ref="B1470"/>
    <hyperlink r:id="rId1195" ref="B1471"/>
    <hyperlink r:id="rId1196" ref="B1472"/>
    <hyperlink r:id="rId1197" ref="B1473"/>
    <hyperlink r:id="rId1198" ref="B1474"/>
    <hyperlink r:id="rId1199" ref="B1475"/>
    <hyperlink r:id="rId1200" ref="B1476"/>
    <hyperlink r:id="rId1201" ref="B1477"/>
    <hyperlink r:id="rId1202" ref="B1478"/>
    <hyperlink r:id="rId1203" ref="B1479"/>
    <hyperlink r:id="rId1204" ref="B1480"/>
    <hyperlink r:id="rId1205" ref="B1481"/>
    <hyperlink r:id="rId1206" ref="B1482"/>
    <hyperlink r:id="rId1207" ref="B1483"/>
    <hyperlink r:id="rId1208" ref="B1484"/>
    <hyperlink r:id="rId1209" ref="B1485"/>
    <hyperlink r:id="rId1210" ref="B1486"/>
    <hyperlink r:id="rId1211" ref="B1487"/>
    <hyperlink r:id="rId1212" ref="B1488"/>
    <hyperlink r:id="rId1213" ref="B1489"/>
    <hyperlink r:id="rId1214" ref="B1490"/>
    <hyperlink r:id="rId1215" ref="B1491"/>
    <hyperlink r:id="rId1216" ref="B1492"/>
    <hyperlink r:id="rId1217" ref="B1493"/>
    <hyperlink r:id="rId1218" ref="B1494"/>
    <hyperlink r:id="rId1219" ref="B1495"/>
    <hyperlink r:id="rId1220" ref="B1496"/>
    <hyperlink r:id="rId1221" ref="B1497"/>
    <hyperlink r:id="rId1222" ref="B1498"/>
    <hyperlink r:id="rId1223" ref="B1499"/>
    <hyperlink r:id="rId1224" ref="B1500"/>
    <hyperlink r:id="rId1225" ref="B1501"/>
    <hyperlink r:id="rId1226" ref="B1502"/>
    <hyperlink r:id="rId1227" ref="B1503"/>
    <hyperlink r:id="rId1228" ref="B1504"/>
    <hyperlink r:id="rId1229" ref="B1505"/>
    <hyperlink r:id="rId1230" ref="B1506"/>
    <hyperlink r:id="rId1231" ref="B1507"/>
    <hyperlink r:id="rId1232" ref="B1508"/>
    <hyperlink r:id="rId1233" ref="B1509"/>
    <hyperlink r:id="rId1234" ref="B1510"/>
    <hyperlink r:id="rId1235" ref="B1511"/>
    <hyperlink r:id="rId1236" ref="B1512"/>
    <hyperlink r:id="rId1237" ref="B1513"/>
    <hyperlink r:id="rId1238" ref="B1514"/>
    <hyperlink r:id="rId1239" ref="B1515"/>
    <hyperlink r:id="rId1240" ref="B1516"/>
    <hyperlink r:id="rId1241" ref="B1517"/>
    <hyperlink r:id="rId1242" ref="B1518"/>
    <hyperlink r:id="rId1243" ref="B1519"/>
    <hyperlink r:id="rId1244" ref="B1520"/>
    <hyperlink r:id="rId1245" ref="B1521"/>
    <hyperlink r:id="rId1246" ref="B1522"/>
    <hyperlink r:id="rId1247" ref="B1523"/>
    <hyperlink r:id="rId1248" ref="B1524"/>
    <hyperlink r:id="rId1249" ref="B1525"/>
    <hyperlink r:id="rId1250" ref="B1526"/>
    <hyperlink r:id="rId1251" ref="B1527"/>
    <hyperlink r:id="rId1252" ref="B1528"/>
    <hyperlink r:id="rId1253" ref="B1529"/>
    <hyperlink r:id="rId1254" ref="B1530"/>
    <hyperlink r:id="rId1255" ref="B1531"/>
    <hyperlink r:id="rId1256" ref="B1532"/>
    <hyperlink r:id="rId1257" ref="B1533"/>
    <hyperlink r:id="rId1258" ref="B1534"/>
    <hyperlink r:id="rId1259" ref="B1535"/>
    <hyperlink r:id="rId1260" ref="B1536"/>
    <hyperlink r:id="rId1261" ref="B1537"/>
    <hyperlink r:id="rId1262" ref="B1538"/>
    <hyperlink r:id="rId1263" ref="B1539"/>
    <hyperlink r:id="rId1264" ref="B1540"/>
    <hyperlink r:id="rId1265" ref="B1541"/>
    <hyperlink r:id="rId1266" ref="B1542"/>
    <hyperlink r:id="rId1267" ref="B1543"/>
    <hyperlink r:id="rId1268" ref="B1544"/>
    <hyperlink r:id="rId1269" ref="B1545"/>
    <hyperlink r:id="rId1270" ref="B1546"/>
    <hyperlink r:id="rId1271" ref="B1547"/>
    <hyperlink r:id="rId1272" ref="B1548"/>
    <hyperlink r:id="rId1273" ref="B1549"/>
    <hyperlink r:id="rId1274" ref="B1550"/>
    <hyperlink r:id="rId1275" ref="B1551"/>
    <hyperlink r:id="rId1276" ref="B1552"/>
    <hyperlink r:id="rId1277" ref="B1553"/>
    <hyperlink r:id="rId1278" ref="B1554"/>
    <hyperlink r:id="rId1279" ref="B1555"/>
    <hyperlink r:id="rId1280" ref="B1556"/>
    <hyperlink r:id="rId1281" ref="B1557"/>
    <hyperlink r:id="rId1282" ref="B1558"/>
    <hyperlink r:id="rId1283" ref="B1559"/>
    <hyperlink r:id="rId1284" ref="B1560"/>
    <hyperlink r:id="rId1285" ref="B1561"/>
    <hyperlink r:id="rId1286" ref="B1562"/>
    <hyperlink r:id="rId1287" ref="B1563"/>
    <hyperlink r:id="rId1288" ref="B1564"/>
    <hyperlink r:id="rId1289" ref="B1565"/>
    <hyperlink r:id="rId1290" ref="B1566"/>
    <hyperlink r:id="rId1291" ref="B1567"/>
    <hyperlink r:id="rId1292" ref="B1568"/>
    <hyperlink r:id="rId1293" ref="B1569"/>
    <hyperlink r:id="rId1294" ref="B1570"/>
    <hyperlink r:id="rId1295" ref="B1571"/>
    <hyperlink r:id="rId1296" ref="B1572"/>
    <hyperlink r:id="rId1297" ref="B1573"/>
    <hyperlink r:id="rId1298" ref="B1574"/>
    <hyperlink r:id="rId1299" ref="B1575"/>
    <hyperlink r:id="rId1300" ref="B1576"/>
    <hyperlink r:id="rId1301" ref="B1577"/>
    <hyperlink r:id="rId1302" ref="B1578"/>
    <hyperlink r:id="rId1303" ref="B1579"/>
    <hyperlink r:id="rId1304" ref="B1580"/>
    <hyperlink r:id="rId1305" ref="B1581"/>
    <hyperlink r:id="rId1306" ref="B1582"/>
    <hyperlink r:id="rId1307" ref="B1583"/>
    <hyperlink r:id="rId1308" ref="B1584"/>
    <hyperlink r:id="rId1309" ref="B1585"/>
    <hyperlink r:id="rId1310" ref="B1586"/>
    <hyperlink r:id="rId1311" ref="B1587"/>
    <hyperlink r:id="rId1312" ref="B1588"/>
    <hyperlink r:id="rId1313" ref="B1589"/>
    <hyperlink r:id="rId1314" ref="B1590"/>
    <hyperlink r:id="rId1315" ref="B1591"/>
    <hyperlink r:id="rId1316" ref="B1592"/>
    <hyperlink r:id="rId1317" ref="B1593"/>
    <hyperlink r:id="rId1318" ref="B1594"/>
    <hyperlink r:id="rId1319" ref="B1595"/>
    <hyperlink r:id="rId1320" ref="B1596"/>
    <hyperlink r:id="rId1321" ref="B1597"/>
    <hyperlink r:id="rId1322" ref="B1598"/>
    <hyperlink r:id="rId1323" ref="B1599"/>
    <hyperlink r:id="rId1324" ref="B1600"/>
    <hyperlink r:id="rId1325" ref="B1601"/>
    <hyperlink r:id="rId1326" ref="B1602"/>
    <hyperlink r:id="rId1327" ref="B1603"/>
    <hyperlink r:id="rId1328" ref="B1604"/>
    <hyperlink r:id="rId1329" ref="B1605"/>
    <hyperlink r:id="rId1330" ref="B1606"/>
    <hyperlink r:id="rId1331" ref="B1607"/>
    <hyperlink r:id="rId1332" ref="B1608"/>
    <hyperlink r:id="rId1333" ref="B1609"/>
    <hyperlink r:id="rId1334" ref="B1610"/>
    <hyperlink r:id="rId1335" ref="B1611"/>
    <hyperlink r:id="rId1336" ref="B1612"/>
    <hyperlink r:id="rId1337" ref="B1613"/>
    <hyperlink r:id="rId1338" ref="B1614"/>
    <hyperlink r:id="rId1339" ref="B1615"/>
    <hyperlink r:id="rId1340" ref="B1616"/>
    <hyperlink r:id="rId1341" ref="B1617"/>
    <hyperlink r:id="rId1342" ref="B1618"/>
    <hyperlink r:id="rId1343" ref="B1619"/>
    <hyperlink r:id="rId1344" ref="B1620"/>
    <hyperlink r:id="rId1345" ref="B1621"/>
    <hyperlink r:id="rId1346" ref="B1622"/>
    <hyperlink r:id="rId1347" ref="B1623"/>
    <hyperlink r:id="rId1348" ref="B1624"/>
    <hyperlink r:id="rId1349" ref="B1625"/>
    <hyperlink r:id="rId1350" ref="B1626"/>
    <hyperlink r:id="rId1351" ref="B1627"/>
    <hyperlink r:id="rId1352" ref="B1628"/>
    <hyperlink r:id="rId1353" ref="B1629"/>
    <hyperlink r:id="rId1354" ref="B1630"/>
    <hyperlink r:id="rId1355" ref="B1631"/>
    <hyperlink r:id="rId1356" ref="B1632"/>
    <hyperlink r:id="rId1357" ref="B1633"/>
    <hyperlink r:id="rId1358" ref="B1634"/>
    <hyperlink r:id="rId1359" ref="B1635"/>
    <hyperlink r:id="rId1360" ref="B1636"/>
    <hyperlink r:id="rId1361" ref="B1637"/>
    <hyperlink r:id="rId1362" ref="B1638"/>
    <hyperlink r:id="rId1363" ref="B1639"/>
    <hyperlink r:id="rId1364" ref="B1640"/>
    <hyperlink r:id="rId1365" ref="B1641"/>
    <hyperlink r:id="rId1366" ref="B1642"/>
    <hyperlink r:id="rId1367" ref="B1643"/>
    <hyperlink r:id="rId1368" ref="B1644"/>
    <hyperlink r:id="rId1369" ref="B1645"/>
    <hyperlink r:id="rId1370" ref="B1646"/>
    <hyperlink r:id="rId1371" ref="B1647"/>
    <hyperlink r:id="rId1372" ref="B1648"/>
    <hyperlink r:id="rId1373" ref="B1649"/>
    <hyperlink r:id="rId1374" ref="B1650"/>
    <hyperlink r:id="rId1375" ref="B1651"/>
    <hyperlink r:id="rId1376" ref="B1652"/>
    <hyperlink r:id="rId1377" ref="B1653"/>
    <hyperlink r:id="rId1378" ref="B1654"/>
    <hyperlink r:id="rId1379" ref="B1655"/>
    <hyperlink r:id="rId1380" ref="B1656"/>
    <hyperlink r:id="rId1381" ref="B1657"/>
    <hyperlink r:id="rId1382" ref="B1658"/>
    <hyperlink r:id="rId1383" ref="B1659"/>
    <hyperlink r:id="rId1384" ref="B1660"/>
    <hyperlink r:id="rId1385" ref="B1661"/>
    <hyperlink r:id="rId1386" ref="B1662"/>
    <hyperlink r:id="rId1387" ref="B1663"/>
    <hyperlink r:id="rId1388" ref="B1664"/>
    <hyperlink r:id="rId1389" ref="B1665"/>
    <hyperlink r:id="rId1390" ref="B1666"/>
    <hyperlink r:id="rId1391" ref="B1667"/>
    <hyperlink r:id="rId1392" ref="B1668"/>
    <hyperlink r:id="rId1393" ref="B1669"/>
    <hyperlink r:id="rId1394" ref="B1670"/>
    <hyperlink r:id="rId1395" ref="B1671"/>
    <hyperlink r:id="rId1396" ref="B1672"/>
    <hyperlink r:id="rId1397" ref="B1673"/>
    <hyperlink r:id="rId1398" ref="B1674"/>
    <hyperlink r:id="rId1399" ref="B1675"/>
    <hyperlink r:id="rId1400" ref="B1676"/>
    <hyperlink r:id="rId1401" ref="B1677"/>
    <hyperlink r:id="rId1402" ref="B1678"/>
    <hyperlink r:id="rId1403" ref="B1679"/>
    <hyperlink r:id="rId1404" ref="B1680"/>
    <hyperlink r:id="rId1405" ref="B1681"/>
    <hyperlink r:id="rId1406" ref="B1682"/>
    <hyperlink r:id="rId1407" ref="B1683"/>
    <hyperlink r:id="rId1408" ref="B1684"/>
    <hyperlink r:id="rId1409" ref="B1685"/>
    <hyperlink r:id="rId1410" ref="B1686"/>
    <hyperlink r:id="rId1411" ref="B1687"/>
    <hyperlink r:id="rId1412" ref="B1688"/>
    <hyperlink r:id="rId1413" ref="B1689"/>
    <hyperlink r:id="rId1414" ref="B1690"/>
    <hyperlink r:id="rId1415" ref="B1691"/>
    <hyperlink r:id="rId1416" ref="B1692"/>
    <hyperlink r:id="rId1417" ref="B1693"/>
    <hyperlink r:id="rId1418" ref="B1694"/>
    <hyperlink r:id="rId1419" ref="B1695"/>
    <hyperlink r:id="rId1420" ref="B1696"/>
    <hyperlink r:id="rId1421" ref="B1697"/>
    <hyperlink r:id="rId1422" ref="B1698"/>
    <hyperlink r:id="rId1423" ref="B1699"/>
    <hyperlink r:id="rId1424" ref="B1700"/>
    <hyperlink r:id="rId1425" ref="B1701"/>
    <hyperlink r:id="rId1426" ref="B1702"/>
    <hyperlink r:id="rId1427" ref="B1703"/>
    <hyperlink r:id="rId1428" ref="B1704"/>
    <hyperlink r:id="rId1429" ref="B1705"/>
    <hyperlink r:id="rId1430" ref="B1706"/>
    <hyperlink r:id="rId1431" ref="B1707"/>
    <hyperlink r:id="rId1432" ref="B1708"/>
    <hyperlink r:id="rId1433" ref="B1709"/>
    <hyperlink r:id="rId1434" ref="B1710"/>
    <hyperlink r:id="rId1435" ref="B1711"/>
    <hyperlink r:id="rId1436" ref="B1712"/>
    <hyperlink r:id="rId1437" ref="B1713"/>
    <hyperlink r:id="rId1438" ref="B1714"/>
    <hyperlink r:id="rId1439" ref="B1715"/>
    <hyperlink r:id="rId1440" ref="B1716"/>
    <hyperlink r:id="rId1441" ref="B1717"/>
    <hyperlink r:id="rId1442" ref="B1718"/>
    <hyperlink r:id="rId1443" ref="B1719"/>
    <hyperlink r:id="rId1444" ref="B1720"/>
    <hyperlink r:id="rId1445" ref="B1721"/>
    <hyperlink r:id="rId1446" ref="B1722"/>
    <hyperlink r:id="rId1447" ref="B1723"/>
    <hyperlink r:id="rId1448" ref="B1724"/>
    <hyperlink r:id="rId1449" ref="B1725"/>
    <hyperlink r:id="rId1450" ref="B1726"/>
    <hyperlink r:id="rId1451" ref="B1727"/>
    <hyperlink r:id="rId1452" ref="B1728"/>
    <hyperlink r:id="rId1453" ref="B1729"/>
    <hyperlink r:id="rId1454" ref="B1730"/>
    <hyperlink r:id="rId1455" ref="B1731"/>
    <hyperlink r:id="rId1456" ref="B1732"/>
    <hyperlink r:id="rId1457" ref="B1733"/>
    <hyperlink r:id="rId1458" ref="B1734"/>
    <hyperlink r:id="rId1459" ref="B1735"/>
    <hyperlink r:id="rId1460" ref="B1736"/>
    <hyperlink r:id="rId1461" ref="B1737"/>
    <hyperlink r:id="rId1462" ref="B1738"/>
    <hyperlink r:id="rId1463" ref="B1739"/>
    <hyperlink r:id="rId1464" ref="B1740"/>
    <hyperlink r:id="rId1465" ref="B1741"/>
    <hyperlink r:id="rId1466" ref="B1742"/>
    <hyperlink r:id="rId1467" ref="B1743"/>
    <hyperlink r:id="rId1468" ref="B1744"/>
    <hyperlink r:id="rId1469" ref="B1745"/>
    <hyperlink r:id="rId1470" ref="B1746"/>
    <hyperlink r:id="rId1471" ref="B1747"/>
    <hyperlink r:id="rId1472" ref="B1748"/>
    <hyperlink r:id="rId1473" ref="B1749"/>
    <hyperlink r:id="rId1474" ref="B1750"/>
    <hyperlink r:id="rId1475" ref="B1751"/>
    <hyperlink r:id="rId1476" ref="B1752"/>
    <hyperlink r:id="rId1477" ref="B1753"/>
    <hyperlink r:id="rId1478" ref="B1754"/>
    <hyperlink r:id="rId1479" ref="B1755"/>
    <hyperlink r:id="rId1480" ref="B1756"/>
    <hyperlink r:id="rId1481" ref="B1757"/>
    <hyperlink r:id="rId1482" ref="B1758"/>
    <hyperlink r:id="rId1483" ref="B1759"/>
    <hyperlink r:id="rId1484" ref="B1760"/>
    <hyperlink r:id="rId1485" ref="B1761"/>
    <hyperlink r:id="rId1486" ref="B1762"/>
    <hyperlink r:id="rId1487" ref="B1763"/>
    <hyperlink r:id="rId1488" ref="B1764"/>
    <hyperlink r:id="rId1489" ref="B1765"/>
    <hyperlink r:id="rId1490" ref="B1766"/>
    <hyperlink r:id="rId1491" ref="B1767"/>
    <hyperlink r:id="rId1492" ref="B1768"/>
    <hyperlink r:id="rId1493" ref="B1769"/>
    <hyperlink r:id="rId1494" ref="B1770"/>
    <hyperlink r:id="rId1495" ref="B1771"/>
    <hyperlink r:id="rId1496" ref="B1772"/>
    <hyperlink r:id="rId1497" ref="B1773"/>
    <hyperlink r:id="rId1498" ref="B1774"/>
    <hyperlink r:id="rId1499" ref="B1775"/>
    <hyperlink r:id="rId1500" ref="B1776"/>
    <hyperlink r:id="rId1501" ref="B1777"/>
    <hyperlink r:id="rId1502" ref="B1778"/>
    <hyperlink r:id="rId1503" ref="B1779"/>
    <hyperlink r:id="rId1504" ref="B1780"/>
    <hyperlink r:id="rId1505" ref="B1781"/>
    <hyperlink r:id="rId1506" ref="B1782"/>
    <hyperlink r:id="rId1507" ref="B1783"/>
    <hyperlink r:id="rId1508" ref="B1784"/>
    <hyperlink r:id="rId1509" ref="B1785"/>
    <hyperlink r:id="rId1510" ref="B1786"/>
    <hyperlink r:id="rId1511" ref="B1787"/>
    <hyperlink r:id="rId1512" ref="B1788"/>
    <hyperlink r:id="rId1513" ref="B1789"/>
    <hyperlink r:id="rId1514" ref="B1790"/>
    <hyperlink r:id="rId1515" ref="B1791"/>
    <hyperlink r:id="rId1516" ref="B1792"/>
    <hyperlink r:id="rId1517" ref="B1793"/>
    <hyperlink r:id="rId1518" ref="B1794"/>
    <hyperlink r:id="rId1519" ref="B1795"/>
    <hyperlink r:id="rId1520" ref="B1796"/>
    <hyperlink r:id="rId1521" ref="B1797"/>
    <hyperlink r:id="rId1522" ref="B1798"/>
    <hyperlink r:id="rId1523" ref="B1799"/>
    <hyperlink r:id="rId1524" ref="B1800"/>
    <hyperlink r:id="rId1525" ref="B1801"/>
    <hyperlink r:id="rId1526" ref="B1802"/>
    <hyperlink r:id="rId1527" ref="B1803"/>
    <hyperlink r:id="rId1528" ref="B1804"/>
    <hyperlink r:id="rId1529" ref="B1805"/>
    <hyperlink r:id="rId1530" ref="B1806"/>
    <hyperlink r:id="rId1531" ref="B1807"/>
    <hyperlink r:id="rId1532" ref="B1808"/>
    <hyperlink r:id="rId1533" ref="B1809"/>
    <hyperlink r:id="rId1534" ref="B1810"/>
    <hyperlink r:id="rId1535" ref="B1811"/>
    <hyperlink r:id="rId1536" ref="B1812"/>
    <hyperlink r:id="rId1537" ref="B1813"/>
    <hyperlink r:id="rId1538" ref="B1814"/>
    <hyperlink r:id="rId1539" ref="B1815"/>
    <hyperlink r:id="rId1540" ref="B1816"/>
    <hyperlink r:id="rId1541" ref="B1817"/>
    <hyperlink r:id="rId1542" ref="B1818"/>
    <hyperlink r:id="rId1543" ref="B1819"/>
    <hyperlink r:id="rId1544" ref="B1820"/>
    <hyperlink r:id="rId1545" ref="B1821"/>
    <hyperlink r:id="rId1546" ref="B1822"/>
    <hyperlink r:id="rId1547" ref="B1823"/>
    <hyperlink r:id="rId1548" ref="B1824"/>
    <hyperlink r:id="rId1549" ref="B1825"/>
    <hyperlink r:id="rId1550" ref="B1826"/>
    <hyperlink r:id="rId1551" ref="B1827"/>
    <hyperlink r:id="rId1552" ref="B1828"/>
    <hyperlink r:id="rId1553" ref="B1829"/>
    <hyperlink r:id="rId1554" ref="B1830"/>
    <hyperlink r:id="rId1555" ref="B1831"/>
    <hyperlink r:id="rId1556" ref="B1832"/>
    <hyperlink r:id="rId1557" ref="B1833"/>
    <hyperlink r:id="rId1558" ref="B1834"/>
    <hyperlink r:id="rId1559" ref="B1835"/>
    <hyperlink r:id="rId1560" ref="B1836"/>
    <hyperlink r:id="rId1561" ref="B1837"/>
    <hyperlink r:id="rId1562" ref="B1838"/>
    <hyperlink r:id="rId1563" ref="B1839"/>
    <hyperlink r:id="rId1564" ref="B1840"/>
    <hyperlink r:id="rId1565" ref="B1841"/>
    <hyperlink r:id="rId1566" ref="B1842"/>
    <hyperlink r:id="rId1567" ref="B1843"/>
    <hyperlink r:id="rId1568" ref="B1844"/>
    <hyperlink r:id="rId1569" ref="B1845"/>
    <hyperlink r:id="rId1570" ref="B1846"/>
    <hyperlink r:id="rId1571" ref="B1847"/>
    <hyperlink r:id="rId1572" ref="B1848"/>
    <hyperlink r:id="rId1573" ref="B1849"/>
    <hyperlink r:id="rId1574" ref="B1850"/>
    <hyperlink r:id="rId1575" ref="B1851"/>
    <hyperlink r:id="rId1576" ref="B1852"/>
    <hyperlink r:id="rId1577" ref="B1853"/>
    <hyperlink r:id="rId1578" ref="B1854"/>
    <hyperlink r:id="rId1579" ref="B1855"/>
    <hyperlink r:id="rId1580" ref="B1856"/>
    <hyperlink r:id="rId1581" ref="B1857"/>
    <hyperlink r:id="rId1582" ref="B1858"/>
    <hyperlink r:id="rId1583" ref="B1859"/>
    <hyperlink r:id="rId1584" ref="B1860"/>
    <hyperlink r:id="rId1585" ref="B1861"/>
    <hyperlink r:id="rId1586" ref="B1862"/>
    <hyperlink r:id="rId1587" ref="B1863"/>
    <hyperlink r:id="rId1588" ref="B1864"/>
    <hyperlink r:id="rId1589" ref="B1865"/>
    <hyperlink r:id="rId1590" ref="B1866"/>
    <hyperlink r:id="rId1591" ref="B1867"/>
    <hyperlink r:id="rId1592" ref="B1868"/>
    <hyperlink r:id="rId1593" ref="B1869"/>
    <hyperlink r:id="rId1594" ref="B1870"/>
    <hyperlink r:id="rId1595" ref="B1871"/>
    <hyperlink r:id="rId1596" ref="B1872"/>
    <hyperlink r:id="rId1597" ref="B1873"/>
    <hyperlink r:id="rId1598" ref="B1874"/>
    <hyperlink r:id="rId1599" ref="B1875"/>
    <hyperlink r:id="rId1600" ref="B1876"/>
    <hyperlink r:id="rId1601" ref="B1877"/>
    <hyperlink r:id="rId1602" ref="B1878"/>
    <hyperlink r:id="rId1603" ref="B1879"/>
    <hyperlink r:id="rId1604" ref="B1880"/>
    <hyperlink r:id="rId1605" ref="B1881"/>
    <hyperlink r:id="rId1606" ref="B1882"/>
    <hyperlink r:id="rId1607" ref="B1883"/>
    <hyperlink r:id="rId1608" ref="B1884"/>
    <hyperlink r:id="rId1609" ref="B1885"/>
    <hyperlink r:id="rId1610" ref="B1886"/>
    <hyperlink r:id="rId1611" ref="B1887"/>
    <hyperlink r:id="rId1612" ref="B1888"/>
    <hyperlink r:id="rId1613" ref="B1889"/>
    <hyperlink r:id="rId1614" ref="B1890"/>
    <hyperlink r:id="rId1615" ref="B1891"/>
    <hyperlink r:id="rId1616" ref="B1892"/>
    <hyperlink r:id="rId1617" ref="B1893"/>
    <hyperlink r:id="rId1618" ref="B1894"/>
    <hyperlink r:id="rId1619" ref="B1895"/>
    <hyperlink r:id="rId1620" ref="B1896"/>
    <hyperlink r:id="rId1621" ref="B1897"/>
    <hyperlink r:id="rId1622" ref="B1898"/>
    <hyperlink r:id="rId1623" ref="B1899"/>
    <hyperlink r:id="rId1624" ref="B1900"/>
    <hyperlink r:id="rId1625" ref="B1901"/>
    <hyperlink r:id="rId1626" ref="B1902"/>
    <hyperlink r:id="rId1627" ref="B1903"/>
    <hyperlink r:id="rId1628" ref="B1904"/>
    <hyperlink r:id="rId1629" ref="B1905"/>
    <hyperlink r:id="rId1630" ref="B1906"/>
    <hyperlink r:id="rId1631" ref="B1907"/>
    <hyperlink r:id="rId1632" ref="B1908"/>
    <hyperlink r:id="rId1633" ref="B1909"/>
    <hyperlink r:id="rId1634" ref="B1910"/>
    <hyperlink r:id="rId1635" ref="B1911"/>
    <hyperlink r:id="rId1636" ref="B1912"/>
    <hyperlink r:id="rId1637" ref="B1913"/>
    <hyperlink r:id="rId1638" ref="B1914"/>
    <hyperlink r:id="rId1639" ref="B1915"/>
    <hyperlink r:id="rId1640" ref="B1916"/>
    <hyperlink r:id="rId1641" ref="B1917"/>
    <hyperlink r:id="rId1642" ref="B1918"/>
    <hyperlink r:id="rId1643" ref="B1919"/>
    <hyperlink r:id="rId1644" ref="B1920"/>
    <hyperlink r:id="rId1645" ref="B1921"/>
    <hyperlink r:id="rId1646" ref="B1922"/>
    <hyperlink r:id="rId1647" ref="B1923"/>
    <hyperlink r:id="rId1648" ref="B1924"/>
    <hyperlink r:id="rId1649" ref="B1925"/>
    <hyperlink r:id="rId1650" ref="B1926"/>
    <hyperlink r:id="rId1651" ref="B1927"/>
    <hyperlink r:id="rId1652" ref="B1928"/>
    <hyperlink r:id="rId1653" ref="B1929"/>
    <hyperlink r:id="rId1654" ref="B1930"/>
    <hyperlink r:id="rId1655" ref="B1931"/>
    <hyperlink r:id="rId1656" ref="B1932"/>
    <hyperlink r:id="rId1657" ref="B1933"/>
    <hyperlink r:id="rId1658" ref="B1934"/>
    <hyperlink r:id="rId1659" ref="B1935"/>
    <hyperlink r:id="rId1660" ref="B1936"/>
    <hyperlink r:id="rId1661" ref="B1937"/>
    <hyperlink r:id="rId1662" ref="B1938"/>
    <hyperlink r:id="rId1663" ref="B1939"/>
    <hyperlink r:id="rId1664" ref="B1940"/>
    <hyperlink r:id="rId1665" ref="B1941"/>
    <hyperlink r:id="rId1666" ref="B1942"/>
    <hyperlink r:id="rId1667" ref="B1943"/>
    <hyperlink r:id="rId1668" ref="B1944"/>
    <hyperlink r:id="rId1669" ref="B1945"/>
    <hyperlink r:id="rId1670" ref="B1946"/>
    <hyperlink r:id="rId1671" ref="B1947"/>
    <hyperlink r:id="rId1672" ref="B1948"/>
    <hyperlink r:id="rId1673" ref="B1949"/>
    <hyperlink r:id="rId1674" ref="B1950"/>
    <hyperlink r:id="rId1675" ref="B1951"/>
    <hyperlink r:id="rId1676" ref="B1952"/>
    <hyperlink r:id="rId1677" ref="B1953"/>
    <hyperlink r:id="rId1678" ref="B1954"/>
    <hyperlink r:id="rId1679" ref="B1955"/>
    <hyperlink r:id="rId1680" ref="B1956"/>
    <hyperlink r:id="rId1681" ref="B1957"/>
    <hyperlink r:id="rId1682" ref="B1958"/>
    <hyperlink r:id="rId1683" ref="B1959"/>
    <hyperlink r:id="rId1684" ref="B1960"/>
    <hyperlink r:id="rId1685" ref="B1961"/>
    <hyperlink r:id="rId1686" ref="B1962"/>
    <hyperlink r:id="rId1687" ref="B1963"/>
    <hyperlink r:id="rId1688" ref="B1964"/>
    <hyperlink r:id="rId1689" ref="B1965"/>
    <hyperlink r:id="rId1690" ref="B1966"/>
    <hyperlink r:id="rId1691" ref="B1967"/>
    <hyperlink r:id="rId1692" ref="B1968"/>
    <hyperlink r:id="rId1693" ref="B1969"/>
    <hyperlink r:id="rId1694" ref="B1970"/>
    <hyperlink r:id="rId1695" ref="B1971"/>
    <hyperlink r:id="rId1696" ref="B1972"/>
    <hyperlink r:id="rId1697" ref="B1973"/>
    <hyperlink r:id="rId1698" ref="B1974"/>
    <hyperlink r:id="rId1699" ref="B1975"/>
    <hyperlink r:id="rId1700" ref="B1976"/>
    <hyperlink r:id="rId1701" ref="B1977"/>
    <hyperlink r:id="rId1702" ref="B1978"/>
    <hyperlink r:id="rId1703" ref="B1979"/>
    <hyperlink r:id="rId1704" ref="B1980"/>
    <hyperlink r:id="rId1705" ref="B1981"/>
    <hyperlink r:id="rId1706" ref="B1982"/>
    <hyperlink r:id="rId1707" ref="B1983"/>
    <hyperlink r:id="rId1708" ref="B1984"/>
    <hyperlink r:id="rId1709" ref="B1985"/>
    <hyperlink r:id="rId1710" ref="B1986"/>
    <hyperlink r:id="rId1711" ref="B1987"/>
    <hyperlink r:id="rId1712" ref="B1988"/>
    <hyperlink r:id="rId1713" ref="B1989"/>
    <hyperlink r:id="rId1714" ref="B1990"/>
    <hyperlink r:id="rId1715" ref="B1991"/>
    <hyperlink r:id="rId1716" ref="B1992"/>
    <hyperlink r:id="rId1717" ref="B1993"/>
    <hyperlink r:id="rId1718" ref="B1994"/>
    <hyperlink r:id="rId1719" ref="B1995"/>
    <hyperlink r:id="rId1720" ref="B1996"/>
    <hyperlink r:id="rId1721" ref="B1997"/>
    <hyperlink r:id="rId1722" ref="B1998"/>
    <hyperlink r:id="rId1723" ref="B1999"/>
    <hyperlink r:id="rId1724" ref="B2000"/>
    <hyperlink r:id="rId1725" ref="B2001"/>
    <hyperlink r:id="rId1726" ref="B2002"/>
    <hyperlink r:id="rId1727" ref="B2003"/>
    <hyperlink r:id="rId1728" ref="B2004"/>
    <hyperlink r:id="rId1729" ref="B2005"/>
    <hyperlink r:id="rId1730" ref="B2006"/>
    <hyperlink r:id="rId1731" ref="B2007"/>
    <hyperlink r:id="rId1732" ref="B2008"/>
    <hyperlink r:id="rId1733" ref="B2009"/>
    <hyperlink r:id="rId1734" ref="B2010"/>
    <hyperlink r:id="rId1735" ref="B2011"/>
    <hyperlink r:id="rId1736" ref="B2012"/>
    <hyperlink r:id="rId1737" ref="B2013"/>
    <hyperlink r:id="rId1738" ref="B2014"/>
    <hyperlink r:id="rId1739" ref="B2015"/>
    <hyperlink r:id="rId1740" ref="B2016"/>
    <hyperlink r:id="rId1741" ref="B2017"/>
    <hyperlink r:id="rId1742" ref="B2018"/>
    <hyperlink r:id="rId1743" ref="B2019"/>
    <hyperlink r:id="rId1744" ref="B2020"/>
    <hyperlink r:id="rId1745" ref="B2021"/>
    <hyperlink r:id="rId1746" ref="B2022"/>
    <hyperlink r:id="rId1747" ref="B2023"/>
    <hyperlink r:id="rId1748" ref="B2024"/>
    <hyperlink r:id="rId1749" ref="B2025"/>
    <hyperlink r:id="rId1750" ref="B2026"/>
    <hyperlink r:id="rId1751" ref="B2027"/>
    <hyperlink r:id="rId1752" ref="B2028"/>
    <hyperlink r:id="rId1753" ref="B2029"/>
    <hyperlink r:id="rId1754" ref="B2030"/>
    <hyperlink r:id="rId1755" ref="B2031"/>
    <hyperlink r:id="rId1756" ref="B2032"/>
    <hyperlink r:id="rId1757" ref="B2033"/>
    <hyperlink r:id="rId1758" ref="B2034"/>
    <hyperlink r:id="rId1759" ref="B2035"/>
    <hyperlink r:id="rId1760" ref="B2036"/>
    <hyperlink r:id="rId1761" ref="B2037"/>
    <hyperlink r:id="rId1762" ref="B2038"/>
    <hyperlink r:id="rId1763" ref="B2039"/>
    <hyperlink r:id="rId1764" ref="B2040"/>
    <hyperlink r:id="rId1765" ref="B2041"/>
    <hyperlink r:id="rId1766" ref="B2042"/>
    <hyperlink r:id="rId1767" ref="B2043"/>
    <hyperlink r:id="rId1768" ref="B2044"/>
    <hyperlink r:id="rId1769" ref="B2045"/>
    <hyperlink r:id="rId1770" ref="B2046"/>
    <hyperlink r:id="rId1771" ref="B2047"/>
    <hyperlink r:id="rId1772" ref="B2048"/>
    <hyperlink r:id="rId1773" ref="B2049"/>
    <hyperlink r:id="rId1774" ref="B2050"/>
    <hyperlink r:id="rId1775" ref="B2051"/>
    <hyperlink r:id="rId1776" ref="B2052"/>
    <hyperlink r:id="rId1777" ref="B2053"/>
    <hyperlink r:id="rId1778" ref="B2054"/>
    <hyperlink r:id="rId1779" ref="B2055"/>
    <hyperlink r:id="rId1780" ref="B2056"/>
    <hyperlink r:id="rId1781" ref="B2057"/>
    <hyperlink r:id="rId1782" ref="B2058"/>
    <hyperlink r:id="rId1783" ref="B2059"/>
    <hyperlink r:id="rId1784" ref="B2060"/>
    <hyperlink r:id="rId1785" ref="B2061"/>
    <hyperlink r:id="rId1786" ref="B2062"/>
    <hyperlink r:id="rId1787" ref="B2063"/>
    <hyperlink r:id="rId1788" ref="B2064"/>
    <hyperlink r:id="rId1789" ref="B2065"/>
    <hyperlink r:id="rId1790" ref="B2066"/>
    <hyperlink r:id="rId1791" ref="B2067"/>
    <hyperlink r:id="rId1792" ref="B2068"/>
    <hyperlink r:id="rId1793" ref="B2069"/>
    <hyperlink r:id="rId1794" ref="B2070"/>
    <hyperlink r:id="rId1795" ref="B2071"/>
    <hyperlink r:id="rId1796" ref="B2072"/>
    <hyperlink r:id="rId1797" ref="B2073"/>
    <hyperlink r:id="rId1798" ref="B2074"/>
    <hyperlink r:id="rId1799" ref="B2075"/>
    <hyperlink r:id="rId1800" ref="B2076"/>
    <hyperlink r:id="rId1801" ref="B2077"/>
    <hyperlink r:id="rId1802" ref="B2078"/>
    <hyperlink r:id="rId1803" ref="B2079"/>
    <hyperlink r:id="rId1804" ref="B2080"/>
    <hyperlink r:id="rId1805" ref="B2081"/>
    <hyperlink r:id="rId1806" ref="B2082"/>
    <hyperlink r:id="rId1807" ref="B2083"/>
    <hyperlink r:id="rId1808" ref="B2084"/>
    <hyperlink r:id="rId1809" ref="B2085"/>
    <hyperlink r:id="rId1810" ref="B2086"/>
    <hyperlink r:id="rId1811" ref="B2087"/>
    <hyperlink r:id="rId1812" ref="B2088"/>
    <hyperlink r:id="rId1813" ref="B2089"/>
    <hyperlink r:id="rId1814" ref="B2090"/>
    <hyperlink r:id="rId1815" ref="B2091"/>
    <hyperlink r:id="rId1816" ref="B2092"/>
    <hyperlink r:id="rId1817" ref="B2093"/>
    <hyperlink r:id="rId1818" ref="B2094"/>
    <hyperlink r:id="rId1819" ref="B2095"/>
    <hyperlink r:id="rId1820" ref="B2096"/>
    <hyperlink r:id="rId1821" ref="B2097"/>
    <hyperlink r:id="rId1822" ref="B2098"/>
    <hyperlink r:id="rId1823" ref="B2099"/>
    <hyperlink r:id="rId1824" ref="B2100"/>
    <hyperlink r:id="rId1825" ref="B2101"/>
    <hyperlink r:id="rId1826" ref="B2102"/>
    <hyperlink r:id="rId1827" ref="B2103"/>
    <hyperlink r:id="rId1828" ref="B2104"/>
    <hyperlink r:id="rId1829" ref="B2105"/>
    <hyperlink r:id="rId1830" ref="B2106"/>
    <hyperlink r:id="rId1831" ref="B2107"/>
    <hyperlink r:id="rId1832" ref="B2108"/>
    <hyperlink r:id="rId1833" ref="B2109"/>
    <hyperlink r:id="rId1834" ref="B2110"/>
    <hyperlink r:id="rId1835" ref="B2111"/>
    <hyperlink r:id="rId1836" ref="B2112"/>
    <hyperlink r:id="rId1837" ref="B2113"/>
    <hyperlink r:id="rId1838" ref="B2114"/>
    <hyperlink r:id="rId1839" ref="B2115"/>
    <hyperlink r:id="rId1840" ref="B2116"/>
    <hyperlink r:id="rId1841" ref="B2117"/>
    <hyperlink r:id="rId1842" ref="B2118"/>
    <hyperlink r:id="rId1843" ref="B2119"/>
    <hyperlink r:id="rId1844" ref="B2120"/>
    <hyperlink r:id="rId1845" ref="B2121"/>
    <hyperlink r:id="rId1846" ref="B2122"/>
    <hyperlink r:id="rId1847" ref="B2123"/>
    <hyperlink r:id="rId1848" ref="B2124"/>
    <hyperlink r:id="rId1849" ref="B2125"/>
    <hyperlink r:id="rId1850" ref="B2126"/>
    <hyperlink r:id="rId1851" ref="B2127"/>
    <hyperlink r:id="rId1852" ref="B2128"/>
    <hyperlink r:id="rId1853" ref="B2129"/>
    <hyperlink r:id="rId1854" ref="B2130"/>
    <hyperlink r:id="rId1855" ref="B2131"/>
    <hyperlink r:id="rId1856" ref="B2132"/>
    <hyperlink r:id="rId1857" ref="B2133"/>
    <hyperlink r:id="rId1858" ref="B2134"/>
    <hyperlink r:id="rId1859" ref="B2135"/>
    <hyperlink r:id="rId1860" ref="B2136"/>
    <hyperlink r:id="rId1861" ref="B2137"/>
    <hyperlink r:id="rId1862" ref="B2138"/>
    <hyperlink r:id="rId1863" ref="B2139"/>
    <hyperlink r:id="rId1864" ref="B2140"/>
    <hyperlink r:id="rId1865" ref="B2141"/>
    <hyperlink r:id="rId1866" ref="B2142"/>
    <hyperlink r:id="rId1867" ref="B2143"/>
    <hyperlink r:id="rId1868" ref="B2144"/>
    <hyperlink r:id="rId1869" ref="B2145"/>
    <hyperlink r:id="rId1870" ref="B2146"/>
    <hyperlink r:id="rId1871" ref="B2147"/>
    <hyperlink r:id="rId1872" ref="B2148"/>
    <hyperlink r:id="rId1873" ref="B2149"/>
    <hyperlink r:id="rId1874" ref="B2150"/>
    <hyperlink r:id="rId1875" ref="B2151"/>
    <hyperlink r:id="rId1876" ref="B2152"/>
    <hyperlink r:id="rId1877" ref="B2153"/>
    <hyperlink r:id="rId1878" ref="B2154"/>
    <hyperlink r:id="rId1879" ref="B2155"/>
    <hyperlink r:id="rId1880" ref="B2156"/>
    <hyperlink r:id="rId1881" ref="B2157"/>
    <hyperlink r:id="rId1882" ref="B2158"/>
    <hyperlink r:id="rId1883" ref="B2159"/>
    <hyperlink r:id="rId1884" ref="B2160"/>
    <hyperlink r:id="rId1885" ref="B2161"/>
    <hyperlink r:id="rId1886" ref="B2162"/>
    <hyperlink r:id="rId1887" ref="B2163"/>
    <hyperlink r:id="rId1888" ref="B2164"/>
    <hyperlink r:id="rId1889" ref="B2165"/>
    <hyperlink r:id="rId1890" ref="B2166"/>
    <hyperlink r:id="rId1891" ref="B2167"/>
    <hyperlink r:id="rId1892" ref="B2168"/>
    <hyperlink r:id="rId1893" ref="B2169"/>
    <hyperlink r:id="rId1894" ref="B2170"/>
    <hyperlink r:id="rId1895" ref="B2171"/>
    <hyperlink r:id="rId1896" ref="B2172"/>
    <hyperlink r:id="rId1897" ref="B2173"/>
    <hyperlink r:id="rId1898" ref="B2174"/>
    <hyperlink r:id="rId1899" ref="B2175"/>
    <hyperlink r:id="rId1900" ref="B2176"/>
    <hyperlink r:id="rId1901" ref="B2177"/>
    <hyperlink r:id="rId1902" ref="B2178"/>
    <hyperlink r:id="rId1903" ref="B2179"/>
    <hyperlink r:id="rId1904" ref="B2180"/>
    <hyperlink r:id="rId1905" ref="B2181"/>
    <hyperlink r:id="rId1906" ref="B2182"/>
    <hyperlink r:id="rId1907" ref="B2183"/>
    <hyperlink r:id="rId1908" ref="B2184"/>
    <hyperlink r:id="rId1909" ref="B2185"/>
    <hyperlink r:id="rId1910" ref="B2186"/>
    <hyperlink r:id="rId1911" ref="B2187"/>
    <hyperlink r:id="rId1912" ref="B2188"/>
    <hyperlink r:id="rId1913" ref="B2189"/>
    <hyperlink r:id="rId1914" ref="B2190"/>
    <hyperlink r:id="rId1915" ref="B2191"/>
    <hyperlink r:id="rId1916" ref="B2192"/>
    <hyperlink r:id="rId1917" ref="B2193"/>
    <hyperlink r:id="rId1918" ref="B2194"/>
    <hyperlink r:id="rId1919" ref="B2195"/>
    <hyperlink r:id="rId1920" ref="B2196"/>
    <hyperlink r:id="rId1921" ref="B2197"/>
    <hyperlink r:id="rId1922" ref="B2198"/>
    <hyperlink r:id="rId1923" ref="B2199"/>
    <hyperlink r:id="rId1924" ref="B2200"/>
    <hyperlink r:id="rId1925" ref="B2201"/>
    <hyperlink r:id="rId1926" ref="B2202"/>
    <hyperlink r:id="rId1927" ref="B2203"/>
    <hyperlink r:id="rId1928" ref="B2204"/>
    <hyperlink r:id="rId1929" ref="B2205"/>
    <hyperlink r:id="rId1930" ref="B2206"/>
    <hyperlink r:id="rId1931" ref="B2207"/>
    <hyperlink r:id="rId1932" ref="B2208"/>
    <hyperlink r:id="rId1933" ref="B2209"/>
    <hyperlink r:id="rId1934" ref="B2210"/>
    <hyperlink r:id="rId1935" ref="B2211"/>
    <hyperlink r:id="rId1936" ref="B2212"/>
    <hyperlink r:id="rId1937" ref="B2213"/>
    <hyperlink r:id="rId1938" ref="B2214"/>
    <hyperlink r:id="rId1939" ref="B2215"/>
    <hyperlink r:id="rId1940" ref="B2216"/>
    <hyperlink r:id="rId1941" ref="B2217"/>
    <hyperlink r:id="rId1942" ref="B2218"/>
    <hyperlink r:id="rId1943" ref="B2219"/>
    <hyperlink r:id="rId1944" ref="B2220"/>
    <hyperlink r:id="rId1945" ref="B2221"/>
    <hyperlink r:id="rId1946" ref="B2222"/>
    <hyperlink r:id="rId1947" ref="B2223"/>
    <hyperlink r:id="rId1948" ref="B2224"/>
    <hyperlink r:id="rId1949" ref="B2225"/>
    <hyperlink r:id="rId1950" ref="B2226"/>
    <hyperlink r:id="rId1951" ref="B2227"/>
    <hyperlink r:id="rId1952" ref="B2228"/>
    <hyperlink r:id="rId1953" ref="B2229"/>
    <hyperlink r:id="rId1954" ref="B2230"/>
    <hyperlink r:id="rId1955" ref="B2231"/>
    <hyperlink r:id="rId1956" ref="B2232"/>
    <hyperlink r:id="rId1957" ref="B2233"/>
    <hyperlink r:id="rId1958" ref="B2234"/>
    <hyperlink r:id="rId1959" ref="B2235"/>
    <hyperlink r:id="rId1960" ref="B2236"/>
    <hyperlink r:id="rId1961" ref="B2237"/>
    <hyperlink r:id="rId1962" ref="B2238"/>
    <hyperlink r:id="rId1963" ref="B2239"/>
    <hyperlink r:id="rId1964" ref="B2240"/>
    <hyperlink r:id="rId1965" ref="B2241"/>
    <hyperlink r:id="rId1966" ref="B2242"/>
    <hyperlink r:id="rId1967" ref="B2243"/>
    <hyperlink r:id="rId1968" ref="B2244"/>
    <hyperlink r:id="rId1969" ref="B2245"/>
    <hyperlink r:id="rId1970" ref="B2246"/>
    <hyperlink r:id="rId1971" ref="B2247"/>
    <hyperlink r:id="rId1972" ref="B2248"/>
    <hyperlink r:id="rId1973" ref="B2249"/>
    <hyperlink r:id="rId1974" ref="B2250"/>
    <hyperlink r:id="rId1975" ref="B2251"/>
    <hyperlink r:id="rId1976" ref="B2252"/>
    <hyperlink r:id="rId1977" ref="B2253"/>
    <hyperlink r:id="rId1978" ref="B2254"/>
    <hyperlink r:id="rId1979" ref="B2255"/>
    <hyperlink r:id="rId1980" ref="B2256"/>
    <hyperlink r:id="rId1981" ref="B2257"/>
    <hyperlink r:id="rId1982" ref="B2258"/>
    <hyperlink r:id="rId1983" ref="B2259"/>
    <hyperlink r:id="rId1984" ref="B2260"/>
    <hyperlink r:id="rId1985" ref="B2261"/>
    <hyperlink r:id="rId1986" ref="B2262"/>
    <hyperlink r:id="rId1987" ref="B2263"/>
    <hyperlink r:id="rId1988" ref="B2264"/>
    <hyperlink r:id="rId1989" ref="B2265"/>
    <hyperlink r:id="rId1990" ref="B2266"/>
    <hyperlink r:id="rId1991" ref="B2267"/>
    <hyperlink r:id="rId1992" ref="B2268"/>
    <hyperlink r:id="rId1993" ref="B2269"/>
    <hyperlink r:id="rId1994" ref="B2270"/>
    <hyperlink r:id="rId1995" ref="B2271"/>
    <hyperlink r:id="rId1996" ref="B2272"/>
    <hyperlink r:id="rId1997" ref="B2273"/>
    <hyperlink r:id="rId1998" ref="B2274"/>
    <hyperlink r:id="rId1999" ref="B2275"/>
    <hyperlink r:id="rId2000" ref="B2276"/>
    <hyperlink r:id="rId2001" ref="B2277"/>
    <hyperlink r:id="rId2002" ref="B2278"/>
    <hyperlink r:id="rId2003" ref="B2279"/>
    <hyperlink r:id="rId2004" ref="B2280"/>
    <hyperlink r:id="rId2005" ref="B2281"/>
    <hyperlink r:id="rId2006" ref="B2282"/>
    <hyperlink r:id="rId2007" ref="B2283"/>
    <hyperlink r:id="rId2008" ref="B2284"/>
    <hyperlink r:id="rId2009" ref="B2285"/>
    <hyperlink r:id="rId2010" ref="B2286"/>
    <hyperlink r:id="rId2011" ref="B2287"/>
    <hyperlink r:id="rId2012" ref="B2288"/>
    <hyperlink r:id="rId2013" ref="B2289"/>
    <hyperlink r:id="rId2014" ref="B2290"/>
    <hyperlink r:id="rId2015" ref="B2291"/>
    <hyperlink r:id="rId2016" ref="B2292"/>
    <hyperlink r:id="rId2017" ref="B2293"/>
    <hyperlink r:id="rId2018" ref="B2294"/>
    <hyperlink r:id="rId2019" ref="B2295"/>
    <hyperlink r:id="rId2020" ref="B2296"/>
    <hyperlink r:id="rId2021" ref="B2297"/>
    <hyperlink r:id="rId2022" ref="B2298"/>
    <hyperlink r:id="rId2023" ref="B2299"/>
    <hyperlink r:id="rId2024" ref="B2300"/>
    <hyperlink r:id="rId2025" ref="B2301"/>
    <hyperlink r:id="rId2026" ref="B2302"/>
    <hyperlink r:id="rId2027" ref="B2303"/>
    <hyperlink r:id="rId2028" ref="B2304"/>
    <hyperlink r:id="rId2029" ref="B2305"/>
    <hyperlink r:id="rId2030" ref="B2306"/>
    <hyperlink r:id="rId2031" ref="B2307"/>
    <hyperlink r:id="rId2032" ref="B2308"/>
    <hyperlink r:id="rId2033" ref="B2309"/>
    <hyperlink r:id="rId2034" ref="B2310"/>
    <hyperlink r:id="rId2035" ref="B2311"/>
    <hyperlink r:id="rId2036" ref="B2312"/>
    <hyperlink r:id="rId2037" ref="B2313"/>
    <hyperlink r:id="rId2038" ref="B2314"/>
    <hyperlink r:id="rId2039" ref="B2315"/>
    <hyperlink r:id="rId2040" ref="B2316"/>
    <hyperlink r:id="rId2041" ref="B2317"/>
    <hyperlink r:id="rId2042" ref="B2318"/>
    <hyperlink r:id="rId2043" ref="B2319"/>
    <hyperlink r:id="rId2044" ref="B2320"/>
    <hyperlink r:id="rId2045" ref="B2321"/>
    <hyperlink r:id="rId2046" ref="B2322"/>
    <hyperlink r:id="rId2047" ref="B2323"/>
    <hyperlink r:id="rId2048" ref="B2324"/>
    <hyperlink r:id="rId2049" ref="B2325"/>
    <hyperlink r:id="rId2050" ref="B2326"/>
    <hyperlink r:id="rId2051" ref="B2327"/>
    <hyperlink r:id="rId2052" ref="B2328"/>
    <hyperlink r:id="rId2053" ref="B2329"/>
    <hyperlink r:id="rId2054" ref="B2330"/>
    <hyperlink r:id="rId2055" ref="B2331"/>
    <hyperlink r:id="rId2056" ref="B2332"/>
    <hyperlink r:id="rId2057" ref="B2333"/>
    <hyperlink r:id="rId2058" ref="B2334"/>
    <hyperlink r:id="rId2059" ref="B2335"/>
    <hyperlink r:id="rId2060" ref="B2336"/>
    <hyperlink r:id="rId2061" ref="B2337"/>
    <hyperlink r:id="rId2062" ref="B2338"/>
    <hyperlink r:id="rId2063" ref="B2339"/>
    <hyperlink r:id="rId2064" ref="B2340"/>
    <hyperlink r:id="rId2065" ref="B2341"/>
    <hyperlink r:id="rId2066" ref="B2342"/>
    <hyperlink r:id="rId2067" ref="B2343"/>
    <hyperlink r:id="rId2068" ref="B2344"/>
    <hyperlink r:id="rId2069" ref="B2345"/>
    <hyperlink r:id="rId2070" ref="B2346"/>
    <hyperlink r:id="rId2071" ref="B2347"/>
    <hyperlink r:id="rId2072" ref="B2348"/>
    <hyperlink r:id="rId2073" ref="B2349"/>
    <hyperlink r:id="rId2074" ref="B2350"/>
    <hyperlink r:id="rId2075" ref="B2351"/>
    <hyperlink r:id="rId2076" ref="B2352"/>
    <hyperlink r:id="rId2077" ref="B2353"/>
    <hyperlink r:id="rId2078" ref="B2354"/>
    <hyperlink r:id="rId2079" ref="B2355"/>
    <hyperlink r:id="rId2080" ref="B2356"/>
    <hyperlink r:id="rId2081" ref="B2357"/>
    <hyperlink r:id="rId2082" ref="B2358"/>
    <hyperlink r:id="rId2083" ref="B2359"/>
    <hyperlink r:id="rId2084" ref="B2360"/>
    <hyperlink r:id="rId2085" ref="B2361"/>
    <hyperlink r:id="rId2086" ref="B2362"/>
    <hyperlink r:id="rId2087" ref="B2363"/>
    <hyperlink r:id="rId2088" ref="B2364"/>
    <hyperlink r:id="rId2089" ref="B2365"/>
    <hyperlink r:id="rId2090" ref="B2366"/>
    <hyperlink r:id="rId2091" ref="B2367"/>
    <hyperlink r:id="rId2092" ref="B2368"/>
    <hyperlink r:id="rId2093" ref="B2369"/>
    <hyperlink r:id="rId2094" ref="B2370"/>
    <hyperlink r:id="rId2095" ref="B2371"/>
    <hyperlink r:id="rId2096" ref="B2372"/>
    <hyperlink r:id="rId2097" ref="B2373"/>
    <hyperlink r:id="rId2098" ref="B2374"/>
    <hyperlink r:id="rId2099" ref="B2375"/>
    <hyperlink r:id="rId2100" ref="B2376"/>
    <hyperlink r:id="rId2101" ref="B2377"/>
    <hyperlink r:id="rId2102" ref="B2378"/>
    <hyperlink r:id="rId2103" ref="B2379"/>
    <hyperlink r:id="rId2104" ref="B2380"/>
    <hyperlink r:id="rId2105" ref="B2381"/>
    <hyperlink r:id="rId2106" ref="B2382"/>
    <hyperlink r:id="rId2107" ref="B2383"/>
    <hyperlink r:id="rId2108" ref="B2384"/>
    <hyperlink r:id="rId2109" ref="B2385"/>
    <hyperlink r:id="rId2110" ref="B2386"/>
    <hyperlink r:id="rId2111" ref="B2387"/>
    <hyperlink r:id="rId2112" ref="B2388"/>
    <hyperlink r:id="rId2113" ref="B2389"/>
    <hyperlink r:id="rId2114" ref="B2390"/>
    <hyperlink r:id="rId2115" ref="B2391"/>
    <hyperlink r:id="rId2116" ref="B2392"/>
    <hyperlink r:id="rId2117" ref="B2393"/>
    <hyperlink r:id="rId2118" ref="B2394"/>
    <hyperlink r:id="rId2119" ref="B2395"/>
    <hyperlink r:id="rId2120" ref="B2396"/>
    <hyperlink r:id="rId2121" ref="B2397"/>
    <hyperlink r:id="rId2122" ref="B2398"/>
    <hyperlink r:id="rId2123" ref="B2399"/>
    <hyperlink r:id="rId2124" ref="B2400"/>
    <hyperlink r:id="rId2125" ref="B2401"/>
    <hyperlink r:id="rId2126" ref="B2402"/>
    <hyperlink r:id="rId2127" ref="B2403"/>
    <hyperlink r:id="rId2128" ref="B2404"/>
    <hyperlink r:id="rId2129" ref="B2405"/>
    <hyperlink r:id="rId2130" ref="B2406"/>
    <hyperlink r:id="rId2131" ref="B2407"/>
    <hyperlink r:id="rId2132" ref="B2408"/>
    <hyperlink r:id="rId2133" ref="B2409"/>
    <hyperlink r:id="rId2134" ref="B2410"/>
    <hyperlink r:id="rId2135" ref="B2411"/>
    <hyperlink r:id="rId2136" ref="B2412"/>
    <hyperlink r:id="rId2137" ref="B2413"/>
    <hyperlink r:id="rId2138" ref="B2414"/>
    <hyperlink r:id="rId2139" ref="B2415"/>
    <hyperlink r:id="rId2140" ref="B2416"/>
    <hyperlink r:id="rId2141" ref="B2417"/>
    <hyperlink r:id="rId2142" ref="B2418"/>
    <hyperlink r:id="rId2143" ref="B2419"/>
    <hyperlink r:id="rId2144" ref="B2420"/>
    <hyperlink r:id="rId2145" ref="B2421"/>
    <hyperlink r:id="rId2146" ref="B2422"/>
    <hyperlink r:id="rId2147" ref="B2423"/>
    <hyperlink r:id="rId2148" ref="B2424"/>
    <hyperlink r:id="rId2149" ref="B2425"/>
    <hyperlink r:id="rId2150" ref="B2426"/>
    <hyperlink r:id="rId2151" ref="B2427"/>
    <hyperlink r:id="rId2152" ref="B2428"/>
    <hyperlink r:id="rId2153" ref="B2429"/>
    <hyperlink r:id="rId2154" ref="B2430"/>
    <hyperlink r:id="rId2155" ref="B2431"/>
    <hyperlink r:id="rId2156" ref="B2432"/>
    <hyperlink r:id="rId2157" ref="B2433"/>
    <hyperlink r:id="rId2158" ref="B2434"/>
    <hyperlink r:id="rId2159" ref="B2435"/>
    <hyperlink r:id="rId2160" ref="B2436"/>
    <hyperlink r:id="rId2161" ref="B2437"/>
    <hyperlink r:id="rId2162" ref="B2438"/>
    <hyperlink r:id="rId2163" ref="B2439"/>
    <hyperlink r:id="rId2164" ref="B2440"/>
    <hyperlink r:id="rId2165" ref="B2441"/>
    <hyperlink r:id="rId2166" ref="B2442"/>
    <hyperlink r:id="rId2167" ref="B2443"/>
    <hyperlink r:id="rId2168" ref="B2444"/>
    <hyperlink r:id="rId2169" ref="B2445"/>
    <hyperlink r:id="rId2170" ref="B2446"/>
    <hyperlink r:id="rId2171" ref="B2447"/>
    <hyperlink r:id="rId2172" ref="B2448"/>
    <hyperlink r:id="rId2173" ref="B2449"/>
    <hyperlink r:id="rId2174" ref="B2450"/>
    <hyperlink r:id="rId2175" ref="B2451"/>
    <hyperlink r:id="rId2176" ref="B2452"/>
    <hyperlink r:id="rId2177" ref="B2453"/>
    <hyperlink r:id="rId2178" ref="B2454"/>
    <hyperlink r:id="rId2179" ref="B2455"/>
    <hyperlink r:id="rId2180" ref="B2456"/>
    <hyperlink r:id="rId2181" ref="B2457"/>
    <hyperlink r:id="rId2182" ref="B2458"/>
    <hyperlink r:id="rId2183" ref="B2459"/>
    <hyperlink r:id="rId2184" ref="B2460"/>
    <hyperlink r:id="rId2185" ref="B2461"/>
    <hyperlink r:id="rId2186" ref="B2462"/>
    <hyperlink r:id="rId2187" ref="B2463"/>
    <hyperlink r:id="rId2188" ref="B2464"/>
    <hyperlink r:id="rId2189" ref="B2465"/>
    <hyperlink r:id="rId2190" ref="B2466"/>
    <hyperlink r:id="rId2191" ref="B2467"/>
    <hyperlink r:id="rId2192" ref="B2468"/>
    <hyperlink r:id="rId2193" ref="B2469"/>
    <hyperlink r:id="rId2194" ref="B2470"/>
    <hyperlink r:id="rId2195" ref="B2471"/>
    <hyperlink r:id="rId2196" ref="B2472"/>
    <hyperlink r:id="rId2197" ref="B2473"/>
    <hyperlink r:id="rId2198" ref="B2474"/>
    <hyperlink r:id="rId2199" ref="B2475"/>
    <hyperlink r:id="rId2200" ref="B2476"/>
    <hyperlink r:id="rId2201" ref="B2477"/>
    <hyperlink r:id="rId2202" ref="B2478"/>
    <hyperlink r:id="rId2203" ref="B2479"/>
    <hyperlink r:id="rId2204" ref="B2480"/>
    <hyperlink r:id="rId2205" ref="B2481"/>
    <hyperlink r:id="rId2206" ref="B2482"/>
    <hyperlink r:id="rId2207" ref="B2483"/>
    <hyperlink r:id="rId2208" ref="B2484"/>
    <hyperlink r:id="rId2209" ref="B2485"/>
    <hyperlink r:id="rId2210" ref="B2486"/>
    <hyperlink r:id="rId2211" ref="B2487"/>
    <hyperlink r:id="rId2212" ref="B2488"/>
    <hyperlink r:id="rId2213" ref="B2489"/>
    <hyperlink r:id="rId2214" ref="B2490"/>
    <hyperlink r:id="rId2215" ref="B2491"/>
    <hyperlink r:id="rId2216" ref="B2492"/>
    <hyperlink r:id="rId2217" ref="B2493"/>
    <hyperlink r:id="rId2218" ref="B2494"/>
    <hyperlink r:id="rId2219" ref="B2495"/>
    <hyperlink r:id="rId2220" ref="B2496"/>
    <hyperlink r:id="rId2221" ref="B2497"/>
    <hyperlink r:id="rId2222" ref="B2498"/>
    <hyperlink r:id="rId2223" ref="B2499"/>
    <hyperlink r:id="rId2224" ref="B2500"/>
    <hyperlink r:id="rId2225" ref="B2501"/>
    <hyperlink r:id="rId2226" ref="B2502"/>
    <hyperlink r:id="rId2227" ref="B2503"/>
    <hyperlink r:id="rId2228" ref="B2504"/>
    <hyperlink r:id="rId2229" ref="B2505"/>
    <hyperlink r:id="rId2230" ref="B2506"/>
    <hyperlink r:id="rId2231" ref="B2507"/>
    <hyperlink r:id="rId2232" ref="B2508"/>
    <hyperlink r:id="rId2233" ref="B2509"/>
    <hyperlink r:id="rId2234" ref="B2510"/>
    <hyperlink r:id="rId2235" ref="B2511"/>
    <hyperlink r:id="rId2236" ref="B2512"/>
    <hyperlink r:id="rId2237" ref="B2513"/>
    <hyperlink r:id="rId2238" ref="B2514"/>
    <hyperlink r:id="rId2239" ref="B2515"/>
    <hyperlink r:id="rId2240" ref="B2516"/>
    <hyperlink r:id="rId2241" ref="B2517"/>
    <hyperlink r:id="rId2242" ref="B2518"/>
    <hyperlink r:id="rId2243" ref="B2519"/>
    <hyperlink r:id="rId2244" ref="B2520"/>
    <hyperlink r:id="rId2245" ref="B2521"/>
    <hyperlink r:id="rId2246" ref="B2522"/>
    <hyperlink r:id="rId2247" ref="B2523"/>
    <hyperlink r:id="rId2248" ref="B2524"/>
    <hyperlink r:id="rId2249" ref="B2525"/>
    <hyperlink r:id="rId2250" ref="B2526"/>
    <hyperlink r:id="rId2251" ref="B2527"/>
    <hyperlink r:id="rId2252" ref="B2528"/>
    <hyperlink r:id="rId2253" ref="B2529"/>
    <hyperlink r:id="rId2254" ref="B2530"/>
    <hyperlink r:id="rId2255" ref="B2531"/>
    <hyperlink r:id="rId2256" ref="B2532"/>
    <hyperlink r:id="rId2257" ref="B2533"/>
    <hyperlink r:id="rId2258" ref="B2534"/>
    <hyperlink r:id="rId2259" ref="B2535"/>
    <hyperlink r:id="rId2260" ref="B2536"/>
    <hyperlink r:id="rId2261" ref="B2537"/>
    <hyperlink r:id="rId2262" ref="B2538"/>
    <hyperlink r:id="rId2263" ref="B2539"/>
    <hyperlink r:id="rId2264" ref="B2540"/>
    <hyperlink r:id="rId2265" ref="B2541"/>
    <hyperlink r:id="rId2266" ref="B2542"/>
    <hyperlink r:id="rId2267" ref="B2543"/>
    <hyperlink r:id="rId2268" ref="B2544"/>
    <hyperlink r:id="rId2269" ref="B2545"/>
    <hyperlink r:id="rId2270" ref="B2546"/>
    <hyperlink r:id="rId2271" ref="B2547"/>
    <hyperlink r:id="rId2272" ref="B2548"/>
    <hyperlink r:id="rId2273" ref="B2549"/>
    <hyperlink r:id="rId2274" ref="B2550"/>
    <hyperlink r:id="rId2275" ref="B2551"/>
    <hyperlink r:id="rId2276" ref="B2552"/>
    <hyperlink r:id="rId2277" ref="B2553"/>
    <hyperlink r:id="rId2278" ref="B2554"/>
    <hyperlink r:id="rId2279" ref="B2555"/>
    <hyperlink r:id="rId2280" ref="B2556"/>
    <hyperlink r:id="rId2281" ref="B2557"/>
    <hyperlink r:id="rId2282" ref="B2558"/>
    <hyperlink r:id="rId2283" ref="B2559"/>
    <hyperlink r:id="rId2284" ref="B2560"/>
    <hyperlink r:id="rId2285" ref="B2561"/>
    <hyperlink r:id="rId2286" ref="B2562"/>
    <hyperlink r:id="rId2287" ref="B2563"/>
    <hyperlink r:id="rId2288" ref="B2564"/>
    <hyperlink r:id="rId2289" ref="B2565"/>
    <hyperlink r:id="rId2290" ref="B2566"/>
    <hyperlink r:id="rId2291" ref="B2567"/>
    <hyperlink r:id="rId2292" ref="B2568"/>
    <hyperlink r:id="rId2293" ref="B2569"/>
    <hyperlink r:id="rId2294" ref="B2570"/>
    <hyperlink r:id="rId2295" ref="B2571"/>
    <hyperlink r:id="rId2296" ref="B2572"/>
    <hyperlink r:id="rId2297" ref="B2573"/>
    <hyperlink r:id="rId2298" ref="B2574"/>
    <hyperlink r:id="rId2299" ref="B2575"/>
    <hyperlink r:id="rId2300" ref="B2576"/>
    <hyperlink r:id="rId2301" ref="B2577"/>
    <hyperlink r:id="rId2302" ref="B2578"/>
    <hyperlink r:id="rId2303" ref="B2579"/>
    <hyperlink r:id="rId2304" ref="B2580"/>
    <hyperlink r:id="rId2305" ref="B2581"/>
    <hyperlink r:id="rId2306" ref="B2582"/>
    <hyperlink r:id="rId2307" ref="B2583"/>
    <hyperlink r:id="rId2308" ref="B2584"/>
    <hyperlink r:id="rId2309" ref="B2585"/>
    <hyperlink r:id="rId2310" ref="B2586"/>
    <hyperlink r:id="rId2311" ref="B2587"/>
    <hyperlink r:id="rId2312" ref="B2588"/>
    <hyperlink r:id="rId2313" ref="B2589"/>
    <hyperlink r:id="rId2314" ref="B2590"/>
    <hyperlink r:id="rId2315" ref="B2591"/>
    <hyperlink r:id="rId2316" ref="B2592"/>
    <hyperlink r:id="rId2317" ref="B2593"/>
    <hyperlink r:id="rId2318" ref="B2594"/>
    <hyperlink r:id="rId2319" ref="B2595"/>
    <hyperlink r:id="rId2320" ref="B2596"/>
    <hyperlink r:id="rId2321" ref="B2597"/>
    <hyperlink r:id="rId2322" ref="B2598"/>
    <hyperlink r:id="rId2323" ref="B2599"/>
    <hyperlink r:id="rId2324" ref="B2600"/>
    <hyperlink r:id="rId2325" ref="B2601"/>
    <hyperlink r:id="rId2326" ref="B2602"/>
    <hyperlink r:id="rId2327" ref="B2603"/>
    <hyperlink r:id="rId2328" ref="B2604"/>
    <hyperlink r:id="rId2329" ref="B2605"/>
    <hyperlink r:id="rId2330" ref="B2606"/>
    <hyperlink r:id="rId2331" ref="B2607"/>
    <hyperlink r:id="rId2332" ref="B2608"/>
    <hyperlink r:id="rId2333" ref="B2609"/>
    <hyperlink r:id="rId2334" ref="B2610"/>
    <hyperlink r:id="rId2335" ref="B2611"/>
    <hyperlink r:id="rId2336" ref="B2612"/>
    <hyperlink r:id="rId2337" ref="B2613"/>
    <hyperlink r:id="rId2338" ref="B2614"/>
    <hyperlink r:id="rId2339" ref="B2615"/>
    <hyperlink r:id="rId2340" ref="B2616"/>
    <hyperlink r:id="rId2341" ref="B2617"/>
    <hyperlink r:id="rId2342" ref="B2618"/>
    <hyperlink r:id="rId2343" ref="B2619"/>
    <hyperlink r:id="rId2344" ref="B2620"/>
    <hyperlink r:id="rId2345" ref="B2621"/>
    <hyperlink r:id="rId2346" ref="B2622"/>
    <hyperlink r:id="rId2347" ref="B2623"/>
    <hyperlink r:id="rId2348" ref="B2624"/>
    <hyperlink r:id="rId2349" ref="B2625"/>
    <hyperlink r:id="rId2350" ref="B2626"/>
    <hyperlink r:id="rId2351" ref="B2627"/>
    <hyperlink r:id="rId2352" ref="B2628"/>
    <hyperlink r:id="rId2353" ref="B2629"/>
    <hyperlink r:id="rId2354" ref="B2630"/>
    <hyperlink r:id="rId2355" ref="B2631"/>
    <hyperlink r:id="rId2356" ref="B2632"/>
    <hyperlink r:id="rId2357" ref="B2633"/>
    <hyperlink r:id="rId2358" ref="B2634"/>
    <hyperlink r:id="rId2359" ref="B2635"/>
    <hyperlink r:id="rId2360" ref="B2636"/>
    <hyperlink r:id="rId2361" ref="B2637"/>
    <hyperlink r:id="rId2362" ref="B2638"/>
    <hyperlink r:id="rId2363" ref="B2639"/>
    <hyperlink r:id="rId2364" ref="B2640"/>
    <hyperlink r:id="rId2365" ref="B2641"/>
    <hyperlink r:id="rId2366" ref="B2642"/>
    <hyperlink r:id="rId2367" ref="B2643"/>
    <hyperlink r:id="rId2368" ref="B2644"/>
    <hyperlink r:id="rId2369" ref="B2645"/>
    <hyperlink r:id="rId2370" ref="B2646"/>
    <hyperlink r:id="rId2371" ref="B2647"/>
    <hyperlink r:id="rId2372" ref="B2648"/>
    <hyperlink r:id="rId2373" ref="B2649"/>
    <hyperlink r:id="rId2374" ref="B2650"/>
    <hyperlink r:id="rId2375" ref="B2651"/>
    <hyperlink r:id="rId2376" ref="B2652"/>
    <hyperlink r:id="rId2377" ref="B2653"/>
    <hyperlink r:id="rId2378" ref="B2654"/>
    <hyperlink r:id="rId2379" ref="B2655"/>
    <hyperlink r:id="rId2380" ref="B2656"/>
    <hyperlink r:id="rId2381" ref="B2657"/>
    <hyperlink r:id="rId2382" ref="B2658"/>
    <hyperlink r:id="rId2383" ref="B2659"/>
    <hyperlink r:id="rId2384" ref="B2660"/>
    <hyperlink r:id="rId2385" ref="B2661"/>
    <hyperlink r:id="rId2386" ref="B2662"/>
    <hyperlink r:id="rId2387" ref="B2663"/>
    <hyperlink r:id="rId2388" ref="B2664"/>
    <hyperlink r:id="rId2389" ref="B2665"/>
    <hyperlink r:id="rId2390" ref="B2666"/>
    <hyperlink r:id="rId2391" ref="B2667"/>
    <hyperlink r:id="rId2392" ref="B2668"/>
    <hyperlink r:id="rId2393" ref="B2669"/>
    <hyperlink r:id="rId2394" ref="B2670"/>
    <hyperlink r:id="rId2395" ref="B2671"/>
    <hyperlink r:id="rId2396" ref="B2672"/>
    <hyperlink r:id="rId2397" ref="B2673"/>
    <hyperlink r:id="rId2398" ref="B2674"/>
    <hyperlink r:id="rId2399" ref="B2675"/>
    <hyperlink r:id="rId2400" ref="B2676"/>
    <hyperlink r:id="rId2401" ref="B2677"/>
    <hyperlink r:id="rId2402" ref="B2678"/>
    <hyperlink r:id="rId2403" ref="B2679"/>
    <hyperlink r:id="rId2404" ref="B2680"/>
    <hyperlink r:id="rId2405" ref="B2681"/>
    <hyperlink r:id="rId2406" ref="B2682"/>
    <hyperlink r:id="rId2407" ref="B2683"/>
    <hyperlink r:id="rId2408" ref="B2684"/>
    <hyperlink r:id="rId2409" ref="B2685"/>
    <hyperlink r:id="rId2410" ref="B2686"/>
    <hyperlink r:id="rId2411" ref="B2687"/>
    <hyperlink r:id="rId2412" ref="B2688"/>
    <hyperlink r:id="rId2413" ref="B2689"/>
    <hyperlink r:id="rId2414" ref="B2690"/>
    <hyperlink r:id="rId2415" ref="B2691"/>
    <hyperlink r:id="rId2416" ref="B2692"/>
    <hyperlink r:id="rId2417" ref="B2693"/>
    <hyperlink r:id="rId2418" ref="B2694"/>
    <hyperlink r:id="rId2419" ref="B2695"/>
    <hyperlink r:id="rId2420" ref="B2696"/>
    <hyperlink r:id="rId2421" ref="B2697"/>
    <hyperlink r:id="rId2422" ref="B2698"/>
    <hyperlink r:id="rId2423" ref="B2699"/>
    <hyperlink r:id="rId2424" ref="B2700"/>
    <hyperlink r:id="rId2425" ref="B2701"/>
    <hyperlink r:id="rId2426" ref="B2702"/>
    <hyperlink r:id="rId2427" ref="B2703"/>
    <hyperlink r:id="rId2428" ref="B2704"/>
    <hyperlink r:id="rId2429" ref="B2705"/>
    <hyperlink r:id="rId2430" ref="B2706"/>
    <hyperlink r:id="rId2431" ref="B2707"/>
    <hyperlink r:id="rId2432" ref="B2708"/>
    <hyperlink r:id="rId2433" ref="B2709"/>
    <hyperlink r:id="rId2434" ref="B2710"/>
    <hyperlink r:id="rId2435" ref="B2711"/>
    <hyperlink r:id="rId2436" ref="B2712"/>
    <hyperlink r:id="rId2437" ref="B2713"/>
    <hyperlink r:id="rId2438" ref="B2714"/>
    <hyperlink r:id="rId2439" ref="B2715"/>
    <hyperlink r:id="rId2440" ref="B2716"/>
    <hyperlink r:id="rId2441" ref="B2717"/>
    <hyperlink r:id="rId2442" ref="B2718"/>
    <hyperlink r:id="rId2443" ref="B2719"/>
    <hyperlink r:id="rId2444" ref="B2720"/>
    <hyperlink r:id="rId2445" ref="B2721"/>
    <hyperlink r:id="rId2446" ref="B2722"/>
    <hyperlink r:id="rId2447" ref="B2723"/>
    <hyperlink r:id="rId2448" ref="B2724"/>
    <hyperlink r:id="rId2449" ref="B2725"/>
    <hyperlink r:id="rId2450" ref="B2726"/>
    <hyperlink r:id="rId2451" ref="B2727"/>
    <hyperlink r:id="rId2452" ref="B2728"/>
    <hyperlink r:id="rId2453" ref="B2729"/>
    <hyperlink r:id="rId2454" ref="B2730"/>
    <hyperlink r:id="rId2455" ref="B2731"/>
    <hyperlink r:id="rId2456" ref="B2732"/>
    <hyperlink r:id="rId2457" ref="B2733"/>
    <hyperlink r:id="rId2458" ref="B2734"/>
    <hyperlink r:id="rId2459" ref="B2735"/>
    <hyperlink r:id="rId2460" ref="B2736"/>
    <hyperlink r:id="rId2461" ref="B2737"/>
    <hyperlink r:id="rId2462" ref="B2738"/>
    <hyperlink r:id="rId2463" ref="B2739"/>
    <hyperlink r:id="rId2464" ref="B2740"/>
    <hyperlink r:id="rId2465" ref="B2741"/>
    <hyperlink r:id="rId2466" ref="B2742"/>
    <hyperlink r:id="rId2467" ref="B2743"/>
    <hyperlink r:id="rId2468" ref="B2744"/>
    <hyperlink r:id="rId2469" ref="B2745"/>
    <hyperlink r:id="rId2470" ref="B2746"/>
    <hyperlink r:id="rId2471" ref="B2747"/>
    <hyperlink r:id="rId2472" ref="B2748"/>
    <hyperlink r:id="rId2473" ref="B2749"/>
    <hyperlink r:id="rId2474" ref="B2750"/>
    <hyperlink r:id="rId2475" ref="B2751"/>
    <hyperlink r:id="rId2476" ref="B2752"/>
    <hyperlink r:id="rId2477" ref="B2753"/>
    <hyperlink r:id="rId2478" ref="B2754"/>
    <hyperlink r:id="rId2479" ref="B2755"/>
    <hyperlink r:id="rId2480" ref="B2756"/>
    <hyperlink r:id="rId2481" ref="B2757"/>
    <hyperlink r:id="rId2482" ref="B2758"/>
    <hyperlink r:id="rId2483" ref="B2759"/>
    <hyperlink r:id="rId2484" ref="B2760"/>
    <hyperlink r:id="rId2485" ref="B2761"/>
    <hyperlink r:id="rId2486" ref="B2762"/>
    <hyperlink r:id="rId2487" ref="B2763"/>
    <hyperlink r:id="rId2488" ref="B2764"/>
    <hyperlink r:id="rId2489" ref="B2765"/>
    <hyperlink r:id="rId2490" ref="B2766"/>
    <hyperlink r:id="rId2491" ref="B2767"/>
    <hyperlink r:id="rId2492" ref="B2768"/>
    <hyperlink r:id="rId2493" ref="B2769"/>
    <hyperlink r:id="rId2494" ref="B2770"/>
    <hyperlink r:id="rId2495" ref="B2771"/>
    <hyperlink r:id="rId2496" ref="B2772"/>
    <hyperlink r:id="rId2497" ref="B2773"/>
    <hyperlink r:id="rId2498" ref="B2774"/>
    <hyperlink r:id="rId2499" ref="B2775"/>
    <hyperlink r:id="rId2500" ref="B2776"/>
    <hyperlink r:id="rId2501" ref="B2777"/>
    <hyperlink r:id="rId2502" ref="B2778"/>
    <hyperlink r:id="rId2503" ref="B2779"/>
    <hyperlink r:id="rId2504" ref="B2780"/>
    <hyperlink r:id="rId2505" ref="B2781"/>
    <hyperlink r:id="rId2506" ref="B2782"/>
    <hyperlink r:id="rId2507" ref="B2783"/>
    <hyperlink r:id="rId2508" ref="B2784"/>
    <hyperlink r:id="rId2509" ref="B2785"/>
    <hyperlink r:id="rId2510" ref="B2786"/>
    <hyperlink r:id="rId2511" ref="B2787"/>
    <hyperlink r:id="rId2512" ref="B2788"/>
    <hyperlink r:id="rId2513" ref="B2789"/>
    <hyperlink r:id="rId2514" ref="B2790"/>
    <hyperlink r:id="rId2515" ref="B2791"/>
    <hyperlink r:id="rId2516" ref="B2792"/>
    <hyperlink r:id="rId2517" ref="B2793"/>
    <hyperlink r:id="rId2518" ref="B2794"/>
    <hyperlink r:id="rId2519" ref="B2795"/>
    <hyperlink r:id="rId2520" ref="B2796"/>
    <hyperlink r:id="rId2521" ref="B2797"/>
    <hyperlink r:id="rId2522" ref="B2798"/>
    <hyperlink r:id="rId2523" ref="B2799"/>
    <hyperlink r:id="rId2524" ref="B2800"/>
    <hyperlink r:id="rId2525" ref="B2801"/>
    <hyperlink r:id="rId2526" ref="B2802"/>
    <hyperlink r:id="rId2527" ref="B2803"/>
    <hyperlink r:id="rId2528" ref="B2804"/>
    <hyperlink r:id="rId2529" ref="B2805"/>
    <hyperlink r:id="rId2530" ref="B2806"/>
    <hyperlink r:id="rId2531" ref="B2807"/>
    <hyperlink r:id="rId2532" ref="B2808"/>
    <hyperlink r:id="rId2533" ref="B2809"/>
    <hyperlink r:id="rId2534" ref="B2916"/>
  </hyperlinks>
  <drawing r:id="rId2535"/>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4" width="20.0"/>
    <col customWidth="1" min="7" max="7" width="14.25"/>
    <col customWidth="1" min="8" max="9" width="13.38"/>
    <col customWidth="1" min="14" max="14" width="14.25"/>
    <col customWidth="1" min="15" max="16" width="13.38"/>
    <col customWidth="1" min="17" max="17" width="14.88"/>
    <col customWidth="1" min="18" max="18" width="13.38"/>
    <col customWidth="1" min="19" max="20" width="14.25"/>
    <col customWidth="1" min="25" max="25" width="28.5"/>
    <col customWidth="1" min="26" max="26" width="15.63"/>
    <col customWidth="1" min="29" max="29" width="26.13"/>
    <col customWidth="1" min="30" max="30" width="15.63"/>
    <col customWidth="1" min="31" max="31" width="5.25"/>
    <col customWidth="1" min="39" max="39" width="18.38"/>
    <col customWidth="1" min="40" max="40" width="35.0"/>
    <col customWidth="1" min="67" max="67" width="14.88"/>
    <col customWidth="1" min="68" max="70" width="13.38"/>
    <col customWidth="1" min="71" max="71" width="14.13"/>
    <col customWidth="1" min="72" max="72" width="12.38"/>
    <col customWidth="1" min="73" max="74" width="13.38"/>
    <col customWidth="1" min="75" max="75" width="14.13"/>
  </cols>
  <sheetData>
    <row r="1">
      <c r="A1" s="27"/>
      <c r="B1" s="27" t="s">
        <v>2591</v>
      </c>
      <c r="F1" s="27" t="s">
        <v>2592</v>
      </c>
      <c r="M1" s="27" t="s">
        <v>2593</v>
      </c>
      <c r="AM1" s="27" t="s">
        <v>2595</v>
      </c>
    </row>
    <row r="2">
      <c r="B2" s="89"/>
      <c r="C2" s="89" t="s">
        <v>2596</v>
      </c>
      <c r="D2" s="89" t="s">
        <v>68</v>
      </c>
      <c r="F2" s="120" t="s">
        <v>125</v>
      </c>
      <c r="G2" s="89" t="s">
        <v>69</v>
      </c>
      <c r="H2" s="89" t="s">
        <v>68</v>
      </c>
      <c r="M2" s="89" t="s">
        <v>128</v>
      </c>
      <c r="N2" s="89" t="s">
        <v>69</v>
      </c>
      <c r="O2" s="89" t="s">
        <v>68</v>
      </c>
      <c r="Q2" s="89"/>
      <c r="R2" s="120" t="s">
        <v>98</v>
      </c>
      <c r="S2" s="89" t="s">
        <v>2597</v>
      </c>
      <c r="AM2" s="89" t="s">
        <v>128</v>
      </c>
      <c r="AN2" s="89" t="s">
        <v>129</v>
      </c>
      <c r="AO2" s="89" t="s">
        <v>69</v>
      </c>
      <c r="AP2" s="89" t="s">
        <v>68</v>
      </c>
      <c r="AR2" s="89" t="s">
        <v>69</v>
      </c>
      <c r="AS2" s="89"/>
      <c r="AT2" s="120" t="s">
        <v>98</v>
      </c>
      <c r="AU2" s="89"/>
      <c r="AV2" s="89"/>
      <c r="AW2" s="89"/>
      <c r="AX2" s="89"/>
      <c r="AY2" s="89"/>
      <c r="AZ2" s="89"/>
      <c r="BA2" s="89"/>
      <c r="BB2" s="89"/>
      <c r="BC2" s="89"/>
      <c r="BD2" s="89"/>
      <c r="BE2" s="89"/>
      <c r="BF2" s="89"/>
      <c r="BJ2" s="27" t="s">
        <v>2604</v>
      </c>
    </row>
    <row r="3">
      <c r="B3" s="120" t="s">
        <v>111</v>
      </c>
      <c r="C3" s="107">
        <v>9799741.33966546</v>
      </c>
      <c r="D3" s="106">
        <v>2020437.723525936</v>
      </c>
      <c r="F3" s="120" t="s">
        <v>610</v>
      </c>
      <c r="G3" s="64">
        <v>2.0966754546641696E7</v>
      </c>
      <c r="H3" s="47">
        <v>3341589.701195271</v>
      </c>
      <c r="I3" s="89">
        <f t="shared" ref="I3:I6" si="1">G3/$G$6</f>
        <v>0.1471424159</v>
      </c>
      <c r="M3" s="89" t="s">
        <v>137</v>
      </c>
      <c r="N3" s="107">
        <v>5.546144040151477E7</v>
      </c>
      <c r="O3" s="106">
        <v>8191243.450972806</v>
      </c>
      <c r="Q3" s="89"/>
      <c r="R3" s="120" t="s">
        <v>117</v>
      </c>
      <c r="S3" s="89"/>
      <c r="AM3" s="89" t="s">
        <v>81</v>
      </c>
      <c r="AN3" s="89" t="s">
        <v>557</v>
      </c>
      <c r="AO3" s="107">
        <v>5178992.419358541</v>
      </c>
      <c r="AP3" s="106">
        <v>1011087.5028339707</v>
      </c>
      <c r="AR3" s="89" t="s">
        <v>128</v>
      </c>
      <c r="AS3" s="89" t="s">
        <v>129</v>
      </c>
      <c r="AT3" s="89"/>
      <c r="AU3" s="120" t="s">
        <v>2600</v>
      </c>
      <c r="AV3" s="120" t="s">
        <v>2601</v>
      </c>
      <c r="AW3" s="120" t="s">
        <v>2602</v>
      </c>
      <c r="AX3" s="120" t="s">
        <v>2603</v>
      </c>
      <c r="AY3" s="120" t="s">
        <v>110</v>
      </c>
      <c r="AZ3" s="120" t="s">
        <v>111</v>
      </c>
      <c r="BA3" s="120" t="s">
        <v>113</v>
      </c>
      <c r="BB3" s="120" t="s">
        <v>114</v>
      </c>
      <c r="BC3" s="120" t="s">
        <v>115</v>
      </c>
      <c r="BD3" s="120" t="s">
        <v>117</v>
      </c>
      <c r="BE3" s="120" t="e">
        <v>#NUM!</v>
      </c>
      <c r="BF3" s="89" t="s">
        <v>71</v>
      </c>
      <c r="BO3" s="89" t="s">
        <v>68</v>
      </c>
      <c r="BP3" s="120" t="s">
        <v>98</v>
      </c>
      <c r="BQ3" s="89"/>
      <c r="BR3" s="89"/>
      <c r="BS3" s="89"/>
    </row>
    <row r="4">
      <c r="B4" s="120" t="s">
        <v>113</v>
      </c>
      <c r="C4" s="107">
        <v>1.688219086636672E7</v>
      </c>
      <c r="D4" s="106">
        <v>3051435.245578105</v>
      </c>
      <c r="F4" s="120" t="s">
        <v>28</v>
      </c>
      <c r="G4" s="64">
        <v>428753.0</v>
      </c>
      <c r="H4" s="47">
        <v>70367.18332546284</v>
      </c>
      <c r="I4" s="89">
        <f t="shared" si="1"/>
        <v>0.003008942186</v>
      </c>
      <c r="M4" s="89" t="s">
        <v>81</v>
      </c>
      <c r="N4" s="107">
        <v>4.729866257898385E7</v>
      </c>
      <c r="O4" s="106">
        <v>7595944.326081474</v>
      </c>
      <c r="Q4" s="89" t="s">
        <v>128</v>
      </c>
      <c r="R4" s="89" t="s">
        <v>68</v>
      </c>
      <c r="S4" s="89" t="s">
        <v>69</v>
      </c>
      <c r="AM4" s="89"/>
      <c r="AN4" s="89" t="s">
        <v>185</v>
      </c>
      <c r="AO4" s="107">
        <v>1741465.5823683739</v>
      </c>
      <c r="AP4" s="106">
        <v>317750.3777239709</v>
      </c>
      <c r="AR4" s="89" t="s">
        <v>137</v>
      </c>
      <c r="AS4" s="89" t="s">
        <v>431</v>
      </c>
      <c r="AT4" s="89"/>
      <c r="AU4" s="89"/>
      <c r="AV4" s="89"/>
      <c r="AW4" s="89"/>
      <c r="AX4" s="89"/>
      <c r="AY4" s="89"/>
      <c r="AZ4" s="89"/>
      <c r="BA4" s="89"/>
      <c r="BB4" s="89"/>
      <c r="BC4" s="107">
        <v>1.0085878652187347E7</v>
      </c>
      <c r="BD4" s="107">
        <v>3970253.4647685504</v>
      </c>
      <c r="BE4" s="89"/>
      <c r="BF4" s="107">
        <v>1.4056132116955897E7</v>
      </c>
      <c r="BO4" s="89" t="s">
        <v>128</v>
      </c>
      <c r="BP4" s="120" t="s">
        <v>114</v>
      </c>
      <c r="BQ4" s="120" t="s">
        <v>115</v>
      </c>
      <c r="BR4" s="120" t="s">
        <v>117</v>
      </c>
      <c r="BS4" s="89" t="s">
        <v>71</v>
      </c>
    </row>
    <row r="5">
      <c r="B5" s="120" t="s">
        <v>114</v>
      </c>
      <c r="C5" s="107">
        <v>3.0998443817301985E7</v>
      </c>
      <c r="D5" s="106">
        <v>3649232.766647281</v>
      </c>
      <c r="F5" s="120" t="s">
        <v>136</v>
      </c>
      <c r="G5" s="107">
        <v>1.2109742633399808E8</v>
      </c>
      <c r="H5" s="106">
        <v>1.8449316279315695E7</v>
      </c>
      <c r="I5" s="89">
        <f t="shared" si="1"/>
        <v>0.8498486419</v>
      </c>
      <c r="M5" s="89" t="s">
        <v>82</v>
      </c>
      <c r="N5" s="107">
        <v>1.2540782772419883E7</v>
      </c>
      <c r="O5" s="106">
        <v>2186004.2088471605</v>
      </c>
      <c r="Q5" s="89" t="s">
        <v>81</v>
      </c>
      <c r="R5" s="106">
        <v>2289483.3530633566</v>
      </c>
      <c r="S5" s="107">
        <v>1.1928318258301172E7</v>
      </c>
      <c r="AM5" s="89"/>
      <c r="AN5" s="89" t="s">
        <v>146</v>
      </c>
      <c r="AO5" s="107">
        <v>1641040.7371938606</v>
      </c>
      <c r="AP5" s="106">
        <v>302560.11012921436</v>
      </c>
      <c r="AR5" s="89"/>
      <c r="AS5" s="89" t="s">
        <v>296</v>
      </c>
      <c r="AT5" s="89"/>
      <c r="AU5" s="89"/>
      <c r="AV5" s="89"/>
      <c r="AW5" s="89"/>
      <c r="AX5" s="89"/>
      <c r="AY5" s="89"/>
      <c r="AZ5" s="89"/>
      <c r="BA5" s="107">
        <v>714884.1014585495</v>
      </c>
      <c r="BB5" s="107">
        <v>1527007.9777897815</v>
      </c>
      <c r="BC5" s="64">
        <v>3972865.698880949</v>
      </c>
      <c r="BD5" s="64">
        <v>3287303.8363099005</v>
      </c>
      <c r="BE5" s="89"/>
      <c r="BF5" s="107">
        <v>9502061.61443918</v>
      </c>
      <c r="BO5" s="89" t="s">
        <v>137</v>
      </c>
      <c r="BP5" s="106">
        <v>1305833.1243849944</v>
      </c>
      <c r="BQ5" s="106">
        <v>3816237.5294899982</v>
      </c>
      <c r="BR5" s="106">
        <v>1729315.486246065</v>
      </c>
      <c r="BS5" s="106">
        <v>6851386.140121042</v>
      </c>
    </row>
    <row r="6">
      <c r="B6" s="120" t="s">
        <v>115</v>
      </c>
      <c r="C6" s="107">
        <v>5.763209791294809E7</v>
      </c>
      <c r="D6" s="106">
        <v>7999085.626416834</v>
      </c>
      <c r="F6" s="89" t="s">
        <v>71</v>
      </c>
      <c r="G6" s="107">
        <v>1.4249293388063982E8</v>
      </c>
      <c r="H6" s="106">
        <v>2.1861273163836442E7</v>
      </c>
      <c r="I6" s="89">
        <f t="shared" si="1"/>
        <v>1</v>
      </c>
      <c r="M6" s="89" t="s">
        <v>83</v>
      </c>
      <c r="N6" s="107">
        <v>1.5261618886884496E7</v>
      </c>
      <c r="O6" s="106">
        <v>2000496.55</v>
      </c>
      <c r="Q6" s="89" t="s">
        <v>137</v>
      </c>
      <c r="R6" s="106">
        <v>1729315.486246065</v>
      </c>
      <c r="S6" s="107">
        <v>9876317.660389768</v>
      </c>
      <c r="AM6" s="89"/>
      <c r="AN6" s="89" t="s">
        <v>202</v>
      </c>
      <c r="AO6" s="107">
        <v>645599.97429728</v>
      </c>
      <c r="AP6" s="106">
        <v>148408.10576920657</v>
      </c>
      <c r="AR6" s="89"/>
      <c r="AS6" s="89" t="s">
        <v>266</v>
      </c>
      <c r="AT6" s="89"/>
      <c r="AU6" s="89"/>
      <c r="AV6" s="89"/>
      <c r="AW6" s="64">
        <v>73421.54687404633</v>
      </c>
      <c r="AX6" s="64">
        <v>192247.60076003073</v>
      </c>
      <c r="AY6" s="64">
        <v>716670.2130582802</v>
      </c>
      <c r="AZ6" s="64">
        <v>510450.59629897116</v>
      </c>
      <c r="BA6" s="107">
        <v>1468058.6267960786</v>
      </c>
      <c r="BB6" s="107">
        <v>1517253.6742538929</v>
      </c>
      <c r="BC6" s="107">
        <v>2991337.371101847</v>
      </c>
      <c r="BD6" s="107">
        <v>926717.9167528172</v>
      </c>
      <c r="BE6" s="89"/>
      <c r="BF6" s="107">
        <v>8396157.545895966</v>
      </c>
      <c r="BO6" s="89" t="s">
        <v>81</v>
      </c>
      <c r="BP6" s="106">
        <v>1606227.344678911</v>
      </c>
      <c r="BQ6" s="106">
        <v>1386756.7218969066</v>
      </c>
      <c r="BR6" s="106">
        <v>2289483.3530633566</v>
      </c>
      <c r="BS6" s="106">
        <v>5282467.419639173</v>
      </c>
    </row>
    <row r="7">
      <c r="B7" s="120" t="s">
        <v>117</v>
      </c>
      <c r="C7" s="107">
        <v>2.7180459944357596E7</v>
      </c>
      <c r="D7" s="106">
        <v>5141081.801668255</v>
      </c>
      <c r="M7" s="89" t="s">
        <v>84</v>
      </c>
      <c r="N7" s="107">
        <v>8280732.745648202</v>
      </c>
      <c r="O7" s="106">
        <v>1338143.2257541541</v>
      </c>
      <c r="Q7" s="89" t="s">
        <v>82</v>
      </c>
      <c r="R7" s="106">
        <v>769865.8682672601</v>
      </c>
      <c r="S7" s="107">
        <v>3755925.852008525</v>
      </c>
      <c r="AM7" s="89"/>
      <c r="AN7" s="89" t="s">
        <v>331</v>
      </c>
      <c r="AO7" s="107">
        <v>560630.6838059044</v>
      </c>
      <c r="AP7" s="106">
        <v>88657.33</v>
      </c>
      <c r="AR7" s="89"/>
      <c r="AS7" s="89" t="s">
        <v>138</v>
      </c>
      <c r="AT7" s="89"/>
      <c r="AU7" s="89"/>
      <c r="AV7" s="89"/>
      <c r="AW7" s="89"/>
      <c r="AX7" s="89"/>
      <c r="AY7" s="107">
        <v>4988.37175886631</v>
      </c>
      <c r="AZ7" s="107">
        <v>756628.2762818827</v>
      </c>
      <c r="BA7" s="107">
        <v>1428696.7863939619</v>
      </c>
      <c r="BB7" s="107">
        <v>1108370.2044143677</v>
      </c>
      <c r="BC7" s="107">
        <v>2088979.6324380378</v>
      </c>
      <c r="BD7" s="107">
        <v>270268.17921104695</v>
      </c>
      <c r="BE7" s="89"/>
      <c r="BF7" s="107">
        <v>5657931.450498157</v>
      </c>
      <c r="BO7" s="89" t="s">
        <v>83</v>
      </c>
      <c r="BP7" s="89"/>
      <c r="BQ7" s="106">
        <v>2000496.55</v>
      </c>
      <c r="BR7" s="89"/>
      <c r="BS7" s="106">
        <v>2000496.55</v>
      </c>
    </row>
    <row r="8">
      <c r="B8" s="89" t="s">
        <v>71</v>
      </c>
      <c r="C8" s="107">
        <v>1.4249293388063982E8</v>
      </c>
      <c r="D8" s="106">
        <v>2.1861273163836442E7</v>
      </c>
      <c r="M8" s="89" t="s">
        <v>85</v>
      </c>
      <c r="N8" s="107">
        <v>3257752.57276164</v>
      </c>
      <c r="O8" s="106">
        <v>482343.4021808212</v>
      </c>
      <c r="Q8" s="89" t="s">
        <v>84</v>
      </c>
      <c r="R8" s="106">
        <v>283751.8674661524</v>
      </c>
      <c r="S8" s="107">
        <v>1307121.343718561</v>
      </c>
      <c r="AM8" s="89"/>
      <c r="AN8" s="89" t="s">
        <v>179</v>
      </c>
      <c r="AO8" s="107">
        <v>503740.47538578825</v>
      </c>
      <c r="AP8" s="106">
        <v>107281.82473434554</v>
      </c>
      <c r="AR8" s="89"/>
      <c r="AS8" s="89" t="s">
        <v>254</v>
      </c>
      <c r="AT8" s="89"/>
      <c r="AU8" s="89"/>
      <c r="AV8" s="89"/>
      <c r="AW8" s="89"/>
      <c r="AX8" s="89"/>
      <c r="AY8" s="89"/>
      <c r="AZ8" s="89"/>
      <c r="BA8" s="107">
        <v>497454.0192723274</v>
      </c>
      <c r="BB8" s="107">
        <v>1426570.0860983706</v>
      </c>
      <c r="BC8" s="107">
        <v>2648531.6907029147</v>
      </c>
      <c r="BD8" s="107">
        <v>82368.14844989777</v>
      </c>
      <c r="BE8" s="89"/>
      <c r="BF8" s="107">
        <v>4654923.9445235105</v>
      </c>
      <c r="BO8" s="89" t="s">
        <v>82</v>
      </c>
      <c r="BP8" s="106">
        <v>393235.027762</v>
      </c>
      <c r="BQ8" s="106">
        <v>312035.4388179</v>
      </c>
      <c r="BR8" s="106">
        <v>769865.8682672601</v>
      </c>
      <c r="BS8" s="106">
        <v>1475136.3348471601</v>
      </c>
    </row>
    <row r="9">
      <c r="M9" s="89"/>
      <c r="N9" s="64">
        <v>391943.92242717743</v>
      </c>
      <c r="O9" s="47">
        <v>67098.0</v>
      </c>
      <c r="Q9" s="89" t="s">
        <v>85</v>
      </c>
      <c r="R9" s="106">
        <v>68665.22662544355</v>
      </c>
      <c r="S9" s="107">
        <v>312776.8299396403</v>
      </c>
      <c r="AM9" s="89"/>
      <c r="AN9" s="89" t="s">
        <v>148</v>
      </c>
      <c r="AO9" s="107">
        <v>307204.3969657236</v>
      </c>
      <c r="AP9" s="106">
        <v>56022.53948390753</v>
      </c>
      <c r="AR9" s="89"/>
      <c r="AS9" s="89" t="s">
        <v>315</v>
      </c>
      <c r="AT9" s="89"/>
      <c r="AU9" s="89"/>
      <c r="AV9" s="89"/>
      <c r="AW9" s="89"/>
      <c r="AX9" s="89"/>
      <c r="AY9" s="89"/>
      <c r="AZ9" s="89"/>
      <c r="BA9" s="107">
        <v>836667.7529335022</v>
      </c>
      <c r="BB9" s="107">
        <v>2857404.329468689</v>
      </c>
      <c r="BC9" s="107">
        <v>92552.53884124756</v>
      </c>
      <c r="BD9" s="107">
        <v>367780.76495910494</v>
      </c>
      <c r="BE9" s="89"/>
      <c r="BF9" s="107">
        <v>4154405.3862025435</v>
      </c>
      <c r="BO9" s="89" t="s">
        <v>84</v>
      </c>
      <c r="BP9" s="106">
        <v>245964.8272644618</v>
      </c>
      <c r="BQ9" s="106">
        <v>254540.01552353924</v>
      </c>
      <c r="BR9" s="106">
        <v>283751.8674661524</v>
      </c>
      <c r="BS9" s="106">
        <v>784256.7102541517</v>
      </c>
    </row>
    <row r="10">
      <c r="M10" s="89" t="s">
        <v>71</v>
      </c>
      <c r="N10" s="107">
        <v>1.4249293388063982E8</v>
      </c>
      <c r="O10" s="106">
        <v>2.1861273163836442E7</v>
      </c>
      <c r="Q10" s="89" t="s">
        <v>71</v>
      </c>
      <c r="R10" s="106">
        <v>5141081.801668255</v>
      </c>
      <c r="S10" s="107">
        <v>2.7180459944357596E7</v>
      </c>
      <c r="AM10" s="89"/>
      <c r="AN10" s="89" t="s">
        <v>158</v>
      </c>
      <c r="AO10" s="107">
        <v>298662.23866250896</v>
      </c>
      <c r="AP10" s="106">
        <v>56494.604621718805</v>
      </c>
      <c r="AR10" s="89"/>
      <c r="AS10" s="89" t="s">
        <v>243</v>
      </c>
      <c r="AT10" s="89"/>
      <c r="AU10" s="89"/>
      <c r="AV10" s="89"/>
      <c r="AW10" s="89"/>
      <c r="AX10" s="89"/>
      <c r="AY10" s="89"/>
      <c r="AZ10" s="89"/>
      <c r="BA10" s="107">
        <v>3721.2750911712646</v>
      </c>
      <c r="BB10" s="107">
        <v>1356074.1625329065</v>
      </c>
      <c r="BC10" s="107">
        <v>2491928.374859648</v>
      </c>
      <c r="BD10" s="107">
        <v>129155.47550678253</v>
      </c>
      <c r="BE10" s="89"/>
      <c r="BF10" s="107">
        <v>3980879.287990508</v>
      </c>
      <c r="BO10" s="89" t="s">
        <v>85</v>
      </c>
      <c r="BP10" s="106">
        <v>97972.44255691215</v>
      </c>
      <c r="BQ10" s="106">
        <v>229019.37068849773</v>
      </c>
      <c r="BR10" s="106">
        <v>68665.22662544355</v>
      </c>
      <c r="BS10" s="106">
        <v>395657.0398708527</v>
      </c>
    </row>
    <row r="11">
      <c r="AM11" s="89"/>
      <c r="AN11" s="89" t="s">
        <v>362</v>
      </c>
      <c r="AO11" s="107">
        <v>228211.34562330373</v>
      </c>
      <c r="AP11" s="106">
        <v>40867.15929990981</v>
      </c>
      <c r="AR11" s="89"/>
      <c r="AS11" s="89" t="s">
        <v>323</v>
      </c>
      <c r="AT11" s="89"/>
      <c r="AU11" s="89"/>
      <c r="AV11" s="64">
        <v>62339.493918819426</v>
      </c>
      <c r="AW11" s="64">
        <v>258695.79543735032</v>
      </c>
      <c r="AX11" s="64">
        <v>450602.34225208283</v>
      </c>
      <c r="AY11" s="64">
        <v>604893.5862948417</v>
      </c>
      <c r="AZ11" s="64">
        <v>198017.0981282797</v>
      </c>
      <c r="BA11" s="107">
        <v>320287.6327884674</v>
      </c>
      <c r="BB11" s="107">
        <v>485735.8758627891</v>
      </c>
      <c r="BC11" s="107">
        <v>266133.31244465924</v>
      </c>
      <c r="BD11" s="64">
        <v>386770.82407414715</v>
      </c>
      <c r="BE11" s="89"/>
      <c r="BF11" s="107">
        <v>3033475.961201437</v>
      </c>
      <c r="BO11" s="89" t="s">
        <v>71</v>
      </c>
      <c r="BP11" s="106">
        <v>3649232.766647281</v>
      </c>
      <c r="BQ11" s="106">
        <v>7999085.626416834</v>
      </c>
      <c r="BR11" s="106">
        <v>5141081.801668255</v>
      </c>
      <c r="BS11" s="106">
        <v>1.67894001947324E7</v>
      </c>
    </row>
    <row r="12">
      <c r="A12" s="27"/>
      <c r="B12" s="27" t="s">
        <v>2614</v>
      </c>
      <c r="AM12" s="89"/>
      <c r="AN12" s="89" t="s">
        <v>152</v>
      </c>
      <c r="AO12" s="107">
        <v>220466.14235925674</v>
      </c>
      <c r="AP12" s="106">
        <v>38441.39</v>
      </c>
      <c r="AR12" s="89"/>
      <c r="AS12" s="89" t="s">
        <v>191</v>
      </c>
      <c r="AT12" s="89"/>
      <c r="AU12" s="89"/>
      <c r="AV12" s="89"/>
      <c r="AW12" s="89"/>
      <c r="AX12" s="89"/>
      <c r="AY12" s="89"/>
      <c r="AZ12" s="107">
        <v>248.0281114578247</v>
      </c>
      <c r="BA12" s="107">
        <v>857904.2142847901</v>
      </c>
      <c r="BB12" s="107">
        <v>506825.5730069336</v>
      </c>
      <c r="BC12" s="107">
        <v>367218.7387352946</v>
      </c>
      <c r="BD12" s="107">
        <v>99494.83683412636</v>
      </c>
      <c r="BE12" s="89"/>
      <c r="BF12" s="107">
        <v>1831691.3909726057</v>
      </c>
    </row>
    <row r="13">
      <c r="B13" s="120" t="s">
        <v>131</v>
      </c>
      <c r="C13" s="89" t="s">
        <v>69</v>
      </c>
      <c r="D13" s="89" t="s">
        <v>68</v>
      </c>
      <c r="L13" s="121"/>
      <c r="M13" s="122"/>
      <c r="N13" s="122"/>
      <c r="O13" s="122"/>
      <c r="P13" s="122"/>
      <c r="Q13" s="122"/>
      <c r="R13" s="122"/>
      <c r="S13" s="122"/>
      <c r="T13" s="123"/>
      <c r="AM13" s="89"/>
      <c r="AN13" s="89" t="s">
        <v>140</v>
      </c>
      <c r="AO13" s="107">
        <v>161899.05659644835</v>
      </c>
      <c r="AP13" s="106">
        <v>37497.40846711192</v>
      </c>
      <c r="AR13" s="89"/>
      <c r="AS13" s="89" t="s">
        <v>368</v>
      </c>
      <c r="AT13" s="89"/>
      <c r="AU13" s="89"/>
      <c r="AV13" s="89"/>
      <c r="AW13" s="89"/>
      <c r="AX13" s="89"/>
      <c r="AY13" s="89"/>
      <c r="AZ13" s="89"/>
      <c r="BA13" s="89"/>
      <c r="BB13" s="107">
        <v>288240.9398198891</v>
      </c>
      <c r="BC13" s="107">
        <v>733625.4611563683</v>
      </c>
      <c r="BD13" s="89"/>
      <c r="BE13" s="89"/>
      <c r="BF13" s="107">
        <v>1021866.4009762574</v>
      </c>
      <c r="BO13" s="89" t="s">
        <v>69</v>
      </c>
      <c r="BP13" s="120" t="s">
        <v>98</v>
      </c>
      <c r="BQ13" s="89"/>
      <c r="BR13" s="89"/>
      <c r="BS13" s="89"/>
    </row>
    <row r="14">
      <c r="B14" s="120" t="s">
        <v>2617</v>
      </c>
      <c r="C14" s="107">
        <v>5032468.641397779</v>
      </c>
      <c r="D14" s="106">
        <v>934517.4475046343</v>
      </c>
      <c r="L14" s="124"/>
      <c r="M14" s="27" t="s">
        <v>2618</v>
      </c>
      <c r="T14" s="125"/>
      <c r="AM14" s="89"/>
      <c r="AN14" s="89" t="s">
        <v>176</v>
      </c>
      <c r="AO14" s="107">
        <v>154788.60626220703</v>
      </c>
      <c r="AP14" s="106">
        <v>24800.0</v>
      </c>
      <c r="AR14" s="89"/>
      <c r="AS14" s="89" t="s">
        <v>523</v>
      </c>
      <c r="AT14" s="89"/>
      <c r="AU14" s="89"/>
      <c r="AV14" s="89"/>
      <c r="AW14" s="89"/>
      <c r="AX14" s="89"/>
      <c r="AY14" s="89"/>
      <c r="AZ14" s="89"/>
      <c r="BA14" s="89"/>
      <c r="BB14" s="89"/>
      <c r="BC14" s="107">
        <v>592321.8213571929</v>
      </c>
      <c r="BD14" s="64">
        <v>16957.61166381836</v>
      </c>
      <c r="BE14" s="89"/>
      <c r="BF14" s="107">
        <v>609279.4330210113</v>
      </c>
      <c r="BO14" s="89" t="s">
        <v>128</v>
      </c>
      <c r="BP14" s="120" t="s">
        <v>114</v>
      </c>
      <c r="BQ14" s="120" t="s">
        <v>115</v>
      </c>
      <c r="BR14" s="120" t="s">
        <v>117</v>
      </c>
      <c r="BS14" s="89" t="s">
        <v>71</v>
      </c>
    </row>
    <row r="15">
      <c r="B15" s="120" t="s">
        <v>2620</v>
      </c>
      <c r="C15" s="107">
        <v>2106068.866965194</v>
      </c>
      <c r="D15" s="106">
        <v>440412.13705012103</v>
      </c>
      <c r="L15" s="124"/>
      <c r="M15" s="89" t="s">
        <v>68</v>
      </c>
      <c r="N15" s="120" t="s">
        <v>98</v>
      </c>
      <c r="O15" s="89"/>
      <c r="P15" s="89"/>
      <c r="Q15" s="89"/>
      <c r="R15" s="89"/>
      <c r="S15" s="89"/>
      <c r="T15" s="125"/>
      <c r="AM15" s="89"/>
      <c r="AN15" s="89" t="s">
        <v>470</v>
      </c>
      <c r="AO15" s="64">
        <v>148043.91598129272</v>
      </c>
      <c r="AP15" s="47">
        <v>26954.0</v>
      </c>
      <c r="AR15" s="89"/>
      <c r="AS15" s="89" t="s">
        <v>277</v>
      </c>
      <c r="AT15" s="89"/>
      <c r="AU15" s="89"/>
      <c r="AV15" s="89"/>
      <c r="AW15" s="89"/>
      <c r="AX15" s="89"/>
      <c r="AY15" s="89"/>
      <c r="AZ15" s="89"/>
      <c r="BA15" s="107">
        <v>110455.63011169434</v>
      </c>
      <c r="BB15" s="89"/>
      <c r="BC15" s="64">
        <v>119066.73669815063</v>
      </c>
      <c r="BD15" s="107">
        <v>336488.2317352295</v>
      </c>
      <c r="BE15" s="89"/>
      <c r="BF15" s="107">
        <v>566010.5985450745</v>
      </c>
      <c r="BO15" s="89" t="s">
        <v>137</v>
      </c>
      <c r="BP15" s="107">
        <v>1.1073482823247617E7</v>
      </c>
      <c r="BQ15" s="107">
        <v>2.6789774240543265E7</v>
      </c>
      <c r="BR15" s="107">
        <v>9876317.660389768</v>
      </c>
      <c r="BS15" s="107">
        <v>4.773957472418076E7</v>
      </c>
    </row>
    <row r="16">
      <c r="B16" s="120" t="s">
        <v>2622</v>
      </c>
      <c r="C16" s="107">
        <v>2661203.8313024826</v>
      </c>
      <c r="D16" s="106">
        <v>645508.1389711794</v>
      </c>
      <c r="L16" s="124"/>
      <c r="M16" s="89" t="s">
        <v>128</v>
      </c>
      <c r="N16" s="120" t="s">
        <v>111</v>
      </c>
      <c r="O16" s="120" t="s">
        <v>113</v>
      </c>
      <c r="P16" s="120" t="s">
        <v>114</v>
      </c>
      <c r="Q16" s="120" t="s">
        <v>115</v>
      </c>
      <c r="R16" s="120" t="s">
        <v>117</v>
      </c>
      <c r="S16" s="89" t="s">
        <v>71</v>
      </c>
      <c r="T16" s="125"/>
      <c r="AM16" s="89"/>
      <c r="AN16" s="89" t="s">
        <v>154</v>
      </c>
      <c r="AO16" s="107">
        <v>137572.68344068527</v>
      </c>
      <c r="AP16" s="106">
        <v>32661.0</v>
      </c>
      <c r="AR16" s="89"/>
      <c r="AS16" s="89" t="s">
        <v>537</v>
      </c>
      <c r="AT16" s="89"/>
      <c r="AU16" s="89"/>
      <c r="AV16" s="89"/>
      <c r="AW16" s="89"/>
      <c r="AX16" s="89"/>
      <c r="AY16" s="89"/>
      <c r="AZ16" s="89"/>
      <c r="BA16" s="89"/>
      <c r="BB16" s="89"/>
      <c r="BC16" s="107">
        <v>320772.0137834549</v>
      </c>
      <c r="BD16" s="89"/>
      <c r="BE16" s="89"/>
      <c r="BF16" s="107">
        <v>320772.0137834549</v>
      </c>
      <c r="BO16" s="89" t="s">
        <v>81</v>
      </c>
      <c r="BP16" s="107">
        <v>1.3367044706136711E7</v>
      </c>
      <c r="BQ16" s="107">
        <v>1.0022539495961389E7</v>
      </c>
      <c r="BR16" s="107">
        <v>1.1928318258301172E7</v>
      </c>
      <c r="BS16" s="107">
        <v>3.531790246039927E7</v>
      </c>
    </row>
    <row r="17">
      <c r="B17" s="120" t="s">
        <v>2624</v>
      </c>
      <c r="C17" s="107">
        <v>5045501.867689958</v>
      </c>
      <c r="D17" s="106">
        <v>1216559.5439012083</v>
      </c>
      <c r="L17" s="124"/>
      <c r="M17" s="89" t="s">
        <v>137</v>
      </c>
      <c r="N17" s="106">
        <v>314765.412</v>
      </c>
      <c r="O17" s="106">
        <v>1025091.8988517653</v>
      </c>
      <c r="P17" s="106">
        <v>1305833.1243849944</v>
      </c>
      <c r="Q17" s="106">
        <v>3816237.5294899982</v>
      </c>
      <c r="R17" s="106">
        <v>1729315.486246065</v>
      </c>
      <c r="S17" s="106">
        <v>8191243.450972806</v>
      </c>
      <c r="T17" s="125"/>
      <c r="AM17" s="89" t="s">
        <v>2626</v>
      </c>
      <c r="AN17" s="89"/>
      <c r="AO17" s="107">
        <v>1.1928318258301172E7</v>
      </c>
      <c r="AP17" s="106">
        <v>2289483.3530633566</v>
      </c>
      <c r="AR17" s="89"/>
      <c r="AS17" s="89" t="s">
        <v>144</v>
      </c>
      <c r="AT17" s="89"/>
      <c r="AU17" s="89"/>
      <c r="AV17" s="89"/>
      <c r="AW17" s="89"/>
      <c r="AX17" s="89"/>
      <c r="AY17" s="89"/>
      <c r="AZ17" s="89"/>
      <c r="BA17" s="107">
        <v>18391.639382839203</v>
      </c>
      <c r="BB17" s="89"/>
      <c r="BC17" s="64">
        <v>18562.19735614395</v>
      </c>
      <c r="BD17" s="64">
        <v>2758.3701243400574</v>
      </c>
      <c r="BE17" s="89"/>
      <c r="BF17" s="107">
        <v>39712.20686332321</v>
      </c>
      <c r="BO17" s="89" t="s">
        <v>83</v>
      </c>
      <c r="BP17" s="89"/>
      <c r="BQ17" s="107">
        <v>1.5261618886884496E7</v>
      </c>
      <c r="BR17" s="89"/>
      <c r="BS17" s="107">
        <v>1.5261618886884496E7</v>
      </c>
    </row>
    <row r="18">
      <c r="B18" s="120" t="s">
        <v>2627</v>
      </c>
      <c r="C18" s="107">
        <v>4670831.445983178</v>
      </c>
      <c r="D18" s="106">
        <v>876730.2429790569</v>
      </c>
      <c r="L18" s="124"/>
      <c r="M18" s="89" t="s">
        <v>81</v>
      </c>
      <c r="N18" s="106">
        <v>1217723.0419</v>
      </c>
      <c r="O18" s="106">
        <v>1095753.8645422999</v>
      </c>
      <c r="P18" s="106">
        <v>1606227.344678911</v>
      </c>
      <c r="Q18" s="106">
        <v>1386756.7218969066</v>
      </c>
      <c r="R18" s="106">
        <v>2289483.3530633566</v>
      </c>
      <c r="S18" s="106">
        <v>7595944.326081474</v>
      </c>
      <c r="T18" s="125"/>
      <c r="AM18" s="89" t="s">
        <v>137</v>
      </c>
      <c r="AN18" s="89" t="s">
        <v>431</v>
      </c>
      <c r="AO18" s="107">
        <v>3970253.4647685504</v>
      </c>
      <c r="AP18" s="106">
        <v>614677.6163205487</v>
      </c>
      <c r="AR18" s="89" t="s">
        <v>2629</v>
      </c>
      <c r="AS18" s="89"/>
      <c r="AT18" s="89"/>
      <c r="AU18" s="89"/>
      <c r="AV18" s="64">
        <v>62339.493918819426</v>
      </c>
      <c r="AW18" s="64">
        <v>332117.3423113966</v>
      </c>
      <c r="AX18" s="64">
        <v>642849.9430121136</v>
      </c>
      <c r="AY18" s="107">
        <v>1326552.1711119888</v>
      </c>
      <c r="AZ18" s="107">
        <v>1465343.9988205913</v>
      </c>
      <c r="BA18" s="107">
        <v>6256521.678513375</v>
      </c>
      <c r="BB18" s="107">
        <v>1.1073482823247617E7</v>
      </c>
      <c r="BC18" s="107">
        <v>2.6789774240543265E7</v>
      </c>
      <c r="BD18" s="107">
        <v>9876317.660389768</v>
      </c>
      <c r="BE18" s="89"/>
      <c r="BF18" s="107">
        <v>5.782529935186912E7</v>
      </c>
      <c r="BO18" s="89" t="s">
        <v>82</v>
      </c>
      <c r="BP18" s="107">
        <v>3216785.058156941</v>
      </c>
      <c r="BQ18" s="107">
        <v>2316116.673181355</v>
      </c>
      <c r="BR18" s="107">
        <v>3755925.852008525</v>
      </c>
      <c r="BS18" s="107">
        <v>9288827.583346823</v>
      </c>
    </row>
    <row r="19">
      <c r="B19" s="120" t="s">
        <v>2630</v>
      </c>
      <c r="C19" s="107">
        <v>7165857.552693585</v>
      </c>
      <c r="D19" s="106">
        <v>958145.4586978331</v>
      </c>
      <c r="L19" s="124"/>
      <c r="M19" s="89" t="s">
        <v>82</v>
      </c>
      <c r="N19" s="106">
        <v>204041.09800000003</v>
      </c>
      <c r="O19" s="106">
        <v>506826.776</v>
      </c>
      <c r="P19" s="106">
        <v>393235.027762</v>
      </c>
      <c r="Q19" s="106">
        <v>312035.4388179</v>
      </c>
      <c r="R19" s="106">
        <v>769865.8682672601</v>
      </c>
      <c r="S19" s="106">
        <v>2186004.2088471605</v>
      </c>
      <c r="T19" s="125"/>
      <c r="AM19" s="89"/>
      <c r="AN19" s="89" t="s">
        <v>296</v>
      </c>
      <c r="AO19" s="64">
        <v>3287303.8363099005</v>
      </c>
      <c r="AP19" s="47">
        <v>562646.4199999999</v>
      </c>
      <c r="AR19" s="89" t="s">
        <v>81</v>
      </c>
      <c r="AS19" s="89" t="s">
        <v>146</v>
      </c>
      <c r="AT19" s="89"/>
      <c r="AU19" s="89"/>
      <c r="AV19" s="89"/>
      <c r="AW19" s="89"/>
      <c r="AX19" s="89"/>
      <c r="AY19" s="89"/>
      <c r="AZ19" s="107">
        <v>2710182.8161817645</v>
      </c>
      <c r="BA19" s="107">
        <v>1408679.5539746284</v>
      </c>
      <c r="BB19" s="107">
        <v>2607842.22290802</v>
      </c>
      <c r="BC19" s="107">
        <v>1241590.2727952003</v>
      </c>
      <c r="BD19" s="107">
        <v>1641040.7371938606</v>
      </c>
      <c r="BE19" s="89"/>
      <c r="BF19" s="107">
        <v>9609335.603053473</v>
      </c>
      <c r="BO19" s="89" t="s">
        <v>84</v>
      </c>
      <c r="BP19" s="107">
        <v>2380532.018930953</v>
      </c>
      <c r="BQ19" s="107">
        <v>1723293.8730415832</v>
      </c>
      <c r="BR19" s="107">
        <v>1307121.343718561</v>
      </c>
      <c r="BS19" s="107">
        <v>5410947.2356911125</v>
      </c>
    </row>
    <row r="20">
      <c r="B20" s="120" t="s">
        <v>2632</v>
      </c>
      <c r="C20" s="107">
        <v>1.1360603816434093E7</v>
      </c>
      <c r="D20" s="106">
        <v>1539172.4832358942</v>
      </c>
      <c r="L20" s="124"/>
      <c r="M20" s="89" t="s">
        <v>83</v>
      </c>
      <c r="N20" s="89"/>
      <c r="O20" s="89"/>
      <c r="P20" s="89"/>
      <c r="Q20" s="106">
        <v>2000496.55</v>
      </c>
      <c r="R20" s="89"/>
      <c r="S20" s="106">
        <v>2000496.55</v>
      </c>
      <c r="T20" s="125"/>
      <c r="AM20" s="89"/>
      <c r="AN20" s="89" t="s">
        <v>266</v>
      </c>
      <c r="AO20" s="107">
        <v>926717.9167528172</v>
      </c>
      <c r="AP20" s="106">
        <v>183343.3753</v>
      </c>
      <c r="AR20" s="89"/>
      <c r="AS20" s="89" t="s">
        <v>185</v>
      </c>
      <c r="AT20" s="89"/>
      <c r="AU20" s="89"/>
      <c r="AV20" s="89"/>
      <c r="AW20" s="89"/>
      <c r="AX20" s="89"/>
      <c r="AY20" s="89"/>
      <c r="AZ20" s="107">
        <v>486750.90514098335</v>
      </c>
      <c r="BA20" s="107">
        <v>1225022.8888000273</v>
      </c>
      <c r="BB20" s="107">
        <v>1388294.3226433503</v>
      </c>
      <c r="BC20" s="107">
        <v>3798367.2867813203</v>
      </c>
      <c r="BD20" s="107">
        <v>1741465.5823683739</v>
      </c>
      <c r="BE20" s="89"/>
      <c r="BF20" s="107">
        <v>8639900.985734055</v>
      </c>
      <c r="BO20" s="89" t="s">
        <v>85</v>
      </c>
      <c r="BP20" s="107">
        <v>960599.210829734</v>
      </c>
      <c r="BQ20" s="107">
        <v>1518754.743335937</v>
      </c>
      <c r="BR20" s="107">
        <v>312776.8299396403</v>
      </c>
      <c r="BS20" s="107">
        <v>2792130.784105316</v>
      </c>
    </row>
    <row r="21">
      <c r="B21" s="120" t="s">
        <v>2634</v>
      </c>
      <c r="C21" s="107">
        <v>6355203.026175588</v>
      </c>
      <c r="D21" s="106">
        <v>805585.444065604</v>
      </c>
      <c r="L21" s="124"/>
      <c r="M21" s="89" t="s">
        <v>84</v>
      </c>
      <c r="N21" s="106">
        <v>260052.0955</v>
      </c>
      <c r="O21" s="106">
        <v>293834.42000000004</v>
      </c>
      <c r="P21" s="106">
        <v>245964.8272644618</v>
      </c>
      <c r="Q21" s="106">
        <v>254540.01552353924</v>
      </c>
      <c r="R21" s="106">
        <v>283751.8674661524</v>
      </c>
      <c r="S21" s="106">
        <v>1338143.2257541541</v>
      </c>
      <c r="T21" s="125"/>
      <c r="AM21" s="89"/>
      <c r="AN21" s="89" t="s">
        <v>323</v>
      </c>
      <c r="AO21" s="64">
        <v>386770.82407414715</v>
      </c>
      <c r="AP21" s="47">
        <v>81425.90975300003</v>
      </c>
      <c r="AR21" s="89"/>
      <c r="AS21" s="89" t="s">
        <v>557</v>
      </c>
      <c r="AT21" s="89"/>
      <c r="AU21" s="89"/>
      <c r="AV21" s="89"/>
      <c r="AW21" s="89"/>
      <c r="AX21" s="89"/>
      <c r="AY21" s="89"/>
      <c r="AZ21" s="89"/>
      <c r="BA21" s="89"/>
      <c r="BB21" s="89"/>
      <c r="BC21" s="89"/>
      <c r="BD21" s="107">
        <v>5178992.419358541</v>
      </c>
      <c r="BE21" s="89"/>
      <c r="BF21" s="107">
        <v>5178992.419358541</v>
      </c>
      <c r="BO21" s="89" t="s">
        <v>71</v>
      </c>
      <c r="BP21" s="107">
        <v>3.0998443817301985E7</v>
      </c>
      <c r="BQ21" s="107">
        <v>5.763209791294809E7</v>
      </c>
      <c r="BR21" s="107">
        <v>2.7180459944357596E7</v>
      </c>
      <c r="BS21" s="107">
        <v>1.1581100167460743E8</v>
      </c>
    </row>
    <row r="22">
      <c r="B22" s="120" t="s">
        <v>2636</v>
      </c>
      <c r="C22" s="107">
        <v>1.3282636974692285E7</v>
      </c>
      <c r="D22" s="106">
        <v>1304474.8393457816</v>
      </c>
      <c r="L22" s="124"/>
      <c r="M22" s="89" t="s">
        <v>85</v>
      </c>
      <c r="N22" s="47">
        <v>19291.0761259338</v>
      </c>
      <c r="O22" s="106">
        <v>67395.28618403462</v>
      </c>
      <c r="P22" s="106">
        <v>97972.44255691215</v>
      </c>
      <c r="Q22" s="106">
        <v>229019.37068849773</v>
      </c>
      <c r="R22" s="106">
        <v>68665.22662544355</v>
      </c>
      <c r="S22" s="106">
        <v>482343.4021808212</v>
      </c>
      <c r="T22" s="125"/>
      <c r="AM22" s="89"/>
      <c r="AN22" s="89" t="s">
        <v>315</v>
      </c>
      <c r="AO22" s="107">
        <v>367780.76495910494</v>
      </c>
      <c r="AP22" s="106">
        <v>87741.2487135893</v>
      </c>
      <c r="AR22" s="89"/>
      <c r="AS22" s="89" t="s">
        <v>152</v>
      </c>
      <c r="AT22" s="89"/>
      <c r="AU22" s="89"/>
      <c r="AV22" s="89"/>
      <c r="AW22" s="89"/>
      <c r="AX22" s="89"/>
      <c r="AY22" s="89"/>
      <c r="AZ22" s="89"/>
      <c r="BA22" s="107">
        <v>52909.59660290241</v>
      </c>
      <c r="BB22" s="107">
        <v>2460014.033317566</v>
      </c>
      <c r="BC22" s="107">
        <v>1588904.4628839493</v>
      </c>
      <c r="BD22" s="107">
        <v>220466.14235925674</v>
      </c>
      <c r="BE22" s="89"/>
      <c r="BF22" s="107">
        <v>4322294.235163674</v>
      </c>
    </row>
    <row r="23">
      <c r="B23" s="120" t="s">
        <v>2638</v>
      </c>
      <c r="C23" s="107">
        <v>2.841921831469961E7</v>
      </c>
      <c r="D23" s="106">
        <v>3785499.486522941</v>
      </c>
      <c r="L23" s="124"/>
      <c r="M23" s="89"/>
      <c r="N23" s="47">
        <v>4565.0</v>
      </c>
      <c r="O23" s="47">
        <v>62533.0</v>
      </c>
      <c r="P23" s="89"/>
      <c r="Q23" s="89"/>
      <c r="R23" s="89"/>
      <c r="S23" s="47">
        <v>67098.0</v>
      </c>
      <c r="T23" s="125"/>
      <c r="AM23" s="89"/>
      <c r="AN23" s="89" t="s">
        <v>277</v>
      </c>
      <c r="AO23" s="107">
        <v>336488.2317352295</v>
      </c>
      <c r="AP23" s="106">
        <v>77732.0</v>
      </c>
      <c r="AR23" s="89"/>
      <c r="AS23" s="89" t="s">
        <v>202</v>
      </c>
      <c r="AT23" s="89"/>
      <c r="AU23" s="89"/>
      <c r="AV23" s="89"/>
      <c r="AW23" s="89"/>
      <c r="AX23" s="89"/>
      <c r="AY23" s="89"/>
      <c r="AZ23" s="107">
        <v>17382.753705978394</v>
      </c>
      <c r="BA23" s="107">
        <v>1116609.2107505081</v>
      </c>
      <c r="BB23" s="107">
        <v>851502.7239227295</v>
      </c>
      <c r="BC23" s="107">
        <v>864705.8966226578</v>
      </c>
      <c r="BD23" s="107">
        <v>645599.97429728</v>
      </c>
      <c r="BE23" s="89"/>
      <c r="BF23" s="107">
        <v>3495800.5592991537</v>
      </c>
    </row>
    <row r="24">
      <c r="B24" s="120" t="s">
        <v>2639</v>
      </c>
      <c r="C24" s="107">
        <v>1.9870305237140186E7</v>
      </c>
      <c r="D24" s="106">
        <v>2776832.543301854</v>
      </c>
      <c r="L24" s="124"/>
      <c r="M24" s="89" t="s">
        <v>71</v>
      </c>
      <c r="N24" s="106">
        <v>2020437.723525936</v>
      </c>
      <c r="O24" s="106">
        <v>3051435.245578105</v>
      </c>
      <c r="P24" s="106">
        <v>3649232.766647281</v>
      </c>
      <c r="Q24" s="106">
        <v>7999085.626416834</v>
      </c>
      <c r="R24" s="106">
        <v>5141081.801668255</v>
      </c>
      <c r="S24" s="106">
        <v>2.1861273163836442E7</v>
      </c>
      <c r="T24" s="125"/>
      <c r="AM24" s="89"/>
      <c r="AN24" s="89" t="s">
        <v>138</v>
      </c>
      <c r="AO24" s="107">
        <v>270268.17921104695</v>
      </c>
      <c r="AP24" s="106">
        <v>59967.54875892812</v>
      </c>
      <c r="AR24" s="89"/>
      <c r="AS24" s="89" t="s">
        <v>158</v>
      </c>
      <c r="AT24" s="89"/>
      <c r="AU24" s="89"/>
      <c r="AV24" s="89"/>
      <c r="AW24" s="89"/>
      <c r="AX24" s="89"/>
      <c r="AY24" s="89"/>
      <c r="AZ24" s="107">
        <v>536781.5422248092</v>
      </c>
      <c r="BA24" s="107">
        <v>994941.7359448853</v>
      </c>
      <c r="BB24" s="107">
        <v>547994.024883728</v>
      </c>
      <c r="BC24" s="107">
        <v>1079392.2929100273</v>
      </c>
      <c r="BD24" s="107">
        <v>298662.23866250896</v>
      </c>
      <c r="BE24" s="89"/>
      <c r="BF24" s="107">
        <v>3457771.834625959</v>
      </c>
    </row>
    <row r="25">
      <c r="B25" s="120" t="s">
        <v>2640</v>
      </c>
      <c r="C25" s="107">
        <v>9342574.361108184</v>
      </c>
      <c r="D25" s="106">
        <v>1436753.596592045</v>
      </c>
      <c r="L25" s="124"/>
      <c r="T25" s="125"/>
      <c r="AM25" s="89"/>
      <c r="AN25" s="89" t="s">
        <v>243</v>
      </c>
      <c r="AO25" s="107">
        <v>129155.47550678253</v>
      </c>
      <c r="AP25" s="106">
        <v>22778.0</v>
      </c>
      <c r="AR25" s="89"/>
      <c r="AS25" s="89" t="s">
        <v>148</v>
      </c>
      <c r="AT25" s="89"/>
      <c r="AU25" s="89"/>
      <c r="AV25" s="89"/>
      <c r="AW25" s="89"/>
      <c r="AX25" s="89"/>
      <c r="AY25" s="89"/>
      <c r="AZ25" s="107">
        <v>201576.39384412766</v>
      </c>
      <c r="BA25" s="107">
        <v>288975.4856014252</v>
      </c>
      <c r="BB25" s="107">
        <v>2197008.1185165932</v>
      </c>
      <c r="BC25" s="107">
        <v>156209.81883020687</v>
      </c>
      <c r="BD25" s="107">
        <v>307204.3969657236</v>
      </c>
      <c r="BE25" s="89"/>
      <c r="BF25" s="107">
        <v>3150974.2137580765</v>
      </c>
    </row>
    <row r="26">
      <c r="B26" s="120" t="s">
        <v>2641</v>
      </c>
      <c r="C26" s="107">
        <v>1.8032358057208497E7</v>
      </c>
      <c r="D26" s="106">
        <v>3119789.057055924</v>
      </c>
      <c r="L26" s="121"/>
      <c r="M26" s="122"/>
      <c r="N26" s="122"/>
      <c r="O26" s="122"/>
      <c r="P26" s="122"/>
      <c r="Q26" s="122"/>
      <c r="R26" s="122"/>
      <c r="S26" s="122"/>
      <c r="T26" s="123"/>
      <c r="AM26" s="89"/>
      <c r="AN26" s="89" t="s">
        <v>191</v>
      </c>
      <c r="AO26" s="107">
        <v>99494.83683412636</v>
      </c>
      <c r="AP26" s="106">
        <v>20985.26739999999</v>
      </c>
      <c r="AR26" s="89"/>
      <c r="AS26" s="89" t="s">
        <v>140</v>
      </c>
      <c r="AT26" s="89"/>
      <c r="AU26" s="89"/>
      <c r="AV26" s="89"/>
      <c r="AW26" s="89"/>
      <c r="AX26" s="89"/>
      <c r="AY26" s="89"/>
      <c r="AZ26" s="107">
        <v>1171702.2527284622</v>
      </c>
      <c r="BA26" s="107">
        <v>561624.5739340782</v>
      </c>
      <c r="BB26" s="107">
        <v>414720.9711610794</v>
      </c>
      <c r="BC26" s="107">
        <v>325372.3382949829</v>
      </c>
      <c r="BD26" s="107">
        <v>161899.05659644835</v>
      </c>
      <c r="BE26" s="89"/>
      <c r="BF26" s="107">
        <v>2635319.192715051</v>
      </c>
    </row>
    <row r="27">
      <c r="B27" s="120" t="s">
        <v>2642</v>
      </c>
      <c r="C27" s="107">
        <v>3584547.5041829646</v>
      </c>
      <c r="D27" s="106">
        <v>790424.7945269571</v>
      </c>
      <c r="L27" s="124"/>
      <c r="M27" s="27" t="s">
        <v>2643</v>
      </c>
      <c r="T27" s="125"/>
      <c r="AM27" s="89"/>
      <c r="AN27" s="89" t="s">
        <v>254</v>
      </c>
      <c r="AO27" s="107">
        <v>82368.14844989777</v>
      </c>
      <c r="AP27" s="106">
        <v>13855.6</v>
      </c>
      <c r="AR27" s="89"/>
      <c r="AS27" s="89" t="s">
        <v>179</v>
      </c>
      <c r="AT27" s="89"/>
      <c r="AU27" s="89"/>
      <c r="AV27" s="89"/>
      <c r="AW27" s="89"/>
      <c r="AX27" s="89"/>
      <c r="AY27" s="89"/>
      <c r="AZ27" s="107">
        <v>90192.96836614609</v>
      </c>
      <c r="BA27" s="107">
        <v>91183.36183691025</v>
      </c>
      <c r="BB27" s="107">
        <v>914597.489385698</v>
      </c>
      <c r="BC27" s="107">
        <v>260159.3224168491</v>
      </c>
      <c r="BD27" s="107">
        <v>503740.47538578825</v>
      </c>
      <c r="BE27" s="89"/>
      <c r="BF27" s="107">
        <v>1859873.617391392</v>
      </c>
    </row>
    <row r="28">
      <c r="B28" s="120" t="s">
        <v>2644</v>
      </c>
      <c r="C28" s="107">
        <v>5563554.3829661915</v>
      </c>
      <c r="D28" s="106">
        <v>1230867.950085391</v>
      </c>
      <c r="L28" s="126"/>
      <c r="M28" s="100"/>
      <c r="N28" s="100"/>
      <c r="O28" s="100"/>
      <c r="P28" s="100"/>
      <c r="Q28" s="100"/>
      <c r="R28" s="100"/>
      <c r="S28" s="100"/>
      <c r="T28" s="127"/>
      <c r="AM28" s="89"/>
      <c r="AN28" s="89" t="s">
        <v>523</v>
      </c>
      <c r="AO28" s="64">
        <v>16957.61166381836</v>
      </c>
      <c r="AP28" s="47">
        <v>3665.0</v>
      </c>
      <c r="AR28" s="89"/>
      <c r="AS28" s="89" t="s">
        <v>470</v>
      </c>
      <c r="AT28" s="89"/>
      <c r="AU28" s="89"/>
      <c r="AV28" s="89"/>
      <c r="AW28" s="89"/>
      <c r="AX28" s="89"/>
      <c r="AY28" s="89"/>
      <c r="AZ28" s="89"/>
      <c r="BA28" s="89"/>
      <c r="BB28" s="64">
        <v>965101.1261706352</v>
      </c>
      <c r="BC28" s="107">
        <v>707830.3499550819</v>
      </c>
      <c r="BD28" s="64">
        <v>148043.91598129272</v>
      </c>
      <c r="BE28" s="89"/>
      <c r="BF28" s="107">
        <v>1820975.39210701</v>
      </c>
    </row>
    <row r="29">
      <c r="B29" s="89" t="s">
        <v>71</v>
      </c>
      <c r="C29" s="107">
        <v>1.4249293388063982E8</v>
      </c>
      <c r="D29" s="106">
        <v>2.1861273163836442E7</v>
      </c>
      <c r="AM29" s="89"/>
      <c r="AN29" s="89" t="s">
        <v>144</v>
      </c>
      <c r="AO29" s="64">
        <v>2758.3701243400574</v>
      </c>
      <c r="AP29" s="47">
        <v>497.5</v>
      </c>
      <c r="AR29" s="89"/>
      <c r="AS29" s="89" t="s">
        <v>331</v>
      </c>
      <c r="AT29" s="89"/>
      <c r="AU29" s="89"/>
      <c r="AV29" s="89"/>
      <c r="AW29" s="89"/>
      <c r="AX29" s="89"/>
      <c r="AY29" s="89"/>
      <c r="AZ29" s="89"/>
      <c r="BA29" s="89"/>
      <c r="BB29" s="107">
        <v>649658.7366023064</v>
      </c>
      <c r="BC29" s="89"/>
      <c r="BD29" s="107">
        <v>560630.6838059044</v>
      </c>
      <c r="BE29" s="89"/>
      <c r="BF29" s="107">
        <v>1210289.4204082107</v>
      </c>
    </row>
    <row r="30">
      <c r="M30" s="89" t="s">
        <v>69</v>
      </c>
      <c r="N30" s="120" t="s">
        <v>98</v>
      </c>
      <c r="O30" s="89"/>
      <c r="P30" s="89"/>
      <c r="Q30" s="89"/>
      <c r="R30" s="89"/>
      <c r="S30" s="89"/>
      <c r="AM30" s="89" t="s">
        <v>2629</v>
      </c>
      <c r="AN30" s="89"/>
      <c r="AO30" s="107">
        <v>9876317.660389768</v>
      </c>
      <c r="AP30" s="106">
        <v>1729315.486246065</v>
      </c>
      <c r="AR30" s="89"/>
      <c r="AS30" s="89" t="s">
        <v>142</v>
      </c>
      <c r="AT30" s="89"/>
      <c r="AU30" s="89"/>
      <c r="AV30" s="89"/>
      <c r="AW30" s="89"/>
      <c r="AX30" s="89"/>
      <c r="AY30" s="89"/>
      <c r="AZ30" s="107">
        <v>582035.5548501015</v>
      </c>
      <c r="BA30" s="107">
        <v>161959.54506988524</v>
      </c>
      <c r="BB30" s="107">
        <v>214775.07469177246</v>
      </c>
      <c r="BC30" s="89"/>
      <c r="BD30" s="89"/>
      <c r="BE30" s="89"/>
      <c r="BF30" s="107">
        <v>958770.1746117591</v>
      </c>
    </row>
    <row r="31">
      <c r="F31" s="27" t="s">
        <v>2645</v>
      </c>
      <c r="M31" s="89" t="s">
        <v>128</v>
      </c>
      <c r="N31" s="120" t="s">
        <v>111</v>
      </c>
      <c r="O31" s="120" t="s">
        <v>113</v>
      </c>
      <c r="P31" s="120" t="s">
        <v>114</v>
      </c>
      <c r="Q31" s="120" t="s">
        <v>115</v>
      </c>
      <c r="R31" s="120" t="s">
        <v>117</v>
      </c>
      <c r="S31" s="89" t="s">
        <v>71</v>
      </c>
      <c r="AM31" s="89" t="s">
        <v>82</v>
      </c>
      <c r="AN31" s="89" t="s">
        <v>150</v>
      </c>
      <c r="AO31" s="107">
        <v>3755691.3532115608</v>
      </c>
      <c r="AP31" s="106">
        <v>769816.8225448121</v>
      </c>
      <c r="AR31" s="89"/>
      <c r="AS31" s="89" t="s">
        <v>154</v>
      </c>
      <c r="AT31" s="89"/>
      <c r="AU31" s="89"/>
      <c r="AV31" s="89"/>
      <c r="AW31" s="89"/>
      <c r="AX31" s="89"/>
      <c r="AY31" s="89"/>
      <c r="AZ31" s="107">
        <v>65529.43958248854</v>
      </c>
      <c r="BA31" s="107">
        <v>141231.90055847168</v>
      </c>
      <c r="BB31" s="89"/>
      <c r="BC31" s="89"/>
      <c r="BD31" s="107">
        <v>137572.68344068527</v>
      </c>
      <c r="BE31" s="89"/>
      <c r="BF31" s="107">
        <v>344334.0235816455</v>
      </c>
    </row>
    <row r="32">
      <c r="F32" s="89" t="s">
        <v>69</v>
      </c>
      <c r="G32" s="120" t="s">
        <v>98</v>
      </c>
      <c r="H32" s="89"/>
      <c r="I32" s="89"/>
      <c r="M32" s="89" t="s">
        <v>137</v>
      </c>
      <c r="N32" s="107">
        <v>1465343.9988205913</v>
      </c>
      <c r="O32" s="107">
        <v>6256521.678513375</v>
      </c>
      <c r="P32" s="107">
        <v>1.1073482823247617E7</v>
      </c>
      <c r="Q32" s="107">
        <v>2.6789774240543265E7</v>
      </c>
      <c r="R32" s="107">
        <v>9876317.660389768</v>
      </c>
      <c r="S32" s="107">
        <v>5.546144040151477E7</v>
      </c>
      <c r="AD32" s="89"/>
      <c r="AE32" s="89"/>
      <c r="AF32" s="120" t="s">
        <v>125</v>
      </c>
      <c r="AG32" s="89" t="s">
        <v>2597</v>
      </c>
      <c r="AH32" s="89"/>
      <c r="AI32" s="89"/>
      <c r="AJ32" s="89"/>
      <c r="AK32" s="89"/>
      <c r="AM32" s="89"/>
      <c r="AN32" s="89" t="s">
        <v>213</v>
      </c>
      <c r="AO32" s="107">
        <v>186.9380765203455</v>
      </c>
      <c r="AP32" s="106">
        <v>39.04572244804335</v>
      </c>
      <c r="AR32" s="89"/>
      <c r="AS32" s="89" t="s">
        <v>362</v>
      </c>
      <c r="AT32" s="89"/>
      <c r="AU32" s="89"/>
      <c r="AV32" s="89"/>
      <c r="AW32" s="89"/>
      <c r="AX32" s="89"/>
      <c r="AY32" s="89"/>
      <c r="AZ32" s="89"/>
      <c r="BA32" s="89"/>
      <c r="BB32" s="107">
        <v>85618.36586236954</v>
      </c>
      <c r="BC32" s="89"/>
      <c r="BD32" s="107">
        <v>228211.34562330373</v>
      </c>
      <c r="BE32" s="89"/>
      <c r="BF32" s="107">
        <v>313829.71148567327</v>
      </c>
    </row>
    <row r="33">
      <c r="F33" s="120" t="s">
        <v>125</v>
      </c>
      <c r="G33" s="120" t="s">
        <v>114</v>
      </c>
      <c r="H33" s="120" t="s">
        <v>115</v>
      </c>
      <c r="I33" s="120" t="s">
        <v>117</v>
      </c>
      <c r="M33" s="89" t="s">
        <v>81</v>
      </c>
      <c r="N33" s="107">
        <v>5937622.265510837</v>
      </c>
      <c r="O33" s="107">
        <v>6043137.853073722</v>
      </c>
      <c r="P33" s="107">
        <v>1.3367044706136711E7</v>
      </c>
      <c r="Q33" s="107">
        <v>1.0022539495961389E7</v>
      </c>
      <c r="R33" s="107">
        <v>1.1928318258301172E7</v>
      </c>
      <c r="S33" s="107">
        <v>4.729866257898385E7</v>
      </c>
      <c r="AD33" s="89"/>
      <c r="AE33" s="89"/>
      <c r="AF33" s="120" t="s">
        <v>610</v>
      </c>
      <c r="AG33" s="89"/>
      <c r="AH33" s="120" t="s">
        <v>136</v>
      </c>
      <c r="AI33" s="89"/>
      <c r="AJ33" s="89" t="s">
        <v>71</v>
      </c>
      <c r="AK33" s="89"/>
      <c r="AM33" s="89"/>
      <c r="AN33" s="89" t="s">
        <v>176</v>
      </c>
      <c r="AO33" s="107">
        <v>47.560720443725586</v>
      </c>
      <c r="AP33" s="106">
        <v>10.0</v>
      </c>
      <c r="AR33" s="89"/>
      <c r="AS33" s="89" t="s">
        <v>176</v>
      </c>
      <c r="AT33" s="89"/>
      <c r="AU33" s="89"/>
      <c r="AV33" s="89"/>
      <c r="AW33" s="89"/>
      <c r="AX33" s="89"/>
      <c r="AY33" s="89"/>
      <c r="AZ33" s="89"/>
      <c r="BA33" s="89"/>
      <c r="BB33" s="89"/>
      <c r="BC33" s="89"/>
      <c r="BD33" s="107">
        <v>154788.60626220703</v>
      </c>
      <c r="BE33" s="89"/>
      <c r="BF33" s="107">
        <v>154788.60626220703</v>
      </c>
    </row>
    <row r="34">
      <c r="F34" s="120" t="s">
        <v>610</v>
      </c>
      <c r="G34" s="64">
        <v>4526484.078841512</v>
      </c>
      <c r="H34" s="64">
        <v>7484215.561992565</v>
      </c>
      <c r="I34" s="64">
        <v>6402557.326209921</v>
      </c>
      <c r="M34" s="89" t="s">
        <v>83</v>
      </c>
      <c r="N34" s="89"/>
      <c r="O34" s="89"/>
      <c r="P34" s="89"/>
      <c r="Q34" s="107">
        <v>1.5261618886884496E7</v>
      </c>
      <c r="R34" s="89"/>
      <c r="S34" s="107">
        <v>1.5261618886884496E7</v>
      </c>
      <c r="Y34" s="89" t="e">
        <v>#REF!</v>
      </c>
      <c r="AD34" s="89" t="s">
        <v>128</v>
      </c>
      <c r="AE34" s="89" t="s">
        <v>129</v>
      </c>
      <c r="AF34" s="89" t="s">
        <v>69</v>
      </c>
      <c r="AG34" s="89" t="s">
        <v>68</v>
      </c>
      <c r="AH34" s="89" t="s">
        <v>69</v>
      </c>
      <c r="AI34" s="89" t="s">
        <v>68</v>
      </c>
      <c r="AJ34" s="89" t="s">
        <v>69</v>
      </c>
      <c r="AK34" s="89" t="s">
        <v>68</v>
      </c>
      <c r="AM34" s="89" t="s">
        <v>2646</v>
      </c>
      <c r="AN34" s="89"/>
      <c r="AO34" s="107">
        <v>3755925.852008525</v>
      </c>
      <c r="AP34" s="106">
        <v>769865.8682672601</v>
      </c>
      <c r="AR34" s="89"/>
      <c r="AS34" s="89" t="s">
        <v>183</v>
      </c>
      <c r="AT34" s="89"/>
      <c r="AU34" s="89"/>
      <c r="AV34" s="89"/>
      <c r="AW34" s="89"/>
      <c r="AX34" s="89"/>
      <c r="AY34" s="89"/>
      <c r="AZ34" s="107">
        <v>75487.63888597488</v>
      </c>
      <c r="BA34" s="89"/>
      <c r="BB34" s="89"/>
      <c r="BC34" s="89"/>
      <c r="BD34" s="89"/>
      <c r="BE34" s="89"/>
      <c r="BF34" s="107">
        <v>75487.63888597488</v>
      </c>
    </row>
    <row r="35">
      <c r="F35" s="120" t="s">
        <v>28</v>
      </c>
      <c r="G35" s="64">
        <v>93750.0</v>
      </c>
      <c r="H35" s="64">
        <v>102923.0</v>
      </c>
      <c r="I35" s="64">
        <v>232080.0</v>
      </c>
      <c r="M35" s="89" t="s">
        <v>82</v>
      </c>
      <c r="N35" s="107">
        <v>1020728.7425336762</v>
      </c>
      <c r="O35" s="107">
        <v>2231226.4465393843</v>
      </c>
      <c r="P35" s="107">
        <v>3216785.058156941</v>
      </c>
      <c r="Q35" s="107">
        <v>2316116.673181355</v>
      </c>
      <c r="R35" s="107">
        <v>3755925.852008525</v>
      </c>
      <c r="S35" s="107">
        <v>1.2540782772419883E7</v>
      </c>
      <c r="AD35" s="89" t="s">
        <v>137</v>
      </c>
      <c r="AE35" s="89" t="s">
        <v>431</v>
      </c>
      <c r="AF35" s="64">
        <v>45391.62646865845</v>
      </c>
      <c r="AG35" s="47">
        <v>6361.8</v>
      </c>
      <c r="AH35" s="107">
        <v>1.4010740490487238E7</v>
      </c>
      <c r="AI35" s="106">
        <v>2071937.6163205488</v>
      </c>
      <c r="AJ35" s="107">
        <v>1.4056132116955897E7</v>
      </c>
      <c r="AK35" s="106">
        <v>2078299.4163205489</v>
      </c>
      <c r="AM35" s="89" t="s">
        <v>84</v>
      </c>
      <c r="AN35" s="89" t="s">
        <v>171</v>
      </c>
      <c r="AO35" s="64">
        <v>577088.2861760636</v>
      </c>
      <c r="AP35" s="47">
        <v>120326.40726479075</v>
      </c>
      <c r="AR35" s="89"/>
      <c r="AS35" s="89" t="s">
        <v>231</v>
      </c>
      <c r="AT35" s="89"/>
      <c r="AU35" s="89"/>
      <c r="AV35" s="89"/>
      <c r="AW35" s="89"/>
      <c r="AX35" s="89"/>
      <c r="AY35" s="89"/>
      <c r="AZ35" s="89"/>
      <c r="BA35" s="89"/>
      <c r="BB35" s="107">
        <v>69917.49607086182</v>
      </c>
      <c r="BC35" s="64">
        <v>7.454471111297607</v>
      </c>
      <c r="BD35" s="89"/>
      <c r="BE35" s="89"/>
      <c r="BF35" s="107">
        <v>69924.95054197311</v>
      </c>
    </row>
    <row r="36">
      <c r="F36" s="120" t="s">
        <v>136</v>
      </c>
      <c r="G36" s="107">
        <v>2.6378209738460448E7</v>
      </c>
      <c r="H36" s="107">
        <v>5.004495935095546E7</v>
      </c>
      <c r="I36" s="107">
        <v>2.0545822618147742E7</v>
      </c>
      <c r="M36" s="89" t="s">
        <v>84</v>
      </c>
      <c r="N36" s="107">
        <v>1265711.5487642984</v>
      </c>
      <c r="O36" s="107">
        <v>1604073.9611927914</v>
      </c>
      <c r="P36" s="107">
        <v>2380532.018930953</v>
      </c>
      <c r="Q36" s="107">
        <v>1723293.8730415832</v>
      </c>
      <c r="R36" s="107">
        <v>1307121.343718561</v>
      </c>
      <c r="S36" s="107">
        <v>8280732.745648202</v>
      </c>
      <c r="AD36" s="89"/>
      <c r="AE36" s="89" t="s">
        <v>296</v>
      </c>
      <c r="AF36" s="64">
        <v>8195935.21867739</v>
      </c>
      <c r="AG36" s="47">
        <v>1227473.384</v>
      </c>
      <c r="AH36" s="107">
        <v>1306126.3957617902</v>
      </c>
      <c r="AI36" s="106">
        <v>169937.69</v>
      </c>
      <c r="AJ36" s="107">
        <v>9502061.61443918</v>
      </c>
      <c r="AK36" s="106">
        <v>1397411.074</v>
      </c>
      <c r="AM36" s="89"/>
      <c r="AN36" s="89" t="s">
        <v>154</v>
      </c>
      <c r="AO36" s="107">
        <v>296762.9164123535</v>
      </c>
      <c r="AP36" s="106">
        <v>70398.0</v>
      </c>
      <c r="AR36" s="89" t="s">
        <v>2626</v>
      </c>
      <c r="AS36" s="89"/>
      <c r="AT36" s="89"/>
      <c r="AU36" s="89"/>
      <c r="AV36" s="89"/>
      <c r="AW36" s="89"/>
      <c r="AX36" s="89"/>
      <c r="AY36" s="89"/>
      <c r="AZ36" s="107">
        <v>5937622.265510837</v>
      </c>
      <c r="BA36" s="107">
        <v>6043137.853073722</v>
      </c>
      <c r="BB36" s="107">
        <v>1.3367044706136711E7</v>
      </c>
      <c r="BC36" s="107">
        <v>1.0022539495961389E7</v>
      </c>
      <c r="BD36" s="107">
        <v>1.1928318258301172E7</v>
      </c>
      <c r="BE36" s="89"/>
      <c r="BF36" s="107">
        <v>4.729866257898385E7</v>
      </c>
    </row>
    <row r="37">
      <c r="F37" s="89" t="s">
        <v>71</v>
      </c>
      <c r="G37" s="107">
        <v>3.0998443817301985E7</v>
      </c>
      <c r="H37" s="107">
        <v>5.763209791294809E7</v>
      </c>
      <c r="I37" s="107">
        <v>2.7180459944357596E7</v>
      </c>
      <c r="M37" s="89" t="s">
        <v>85</v>
      </c>
      <c r="N37" s="64">
        <v>87452.21034325672</v>
      </c>
      <c r="O37" s="107">
        <v>378169.57831306744</v>
      </c>
      <c r="P37" s="107">
        <v>960599.210829734</v>
      </c>
      <c r="Q37" s="107">
        <v>1518754.743335937</v>
      </c>
      <c r="R37" s="107">
        <v>312776.8299396403</v>
      </c>
      <c r="S37" s="107">
        <v>3257752.57276164</v>
      </c>
      <c r="AD37" s="89"/>
      <c r="AE37" s="89" t="s">
        <v>266</v>
      </c>
      <c r="AF37" s="64">
        <v>3781422.095783024</v>
      </c>
      <c r="AG37" s="47">
        <v>678670.4279999998</v>
      </c>
      <c r="AH37" s="107">
        <v>4614735.45011294</v>
      </c>
      <c r="AI37" s="106">
        <v>614446.0464899999</v>
      </c>
      <c r="AJ37" s="107">
        <v>8396157.545895966</v>
      </c>
      <c r="AK37" s="106">
        <v>1293116.4744900002</v>
      </c>
      <c r="AM37" s="89"/>
      <c r="AN37" s="89" t="s">
        <v>152</v>
      </c>
      <c r="AO37" s="107">
        <v>269720.5784081936</v>
      </c>
      <c r="AP37" s="106">
        <v>56904.65</v>
      </c>
      <c r="AR37" s="89" t="s">
        <v>83</v>
      </c>
      <c r="AS37" s="89" t="s">
        <v>140</v>
      </c>
      <c r="AT37" s="89"/>
      <c r="AU37" s="89"/>
      <c r="AV37" s="89"/>
      <c r="AW37" s="89"/>
      <c r="AX37" s="89"/>
      <c r="AY37" s="89"/>
      <c r="AZ37" s="89"/>
      <c r="BA37" s="89"/>
      <c r="BB37" s="89"/>
      <c r="BC37" s="107">
        <v>1.5261618886884496E7</v>
      </c>
      <c r="BD37" s="89"/>
      <c r="BE37" s="89"/>
      <c r="BF37" s="107">
        <v>1.5261618886884496E7</v>
      </c>
    </row>
    <row r="38">
      <c r="M38" s="89"/>
      <c r="N38" s="64">
        <v>22882.573692798615</v>
      </c>
      <c r="O38" s="64">
        <v>369061.3487343788</v>
      </c>
      <c r="P38" s="89"/>
      <c r="Q38" s="89"/>
      <c r="R38" s="89"/>
      <c r="S38" s="64">
        <v>391943.92242717743</v>
      </c>
      <c r="AD38" s="89"/>
      <c r="AE38" s="89" t="s">
        <v>138</v>
      </c>
      <c r="AF38" s="64">
        <v>208080.28824817928</v>
      </c>
      <c r="AG38" s="47">
        <v>41276.354000000014</v>
      </c>
      <c r="AH38" s="107">
        <v>5449851.162249983</v>
      </c>
      <c r="AI38" s="106">
        <v>874544.6917589281</v>
      </c>
      <c r="AJ38" s="107">
        <v>5657931.450498157</v>
      </c>
      <c r="AK38" s="106">
        <v>915821.0457589284</v>
      </c>
      <c r="AM38" s="89"/>
      <c r="AN38" s="89" t="s">
        <v>1554</v>
      </c>
      <c r="AO38" s="64">
        <v>104556.36621878146</v>
      </c>
      <c r="AP38" s="47">
        <v>22371.55000000001</v>
      </c>
      <c r="AR38" s="89" t="s">
        <v>2647</v>
      </c>
      <c r="AS38" s="89"/>
      <c r="AT38" s="89"/>
      <c r="AU38" s="89"/>
      <c r="AV38" s="89"/>
      <c r="AW38" s="89"/>
      <c r="AX38" s="89"/>
      <c r="AY38" s="89"/>
      <c r="AZ38" s="89"/>
      <c r="BA38" s="89"/>
      <c r="BB38" s="89"/>
      <c r="BC38" s="107">
        <v>1.5261618886884496E7</v>
      </c>
      <c r="BD38" s="89"/>
      <c r="BE38" s="89"/>
      <c r="BF38" s="107">
        <v>1.5261618886884496E7</v>
      </c>
    </row>
    <row r="39">
      <c r="M39" s="89" t="s">
        <v>71</v>
      </c>
      <c r="N39" s="107">
        <v>9799741.33966546</v>
      </c>
      <c r="O39" s="107">
        <v>1.688219086636672E7</v>
      </c>
      <c r="P39" s="107">
        <v>3.0998443817301985E7</v>
      </c>
      <c r="Q39" s="107">
        <v>5.763209791294809E7</v>
      </c>
      <c r="R39" s="107">
        <v>2.7180459944357596E7</v>
      </c>
      <c r="S39" s="107">
        <v>1.4249293388063982E8</v>
      </c>
      <c r="AD39" s="89"/>
      <c r="AE39" s="89" t="s">
        <v>254</v>
      </c>
      <c r="AF39" s="64">
        <v>1155751.39243258</v>
      </c>
      <c r="AG39" s="47">
        <v>137885.89</v>
      </c>
      <c r="AH39" s="107">
        <v>3499172.5520909308</v>
      </c>
      <c r="AI39" s="106">
        <v>484871.19999999995</v>
      </c>
      <c r="AJ39" s="107">
        <v>4654923.9445235105</v>
      </c>
      <c r="AK39" s="106">
        <v>622757.09</v>
      </c>
      <c r="AM39" s="89"/>
      <c r="AN39" s="89" t="s">
        <v>584</v>
      </c>
      <c r="AO39" s="107">
        <v>45169.441597944526</v>
      </c>
      <c r="AP39" s="106">
        <v>10990.260201361352</v>
      </c>
      <c r="AR39" s="89" t="s">
        <v>82</v>
      </c>
      <c r="AS39" s="89" t="s">
        <v>150</v>
      </c>
      <c r="AT39" s="89"/>
      <c r="AU39" s="89"/>
      <c r="AV39" s="89"/>
      <c r="AW39" s="89"/>
      <c r="AX39" s="89"/>
      <c r="AY39" s="89"/>
      <c r="AZ39" s="107">
        <v>1019540.1584558411</v>
      </c>
      <c r="BA39" s="107">
        <v>1852292.7006164188</v>
      </c>
      <c r="BB39" s="107">
        <v>3137957.561009935</v>
      </c>
      <c r="BC39" s="107">
        <v>1909645.9933475615</v>
      </c>
      <c r="BD39" s="107">
        <v>3755691.3532115608</v>
      </c>
      <c r="BE39" s="89"/>
      <c r="BF39" s="107">
        <v>1.1675127766641317E7</v>
      </c>
    </row>
    <row r="40">
      <c r="AD40" s="89"/>
      <c r="AE40" s="89" t="s">
        <v>315</v>
      </c>
      <c r="AF40" s="89"/>
      <c r="AG40" s="89"/>
      <c r="AH40" s="107">
        <v>4154405.3862025435</v>
      </c>
      <c r="AI40" s="106">
        <v>514198.06871358934</v>
      </c>
      <c r="AJ40" s="107">
        <v>4154405.3862025435</v>
      </c>
      <c r="AK40" s="106">
        <v>514198.06871358934</v>
      </c>
      <c r="AM40" s="89"/>
      <c r="AN40" s="89" t="s">
        <v>470</v>
      </c>
      <c r="AO40" s="107">
        <v>10908.213017940521</v>
      </c>
      <c r="AP40" s="106">
        <v>2261.0</v>
      </c>
      <c r="AR40" s="89"/>
      <c r="AS40" s="89" t="s">
        <v>179</v>
      </c>
      <c r="AT40" s="89"/>
      <c r="AU40" s="89"/>
      <c r="AV40" s="89"/>
      <c r="AW40" s="89"/>
      <c r="AX40" s="89"/>
      <c r="AY40" s="89"/>
      <c r="AZ40" s="89"/>
      <c r="BA40" s="89"/>
      <c r="BB40" s="89"/>
      <c r="BC40" s="107">
        <v>362582.6869749069</v>
      </c>
      <c r="BD40" s="89"/>
      <c r="BE40" s="89"/>
      <c r="BF40" s="107">
        <v>362582.6869749069</v>
      </c>
    </row>
    <row r="41">
      <c r="AD41" s="89"/>
      <c r="AE41" s="89" t="s">
        <v>243</v>
      </c>
      <c r="AF41" s="64">
        <v>382973.7825117111</v>
      </c>
      <c r="AG41" s="47">
        <v>43774.0</v>
      </c>
      <c r="AH41" s="107">
        <v>3597905.505478797</v>
      </c>
      <c r="AI41" s="106">
        <v>483650.71</v>
      </c>
      <c r="AJ41" s="107">
        <v>3980879.287990508</v>
      </c>
      <c r="AK41" s="106">
        <v>527424.71</v>
      </c>
      <c r="AM41" s="89"/>
      <c r="AN41" s="89" t="s">
        <v>148</v>
      </c>
      <c r="AO41" s="107">
        <v>2915.541887283325</v>
      </c>
      <c r="AP41" s="106">
        <v>500.0</v>
      </c>
      <c r="AR41" s="89"/>
      <c r="AS41" s="89" t="s">
        <v>176</v>
      </c>
      <c r="AT41" s="89"/>
      <c r="AU41" s="89"/>
      <c r="AV41" s="89"/>
      <c r="AW41" s="89"/>
      <c r="AX41" s="89"/>
      <c r="AY41" s="89"/>
      <c r="AZ41" s="107">
        <v>1188.584077835083</v>
      </c>
      <c r="BA41" s="107">
        <v>68385.34854602814</v>
      </c>
      <c r="BB41" s="107">
        <v>78827.49714700603</v>
      </c>
      <c r="BC41" s="107">
        <v>43887.99285888672</v>
      </c>
      <c r="BD41" s="107">
        <v>47.560720443725586</v>
      </c>
      <c r="BE41" s="89"/>
      <c r="BF41" s="107">
        <v>192336.9833501997</v>
      </c>
    </row>
    <row r="42">
      <c r="AD42" s="89"/>
      <c r="AE42" s="89" t="s">
        <v>323</v>
      </c>
      <c r="AF42" s="64">
        <v>3009840.364994295</v>
      </c>
      <c r="AG42" s="47">
        <v>542381.7647529999</v>
      </c>
      <c r="AH42" s="107">
        <v>23635.596207141876</v>
      </c>
      <c r="AI42" s="106">
        <v>3425.0</v>
      </c>
      <c r="AJ42" s="107">
        <v>3033475.961201437</v>
      </c>
      <c r="AK42" s="106">
        <v>545806.7647529998</v>
      </c>
      <c r="AM42" s="89" t="s">
        <v>2648</v>
      </c>
      <c r="AN42" s="89"/>
      <c r="AO42" s="107">
        <v>1307121.343718561</v>
      </c>
      <c r="AP42" s="106">
        <v>283751.8674661524</v>
      </c>
      <c r="AR42" s="89"/>
      <c r="AS42" s="89" t="s">
        <v>213</v>
      </c>
      <c r="AT42" s="89"/>
      <c r="AU42" s="89"/>
      <c r="AV42" s="89"/>
      <c r="AW42" s="89"/>
      <c r="AX42" s="89"/>
      <c r="AY42" s="89"/>
      <c r="AZ42" s="89"/>
      <c r="BA42" s="107">
        <v>179972.68836021423</v>
      </c>
      <c r="BB42" s="89"/>
      <c r="BC42" s="89"/>
      <c r="BD42" s="107">
        <v>186.9380765203455</v>
      </c>
      <c r="BE42" s="89"/>
      <c r="BF42" s="107">
        <v>180159.62643673457</v>
      </c>
    </row>
    <row r="43">
      <c r="AD43" s="89"/>
      <c r="AE43" s="89" t="s">
        <v>191</v>
      </c>
      <c r="AF43" s="64">
        <v>239281.64263334015</v>
      </c>
      <c r="AG43" s="47">
        <v>41220.459936760766</v>
      </c>
      <c r="AH43" s="107">
        <v>1592409.748339262</v>
      </c>
      <c r="AI43" s="106">
        <v>285259.69</v>
      </c>
      <c r="AJ43" s="107">
        <v>1831691.3909726057</v>
      </c>
      <c r="AK43" s="106">
        <v>326480.14993676275</v>
      </c>
      <c r="AM43" s="89" t="s">
        <v>85</v>
      </c>
      <c r="AN43" s="89" t="s">
        <v>511</v>
      </c>
      <c r="AO43" s="107">
        <v>183719.5118408203</v>
      </c>
      <c r="AP43" s="106">
        <v>43142.0</v>
      </c>
      <c r="AR43" s="89"/>
      <c r="AS43" s="89" t="s">
        <v>248</v>
      </c>
      <c r="AT43" s="89"/>
      <c r="AU43" s="89"/>
      <c r="AV43" s="89"/>
      <c r="AW43" s="89"/>
      <c r="AX43" s="89"/>
      <c r="AY43" s="89"/>
      <c r="AZ43" s="89"/>
      <c r="BA43" s="107">
        <v>130575.70901672317</v>
      </c>
      <c r="BB43" s="89"/>
      <c r="BC43" s="89"/>
      <c r="BD43" s="89"/>
      <c r="BE43" s="89"/>
      <c r="BF43" s="107">
        <v>130575.70901672317</v>
      </c>
    </row>
    <row r="44">
      <c r="M44" s="89" t="s">
        <v>69</v>
      </c>
      <c r="N44" s="89" t="s">
        <v>128</v>
      </c>
      <c r="O44" s="89"/>
      <c r="P44" s="89"/>
      <c r="Q44" s="89"/>
      <c r="R44" s="89"/>
      <c r="S44" s="89"/>
      <c r="T44" s="89"/>
      <c r="U44" s="89"/>
      <c r="AD44" s="89"/>
      <c r="AE44" s="89" t="s">
        <v>368</v>
      </c>
      <c r="AF44" s="64">
        <v>395973.7346292305</v>
      </c>
      <c r="AG44" s="47">
        <v>46123.22</v>
      </c>
      <c r="AH44" s="107">
        <v>625892.6663470268</v>
      </c>
      <c r="AI44" s="106">
        <v>90580.0</v>
      </c>
      <c r="AJ44" s="107">
        <v>1021866.4009762574</v>
      </c>
      <c r="AK44" s="106">
        <v>136703.22</v>
      </c>
      <c r="AM44" s="89"/>
      <c r="AN44" s="89" t="s">
        <v>611</v>
      </c>
      <c r="AO44" s="64">
        <v>125875.20717524145</v>
      </c>
      <c r="AP44" s="47">
        <v>24844.258271190494</v>
      </c>
      <c r="AR44" s="89" t="s">
        <v>2646</v>
      </c>
      <c r="AS44" s="89"/>
      <c r="AT44" s="89"/>
      <c r="AU44" s="89"/>
      <c r="AV44" s="89"/>
      <c r="AW44" s="89"/>
      <c r="AX44" s="89"/>
      <c r="AY44" s="89"/>
      <c r="AZ44" s="107">
        <v>1020728.7425336762</v>
      </c>
      <c r="BA44" s="107">
        <v>2231226.4465393843</v>
      </c>
      <c r="BB44" s="107">
        <v>3216785.058156941</v>
      </c>
      <c r="BC44" s="107">
        <v>2316116.673181355</v>
      </c>
      <c r="BD44" s="107">
        <v>3755925.852008525</v>
      </c>
      <c r="BE44" s="89"/>
      <c r="BF44" s="107">
        <v>1.2540782772419883E7</v>
      </c>
    </row>
    <row r="45">
      <c r="M45" s="120" t="s">
        <v>98</v>
      </c>
      <c r="N45" s="89" t="s">
        <v>137</v>
      </c>
      <c r="O45" s="89" t="s">
        <v>81</v>
      </c>
      <c r="P45" s="89" t="s">
        <v>83</v>
      </c>
      <c r="Q45" s="89" t="s">
        <v>82</v>
      </c>
      <c r="R45" s="89" t="s">
        <v>84</v>
      </c>
      <c r="S45" s="89" t="s">
        <v>85</v>
      </c>
      <c r="T45" s="89"/>
      <c r="U45" s="89" t="s">
        <v>71</v>
      </c>
      <c r="AD45" s="89"/>
      <c r="AE45" s="89" t="s">
        <v>523</v>
      </c>
      <c r="AF45" s="64">
        <v>23303.853449287413</v>
      </c>
      <c r="AG45" s="47">
        <v>4686.92</v>
      </c>
      <c r="AH45" s="107">
        <v>585975.5795717239</v>
      </c>
      <c r="AI45" s="106">
        <v>89945.0</v>
      </c>
      <c r="AJ45" s="107">
        <v>609279.4330210113</v>
      </c>
      <c r="AK45" s="106">
        <v>94631.92</v>
      </c>
      <c r="AM45" s="89"/>
      <c r="AN45" s="89" t="s">
        <v>158</v>
      </c>
      <c r="AO45" s="107">
        <v>2032.799229849199</v>
      </c>
      <c r="AP45" s="106">
        <v>435.3061528599015</v>
      </c>
      <c r="AR45" s="89" t="s">
        <v>84</v>
      </c>
      <c r="AS45" s="89" t="s">
        <v>148</v>
      </c>
      <c r="AT45" s="89"/>
      <c r="AU45" s="89"/>
      <c r="AV45" s="89"/>
      <c r="AW45" s="89"/>
      <c r="AX45" s="89"/>
      <c r="AY45" s="107">
        <v>11841.250404644012</v>
      </c>
      <c r="AZ45" s="107">
        <v>258538.99722240402</v>
      </c>
      <c r="BA45" s="107">
        <v>204157.68256092072</v>
      </c>
      <c r="BB45" s="107">
        <v>1835116.447108202</v>
      </c>
      <c r="BC45" s="107">
        <v>653691.4835574575</v>
      </c>
      <c r="BD45" s="107">
        <v>2915.541887283325</v>
      </c>
      <c r="BE45" s="89"/>
      <c r="BF45" s="107">
        <v>2966261.4027409116</v>
      </c>
    </row>
    <row r="46">
      <c r="M46" s="120" t="s">
        <v>111</v>
      </c>
      <c r="N46" s="107">
        <v>1465343.9988205913</v>
      </c>
      <c r="O46" s="107">
        <v>5937622.265510837</v>
      </c>
      <c r="P46" s="89"/>
      <c r="Q46" s="107">
        <v>1020728.7425336762</v>
      </c>
      <c r="R46" s="107">
        <v>1265711.5487642984</v>
      </c>
      <c r="S46" s="64">
        <v>87452.21034325672</v>
      </c>
      <c r="T46" s="64">
        <v>22882.573692798615</v>
      </c>
      <c r="U46" s="107">
        <v>9799741.33966546</v>
      </c>
      <c r="AD46" s="89"/>
      <c r="AE46" s="89" t="s">
        <v>277</v>
      </c>
      <c r="AF46" s="64">
        <v>136168.67692947388</v>
      </c>
      <c r="AG46" s="47">
        <v>23952.0</v>
      </c>
      <c r="AH46" s="107">
        <v>429841.9216156006</v>
      </c>
      <c r="AI46" s="106">
        <v>96400.0</v>
      </c>
      <c r="AJ46" s="107">
        <v>566010.5985450745</v>
      </c>
      <c r="AK46" s="106">
        <v>120352.0</v>
      </c>
      <c r="AM46" s="89"/>
      <c r="AN46" s="89" t="s">
        <v>148</v>
      </c>
      <c r="AO46" s="107">
        <v>1149.3116937294276</v>
      </c>
      <c r="AP46" s="106">
        <v>243.66220139310852</v>
      </c>
      <c r="AR46" s="89"/>
      <c r="AS46" s="89" t="s">
        <v>152</v>
      </c>
      <c r="AT46" s="89"/>
      <c r="AU46" s="89"/>
      <c r="AV46" s="89"/>
      <c r="AW46" s="89"/>
      <c r="AX46" s="89"/>
      <c r="AY46" s="89"/>
      <c r="AZ46" s="107">
        <v>501889.7980799198</v>
      </c>
      <c r="BA46" s="107">
        <v>541250.259411335</v>
      </c>
      <c r="BB46" s="107">
        <v>331439.63108577725</v>
      </c>
      <c r="BC46" s="89"/>
      <c r="BD46" s="107">
        <v>269720.5784081936</v>
      </c>
      <c r="BE46" s="89"/>
      <c r="BF46" s="107">
        <v>1644300.2669852255</v>
      </c>
    </row>
    <row r="47">
      <c r="M47" s="120" t="s">
        <v>113</v>
      </c>
      <c r="N47" s="107">
        <v>6256521.678513375</v>
      </c>
      <c r="O47" s="107">
        <v>6043137.853073722</v>
      </c>
      <c r="P47" s="89"/>
      <c r="Q47" s="107">
        <v>2231226.4465393843</v>
      </c>
      <c r="R47" s="107">
        <v>1604073.9611927914</v>
      </c>
      <c r="S47" s="107">
        <v>378169.57831306744</v>
      </c>
      <c r="T47" s="64">
        <v>369061.3487343788</v>
      </c>
      <c r="U47" s="107">
        <v>1.688219086636672E7</v>
      </c>
      <c r="AD47" s="89"/>
      <c r="AE47" s="89" t="s">
        <v>537</v>
      </c>
      <c r="AF47" s="64">
        <v>273686.3090143204</v>
      </c>
      <c r="AG47" s="47">
        <v>44082.0</v>
      </c>
      <c r="AH47" s="107">
        <v>47085.70476913452</v>
      </c>
      <c r="AI47" s="106">
        <v>7496.0</v>
      </c>
      <c r="AJ47" s="107">
        <v>320772.0137834549</v>
      </c>
      <c r="AK47" s="106">
        <v>51578.0</v>
      </c>
      <c r="AM47" s="89" t="s">
        <v>2649</v>
      </c>
      <c r="AN47" s="89"/>
      <c r="AO47" s="107">
        <v>312776.8299396403</v>
      </c>
      <c r="AP47" s="106">
        <v>68665.22662544355</v>
      </c>
      <c r="AR47" s="89"/>
      <c r="AS47" s="89" t="s">
        <v>154</v>
      </c>
      <c r="AT47" s="89"/>
      <c r="AU47" s="89"/>
      <c r="AV47" s="89"/>
      <c r="AW47" s="89"/>
      <c r="AX47" s="89"/>
      <c r="AY47" s="89"/>
      <c r="AZ47" s="107">
        <v>216844.1944232826</v>
      </c>
      <c r="BA47" s="107">
        <v>598049.5227155685</v>
      </c>
      <c r="BB47" s="89"/>
      <c r="BC47" s="89"/>
      <c r="BD47" s="107">
        <v>296762.9164123535</v>
      </c>
      <c r="BE47" s="89"/>
      <c r="BF47" s="107">
        <v>1111656.6335512046</v>
      </c>
    </row>
    <row r="48">
      <c r="M48" s="120" t="s">
        <v>114</v>
      </c>
      <c r="N48" s="107">
        <v>1.1073482823247617E7</v>
      </c>
      <c r="O48" s="107">
        <v>1.3367044706136711E7</v>
      </c>
      <c r="P48" s="89"/>
      <c r="Q48" s="107">
        <v>3216785.058156941</v>
      </c>
      <c r="R48" s="107">
        <v>2380532.018930953</v>
      </c>
      <c r="S48" s="107">
        <v>960599.210829734</v>
      </c>
      <c r="T48" s="89"/>
      <c r="U48" s="107">
        <v>3.0998443817301985E7</v>
      </c>
      <c r="AD48" s="89"/>
      <c r="AE48" s="89" t="s">
        <v>144</v>
      </c>
      <c r="AF48" s="64">
        <v>21320.56748048401</v>
      </c>
      <c r="AG48" s="47">
        <v>3508.815</v>
      </c>
      <c r="AH48" s="107">
        <v>18391.639382839203</v>
      </c>
      <c r="AI48" s="106">
        <v>3535.0</v>
      </c>
      <c r="AJ48" s="107">
        <v>39712.20686332321</v>
      </c>
      <c r="AK48" s="106">
        <v>7043.815</v>
      </c>
      <c r="AM48" s="89" t="s">
        <v>71</v>
      </c>
      <c r="AN48" s="89"/>
      <c r="AO48" s="107">
        <v>2.7180459944357596E7</v>
      </c>
      <c r="AP48" s="106">
        <v>5141081.801668255</v>
      </c>
      <c r="AR48" s="89"/>
      <c r="AS48" s="89" t="s">
        <v>171</v>
      </c>
      <c r="AT48" s="89"/>
      <c r="AU48" s="89"/>
      <c r="AV48" s="89"/>
      <c r="AW48" s="89"/>
      <c r="AX48" s="89"/>
      <c r="AY48" s="89"/>
      <c r="AZ48" s="107">
        <v>87576.04153781461</v>
      </c>
      <c r="BA48" s="107">
        <v>93608.84129685641</v>
      </c>
      <c r="BB48" s="64">
        <v>28930.43428544549</v>
      </c>
      <c r="BC48" s="107">
        <v>312056.3750931241</v>
      </c>
      <c r="BD48" s="64">
        <v>577088.2861760636</v>
      </c>
      <c r="BE48" s="89"/>
      <c r="BF48" s="107">
        <v>1099259.9783893041</v>
      </c>
    </row>
    <row r="49">
      <c r="K49" s="128">
        <v>1.8E7</v>
      </c>
      <c r="M49" s="120" t="s">
        <v>115</v>
      </c>
      <c r="N49" s="107">
        <v>2.6789774240543265E7</v>
      </c>
      <c r="O49" s="107">
        <v>1.0022539495961389E7</v>
      </c>
      <c r="P49" s="107">
        <v>1.5261618886884496E7</v>
      </c>
      <c r="Q49" s="107">
        <v>2316116.673181355</v>
      </c>
      <c r="R49" s="107">
        <v>1723293.8730415832</v>
      </c>
      <c r="S49" s="107">
        <v>1518754.743335937</v>
      </c>
      <c r="T49" s="89"/>
      <c r="U49" s="107">
        <v>5.763209791294809E7</v>
      </c>
      <c r="AD49" s="89" t="s">
        <v>2629</v>
      </c>
      <c r="AE49" s="89"/>
      <c r="AF49" s="64">
        <v>1.786912955325196E7</v>
      </c>
      <c r="AG49" s="47">
        <v>2841397.0356897614</v>
      </c>
      <c r="AH49" s="107">
        <v>3.995616979861696E7</v>
      </c>
      <c r="AI49" s="106">
        <v>5790226.713283067</v>
      </c>
      <c r="AJ49" s="107">
        <v>5.782529935186912E7</v>
      </c>
      <c r="AK49" s="106">
        <v>8631623.748972824</v>
      </c>
      <c r="AR49" s="89"/>
      <c r="AS49" s="89" t="s">
        <v>1554</v>
      </c>
      <c r="AT49" s="89"/>
      <c r="AU49" s="89"/>
      <c r="AV49" s="89"/>
      <c r="AW49" s="89"/>
      <c r="AX49" s="89"/>
      <c r="AY49" s="89"/>
      <c r="AZ49" s="89"/>
      <c r="BA49" s="89"/>
      <c r="BB49" s="89"/>
      <c r="BC49" s="64">
        <v>214329.40572643283</v>
      </c>
      <c r="BD49" s="64">
        <v>104556.36621878146</v>
      </c>
      <c r="BE49" s="89"/>
      <c r="BF49" s="64">
        <v>318885.7719452143</v>
      </c>
    </row>
    <row r="50">
      <c r="K50" s="129">
        <v>4500000.0</v>
      </c>
      <c r="M50" s="120" t="s">
        <v>117</v>
      </c>
      <c r="N50" s="107">
        <v>9876317.660389768</v>
      </c>
      <c r="O50" s="107">
        <v>1.1928318258301172E7</v>
      </c>
      <c r="P50" s="89"/>
      <c r="Q50" s="107">
        <v>3755925.852008525</v>
      </c>
      <c r="R50" s="107">
        <v>1307121.343718561</v>
      </c>
      <c r="S50" s="107">
        <v>312776.8299396403</v>
      </c>
      <c r="T50" s="89"/>
      <c r="U50" s="107">
        <v>2.7180459944357596E7</v>
      </c>
      <c r="AD50" s="89" t="s">
        <v>71</v>
      </c>
      <c r="AE50" s="89"/>
      <c r="AF50" s="64">
        <v>1.786912955325196E7</v>
      </c>
      <c r="AG50" s="47">
        <v>2841397.0356897614</v>
      </c>
      <c r="AH50" s="107">
        <v>3.995616979861696E7</v>
      </c>
      <c r="AI50" s="106">
        <v>5790226.713283067</v>
      </c>
      <c r="AJ50" s="107">
        <v>5.782529935186912E7</v>
      </c>
      <c r="AK50" s="106">
        <v>8631623.748972824</v>
      </c>
      <c r="AR50" s="89"/>
      <c r="AS50" s="89" t="s">
        <v>470</v>
      </c>
      <c r="AT50" s="89"/>
      <c r="AU50" s="89"/>
      <c r="AV50" s="89"/>
      <c r="AW50" s="89"/>
      <c r="AX50" s="89"/>
      <c r="AY50" s="89"/>
      <c r="AZ50" s="89"/>
      <c r="BA50" s="89"/>
      <c r="BB50" s="89"/>
      <c r="BC50" s="107">
        <v>286798.81490421295</v>
      </c>
      <c r="BD50" s="107">
        <v>10908.213017940521</v>
      </c>
      <c r="BE50" s="89"/>
      <c r="BF50" s="107">
        <v>297707.0279221535</v>
      </c>
    </row>
    <row r="51">
      <c r="M51" s="89" t="s">
        <v>71</v>
      </c>
      <c r="N51" s="107">
        <v>5.546144040151477E7</v>
      </c>
      <c r="O51" s="107">
        <v>4.729866257898385E7</v>
      </c>
      <c r="P51" s="107">
        <v>1.5261618886884496E7</v>
      </c>
      <c r="Q51" s="107">
        <v>1.2540782772419883E7</v>
      </c>
      <c r="R51" s="107">
        <v>8280732.745648202</v>
      </c>
      <c r="S51" s="107">
        <v>3257752.57276164</v>
      </c>
      <c r="T51" s="64">
        <v>391943.92242717743</v>
      </c>
      <c r="U51" s="107">
        <v>1.4249293388063982E8</v>
      </c>
      <c r="AR51" s="89"/>
      <c r="AS51" s="89" t="s">
        <v>202</v>
      </c>
      <c r="AT51" s="89"/>
      <c r="AU51" s="89"/>
      <c r="AV51" s="89"/>
      <c r="AW51" s="89"/>
      <c r="AX51" s="89"/>
      <c r="AY51" s="89"/>
      <c r="AZ51" s="89"/>
      <c r="BA51" s="89"/>
      <c r="BB51" s="107">
        <v>18309.959193940165</v>
      </c>
      <c r="BC51" s="107">
        <v>250472.46594673157</v>
      </c>
      <c r="BD51" s="89"/>
      <c r="BE51" s="89"/>
      <c r="BF51" s="107">
        <v>268782.4251406717</v>
      </c>
    </row>
    <row r="52">
      <c r="AR52" s="89"/>
      <c r="AS52" s="89" t="s">
        <v>317</v>
      </c>
      <c r="AT52" s="89"/>
      <c r="AU52" s="89"/>
      <c r="AV52" s="89"/>
      <c r="AW52" s="89"/>
      <c r="AX52" s="89"/>
      <c r="AY52" s="89"/>
      <c r="AZ52" s="89"/>
      <c r="BA52" s="89"/>
      <c r="BB52" s="107">
        <v>166735.54725759407</v>
      </c>
      <c r="BC52" s="107">
        <v>5945.327813625336</v>
      </c>
      <c r="BD52" s="89"/>
      <c r="BE52" s="89"/>
      <c r="BF52" s="107">
        <v>172680.8750712194</v>
      </c>
    </row>
    <row r="53">
      <c r="AR53" s="89"/>
      <c r="AS53" s="89" t="s">
        <v>140</v>
      </c>
      <c r="AT53" s="89"/>
      <c r="AU53" s="89"/>
      <c r="AV53" s="89"/>
      <c r="AW53" s="89"/>
      <c r="AX53" s="89"/>
      <c r="AY53" s="89"/>
      <c r="AZ53" s="107">
        <v>168976.15137195587</v>
      </c>
      <c r="BA53" s="89"/>
      <c r="BB53" s="89"/>
      <c r="BC53" s="89"/>
      <c r="BD53" s="89"/>
      <c r="BE53" s="89"/>
      <c r="BF53" s="107">
        <v>168976.15137195587</v>
      </c>
    </row>
    <row r="54">
      <c r="AR54" s="89"/>
      <c r="AS54" s="89" t="s">
        <v>231</v>
      </c>
      <c r="AT54" s="89"/>
      <c r="AU54" s="89"/>
      <c r="AV54" s="89"/>
      <c r="AW54" s="89"/>
      <c r="AX54" s="89"/>
      <c r="AY54" s="89"/>
      <c r="AZ54" s="89"/>
      <c r="BA54" s="107">
        <v>166659.53242063522</v>
      </c>
      <c r="BB54" s="89"/>
      <c r="BC54" s="89"/>
      <c r="BD54" s="89"/>
      <c r="BE54" s="89"/>
      <c r="BF54" s="107">
        <v>166659.53242063522</v>
      </c>
    </row>
    <row r="55">
      <c r="AR55" s="89"/>
      <c r="AS55" s="89" t="s">
        <v>584</v>
      </c>
      <c r="AT55" s="89"/>
      <c r="AU55" s="89"/>
      <c r="AV55" s="89"/>
      <c r="AW55" s="89"/>
      <c r="AX55" s="89"/>
      <c r="AY55" s="89"/>
      <c r="AZ55" s="89"/>
      <c r="BA55" s="89"/>
      <c r="BB55" s="89"/>
      <c r="BC55" s="89"/>
      <c r="BD55" s="107">
        <v>45169.441597944526</v>
      </c>
      <c r="BE55" s="89"/>
      <c r="BF55" s="107">
        <v>45169.441597944526</v>
      </c>
    </row>
    <row r="56">
      <c r="AR56" s="89"/>
      <c r="AS56" s="89" t="s">
        <v>144</v>
      </c>
      <c r="AT56" s="89"/>
      <c r="AU56" s="89"/>
      <c r="AV56" s="89"/>
      <c r="AW56" s="89"/>
      <c r="AX56" s="89"/>
      <c r="AY56" s="89"/>
      <c r="AZ56" s="107">
        <v>31886.36612892151</v>
      </c>
      <c r="BA56" s="107">
        <v>348.12278747558594</v>
      </c>
      <c r="BB56" s="89"/>
      <c r="BC56" s="89"/>
      <c r="BD56" s="89"/>
      <c r="BE56" s="89"/>
      <c r="BF56" s="107">
        <v>32234.488916397095</v>
      </c>
    </row>
    <row r="57">
      <c r="AM57" s="89" t="s">
        <v>128</v>
      </c>
      <c r="AN57" s="89" t="s">
        <v>129</v>
      </c>
      <c r="AO57" s="89" t="s">
        <v>69</v>
      </c>
      <c r="AP57" s="89" t="s">
        <v>68</v>
      </c>
      <c r="AR57" s="89" t="s">
        <v>2648</v>
      </c>
      <c r="AS57" s="89"/>
      <c r="AT57" s="89"/>
      <c r="AU57" s="89"/>
      <c r="AV57" s="89"/>
      <c r="AW57" s="89"/>
      <c r="AX57" s="89"/>
      <c r="AY57" s="107">
        <v>11841.250404644012</v>
      </c>
      <c r="AZ57" s="107">
        <v>1265711.5487642984</v>
      </c>
      <c r="BA57" s="107">
        <v>1604073.9611927914</v>
      </c>
      <c r="BB57" s="107">
        <v>2380532.018930953</v>
      </c>
      <c r="BC57" s="107">
        <v>1723293.8730415832</v>
      </c>
      <c r="BD57" s="107">
        <v>1307121.343718561</v>
      </c>
      <c r="BE57" s="89"/>
      <c r="BF57" s="107">
        <v>8292573.996052846</v>
      </c>
    </row>
    <row r="58">
      <c r="AM58" s="89" t="s">
        <v>81</v>
      </c>
      <c r="AN58" s="89" t="s">
        <v>557</v>
      </c>
      <c r="AO58" s="107">
        <v>5178992.419358541</v>
      </c>
      <c r="AP58" s="106">
        <v>1011087.5028339707</v>
      </c>
      <c r="AR58" s="89" t="s">
        <v>85</v>
      </c>
      <c r="AS58" s="89" t="s">
        <v>511</v>
      </c>
      <c r="AT58" s="89"/>
      <c r="AU58" s="89"/>
      <c r="AV58" s="89"/>
      <c r="AW58" s="89"/>
      <c r="AX58" s="89"/>
      <c r="AY58" s="89"/>
      <c r="AZ58" s="89"/>
      <c r="BA58" s="89"/>
      <c r="BB58" s="89"/>
      <c r="BC58" s="107">
        <v>716911.6513607713</v>
      </c>
      <c r="BD58" s="107">
        <v>183719.5118408203</v>
      </c>
      <c r="BE58" s="89"/>
      <c r="BF58" s="107">
        <v>900631.1632015916</v>
      </c>
    </row>
    <row r="59">
      <c r="AM59" s="89"/>
      <c r="AN59" s="89" t="s">
        <v>185</v>
      </c>
      <c r="AO59" s="107">
        <v>1741465.5823683739</v>
      </c>
      <c r="AP59" s="106">
        <v>317750.3777239709</v>
      </c>
      <c r="AR59" s="89"/>
      <c r="AS59" s="89" t="s">
        <v>611</v>
      </c>
      <c r="AT59" s="89"/>
      <c r="AU59" s="64">
        <v>31780.46525750995</v>
      </c>
      <c r="AV59" s="64">
        <v>58770.184733650305</v>
      </c>
      <c r="AW59" s="64">
        <v>44395.00579148915</v>
      </c>
      <c r="AX59" s="64">
        <v>51253.901167559765</v>
      </c>
      <c r="AY59" s="64">
        <v>68810.07155994333</v>
      </c>
      <c r="AZ59" s="64">
        <v>87452.21034325672</v>
      </c>
      <c r="BA59" s="64">
        <v>96475.33395881923</v>
      </c>
      <c r="BB59" s="64">
        <v>116479.10031214458</v>
      </c>
      <c r="BC59" s="64">
        <v>153142.68304939484</v>
      </c>
      <c r="BD59" s="64">
        <v>125875.20717524145</v>
      </c>
      <c r="BE59" s="89"/>
      <c r="BF59" s="64">
        <v>834434.1633490084</v>
      </c>
    </row>
    <row r="60">
      <c r="AM60" s="89"/>
      <c r="AN60" s="89" t="s">
        <v>146</v>
      </c>
      <c r="AO60" s="107">
        <v>1641040.7371938606</v>
      </c>
      <c r="AP60" s="106">
        <v>302560.11012921436</v>
      </c>
      <c r="AR60" s="89"/>
      <c r="AS60" s="89" t="s">
        <v>185</v>
      </c>
      <c r="AT60" s="89"/>
      <c r="AU60" s="89"/>
      <c r="AV60" s="89"/>
      <c r="AW60" s="89"/>
      <c r="AX60" s="89"/>
      <c r="AY60" s="89"/>
      <c r="AZ60" s="89"/>
      <c r="BA60" s="89"/>
      <c r="BB60" s="107">
        <v>748101.7241879387</v>
      </c>
      <c r="BC60" s="89"/>
      <c r="BD60" s="89"/>
      <c r="BE60" s="89"/>
      <c r="BF60" s="107">
        <v>748101.7241879387</v>
      </c>
    </row>
    <row r="61">
      <c r="AM61" s="89"/>
      <c r="AN61" s="89" t="s">
        <v>202</v>
      </c>
      <c r="AO61" s="107">
        <v>645599.97429728</v>
      </c>
      <c r="AP61" s="106">
        <v>148408.10576920657</v>
      </c>
      <c r="AR61" s="89"/>
      <c r="AS61" s="89" t="s">
        <v>85</v>
      </c>
      <c r="AT61" s="89"/>
      <c r="AU61" s="89"/>
      <c r="AV61" s="89"/>
      <c r="AW61" s="89"/>
      <c r="AX61" s="89"/>
      <c r="AY61" s="89"/>
      <c r="AZ61" s="89"/>
      <c r="BA61" s="107">
        <v>226079.1541337967</v>
      </c>
      <c r="BB61" s="89"/>
      <c r="BC61" s="107">
        <v>309484.1151332855</v>
      </c>
      <c r="BD61" s="89"/>
      <c r="BE61" s="89"/>
      <c r="BF61" s="107">
        <v>535563.2692670822</v>
      </c>
    </row>
    <row r="62">
      <c r="AM62" s="89"/>
      <c r="AN62" s="89" t="s">
        <v>331</v>
      </c>
      <c r="AO62" s="107">
        <v>560630.6838059044</v>
      </c>
      <c r="AP62" s="106">
        <v>88657.33</v>
      </c>
      <c r="AR62" s="89"/>
      <c r="AS62" s="89" t="s">
        <v>148</v>
      </c>
      <c r="AT62" s="89"/>
      <c r="AU62" s="89"/>
      <c r="AV62" s="89"/>
      <c r="AW62" s="89"/>
      <c r="AX62" s="89"/>
      <c r="AY62" s="89"/>
      <c r="AZ62" s="89"/>
      <c r="BA62" s="107">
        <v>55615.090220451355</v>
      </c>
      <c r="BB62" s="107">
        <v>21774.437886714935</v>
      </c>
      <c r="BC62" s="107">
        <v>301319.75155878067</v>
      </c>
      <c r="BD62" s="107">
        <v>1149.3116937294276</v>
      </c>
      <c r="BE62" s="89"/>
      <c r="BF62" s="107">
        <v>379858.5913596764</v>
      </c>
    </row>
    <row r="63">
      <c r="AM63" s="89"/>
      <c r="AN63" s="89" t="s">
        <v>179</v>
      </c>
      <c r="AO63" s="107">
        <v>503740.47538578825</v>
      </c>
      <c r="AP63" s="106">
        <v>107281.82473434554</v>
      </c>
      <c r="AR63" s="89"/>
      <c r="AS63" s="89" t="s">
        <v>191</v>
      </c>
      <c r="AT63" s="89"/>
      <c r="AU63" s="89"/>
      <c r="AV63" s="89"/>
      <c r="AW63" s="89"/>
      <c r="AX63" s="89"/>
      <c r="AY63" s="89"/>
      <c r="AZ63" s="89"/>
      <c r="BA63" s="89"/>
      <c r="BB63" s="107">
        <v>74243.94844293594</v>
      </c>
      <c r="BC63" s="89"/>
      <c r="BD63" s="89"/>
      <c r="BE63" s="89"/>
      <c r="BF63" s="107">
        <v>74243.94844293594</v>
      </c>
    </row>
    <row r="64">
      <c r="AM64" s="89"/>
      <c r="AN64" s="89" t="s">
        <v>148</v>
      </c>
      <c r="AO64" s="107">
        <v>307204.3969657236</v>
      </c>
      <c r="AP64" s="106">
        <v>56022.53948390753</v>
      </c>
      <c r="AR64" s="89"/>
      <c r="AS64" s="89" t="s">
        <v>331</v>
      </c>
      <c r="AT64" s="89"/>
      <c r="AU64" s="89"/>
      <c r="AV64" s="89"/>
      <c r="AW64" s="89"/>
      <c r="AX64" s="89"/>
      <c r="AY64" s="89"/>
      <c r="AZ64" s="89"/>
      <c r="BA64" s="89"/>
      <c r="BB64" s="89"/>
      <c r="BC64" s="107">
        <v>37652.19421386719</v>
      </c>
      <c r="BD64" s="89"/>
      <c r="BE64" s="89"/>
      <c r="BF64" s="107">
        <v>37652.19421386719</v>
      </c>
    </row>
    <row r="65">
      <c r="AM65" s="89"/>
      <c r="AN65" s="89" t="s">
        <v>158</v>
      </c>
      <c r="AO65" s="107">
        <v>298662.23866250896</v>
      </c>
      <c r="AP65" s="106">
        <v>56494.604621718805</v>
      </c>
      <c r="AR65" s="89"/>
      <c r="AS65" s="89" t="s">
        <v>158</v>
      </c>
      <c r="AT65" s="89"/>
      <c r="AU65" s="89"/>
      <c r="AV65" s="89"/>
      <c r="AW65" s="89"/>
      <c r="AX65" s="89"/>
      <c r="AY65" s="89"/>
      <c r="AZ65" s="89"/>
      <c r="BA65" s="89"/>
      <c r="BB65" s="89"/>
      <c r="BC65" s="89"/>
      <c r="BD65" s="107">
        <v>2032.799229849199</v>
      </c>
      <c r="BE65" s="89"/>
      <c r="BF65" s="107">
        <v>2032.799229849199</v>
      </c>
    </row>
    <row r="66">
      <c r="AM66" s="89"/>
      <c r="AN66" s="89" t="s">
        <v>362</v>
      </c>
      <c r="AO66" s="107">
        <v>228211.34562330373</v>
      </c>
      <c r="AP66" s="106">
        <v>40867.15929990981</v>
      </c>
      <c r="AR66" s="89"/>
      <c r="AS66" s="89" t="s">
        <v>144</v>
      </c>
      <c r="AT66" s="89"/>
      <c r="AU66" s="89"/>
      <c r="AV66" s="89"/>
      <c r="AW66" s="89"/>
      <c r="AX66" s="89"/>
      <c r="AY66" s="89"/>
      <c r="AZ66" s="89"/>
      <c r="BA66" s="89"/>
      <c r="BB66" s="89"/>
      <c r="BC66" s="107">
        <v>244.34801983833313</v>
      </c>
      <c r="BD66" s="89"/>
      <c r="BE66" s="89"/>
      <c r="BF66" s="107">
        <v>244.34801983833313</v>
      </c>
    </row>
    <row r="67">
      <c r="AM67" s="89"/>
      <c r="AN67" s="89" t="s">
        <v>152</v>
      </c>
      <c r="AO67" s="107">
        <v>220466.14235925674</v>
      </c>
      <c r="AP67" s="106">
        <v>38441.39</v>
      </c>
      <c r="AR67" s="89" t="s">
        <v>2649</v>
      </c>
      <c r="AS67" s="89"/>
      <c r="AT67" s="89"/>
      <c r="AU67" s="64">
        <v>31780.46525750995</v>
      </c>
      <c r="AV67" s="64">
        <v>58770.184733650305</v>
      </c>
      <c r="AW67" s="64">
        <v>44395.00579148915</v>
      </c>
      <c r="AX67" s="64">
        <v>51253.901167559765</v>
      </c>
      <c r="AY67" s="64">
        <v>68810.07155994333</v>
      </c>
      <c r="AZ67" s="64">
        <v>87452.21034325672</v>
      </c>
      <c r="BA67" s="107">
        <v>378169.57831306744</v>
      </c>
      <c r="BB67" s="107">
        <v>960599.210829734</v>
      </c>
      <c r="BC67" s="107">
        <v>1518754.743335937</v>
      </c>
      <c r="BD67" s="107">
        <v>312776.8299396403</v>
      </c>
      <c r="BE67" s="89"/>
      <c r="BF67" s="107">
        <v>3512762.201271793</v>
      </c>
    </row>
    <row r="68">
      <c r="A68" s="27" t="s">
        <v>2591</v>
      </c>
      <c r="E68" s="27" t="s">
        <v>2650</v>
      </c>
      <c r="AM68" s="89"/>
      <c r="AN68" s="89" t="s">
        <v>140</v>
      </c>
      <c r="AO68" s="107">
        <v>161899.05659644835</v>
      </c>
      <c r="AP68" s="106">
        <v>37497.40846711192</v>
      </c>
      <c r="AR68" s="89"/>
      <c r="AS68" s="89"/>
      <c r="AT68" s="89">
        <v>0.0</v>
      </c>
      <c r="AU68" s="89"/>
      <c r="AV68" s="64">
        <v>73566.60385131836</v>
      </c>
      <c r="AW68" s="89"/>
      <c r="AX68" s="89"/>
      <c r="AY68" s="64">
        <v>313025.0892395973</v>
      </c>
      <c r="AZ68" s="64">
        <v>22882.573692798615</v>
      </c>
      <c r="BA68" s="64">
        <v>369061.3487343788</v>
      </c>
      <c r="BB68" s="89"/>
      <c r="BC68" s="89"/>
      <c r="BD68" s="89"/>
      <c r="BE68" s="89">
        <v>0.0</v>
      </c>
      <c r="BF68" s="89">
        <v>778535.6155180931</v>
      </c>
    </row>
    <row r="69">
      <c r="A69" s="89"/>
      <c r="B69" s="89" t="s">
        <v>4</v>
      </c>
      <c r="C69" s="89" t="s">
        <v>3</v>
      </c>
      <c r="E69" s="89" t="s">
        <v>128</v>
      </c>
      <c r="F69" s="89" t="s">
        <v>68</v>
      </c>
      <c r="G69" s="89" t="s">
        <v>69</v>
      </c>
      <c r="AC69" s="27" t="s">
        <v>2651</v>
      </c>
      <c r="AD69" s="129">
        <v>1.5E9</v>
      </c>
      <c r="AM69" s="89"/>
      <c r="AN69" s="89" t="s">
        <v>176</v>
      </c>
      <c r="AO69" s="107">
        <v>154788.60626220703</v>
      </c>
      <c r="AP69" s="106">
        <v>24800.0</v>
      </c>
      <c r="AR69" s="89" t="s">
        <v>2652</v>
      </c>
      <c r="AS69" s="89"/>
      <c r="AT69" s="89">
        <v>0.0</v>
      </c>
      <c r="AU69" s="89"/>
      <c r="AV69" s="64">
        <v>73566.60385131836</v>
      </c>
      <c r="AW69" s="89"/>
      <c r="AX69" s="89"/>
      <c r="AY69" s="64">
        <v>313025.0892395973</v>
      </c>
      <c r="AZ69" s="64">
        <v>22882.573692798615</v>
      </c>
      <c r="BA69" s="64">
        <v>369061.3487343788</v>
      </c>
      <c r="BB69" s="89"/>
      <c r="BC69" s="89"/>
      <c r="BD69" s="89"/>
      <c r="BE69" s="89">
        <v>0.0</v>
      </c>
      <c r="BF69" s="89">
        <v>778535.6155180931</v>
      </c>
    </row>
    <row r="70">
      <c r="A70" s="120" t="s">
        <v>111</v>
      </c>
      <c r="B70" s="107">
        <v>9799741.33966546</v>
      </c>
      <c r="C70" s="106">
        <v>2020437.723525936</v>
      </c>
      <c r="E70" s="89" t="s">
        <v>81</v>
      </c>
      <c r="F70" s="106">
        <v>2289483.3530633566</v>
      </c>
      <c r="G70" s="107">
        <v>1.1928318258301172E7</v>
      </c>
      <c r="AC70" s="27" t="s">
        <v>2653</v>
      </c>
      <c r="AD70" s="130">
        <v>0.08</v>
      </c>
      <c r="AE70" s="27" t="s">
        <v>2654</v>
      </c>
      <c r="AM70" s="89"/>
      <c r="AN70" s="89" t="s">
        <v>470</v>
      </c>
      <c r="AO70" s="64">
        <v>148043.91598129272</v>
      </c>
      <c r="AP70" s="47">
        <v>26954.0</v>
      </c>
      <c r="AR70" s="89" t="s">
        <v>607</v>
      </c>
      <c r="AS70" s="89" t="s">
        <v>608</v>
      </c>
      <c r="AT70" s="64">
        <v>0.0</v>
      </c>
      <c r="AU70" s="89"/>
      <c r="AV70" s="89"/>
      <c r="AW70" s="89"/>
      <c r="AX70" s="89"/>
      <c r="AY70" s="89"/>
      <c r="AZ70" s="89"/>
      <c r="BA70" s="89"/>
      <c r="BB70" s="89"/>
      <c r="BC70" s="89"/>
      <c r="BD70" s="89"/>
      <c r="BE70" s="89"/>
      <c r="BF70" s="64">
        <v>0.0</v>
      </c>
    </row>
    <row r="71">
      <c r="A71" s="120" t="s">
        <v>113</v>
      </c>
      <c r="B71" s="107">
        <v>1.688219086636672E7</v>
      </c>
      <c r="C71" s="106">
        <v>3051435.245578105</v>
      </c>
      <c r="E71" s="89" t="s">
        <v>137</v>
      </c>
      <c r="F71" s="106">
        <v>1729315.486246065</v>
      </c>
      <c r="G71" s="107">
        <v>9876317.660389768</v>
      </c>
      <c r="AC71" s="27" t="s">
        <v>2655</v>
      </c>
      <c r="AD71" s="130">
        <v>0.15</v>
      </c>
      <c r="AE71" s="27" t="s">
        <v>2654</v>
      </c>
      <c r="AM71" s="89"/>
      <c r="AN71" s="89" t="s">
        <v>154</v>
      </c>
      <c r="AO71" s="107">
        <v>137572.68344068527</v>
      </c>
      <c r="AP71" s="106">
        <v>32661.0</v>
      </c>
      <c r="AR71" s="89" t="s">
        <v>2656</v>
      </c>
      <c r="AS71" s="89"/>
      <c r="AT71" s="64">
        <v>0.0</v>
      </c>
      <c r="AU71" s="89"/>
      <c r="AV71" s="89"/>
      <c r="AW71" s="89"/>
      <c r="AX71" s="89"/>
      <c r="AY71" s="89"/>
      <c r="AZ71" s="89"/>
      <c r="BA71" s="89"/>
      <c r="BB71" s="89"/>
      <c r="BC71" s="89"/>
      <c r="BD71" s="89"/>
      <c r="BE71" s="89"/>
      <c r="BF71" s="64">
        <v>0.0</v>
      </c>
    </row>
    <row r="72">
      <c r="A72" s="120" t="s">
        <v>114</v>
      </c>
      <c r="B72" s="107">
        <v>3.0998443817301985E7</v>
      </c>
      <c r="C72" s="106">
        <v>3649232.766647281</v>
      </c>
      <c r="E72" s="89" t="s">
        <v>82</v>
      </c>
      <c r="F72" s="106">
        <v>769865.8682672601</v>
      </c>
      <c r="G72" s="107">
        <v>3755925.852008525</v>
      </c>
      <c r="AC72" s="131"/>
      <c r="AD72" s="131"/>
      <c r="AE72" s="131"/>
      <c r="AM72" s="89" t="s">
        <v>2626</v>
      </c>
      <c r="AN72" s="89"/>
      <c r="AO72" s="107">
        <v>1.1928318258301172E7</v>
      </c>
      <c r="AP72" s="106">
        <v>2289483.3530633566</v>
      </c>
      <c r="AR72" s="89" t="s">
        <v>128</v>
      </c>
      <c r="AS72" s="89" t="s">
        <v>129</v>
      </c>
      <c r="AT72" s="107">
        <v>0.0</v>
      </c>
      <c r="AU72" s="89"/>
      <c r="AV72" s="89"/>
      <c r="AW72" s="89"/>
      <c r="AX72" s="89"/>
      <c r="AY72" s="89"/>
      <c r="AZ72" s="89"/>
      <c r="BA72" s="89"/>
      <c r="BB72" s="89"/>
      <c r="BC72" s="89"/>
      <c r="BD72" s="89"/>
      <c r="BE72" s="89"/>
      <c r="BF72" s="107">
        <v>0.0</v>
      </c>
    </row>
    <row r="73">
      <c r="A73" s="120" t="s">
        <v>115</v>
      </c>
      <c r="B73" s="107">
        <v>5.763209791294809E7</v>
      </c>
      <c r="C73" s="106">
        <v>7999085.626416834</v>
      </c>
      <c r="E73" s="89" t="s">
        <v>84</v>
      </c>
      <c r="F73" s="106">
        <v>283751.8674661524</v>
      </c>
      <c r="G73" s="107">
        <v>1307121.343718561</v>
      </c>
      <c r="AC73" s="27" t="s">
        <v>2657</v>
      </c>
      <c r="AD73" s="47">
        <f>AD69*AD70*AD71</f>
        <v>18000000</v>
      </c>
      <c r="AR73" s="89" t="s">
        <v>2658</v>
      </c>
      <c r="AS73" s="89"/>
      <c r="AT73" s="107">
        <v>0.0</v>
      </c>
      <c r="AU73" s="89"/>
      <c r="AV73" s="89"/>
      <c r="AW73" s="89"/>
      <c r="AX73" s="89"/>
      <c r="AY73" s="89"/>
      <c r="AZ73" s="89"/>
      <c r="BA73" s="89"/>
      <c r="BB73" s="89"/>
      <c r="BC73" s="89"/>
      <c r="BD73" s="89"/>
      <c r="BE73" s="89"/>
      <c r="BF73" s="107">
        <v>0.0</v>
      </c>
    </row>
    <row r="74">
      <c r="A74" s="120" t="s">
        <v>117</v>
      </c>
      <c r="B74" s="107">
        <v>2.7180459944357596E7</v>
      </c>
      <c r="C74" s="106">
        <v>5141081.801668255</v>
      </c>
      <c r="E74" s="89" t="s">
        <v>85</v>
      </c>
      <c r="F74" s="106">
        <v>68665.22662544355</v>
      </c>
      <c r="G74" s="107">
        <v>312776.8299396403</v>
      </c>
      <c r="AR74" s="89" t="s">
        <v>71</v>
      </c>
      <c r="AS74" s="89"/>
      <c r="AT74" s="107">
        <v>0.0</v>
      </c>
      <c r="AU74" s="64">
        <v>31780.46525750995</v>
      </c>
      <c r="AV74" s="64">
        <v>194676.28250378807</v>
      </c>
      <c r="AW74" s="64">
        <v>376512.3481028856</v>
      </c>
      <c r="AX74" s="64">
        <v>694103.8441796732</v>
      </c>
      <c r="AY74" s="107">
        <v>1720228.5823161728</v>
      </c>
      <c r="AZ74" s="107">
        <v>9799741.33966546</v>
      </c>
      <c r="BA74" s="107">
        <v>1.688219086636672E7</v>
      </c>
      <c r="BB74" s="107">
        <v>3.0998443817301985E7</v>
      </c>
      <c r="BC74" s="107">
        <v>5.763209791294809E7</v>
      </c>
      <c r="BD74" s="107">
        <v>2.7180459944357596E7</v>
      </c>
      <c r="BE74" s="89">
        <v>0.0</v>
      </c>
      <c r="BF74" s="107">
        <v>1.4551023540300032E8</v>
      </c>
    </row>
    <row r="75">
      <c r="A75" s="89" t="s">
        <v>71</v>
      </c>
      <c r="B75" s="107">
        <v>1.4249293388063982E8</v>
      </c>
      <c r="C75" s="106">
        <v>2.1861273163836442E7</v>
      </c>
      <c r="E75" s="89" t="s">
        <v>71</v>
      </c>
      <c r="F75" s="106">
        <v>5141081.801668255</v>
      </c>
      <c r="G75" s="107">
        <v>2.7180459944357596E7</v>
      </c>
      <c r="AC75" s="27" t="s">
        <v>2659</v>
      </c>
      <c r="AD75" s="47">
        <f>AD73/4</f>
        <v>4500000</v>
      </c>
    </row>
    <row r="76">
      <c r="AM76" s="89" t="s">
        <v>128</v>
      </c>
      <c r="AN76" s="89" t="s">
        <v>129</v>
      </c>
      <c r="AO76" s="89" t="s">
        <v>69</v>
      </c>
      <c r="AP76" s="89" t="s">
        <v>68</v>
      </c>
    </row>
    <row r="77">
      <c r="AM77" s="89" t="s">
        <v>137</v>
      </c>
      <c r="AN77" s="89" t="s">
        <v>431</v>
      </c>
      <c r="AO77" s="107">
        <v>3970253.4647685504</v>
      </c>
      <c r="AP77" s="106">
        <v>614677.6163205487</v>
      </c>
    </row>
    <row r="78">
      <c r="AM78" s="89"/>
      <c r="AN78" s="89" t="s">
        <v>296</v>
      </c>
      <c r="AO78" s="64">
        <v>3287303.8363099005</v>
      </c>
      <c r="AP78" s="47">
        <v>562646.4199999999</v>
      </c>
    </row>
    <row r="79">
      <c r="AM79" s="89"/>
      <c r="AN79" s="89" t="s">
        <v>266</v>
      </c>
      <c r="AO79" s="107">
        <v>926717.9167528172</v>
      </c>
      <c r="AP79" s="106">
        <v>183343.3753</v>
      </c>
    </row>
    <row r="80">
      <c r="AM80" s="89"/>
      <c r="AN80" s="89" t="s">
        <v>323</v>
      </c>
      <c r="AO80" s="64">
        <v>386770.82407414715</v>
      </c>
      <c r="AP80" s="47">
        <v>81425.90975300003</v>
      </c>
    </row>
    <row r="81">
      <c r="AM81" s="89"/>
      <c r="AN81" s="89" t="s">
        <v>315</v>
      </c>
      <c r="AO81" s="107">
        <v>367780.76495910494</v>
      </c>
      <c r="AP81" s="106">
        <v>87741.2487135893</v>
      </c>
    </row>
    <row r="82">
      <c r="AM82" s="89"/>
      <c r="AN82" s="89" t="s">
        <v>277</v>
      </c>
      <c r="AO82" s="107">
        <v>336488.2317352295</v>
      </c>
      <c r="AP82" s="106">
        <v>77732.0</v>
      </c>
    </row>
    <row r="83">
      <c r="AM83" s="89"/>
      <c r="AN83" s="89" t="s">
        <v>138</v>
      </c>
      <c r="AO83" s="107">
        <v>270268.17921104695</v>
      </c>
      <c r="AP83" s="106">
        <v>59967.54875892812</v>
      </c>
    </row>
    <row r="84">
      <c r="AM84" s="89"/>
      <c r="AN84" s="89" t="s">
        <v>243</v>
      </c>
      <c r="AO84" s="107">
        <v>129155.47550678253</v>
      </c>
      <c r="AP84" s="106">
        <v>22778.0</v>
      </c>
    </row>
    <row r="85">
      <c r="AM85" s="89"/>
      <c r="AN85" s="89" t="s">
        <v>191</v>
      </c>
      <c r="AO85" s="107">
        <v>99494.83683412636</v>
      </c>
      <c r="AP85" s="106">
        <v>20985.26739999999</v>
      </c>
    </row>
    <row r="86">
      <c r="AM86" s="89"/>
      <c r="AN86" s="89" t="s">
        <v>254</v>
      </c>
      <c r="AO86" s="107">
        <v>82368.14844989777</v>
      </c>
      <c r="AP86" s="106">
        <v>13855.6</v>
      </c>
    </row>
    <row r="87">
      <c r="AM87" s="89"/>
      <c r="AN87" s="89" t="s">
        <v>523</v>
      </c>
      <c r="AO87" s="64">
        <v>16957.61166381836</v>
      </c>
      <c r="AP87" s="47">
        <v>3665.0</v>
      </c>
    </row>
    <row r="88">
      <c r="AM88" s="89"/>
      <c r="AN88" s="89" t="s">
        <v>144</v>
      </c>
      <c r="AO88" s="64">
        <v>2758.3701243400574</v>
      </c>
      <c r="AP88" s="47">
        <v>497.5</v>
      </c>
    </row>
    <row r="89">
      <c r="AM89" s="89" t="s">
        <v>2629</v>
      </c>
      <c r="AN89" s="89"/>
      <c r="AO89" s="107">
        <v>9876317.660389768</v>
      </c>
      <c r="AP89" s="106">
        <v>1729315.486246065</v>
      </c>
    </row>
    <row r="92">
      <c r="AM92" s="89" t="s">
        <v>128</v>
      </c>
      <c r="AN92" s="89" t="s">
        <v>129</v>
      </c>
      <c r="AO92" s="89" t="s">
        <v>69</v>
      </c>
      <c r="AP92" s="89" t="s">
        <v>68</v>
      </c>
    </row>
    <row r="93">
      <c r="AM93" s="89" t="s">
        <v>82</v>
      </c>
      <c r="AN93" s="89" t="s">
        <v>150</v>
      </c>
      <c r="AO93" s="107">
        <v>3755691.3532115608</v>
      </c>
      <c r="AP93" s="106">
        <v>769816.8225448121</v>
      </c>
    </row>
    <row r="94">
      <c r="AM94" s="89"/>
      <c r="AN94" s="89" t="s">
        <v>213</v>
      </c>
      <c r="AO94" s="107">
        <v>186.9380765203455</v>
      </c>
      <c r="AP94" s="106">
        <v>39.04572244804335</v>
      </c>
    </row>
    <row r="95">
      <c r="AM95" s="89"/>
      <c r="AN95" s="89" t="s">
        <v>176</v>
      </c>
      <c r="AO95" s="107">
        <v>47.560720443725586</v>
      </c>
      <c r="AP95" s="106">
        <v>10.0</v>
      </c>
    </row>
    <row r="96">
      <c r="AM96" s="89" t="s">
        <v>2646</v>
      </c>
      <c r="AN96" s="89"/>
      <c r="AO96" s="107">
        <v>3755925.852008525</v>
      </c>
      <c r="AP96" s="106">
        <v>769865.8682672601</v>
      </c>
    </row>
    <row r="100">
      <c r="AM100" s="89" t="s">
        <v>128</v>
      </c>
      <c r="AN100" s="89" t="s">
        <v>129</v>
      </c>
      <c r="AO100" s="89" t="s">
        <v>69</v>
      </c>
      <c r="AP100" s="89" t="s">
        <v>68</v>
      </c>
    </row>
    <row r="101">
      <c r="AM101" s="89" t="s">
        <v>84</v>
      </c>
      <c r="AN101" s="89" t="s">
        <v>171</v>
      </c>
      <c r="AO101" s="64">
        <v>577088.2861760636</v>
      </c>
      <c r="AP101" s="47">
        <v>120326.40726479075</v>
      </c>
    </row>
    <row r="102">
      <c r="AM102" s="89"/>
      <c r="AN102" s="89" t="s">
        <v>154</v>
      </c>
      <c r="AO102" s="107">
        <v>296762.9164123535</v>
      </c>
      <c r="AP102" s="106">
        <v>70398.0</v>
      </c>
    </row>
    <row r="103">
      <c r="AM103" s="89"/>
      <c r="AN103" s="89" t="s">
        <v>152</v>
      </c>
      <c r="AO103" s="107">
        <v>269720.5784081936</v>
      </c>
      <c r="AP103" s="106">
        <v>56904.65</v>
      </c>
    </row>
    <row r="104">
      <c r="AM104" s="89"/>
      <c r="AN104" s="89" t="s">
        <v>1554</v>
      </c>
      <c r="AO104" s="64">
        <v>104556.36621878146</v>
      </c>
      <c r="AP104" s="47">
        <v>22371.55000000001</v>
      </c>
    </row>
    <row r="105">
      <c r="AM105" s="89"/>
      <c r="AN105" s="89" t="s">
        <v>584</v>
      </c>
      <c r="AO105" s="107">
        <v>45169.441597944526</v>
      </c>
      <c r="AP105" s="106">
        <v>10990.260201361352</v>
      </c>
    </row>
    <row r="106">
      <c r="AM106" s="89"/>
      <c r="AN106" s="89" t="s">
        <v>470</v>
      </c>
      <c r="AO106" s="107">
        <v>10908.213017940521</v>
      </c>
      <c r="AP106" s="106">
        <v>2261.0</v>
      </c>
    </row>
    <row r="107">
      <c r="AM107" s="89"/>
      <c r="AN107" s="89" t="s">
        <v>148</v>
      </c>
      <c r="AO107" s="107">
        <v>2915.541887283325</v>
      </c>
      <c r="AP107" s="106">
        <v>500.0</v>
      </c>
    </row>
    <row r="108">
      <c r="AM108" s="89" t="s">
        <v>2648</v>
      </c>
      <c r="AN108" s="89"/>
      <c r="AO108" s="107">
        <v>1307121.343718561</v>
      </c>
      <c r="AP108" s="106">
        <v>283751.8674661524</v>
      </c>
    </row>
    <row r="111">
      <c r="AM111" s="89" t="s">
        <v>128</v>
      </c>
      <c r="AN111" s="89" t="s">
        <v>129</v>
      </c>
      <c r="AO111" s="89" t="s">
        <v>69</v>
      </c>
      <c r="AP111" s="89" t="s">
        <v>68</v>
      </c>
    </row>
    <row r="112">
      <c r="AM112" s="89" t="s">
        <v>85</v>
      </c>
      <c r="AN112" s="89" t="s">
        <v>511</v>
      </c>
      <c r="AO112" s="107">
        <v>183719.5118408203</v>
      </c>
      <c r="AP112" s="106">
        <v>43142.0</v>
      </c>
    </row>
    <row r="113">
      <c r="AM113" s="89"/>
      <c r="AN113" s="89" t="s">
        <v>611</v>
      </c>
      <c r="AO113" s="64">
        <v>125875.20717524145</v>
      </c>
      <c r="AP113" s="47">
        <v>24844.258271190494</v>
      </c>
    </row>
    <row r="114">
      <c r="AM114" s="89"/>
      <c r="AN114" s="89" t="s">
        <v>158</v>
      </c>
      <c r="AO114" s="107">
        <v>2032.799229849199</v>
      </c>
      <c r="AP114" s="106">
        <v>435.3061528599015</v>
      </c>
    </row>
    <row r="115">
      <c r="AM115" s="89"/>
      <c r="AN115" s="89" t="s">
        <v>148</v>
      </c>
      <c r="AO115" s="107">
        <v>1149.3116937294276</v>
      </c>
      <c r="AP115" s="106">
        <v>243.66220139310852</v>
      </c>
    </row>
    <row r="116">
      <c r="AM116" s="89" t="s">
        <v>2649</v>
      </c>
      <c r="AN116" s="89"/>
      <c r="AO116" s="107">
        <v>312776.8299396403</v>
      </c>
      <c r="AP116" s="106">
        <v>68665.22662544355</v>
      </c>
    </row>
    <row r="120">
      <c r="AM120" s="89" t="s">
        <v>128</v>
      </c>
      <c r="AN120" s="89" t="s">
        <v>129</v>
      </c>
      <c r="AO120" s="89" t="s">
        <v>69</v>
      </c>
      <c r="AP120" s="89" t="s">
        <v>68</v>
      </c>
    </row>
    <row r="121">
      <c r="AM121" s="89" t="s">
        <v>137</v>
      </c>
      <c r="AN121" s="89" t="s">
        <v>431</v>
      </c>
      <c r="AO121" s="107">
        <v>3970253.4647685504</v>
      </c>
      <c r="AP121" s="106">
        <v>614677.6163205487</v>
      </c>
    </row>
    <row r="122">
      <c r="AM122" s="89"/>
      <c r="AN122" s="89" t="s">
        <v>296</v>
      </c>
      <c r="AO122" s="64">
        <v>3287303.8363099005</v>
      </c>
      <c r="AP122" s="47">
        <v>562646.4199999999</v>
      </c>
    </row>
    <row r="123">
      <c r="AM123" s="89"/>
      <c r="AN123" s="89" t="s">
        <v>254</v>
      </c>
      <c r="AO123" s="107">
        <v>82368.14844989777</v>
      </c>
      <c r="AP123" s="106">
        <v>13855.6</v>
      </c>
    </row>
    <row r="124">
      <c r="AM124" s="89"/>
      <c r="AN124" s="89" t="s">
        <v>523</v>
      </c>
      <c r="AO124" s="64">
        <v>16957.61166381836</v>
      </c>
      <c r="AP124" s="47">
        <v>3665.0</v>
      </c>
    </row>
    <row r="125">
      <c r="AM125" s="89" t="s">
        <v>2629</v>
      </c>
      <c r="AN125" s="89"/>
      <c r="AO125" s="107">
        <v>7356883.061192167</v>
      </c>
      <c r="AP125" s="106">
        <v>1194844.6363205486</v>
      </c>
    </row>
    <row r="128">
      <c r="AM128" s="89" t="s">
        <v>128</v>
      </c>
      <c r="AN128" s="89" t="s">
        <v>129</v>
      </c>
      <c r="AO128" s="89" t="s">
        <v>69</v>
      </c>
      <c r="AP128" s="89" t="s">
        <v>68</v>
      </c>
    </row>
    <row r="129">
      <c r="AM129" s="89" t="s">
        <v>137</v>
      </c>
      <c r="AN129" s="89" t="s">
        <v>266</v>
      </c>
      <c r="AO129" s="107">
        <v>926717.9167528172</v>
      </c>
      <c r="AP129" s="106">
        <v>183343.3753</v>
      </c>
    </row>
    <row r="130">
      <c r="AM130" s="89"/>
      <c r="AN130" s="89" t="s">
        <v>323</v>
      </c>
      <c r="AO130" s="64">
        <v>386770.82407414715</v>
      </c>
      <c r="AP130" s="47">
        <v>81425.90975300003</v>
      </c>
    </row>
    <row r="131">
      <c r="AM131" s="89"/>
      <c r="AN131" s="89" t="s">
        <v>315</v>
      </c>
      <c r="AO131" s="107">
        <v>367780.76495910494</v>
      </c>
      <c r="AP131" s="106">
        <v>87741.2487135893</v>
      </c>
    </row>
    <row r="132">
      <c r="AM132" s="89" t="s">
        <v>2629</v>
      </c>
      <c r="AN132" s="89"/>
      <c r="AO132" s="107">
        <v>1681269.5057860694</v>
      </c>
      <c r="AP132" s="106">
        <v>352510.53376658936</v>
      </c>
    </row>
  </sheetData>
  <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6.0"/>
    <col customWidth="1" min="2" max="2" width="63.5"/>
    <col customWidth="1" min="3" max="3" width="10.88"/>
    <col customWidth="1" min="4" max="4" width="11.63"/>
    <col customWidth="1" min="5" max="5" width="20.0"/>
    <col customWidth="1" min="6" max="6" width="17.25"/>
    <col customWidth="1" min="7" max="7" width="11.63"/>
    <col customWidth="1" min="8" max="8" width="10.75"/>
    <col customWidth="1" min="9" max="9" width="13.75"/>
    <col customWidth="1" min="10" max="10" width="12.5"/>
    <col customWidth="1" min="11" max="11" width="16.63"/>
    <col customWidth="1" min="12" max="12" width="20.0"/>
    <col customWidth="1" min="13" max="13" width="39.5"/>
    <col customWidth="1" min="14" max="14" width="7.5"/>
    <col customWidth="1" min="15" max="15" width="8.75"/>
    <col customWidth="1" min="16" max="16" width="7.0"/>
  </cols>
  <sheetData>
    <row r="1">
      <c r="A1" s="132" t="s">
        <v>133</v>
      </c>
      <c r="B1" s="132" t="s">
        <v>135</v>
      </c>
      <c r="C1" s="132" t="s">
        <v>2660</v>
      </c>
      <c r="D1" s="133" t="s">
        <v>3</v>
      </c>
      <c r="E1" s="134" t="s">
        <v>2661</v>
      </c>
      <c r="F1" s="135" t="s">
        <v>2662</v>
      </c>
      <c r="G1" s="104" t="s">
        <v>2663</v>
      </c>
      <c r="H1" s="104" t="s">
        <v>2664</v>
      </c>
      <c r="I1" s="136" t="s">
        <v>2665</v>
      </c>
      <c r="J1" s="136" t="s">
        <v>127</v>
      </c>
      <c r="K1" s="135" t="s">
        <v>134</v>
      </c>
      <c r="L1" s="137" t="s">
        <v>128</v>
      </c>
      <c r="M1" s="137" t="s">
        <v>129</v>
      </c>
      <c r="N1" s="103" t="s">
        <v>2666</v>
      </c>
      <c r="O1" s="103" t="s">
        <v>2667</v>
      </c>
      <c r="P1" s="103" t="s">
        <v>2668</v>
      </c>
      <c r="Q1" s="103" t="s">
        <v>2669</v>
      </c>
      <c r="R1" s="103" t="s">
        <v>130</v>
      </c>
      <c r="S1" s="103" t="s">
        <v>94</v>
      </c>
      <c r="T1" s="103" t="s">
        <v>98</v>
      </c>
      <c r="U1" s="103" t="s">
        <v>131</v>
      </c>
      <c r="V1" s="137" t="s">
        <v>132</v>
      </c>
      <c r="W1" s="138" t="s">
        <v>2670</v>
      </c>
    </row>
    <row r="2">
      <c r="A2" s="139">
        <f>HYPERLINK("https://polkadot.subsquare.io/referenda/0", 0)</f>
        <v>0</v>
      </c>
      <c r="B2" s="140" t="s">
        <v>2671</v>
      </c>
      <c r="C2" s="140" t="s">
        <v>2672</v>
      </c>
      <c r="D2" s="141">
        <v>0.0</v>
      </c>
      <c r="E2" s="142">
        <v>0.0</v>
      </c>
      <c r="F2" s="140" t="s">
        <v>186</v>
      </c>
      <c r="G2" s="143">
        <v>7735.4101</v>
      </c>
      <c r="H2" s="143">
        <v>2776016.4071780127</v>
      </c>
      <c r="I2" s="144">
        <v>45090.0</v>
      </c>
      <c r="J2" s="144">
        <v>45104.0</v>
      </c>
      <c r="K2" s="145">
        <v>0.0</v>
      </c>
      <c r="L2" s="114" t="s">
        <v>2673</v>
      </c>
      <c r="M2" s="114" t="s">
        <v>2673</v>
      </c>
      <c r="N2" s="108"/>
      <c r="O2" s="108"/>
      <c r="P2" s="108"/>
      <c r="Q2" s="108"/>
      <c r="R2" s="108" t="str">
        <f t="shared" ref="R2:R1199" si="1">LEFT(J2,4)</f>
        <v>2023</v>
      </c>
      <c r="S2" s="110">
        <f t="shared" ref="S2:S1199" si="2">VALUE(RIGHT(LEFT(J2,7),2))</f>
        <v>6</v>
      </c>
      <c r="T2" s="108" t="str">
        <f t="shared" ref="T2:T1199" si="3">R2 &amp; "-Q" &amp; CHOOSE(CEILING(S2/3, 1), "1", "2", "3", "4")</f>
        <v>2023-Q2</v>
      </c>
      <c r="U2" s="108" t="str">
        <f t="shared" ref="U2:U1199" si="4">R2&amp;"-"&amp;TEXT(S2, "00")</f>
        <v>2023-06</v>
      </c>
      <c r="V2" s="112" t="str">
        <f t="shared" ref="V2:V1199" si="5">R2 &amp; "-H" &amp; CHOOSE(CEILING(S2/6, 1), "1", "2")</f>
        <v>2023-H1</v>
      </c>
      <c r="W2" s="112"/>
    </row>
    <row r="3" hidden="1">
      <c r="A3" s="146">
        <f>HYPERLINK("https://polkadot.subsquare.io/referenda/1130", 1130)</f>
        <v>1130</v>
      </c>
      <c r="B3" s="147" t="s">
        <v>2674</v>
      </c>
      <c r="C3" s="147" t="s">
        <v>2675</v>
      </c>
      <c r="D3" s="148">
        <v>106000.1662581875</v>
      </c>
      <c r="E3" s="149">
        <v>451400.0</v>
      </c>
      <c r="F3" s="147" t="s">
        <v>2676</v>
      </c>
      <c r="G3" s="150">
        <v>3.669754449431836E7</v>
      </c>
      <c r="H3" s="150">
        <v>2.728405603320686E7</v>
      </c>
      <c r="I3" s="151">
        <v>45532.0</v>
      </c>
      <c r="J3" s="151">
        <v>45565.0</v>
      </c>
      <c r="K3" s="152">
        <v>440855.4411485431</v>
      </c>
      <c r="L3" s="117"/>
      <c r="M3" s="117"/>
      <c r="N3" s="153"/>
      <c r="O3" s="153"/>
      <c r="P3" s="153"/>
      <c r="Q3" s="153"/>
      <c r="R3" s="153" t="str">
        <f t="shared" si="1"/>
        <v>2024</v>
      </c>
      <c r="S3" s="154">
        <f t="shared" si="2"/>
        <v>9</v>
      </c>
      <c r="T3" s="153" t="str">
        <f t="shared" si="3"/>
        <v>2024-Q3</v>
      </c>
      <c r="U3" s="153" t="str">
        <f t="shared" si="4"/>
        <v>2024-09</v>
      </c>
      <c r="V3" s="155" t="str">
        <f t="shared" si="5"/>
        <v>2024-H2</v>
      </c>
      <c r="W3" s="155"/>
    </row>
    <row r="4">
      <c r="A4" s="139">
        <f>HYPERLINK("https://polkadot.subsquare.io/referenda/1", 1)</f>
        <v>1</v>
      </c>
      <c r="B4" s="140" t="s">
        <v>2677</v>
      </c>
      <c r="C4" s="140" t="s">
        <v>2672</v>
      </c>
      <c r="D4" s="141">
        <v>2179.57</v>
      </c>
      <c r="E4" s="142">
        <v>9626.827714920044</v>
      </c>
      <c r="F4" s="140" t="s">
        <v>2678</v>
      </c>
      <c r="G4" s="143">
        <v>2233979.009701535</v>
      </c>
      <c r="H4" s="143">
        <v>3249706.493460312</v>
      </c>
      <c r="I4" s="144">
        <v>45090.0</v>
      </c>
      <c r="J4" s="144">
        <v>45118.0</v>
      </c>
      <c r="K4" s="145">
        <v>11884.277657790184</v>
      </c>
      <c r="L4" s="114" t="s">
        <v>2673</v>
      </c>
      <c r="M4" s="114" t="s">
        <v>2673</v>
      </c>
      <c r="N4" s="108"/>
      <c r="O4" s="108"/>
      <c r="P4" s="108"/>
      <c r="Q4" s="108"/>
      <c r="R4" s="108" t="str">
        <f t="shared" si="1"/>
        <v>2023</v>
      </c>
      <c r="S4" s="110">
        <f t="shared" si="2"/>
        <v>7</v>
      </c>
      <c r="T4" s="108" t="str">
        <f t="shared" si="3"/>
        <v>2023-Q3</v>
      </c>
      <c r="U4" s="108" t="str">
        <f t="shared" si="4"/>
        <v>2023-07</v>
      </c>
      <c r="V4" s="112" t="str">
        <f t="shared" si="5"/>
        <v>2023-H2</v>
      </c>
      <c r="W4" s="112"/>
    </row>
    <row r="5">
      <c r="A5" s="146">
        <f>HYPERLINK("https://polkadot.subsquare.io/referenda/2", 2)</f>
        <v>2</v>
      </c>
      <c r="B5" s="147" t="s">
        <v>2679</v>
      </c>
      <c r="C5" s="147" t="s">
        <v>2672</v>
      </c>
      <c r="D5" s="148">
        <v>6454.0</v>
      </c>
      <c r="E5" s="149">
        <v>28506.33201599121</v>
      </c>
      <c r="F5" s="147" t="s">
        <v>2678</v>
      </c>
      <c r="G5" s="150">
        <v>378059.8396858491</v>
      </c>
      <c r="H5" s="150">
        <v>1761651.3027568972</v>
      </c>
      <c r="I5" s="151">
        <v>45090.0</v>
      </c>
      <c r="J5" s="151">
        <v>45118.0</v>
      </c>
      <c r="K5" s="152">
        <v>35190.945004463196</v>
      </c>
      <c r="L5" s="117" t="s">
        <v>2673</v>
      </c>
      <c r="M5" s="117" t="s">
        <v>2673</v>
      </c>
      <c r="N5" s="153"/>
      <c r="O5" s="153"/>
      <c r="P5" s="153"/>
      <c r="Q5" s="153"/>
      <c r="R5" s="153" t="str">
        <f t="shared" si="1"/>
        <v>2023</v>
      </c>
      <c r="S5" s="154">
        <f t="shared" si="2"/>
        <v>7</v>
      </c>
      <c r="T5" s="153" t="str">
        <f t="shared" si="3"/>
        <v>2023-Q3</v>
      </c>
      <c r="U5" s="153" t="str">
        <f t="shared" si="4"/>
        <v>2023-07</v>
      </c>
      <c r="V5" s="155" t="str">
        <f t="shared" si="5"/>
        <v>2023-H2</v>
      </c>
      <c r="W5" s="155"/>
    </row>
    <row r="6">
      <c r="A6" s="139">
        <f>HYPERLINK("https://polkadot.subsquare.io/referenda/3", 3)</f>
        <v>3</v>
      </c>
      <c r="B6" s="140" t="s">
        <v>2680</v>
      </c>
      <c r="C6" s="140" t="s">
        <v>2681</v>
      </c>
      <c r="D6" s="141">
        <v>0.0</v>
      </c>
      <c r="E6" s="142">
        <v>0.0</v>
      </c>
      <c r="F6" s="140" t="s">
        <v>2682</v>
      </c>
      <c r="G6" s="143">
        <v>8.585082224565667E7</v>
      </c>
      <c r="H6" s="143">
        <v>0.0</v>
      </c>
      <c r="I6" s="144">
        <v>45090.0</v>
      </c>
      <c r="J6" s="144">
        <v>45097.0</v>
      </c>
      <c r="K6" s="145">
        <v>0.0</v>
      </c>
      <c r="L6" s="114" t="s">
        <v>2673</v>
      </c>
      <c r="M6" s="114" t="s">
        <v>2673</v>
      </c>
      <c r="N6" s="108"/>
      <c r="O6" s="108"/>
      <c r="P6" s="108"/>
      <c r="Q6" s="108"/>
      <c r="R6" s="108" t="str">
        <f t="shared" si="1"/>
        <v>2023</v>
      </c>
      <c r="S6" s="110">
        <f t="shared" si="2"/>
        <v>6</v>
      </c>
      <c r="T6" s="108" t="str">
        <f t="shared" si="3"/>
        <v>2023-Q2</v>
      </c>
      <c r="U6" s="108" t="str">
        <f t="shared" si="4"/>
        <v>2023-06</v>
      </c>
      <c r="V6" s="112" t="str">
        <f t="shared" si="5"/>
        <v>2023-H1</v>
      </c>
      <c r="W6" s="112"/>
    </row>
    <row r="7">
      <c r="A7" s="146">
        <f>HYPERLINK("https://polkadot.subsquare.io/referenda/4", 4)</f>
        <v>4</v>
      </c>
      <c r="B7" s="147" t="s">
        <v>139</v>
      </c>
      <c r="C7" s="147" t="s">
        <v>2681</v>
      </c>
      <c r="D7" s="148">
        <v>16823.0</v>
      </c>
      <c r="E7" s="149">
        <v>74304.62093353271</v>
      </c>
      <c r="F7" s="147" t="s">
        <v>2683</v>
      </c>
      <c r="G7" s="150">
        <v>2528444.8001554697</v>
      </c>
      <c r="H7" s="150">
        <v>800119.465234279</v>
      </c>
      <c r="I7" s="151">
        <v>45090.0</v>
      </c>
      <c r="J7" s="151">
        <v>45118.0</v>
      </c>
      <c r="K7" s="152">
        <v>91728.73687791824</v>
      </c>
      <c r="L7" s="117" t="s">
        <v>137</v>
      </c>
      <c r="M7" s="117" t="s">
        <v>138</v>
      </c>
      <c r="N7" s="153"/>
      <c r="O7" s="153"/>
      <c r="P7" s="153"/>
      <c r="Q7" s="153"/>
      <c r="R7" s="153" t="str">
        <f t="shared" si="1"/>
        <v>2023</v>
      </c>
      <c r="S7" s="154">
        <f t="shared" si="2"/>
        <v>7</v>
      </c>
      <c r="T7" s="153" t="str">
        <f t="shared" si="3"/>
        <v>2023-Q3</v>
      </c>
      <c r="U7" s="153" t="str">
        <f t="shared" si="4"/>
        <v>2023-07</v>
      </c>
      <c r="V7" s="155" t="str">
        <f t="shared" si="5"/>
        <v>2023-H2</v>
      </c>
      <c r="W7" s="155"/>
    </row>
    <row r="8">
      <c r="A8" s="139">
        <f>HYPERLINK("https://polkadot.subsquare.io/referenda/5", 5)</f>
        <v>5</v>
      </c>
      <c r="B8" s="140" t="s">
        <v>141</v>
      </c>
      <c r="C8" s="140" t="s">
        <v>2681</v>
      </c>
      <c r="D8" s="141">
        <v>61477.0</v>
      </c>
      <c r="E8" s="142">
        <v>271534.51709747314</v>
      </c>
      <c r="F8" s="140" t="s">
        <v>2683</v>
      </c>
      <c r="G8" s="143">
        <v>9648535.68311292</v>
      </c>
      <c r="H8" s="143">
        <v>2859825.6206017635</v>
      </c>
      <c r="I8" s="144">
        <v>45090.0</v>
      </c>
      <c r="J8" s="144">
        <v>45115.0</v>
      </c>
      <c r="K8" s="145">
        <v>320389.9754962921</v>
      </c>
      <c r="L8" s="114" t="s">
        <v>81</v>
      </c>
      <c r="M8" s="114" t="s">
        <v>140</v>
      </c>
      <c r="N8" s="108"/>
      <c r="O8" s="108"/>
      <c r="P8" s="108"/>
      <c r="Q8" s="108"/>
      <c r="R8" s="108" t="str">
        <f t="shared" si="1"/>
        <v>2023</v>
      </c>
      <c r="S8" s="110">
        <f t="shared" si="2"/>
        <v>7</v>
      </c>
      <c r="T8" s="108" t="str">
        <f t="shared" si="3"/>
        <v>2023-Q3</v>
      </c>
      <c r="U8" s="108" t="str">
        <f t="shared" si="4"/>
        <v>2023-07</v>
      </c>
      <c r="V8" s="112" t="str">
        <f t="shared" si="5"/>
        <v>2023-H2</v>
      </c>
      <c r="W8" s="112"/>
    </row>
    <row r="9" hidden="1">
      <c r="A9" s="146">
        <f>HYPERLINK("https://polkadot.subsquare.io/referenda/1141", 1141)</f>
        <v>1141</v>
      </c>
      <c r="B9" s="147" t="s">
        <v>2684</v>
      </c>
      <c r="C9" s="147" t="s">
        <v>2675</v>
      </c>
      <c r="D9" s="148">
        <v>286149.337532309</v>
      </c>
      <c r="E9" s="149">
        <v>1133000.0</v>
      </c>
      <c r="F9" s="147" t="s">
        <v>2676</v>
      </c>
      <c r="G9" s="150">
        <v>4.519716738172916E7</v>
      </c>
      <c r="H9" s="150">
        <v>220434.313481849</v>
      </c>
      <c r="I9" s="151">
        <v>45538.0</v>
      </c>
      <c r="J9" s="151">
        <v>45565.0</v>
      </c>
      <c r="K9" s="152">
        <v>1190097.118573392</v>
      </c>
      <c r="L9" s="117"/>
      <c r="M9" s="117"/>
      <c r="N9" s="153"/>
      <c r="O9" s="153"/>
      <c r="P9" s="153"/>
      <c r="Q9" s="153"/>
      <c r="R9" s="153" t="str">
        <f t="shared" si="1"/>
        <v>2024</v>
      </c>
      <c r="S9" s="154">
        <f t="shared" si="2"/>
        <v>9</v>
      </c>
      <c r="T9" s="153" t="str">
        <f t="shared" si="3"/>
        <v>2024-Q3</v>
      </c>
      <c r="U9" s="153" t="str">
        <f t="shared" si="4"/>
        <v>2024-09</v>
      </c>
      <c r="V9" s="155" t="str">
        <f t="shared" si="5"/>
        <v>2024-H2</v>
      </c>
      <c r="W9" s="155"/>
    </row>
    <row r="10">
      <c r="A10" s="139">
        <f>HYPERLINK("https://polkadot.subsquare.io/referenda/6", 6)</f>
        <v>6</v>
      </c>
      <c r="B10" s="140" t="s">
        <v>143</v>
      </c>
      <c r="C10" s="140" t="s">
        <v>2681</v>
      </c>
      <c r="D10" s="141">
        <v>75435.0</v>
      </c>
      <c r="E10" s="142">
        <v>333184.87071990967</v>
      </c>
      <c r="F10" s="140" t="s">
        <v>2683</v>
      </c>
      <c r="G10" s="143">
        <v>2074686.070993722</v>
      </c>
      <c r="H10" s="143">
        <v>637265.3748057142</v>
      </c>
      <c r="I10" s="144">
        <v>45090.0</v>
      </c>
      <c r="J10" s="144">
        <v>45118.0</v>
      </c>
      <c r="K10" s="145">
        <v>411315.29848337173</v>
      </c>
      <c r="L10" s="114" t="s">
        <v>81</v>
      </c>
      <c r="M10" s="114" t="s">
        <v>142</v>
      </c>
      <c r="N10" s="108"/>
      <c r="O10" s="108"/>
      <c r="P10" s="108"/>
      <c r="Q10" s="108"/>
      <c r="R10" s="108" t="str">
        <f t="shared" si="1"/>
        <v>2023</v>
      </c>
      <c r="S10" s="110">
        <f t="shared" si="2"/>
        <v>7</v>
      </c>
      <c r="T10" s="108" t="str">
        <f t="shared" si="3"/>
        <v>2023-Q3</v>
      </c>
      <c r="U10" s="108" t="str">
        <f t="shared" si="4"/>
        <v>2023-07</v>
      </c>
      <c r="V10" s="112" t="str">
        <f t="shared" si="5"/>
        <v>2023-H2</v>
      </c>
      <c r="W10" s="112"/>
    </row>
    <row r="11">
      <c r="A11" s="146">
        <f>HYPERLINK("https://polkadot.subsquare.io/referenda/7", 7)</f>
        <v>7</v>
      </c>
      <c r="B11" s="147" t="s">
        <v>145</v>
      </c>
      <c r="C11" s="147" t="s">
        <v>2681</v>
      </c>
      <c r="D11" s="148">
        <v>5750.0</v>
      </c>
      <c r="E11" s="149">
        <v>25396.87156677246</v>
      </c>
      <c r="F11" s="147" t="s">
        <v>2678</v>
      </c>
      <c r="G11" s="150">
        <v>2678085.5293575157</v>
      </c>
      <c r="H11" s="150">
        <v>317570.8033617394</v>
      </c>
      <c r="I11" s="151">
        <v>45090.0</v>
      </c>
      <c r="J11" s="151">
        <v>45117.0</v>
      </c>
      <c r="K11" s="152">
        <v>31886.36612892151</v>
      </c>
      <c r="L11" s="117" t="s">
        <v>84</v>
      </c>
      <c r="M11" s="117" t="s">
        <v>144</v>
      </c>
      <c r="N11" s="153"/>
      <c r="O11" s="153"/>
      <c r="P11" s="153"/>
      <c r="Q11" s="153"/>
      <c r="R11" s="153" t="str">
        <f t="shared" si="1"/>
        <v>2023</v>
      </c>
      <c r="S11" s="154">
        <f t="shared" si="2"/>
        <v>7</v>
      </c>
      <c r="T11" s="153" t="str">
        <f t="shared" si="3"/>
        <v>2023-Q3</v>
      </c>
      <c r="U11" s="153" t="str">
        <f t="shared" si="4"/>
        <v>2023-07</v>
      </c>
      <c r="V11" s="155" t="str">
        <f t="shared" si="5"/>
        <v>2023-H2</v>
      </c>
      <c r="W11" s="155"/>
    </row>
    <row r="12">
      <c r="A12" s="139">
        <f>HYPERLINK("https://polkadot.subsquare.io/referenda/8", 8)</f>
        <v>8</v>
      </c>
      <c r="B12" s="140" t="s">
        <v>147</v>
      </c>
      <c r="C12" s="140" t="s">
        <v>2681</v>
      </c>
      <c r="D12" s="141">
        <v>120026.26</v>
      </c>
      <c r="E12" s="142">
        <v>530137.6538887024</v>
      </c>
      <c r="F12" s="140" t="s">
        <v>2676</v>
      </c>
      <c r="G12" s="143">
        <v>6253826.758248116</v>
      </c>
      <c r="H12" s="143">
        <v>429028.9145927421</v>
      </c>
      <c r="I12" s="144">
        <v>45091.0</v>
      </c>
      <c r="J12" s="144">
        <v>45118.0</v>
      </c>
      <c r="K12" s="145">
        <v>654452.6672995662</v>
      </c>
      <c r="L12" s="114" t="s">
        <v>81</v>
      </c>
      <c r="M12" s="114" t="s">
        <v>146</v>
      </c>
      <c r="N12" s="108"/>
      <c r="O12" s="108"/>
      <c r="P12" s="108"/>
      <c r="Q12" s="108"/>
      <c r="R12" s="108" t="str">
        <f t="shared" si="1"/>
        <v>2023</v>
      </c>
      <c r="S12" s="110">
        <f t="shared" si="2"/>
        <v>7</v>
      </c>
      <c r="T12" s="108" t="str">
        <f t="shared" si="3"/>
        <v>2023-Q3</v>
      </c>
      <c r="U12" s="108" t="str">
        <f t="shared" si="4"/>
        <v>2023-07</v>
      </c>
      <c r="V12" s="112" t="str">
        <f t="shared" si="5"/>
        <v>2023-H2</v>
      </c>
      <c r="W12" s="112"/>
    </row>
    <row r="13" hidden="1">
      <c r="A13" s="146">
        <f>HYPERLINK("https://polkadot.subsquare.io/referenda/1149", 1149)</f>
        <v>1149</v>
      </c>
      <c r="B13" s="147" t="s">
        <v>2685</v>
      </c>
      <c r="C13" s="147" t="s">
        <v>2675</v>
      </c>
      <c r="D13" s="148">
        <v>42290.787749713054</v>
      </c>
      <c r="E13" s="149">
        <v>180000.0</v>
      </c>
      <c r="F13" s="147" t="s">
        <v>2683</v>
      </c>
      <c r="G13" s="150">
        <v>5.6351951517166995E7</v>
      </c>
      <c r="H13" s="150">
        <v>4.76672621E7</v>
      </c>
      <c r="I13" s="151">
        <v>45543.0</v>
      </c>
      <c r="J13" s="151">
        <v>45565.0</v>
      </c>
      <c r="K13" s="152">
        <v>175887.6853504847</v>
      </c>
      <c r="L13" s="117"/>
      <c r="M13" s="117"/>
      <c r="N13" s="153"/>
      <c r="O13" s="153"/>
      <c r="P13" s="153"/>
      <c r="Q13" s="153"/>
      <c r="R13" s="153" t="str">
        <f t="shared" si="1"/>
        <v>2024</v>
      </c>
      <c r="S13" s="154">
        <f t="shared" si="2"/>
        <v>9</v>
      </c>
      <c r="T13" s="153" t="str">
        <f t="shared" si="3"/>
        <v>2024-Q3</v>
      </c>
      <c r="U13" s="153" t="str">
        <f t="shared" si="4"/>
        <v>2024-09</v>
      </c>
      <c r="V13" s="155" t="str">
        <f t="shared" si="5"/>
        <v>2024-H2</v>
      </c>
      <c r="W13" s="155"/>
    </row>
    <row r="14">
      <c r="A14" s="139">
        <f>HYPERLINK("https://polkadot.subsquare.io/referenda/9", 9)</f>
        <v>9</v>
      </c>
      <c r="B14" s="140" t="s">
        <v>2686</v>
      </c>
      <c r="C14" s="140" t="s">
        <v>2681</v>
      </c>
      <c r="D14" s="141">
        <v>0.0</v>
      </c>
      <c r="E14" s="142">
        <v>0.0</v>
      </c>
      <c r="F14" s="140" t="s">
        <v>2687</v>
      </c>
      <c r="G14" s="143">
        <v>3.6401206899206065E7</v>
      </c>
      <c r="H14" s="143">
        <v>20264.5</v>
      </c>
      <c r="I14" s="144">
        <v>45091.0</v>
      </c>
      <c r="J14" s="144">
        <v>45120.0</v>
      </c>
      <c r="K14" s="145">
        <v>0.0</v>
      </c>
      <c r="L14" s="114" t="s">
        <v>2673</v>
      </c>
      <c r="M14" s="114" t="s">
        <v>2673</v>
      </c>
      <c r="N14" s="108"/>
      <c r="O14" s="108"/>
      <c r="P14" s="108"/>
      <c r="Q14" s="108"/>
      <c r="R14" s="108" t="str">
        <f t="shared" si="1"/>
        <v>2023</v>
      </c>
      <c r="S14" s="110">
        <f t="shared" si="2"/>
        <v>7</v>
      </c>
      <c r="T14" s="108" t="str">
        <f t="shared" si="3"/>
        <v>2023-Q3</v>
      </c>
      <c r="U14" s="108" t="str">
        <f t="shared" si="4"/>
        <v>2023-07</v>
      </c>
      <c r="V14" s="112" t="str">
        <f t="shared" si="5"/>
        <v>2023-H2</v>
      </c>
      <c r="W14" s="112"/>
    </row>
    <row r="15">
      <c r="A15" s="146">
        <f>HYPERLINK("https://polkadot.subsquare.io/referenda/10", 10)</f>
        <v>10</v>
      </c>
      <c r="B15" s="147" t="s">
        <v>2688</v>
      </c>
      <c r="C15" s="147" t="s">
        <v>2672</v>
      </c>
      <c r="D15" s="148">
        <v>3936.69</v>
      </c>
      <c r="E15" s="149">
        <v>17817.975249123574</v>
      </c>
      <c r="F15" s="147" t="s">
        <v>2678</v>
      </c>
      <c r="G15" s="150">
        <v>786169.714188578</v>
      </c>
      <c r="H15" s="150">
        <v>2763283.584264918</v>
      </c>
      <c r="I15" s="151">
        <v>45092.0</v>
      </c>
      <c r="J15" s="151">
        <v>45120.0</v>
      </c>
      <c r="K15" s="152">
        <v>21382.809224596025</v>
      </c>
      <c r="L15" s="117" t="s">
        <v>2673</v>
      </c>
      <c r="M15" s="117" t="s">
        <v>2673</v>
      </c>
      <c r="N15" s="153"/>
      <c r="O15" s="153"/>
      <c r="P15" s="153"/>
      <c r="Q15" s="153"/>
      <c r="R15" s="153" t="str">
        <f t="shared" si="1"/>
        <v>2023</v>
      </c>
      <c r="S15" s="154">
        <f t="shared" si="2"/>
        <v>7</v>
      </c>
      <c r="T15" s="153" t="str">
        <f t="shared" si="3"/>
        <v>2023-Q3</v>
      </c>
      <c r="U15" s="153" t="str">
        <f t="shared" si="4"/>
        <v>2023-07</v>
      </c>
      <c r="V15" s="155" t="str">
        <f t="shared" si="5"/>
        <v>2023-H2</v>
      </c>
      <c r="W15" s="155"/>
    </row>
    <row r="16">
      <c r="A16" s="139">
        <f>HYPERLINK("https://polkadot.subsquare.io/referenda/11", 11)</f>
        <v>11</v>
      </c>
      <c r="B16" s="140" t="s">
        <v>2689</v>
      </c>
      <c r="C16" s="140" t="s">
        <v>2672</v>
      </c>
      <c r="D16" s="141">
        <v>0.0</v>
      </c>
      <c r="E16" s="142">
        <v>0.0</v>
      </c>
      <c r="F16" s="140" t="s">
        <v>2678</v>
      </c>
      <c r="G16" s="143">
        <v>18333.1</v>
      </c>
      <c r="H16" s="143">
        <v>3389665.0673079365</v>
      </c>
      <c r="I16" s="144">
        <v>45092.0</v>
      </c>
      <c r="J16" s="144">
        <v>45120.0</v>
      </c>
      <c r="K16" s="145">
        <v>0.0</v>
      </c>
      <c r="L16" s="114" t="s">
        <v>2673</v>
      </c>
      <c r="M16" s="114" t="s">
        <v>2673</v>
      </c>
      <c r="N16" s="108"/>
      <c r="O16" s="108"/>
      <c r="P16" s="108"/>
      <c r="Q16" s="108"/>
      <c r="R16" s="108" t="str">
        <f t="shared" si="1"/>
        <v>2023</v>
      </c>
      <c r="S16" s="110">
        <f t="shared" si="2"/>
        <v>7</v>
      </c>
      <c r="T16" s="108" t="str">
        <f t="shared" si="3"/>
        <v>2023-Q3</v>
      </c>
      <c r="U16" s="108" t="str">
        <f t="shared" si="4"/>
        <v>2023-07</v>
      </c>
      <c r="V16" s="112" t="str">
        <f t="shared" si="5"/>
        <v>2023-H2</v>
      </c>
      <c r="W16" s="112"/>
    </row>
    <row r="17">
      <c r="A17" s="146">
        <f>HYPERLINK("https://polkadot.subsquare.io/referenda/12", 12)</f>
        <v>12</v>
      </c>
      <c r="B17" s="147" t="s">
        <v>2690</v>
      </c>
      <c r="C17" s="147" t="s">
        <v>2691</v>
      </c>
      <c r="D17" s="148">
        <v>43663.107</v>
      </c>
      <c r="E17" s="149">
        <v>197835.91983825018</v>
      </c>
      <c r="F17" s="147" t="s">
        <v>2683</v>
      </c>
      <c r="G17" s="150">
        <v>81100.5</v>
      </c>
      <c r="H17" s="150">
        <v>3200852.7298340774</v>
      </c>
      <c r="I17" s="151">
        <v>45093.0</v>
      </c>
      <c r="J17" s="151">
        <v>45107.0</v>
      </c>
      <c r="K17" s="152">
        <v>240230.7023905106</v>
      </c>
      <c r="L17" s="117" t="s">
        <v>2673</v>
      </c>
      <c r="M17" s="117" t="s">
        <v>2673</v>
      </c>
      <c r="N17" s="153"/>
      <c r="O17" s="153"/>
      <c r="P17" s="153"/>
      <c r="Q17" s="153"/>
      <c r="R17" s="153" t="str">
        <f t="shared" si="1"/>
        <v>2023</v>
      </c>
      <c r="S17" s="154">
        <f t="shared" si="2"/>
        <v>6</v>
      </c>
      <c r="T17" s="153" t="str">
        <f t="shared" si="3"/>
        <v>2023-Q2</v>
      </c>
      <c r="U17" s="153" t="str">
        <f t="shared" si="4"/>
        <v>2023-06</v>
      </c>
      <c r="V17" s="155" t="str">
        <f t="shared" si="5"/>
        <v>2023-H1</v>
      </c>
      <c r="W17" s="155"/>
    </row>
    <row r="18">
      <c r="A18" s="139">
        <f>HYPERLINK("https://polkadot.subsquare.io/referenda/13", 13)</f>
        <v>13</v>
      </c>
      <c r="B18" s="140" t="s">
        <v>149</v>
      </c>
      <c r="C18" s="140" t="s">
        <v>2681</v>
      </c>
      <c r="D18" s="141">
        <v>36969.0</v>
      </c>
      <c r="E18" s="142">
        <v>167189.41288661957</v>
      </c>
      <c r="F18" s="140" t="s">
        <v>2683</v>
      </c>
      <c r="G18" s="143">
        <v>3378026.860683102</v>
      </c>
      <c r="H18" s="143">
        <v>375143.0475345054</v>
      </c>
      <c r="I18" s="144">
        <v>45093.0</v>
      </c>
      <c r="J18" s="144">
        <v>45118.0</v>
      </c>
      <c r="K18" s="145">
        <v>201576.39384412766</v>
      </c>
      <c r="L18" s="114" t="s">
        <v>81</v>
      </c>
      <c r="M18" s="114" t="s">
        <v>148</v>
      </c>
      <c r="N18" s="108"/>
      <c r="O18" s="108"/>
      <c r="P18" s="108"/>
      <c r="Q18" s="108"/>
      <c r="R18" s="108" t="str">
        <f t="shared" si="1"/>
        <v>2023</v>
      </c>
      <c r="S18" s="110">
        <f t="shared" si="2"/>
        <v>7</v>
      </c>
      <c r="T18" s="108" t="str">
        <f t="shared" si="3"/>
        <v>2023-Q3</v>
      </c>
      <c r="U18" s="108" t="str">
        <f t="shared" si="4"/>
        <v>2023-07</v>
      </c>
      <c r="V18" s="112" t="str">
        <f t="shared" si="5"/>
        <v>2023-H2</v>
      </c>
      <c r="W18" s="112"/>
    </row>
    <row r="19">
      <c r="A19" s="146">
        <f>HYPERLINK("https://polkadot.subsquare.io/referenda/14", 14)</f>
        <v>14</v>
      </c>
      <c r="B19" s="147" t="s">
        <v>151</v>
      </c>
      <c r="C19" s="147" t="s">
        <v>2681</v>
      </c>
      <c r="D19" s="148">
        <v>26765.99</v>
      </c>
      <c r="E19" s="149">
        <v>121047.09766098976</v>
      </c>
      <c r="F19" s="147" t="s">
        <v>2683</v>
      </c>
      <c r="G19" s="150">
        <v>2374590.5707282093</v>
      </c>
      <c r="H19" s="150">
        <v>701265.3519029213</v>
      </c>
      <c r="I19" s="151">
        <v>45093.0</v>
      </c>
      <c r="J19" s="151">
        <v>45122.0</v>
      </c>
      <c r="K19" s="152">
        <v>138628.32171288013</v>
      </c>
      <c r="L19" s="117" t="s">
        <v>82</v>
      </c>
      <c r="M19" s="117" t="s">
        <v>150</v>
      </c>
      <c r="N19" s="153"/>
      <c r="O19" s="153"/>
      <c r="P19" s="153"/>
      <c r="Q19" s="153"/>
      <c r="R19" s="153" t="str">
        <f t="shared" si="1"/>
        <v>2023</v>
      </c>
      <c r="S19" s="154">
        <f t="shared" si="2"/>
        <v>7</v>
      </c>
      <c r="T19" s="153" t="str">
        <f t="shared" si="3"/>
        <v>2023-Q3</v>
      </c>
      <c r="U19" s="153" t="str">
        <f t="shared" si="4"/>
        <v>2023-07</v>
      </c>
      <c r="V19" s="155" t="str">
        <f t="shared" si="5"/>
        <v>2023-H2</v>
      </c>
      <c r="W19" s="155"/>
    </row>
    <row r="20">
      <c r="A20" s="139">
        <f>HYPERLINK("https://polkadot.subsquare.io/referenda/15", 15)</f>
        <v>15</v>
      </c>
      <c r="B20" s="140" t="s">
        <v>153</v>
      </c>
      <c r="C20" s="140" t="s">
        <v>2681</v>
      </c>
      <c r="D20" s="141">
        <v>49880.0</v>
      </c>
      <c r="E20" s="142">
        <v>225578.401222229</v>
      </c>
      <c r="F20" s="140" t="s">
        <v>2683</v>
      </c>
      <c r="G20" s="143">
        <v>2648904.398457322</v>
      </c>
      <c r="H20" s="143">
        <v>846335.2475345054</v>
      </c>
      <c r="I20" s="144">
        <v>45094.0</v>
      </c>
      <c r="J20" s="144">
        <v>45122.0</v>
      </c>
      <c r="K20" s="145">
        <v>264550.00537872314</v>
      </c>
      <c r="L20" s="114" t="s">
        <v>84</v>
      </c>
      <c r="M20" s="114" t="s">
        <v>152</v>
      </c>
      <c r="N20" s="108"/>
      <c r="O20" s="108"/>
      <c r="P20" s="108"/>
      <c r="Q20" s="108"/>
      <c r="R20" s="108" t="str">
        <f t="shared" si="1"/>
        <v>2023</v>
      </c>
      <c r="S20" s="110">
        <f t="shared" si="2"/>
        <v>7</v>
      </c>
      <c r="T20" s="108" t="str">
        <f t="shared" si="3"/>
        <v>2023-Q3</v>
      </c>
      <c r="U20" s="108" t="str">
        <f t="shared" si="4"/>
        <v>2023-07</v>
      </c>
      <c r="V20" s="112" t="str">
        <f t="shared" si="5"/>
        <v>2023-H2</v>
      </c>
      <c r="W20" s="112"/>
    </row>
    <row r="21">
      <c r="A21" s="146">
        <f>HYPERLINK("https://polkadot.subsquare.io/referenda/16", 16)</f>
        <v>16</v>
      </c>
      <c r="B21" s="147" t="s">
        <v>2692</v>
      </c>
      <c r="C21" s="147" t="s">
        <v>2672</v>
      </c>
      <c r="D21" s="148">
        <v>68479.0</v>
      </c>
      <c r="E21" s="149">
        <v>319723.23665475845</v>
      </c>
      <c r="F21" s="147" t="s">
        <v>2683</v>
      </c>
      <c r="G21" s="150">
        <v>4112784.7833038564</v>
      </c>
      <c r="H21" s="150">
        <v>7250812.633153093</v>
      </c>
      <c r="I21" s="151">
        <v>45094.0</v>
      </c>
      <c r="J21" s="151">
        <v>45122.0</v>
      </c>
      <c r="K21" s="152">
        <v>354671.3139538765</v>
      </c>
      <c r="L21" s="117" t="s">
        <v>2673</v>
      </c>
      <c r="M21" s="117" t="s">
        <v>2673</v>
      </c>
      <c r="N21" s="153"/>
      <c r="O21" s="153"/>
      <c r="P21" s="153"/>
      <c r="Q21" s="153"/>
      <c r="R21" s="153" t="str">
        <f t="shared" si="1"/>
        <v>2023</v>
      </c>
      <c r="S21" s="154">
        <f t="shared" si="2"/>
        <v>7</v>
      </c>
      <c r="T21" s="153" t="str">
        <f t="shared" si="3"/>
        <v>2023-Q3</v>
      </c>
      <c r="U21" s="153" t="str">
        <f t="shared" si="4"/>
        <v>2023-07</v>
      </c>
      <c r="V21" s="155" t="str">
        <f t="shared" si="5"/>
        <v>2023-H2</v>
      </c>
      <c r="W21" s="155"/>
    </row>
    <row r="22">
      <c r="A22" s="139">
        <f>HYPERLINK("https://polkadot.subsquare.io/referenda/17", 17)</f>
        <v>17</v>
      </c>
      <c r="B22" s="140" t="s">
        <v>2693</v>
      </c>
      <c r="C22" s="140" t="s">
        <v>2672</v>
      </c>
      <c r="D22" s="141">
        <v>8775.0</v>
      </c>
      <c r="E22" s="142">
        <v>40969.806826114655</v>
      </c>
      <c r="F22" s="140" t="s">
        <v>2678</v>
      </c>
      <c r="G22" s="143">
        <v>636529.2273782742</v>
      </c>
      <c r="H22" s="143">
        <v>2185637.1675414243</v>
      </c>
      <c r="I22" s="144">
        <v>45094.0</v>
      </c>
      <c r="J22" s="144">
        <v>45122.0</v>
      </c>
      <c r="K22" s="145">
        <v>45448.1049656868</v>
      </c>
      <c r="L22" s="114" t="s">
        <v>2673</v>
      </c>
      <c r="M22" s="114" t="s">
        <v>2673</v>
      </c>
      <c r="N22" s="108"/>
      <c r="O22" s="108"/>
      <c r="P22" s="108"/>
      <c r="Q22" s="108"/>
      <c r="R22" s="108" t="str">
        <f t="shared" si="1"/>
        <v>2023</v>
      </c>
      <c r="S22" s="110">
        <f t="shared" si="2"/>
        <v>7</v>
      </c>
      <c r="T22" s="108" t="str">
        <f t="shared" si="3"/>
        <v>2023-Q3</v>
      </c>
      <c r="U22" s="108" t="str">
        <f t="shared" si="4"/>
        <v>2023-07</v>
      </c>
      <c r="V22" s="112" t="str">
        <f t="shared" si="5"/>
        <v>2023-H2</v>
      </c>
      <c r="W22" s="112"/>
    </row>
    <row r="23">
      <c r="A23" s="146">
        <f>HYPERLINK("https://polkadot.subsquare.io/referenda/18", 18)</f>
        <v>18</v>
      </c>
      <c r="B23" s="147" t="s">
        <v>2694</v>
      </c>
      <c r="C23" s="147" t="s">
        <v>2681</v>
      </c>
      <c r="D23" s="148">
        <v>0.0</v>
      </c>
      <c r="E23" s="149">
        <v>0.0</v>
      </c>
      <c r="F23" s="147" t="s">
        <v>2682</v>
      </c>
      <c r="G23" s="150">
        <v>6.606000011524445E7</v>
      </c>
      <c r="H23" s="150">
        <v>100.1</v>
      </c>
      <c r="I23" s="151">
        <v>45094.0</v>
      </c>
      <c r="J23" s="151">
        <v>45123.0</v>
      </c>
      <c r="K23" s="152">
        <v>0.0</v>
      </c>
      <c r="L23" s="117" t="s">
        <v>2673</v>
      </c>
      <c r="M23" s="117" t="s">
        <v>2673</v>
      </c>
      <c r="N23" s="153"/>
      <c r="O23" s="153"/>
      <c r="P23" s="153"/>
      <c r="Q23" s="153"/>
      <c r="R23" s="153" t="str">
        <f t="shared" si="1"/>
        <v>2023</v>
      </c>
      <c r="S23" s="154">
        <f t="shared" si="2"/>
        <v>7</v>
      </c>
      <c r="T23" s="153" t="str">
        <f t="shared" si="3"/>
        <v>2023-Q3</v>
      </c>
      <c r="U23" s="153" t="str">
        <f t="shared" si="4"/>
        <v>2023-07</v>
      </c>
      <c r="V23" s="155" t="str">
        <f t="shared" si="5"/>
        <v>2023-H2</v>
      </c>
      <c r="W23" s="155"/>
    </row>
    <row r="24">
      <c r="A24" s="139">
        <f>HYPERLINK("https://polkadot.subsquare.io/referenda/19", 19)</f>
        <v>19</v>
      </c>
      <c r="B24" s="140" t="s">
        <v>2695</v>
      </c>
      <c r="C24" s="140" t="s">
        <v>2672</v>
      </c>
      <c r="D24" s="141">
        <v>3469.0</v>
      </c>
      <c r="E24" s="142">
        <v>16196.496852397919</v>
      </c>
      <c r="F24" s="140" t="s">
        <v>2678</v>
      </c>
      <c r="G24" s="143">
        <v>954772.8672961564</v>
      </c>
      <c r="H24" s="143">
        <v>2747592.845394487</v>
      </c>
      <c r="I24" s="144">
        <v>45094.0</v>
      </c>
      <c r="J24" s="144">
        <v>45123.0</v>
      </c>
      <c r="K24" s="145">
        <v>17966.891866207123</v>
      </c>
      <c r="L24" s="114" t="s">
        <v>2673</v>
      </c>
      <c r="M24" s="114" t="s">
        <v>2673</v>
      </c>
      <c r="N24" s="108"/>
      <c r="O24" s="108"/>
      <c r="P24" s="108"/>
      <c r="Q24" s="108"/>
      <c r="R24" s="108" t="str">
        <f t="shared" si="1"/>
        <v>2023</v>
      </c>
      <c r="S24" s="110">
        <f t="shared" si="2"/>
        <v>7</v>
      </c>
      <c r="T24" s="108" t="str">
        <f t="shared" si="3"/>
        <v>2023-Q3</v>
      </c>
      <c r="U24" s="108" t="str">
        <f t="shared" si="4"/>
        <v>2023-07</v>
      </c>
      <c r="V24" s="112" t="str">
        <f t="shared" si="5"/>
        <v>2023-H2</v>
      </c>
      <c r="W24" s="112"/>
    </row>
    <row r="25">
      <c r="A25" s="146">
        <f>HYPERLINK("https://polkadot.subsquare.io/referenda/20", 20)</f>
        <v>20</v>
      </c>
      <c r="B25" s="147" t="s">
        <v>155</v>
      </c>
      <c r="C25" s="147" t="s">
        <v>2681</v>
      </c>
      <c r="D25" s="148">
        <v>41867.704</v>
      </c>
      <c r="E25" s="149">
        <v>195477.1219524727</v>
      </c>
      <c r="F25" s="147" t="s">
        <v>2683</v>
      </c>
      <c r="G25" s="150">
        <v>3210641.9696878437</v>
      </c>
      <c r="H25" s="150">
        <v>390263.0608</v>
      </c>
      <c r="I25" s="151">
        <v>45095.0</v>
      </c>
      <c r="J25" s="151">
        <v>45123.0</v>
      </c>
      <c r="K25" s="152">
        <v>216844.1944232826</v>
      </c>
      <c r="L25" s="117" t="s">
        <v>84</v>
      </c>
      <c r="M25" s="117" t="s">
        <v>154</v>
      </c>
      <c r="N25" s="153"/>
      <c r="O25" s="153"/>
      <c r="P25" s="153"/>
      <c r="Q25" s="153"/>
      <c r="R25" s="153" t="str">
        <f t="shared" si="1"/>
        <v>2023</v>
      </c>
      <c r="S25" s="154">
        <f t="shared" si="2"/>
        <v>7</v>
      </c>
      <c r="T25" s="153" t="str">
        <f t="shared" si="3"/>
        <v>2023-Q3</v>
      </c>
      <c r="U25" s="153" t="str">
        <f t="shared" si="4"/>
        <v>2023-07</v>
      </c>
      <c r="V25" s="155" t="str">
        <f t="shared" si="5"/>
        <v>2023-H2</v>
      </c>
      <c r="W25" s="155"/>
    </row>
    <row r="26">
      <c r="A26" s="139">
        <f>HYPERLINK("https://polkadot.subsquare.io/referenda/21", 21)</f>
        <v>21</v>
      </c>
      <c r="B26" s="140" t="s">
        <v>156</v>
      </c>
      <c r="C26" s="140" t="s">
        <v>2681</v>
      </c>
      <c r="D26" s="141">
        <v>175419.0</v>
      </c>
      <c r="E26" s="142">
        <v>847173.0464744568</v>
      </c>
      <c r="F26" s="140" t="s">
        <v>2676</v>
      </c>
      <c r="G26" s="143">
        <v>5206765.447026082</v>
      </c>
      <c r="H26" s="143">
        <v>1469069.3459266594</v>
      </c>
      <c r="I26" s="144">
        <v>45095.0</v>
      </c>
      <c r="J26" s="144">
        <v>45125.0</v>
      </c>
      <c r="K26" s="145">
        <v>963017.1459159851</v>
      </c>
      <c r="L26" s="114" t="s">
        <v>81</v>
      </c>
      <c r="M26" s="114" t="s">
        <v>146</v>
      </c>
      <c r="N26" s="108"/>
      <c r="O26" s="108"/>
      <c r="P26" s="108"/>
      <c r="Q26" s="108"/>
      <c r="R26" s="108" t="str">
        <f t="shared" si="1"/>
        <v>2023</v>
      </c>
      <c r="S26" s="110">
        <f t="shared" si="2"/>
        <v>7</v>
      </c>
      <c r="T26" s="108" t="str">
        <f t="shared" si="3"/>
        <v>2023-Q3</v>
      </c>
      <c r="U26" s="108" t="str">
        <f t="shared" si="4"/>
        <v>2023-07</v>
      </c>
      <c r="V26" s="112" t="str">
        <f t="shared" si="5"/>
        <v>2023-H2</v>
      </c>
      <c r="W26" s="112"/>
    </row>
    <row r="27">
      <c r="A27" s="146">
        <f>HYPERLINK("https://polkadot.subsquare.io/referenda/22", 22)</f>
        <v>22</v>
      </c>
      <c r="B27" s="147" t="s">
        <v>157</v>
      </c>
      <c r="C27" s="147" t="s">
        <v>2681</v>
      </c>
      <c r="D27" s="148">
        <v>77500.0</v>
      </c>
      <c r="E27" s="149">
        <v>374373.66366386414</v>
      </c>
      <c r="F27" s="147" t="s">
        <v>2696</v>
      </c>
      <c r="G27" s="150">
        <v>4674309.070914032</v>
      </c>
      <c r="H27" s="150">
        <v>4422681.847630495</v>
      </c>
      <c r="I27" s="151">
        <v>45096.0</v>
      </c>
      <c r="J27" s="151">
        <v>45125.0</v>
      </c>
      <c r="K27" s="152">
        <v>425460.34812927246</v>
      </c>
      <c r="L27" s="117" t="s">
        <v>81</v>
      </c>
      <c r="M27" s="117" t="s">
        <v>140</v>
      </c>
      <c r="N27" s="153"/>
      <c r="O27" s="153"/>
      <c r="P27" s="153"/>
      <c r="Q27" s="153"/>
      <c r="R27" s="153" t="str">
        <f t="shared" si="1"/>
        <v>2023</v>
      </c>
      <c r="S27" s="154">
        <f t="shared" si="2"/>
        <v>7</v>
      </c>
      <c r="T27" s="153" t="str">
        <f t="shared" si="3"/>
        <v>2023-Q3</v>
      </c>
      <c r="U27" s="153" t="str">
        <f t="shared" si="4"/>
        <v>2023-07</v>
      </c>
      <c r="V27" s="155" t="str">
        <f t="shared" si="5"/>
        <v>2023-H2</v>
      </c>
      <c r="W27" s="155"/>
    </row>
    <row r="28">
      <c r="A28" s="139">
        <f>HYPERLINK("https://polkadot.subsquare.io/referenda/23", 23)</f>
        <v>23</v>
      </c>
      <c r="B28" s="140" t="s">
        <v>2697</v>
      </c>
      <c r="C28" s="140" t="s">
        <v>2681</v>
      </c>
      <c r="D28" s="141">
        <v>0.0</v>
      </c>
      <c r="E28" s="142">
        <v>0.0</v>
      </c>
      <c r="F28" s="140" t="s">
        <v>2698</v>
      </c>
      <c r="G28" s="143">
        <v>3504455.105842395</v>
      </c>
      <c r="H28" s="143">
        <v>50674.5001</v>
      </c>
      <c r="I28" s="144">
        <v>45096.0</v>
      </c>
      <c r="J28" s="144">
        <v>45124.0</v>
      </c>
      <c r="K28" s="145">
        <v>0.0</v>
      </c>
      <c r="L28" s="114" t="s">
        <v>2673</v>
      </c>
      <c r="M28" s="114" t="s">
        <v>2673</v>
      </c>
      <c r="N28" s="108"/>
      <c r="O28" s="108"/>
      <c r="P28" s="108"/>
      <c r="Q28" s="108"/>
      <c r="R28" s="108" t="str">
        <f t="shared" si="1"/>
        <v>2023</v>
      </c>
      <c r="S28" s="110">
        <f t="shared" si="2"/>
        <v>7</v>
      </c>
      <c r="T28" s="108" t="str">
        <f t="shared" si="3"/>
        <v>2023-Q3</v>
      </c>
      <c r="U28" s="108" t="str">
        <f t="shared" si="4"/>
        <v>2023-07</v>
      </c>
      <c r="V28" s="112" t="str">
        <f t="shared" si="5"/>
        <v>2023-H2</v>
      </c>
      <c r="W28" s="112"/>
    </row>
    <row r="29">
      <c r="A29" s="146">
        <f>HYPERLINK("https://polkadot.subsquare.io/referenda/24", 24)</f>
        <v>24</v>
      </c>
      <c r="B29" s="147" t="s">
        <v>159</v>
      </c>
      <c r="C29" s="147" t="s">
        <v>2681</v>
      </c>
      <c r="D29" s="148">
        <v>25533.0</v>
      </c>
      <c r="E29" s="149">
        <v>123340.42263650894</v>
      </c>
      <c r="F29" s="147" t="s">
        <v>2683</v>
      </c>
      <c r="G29" s="150">
        <v>1549724.6118197916</v>
      </c>
      <c r="H29" s="150">
        <v>476201.8865112867</v>
      </c>
      <c r="I29" s="151">
        <v>45096.0</v>
      </c>
      <c r="J29" s="151">
        <v>45125.0</v>
      </c>
      <c r="K29" s="152">
        <v>140171.34282302856</v>
      </c>
      <c r="L29" s="117" t="s">
        <v>81</v>
      </c>
      <c r="M29" s="117" t="s">
        <v>158</v>
      </c>
      <c r="N29" s="153"/>
      <c r="O29" s="153"/>
      <c r="P29" s="153"/>
      <c r="Q29" s="153"/>
      <c r="R29" s="153" t="str">
        <f t="shared" si="1"/>
        <v>2023</v>
      </c>
      <c r="S29" s="154">
        <f t="shared" si="2"/>
        <v>7</v>
      </c>
      <c r="T29" s="153" t="str">
        <f t="shared" si="3"/>
        <v>2023-Q3</v>
      </c>
      <c r="U29" s="153" t="str">
        <f t="shared" si="4"/>
        <v>2023-07</v>
      </c>
      <c r="V29" s="155" t="str">
        <f t="shared" si="5"/>
        <v>2023-H2</v>
      </c>
      <c r="W29" s="155"/>
    </row>
    <row r="30">
      <c r="A30" s="139">
        <f>HYPERLINK("https://polkadot.subsquare.io/referenda/25", 25)</f>
        <v>25</v>
      </c>
      <c r="B30" s="140" t="s">
        <v>160</v>
      </c>
      <c r="C30" s="140" t="s">
        <v>2681</v>
      </c>
      <c r="D30" s="141">
        <v>382.7</v>
      </c>
      <c r="E30" s="142">
        <v>1848.6813043117522</v>
      </c>
      <c r="F30" s="140" t="s">
        <v>2699</v>
      </c>
      <c r="G30" s="143">
        <v>1999230.0560329945</v>
      </c>
      <c r="H30" s="143">
        <v>322967.6608</v>
      </c>
      <c r="I30" s="144">
        <v>45097.0</v>
      </c>
      <c r="J30" s="144">
        <v>45103.0</v>
      </c>
      <c r="K30" s="145">
        <v>1868.7286227226257</v>
      </c>
      <c r="L30" s="114" t="s">
        <v>84</v>
      </c>
      <c r="M30" s="114" t="s">
        <v>148</v>
      </c>
      <c r="N30" s="108"/>
      <c r="O30" s="108"/>
      <c r="P30" s="108"/>
      <c r="Q30" s="108"/>
      <c r="R30" s="108" t="str">
        <f t="shared" si="1"/>
        <v>2023</v>
      </c>
      <c r="S30" s="110">
        <f t="shared" si="2"/>
        <v>6</v>
      </c>
      <c r="T30" s="108" t="str">
        <f t="shared" si="3"/>
        <v>2023-Q2</v>
      </c>
      <c r="U30" s="108" t="str">
        <f t="shared" si="4"/>
        <v>2023-06</v>
      </c>
      <c r="V30" s="112" t="str">
        <f t="shared" si="5"/>
        <v>2023-H1</v>
      </c>
      <c r="W30" s="112"/>
    </row>
    <row r="31">
      <c r="A31" s="146">
        <f>HYPERLINK("https://polkadot.subsquare.io/referenda/26", 26)</f>
        <v>26</v>
      </c>
      <c r="B31" s="147" t="s">
        <v>161</v>
      </c>
      <c r="C31" s="147" t="s">
        <v>2681</v>
      </c>
      <c r="D31" s="148">
        <v>500.0</v>
      </c>
      <c r="E31" s="149">
        <v>2415.313959121704</v>
      </c>
      <c r="F31" s="147" t="s">
        <v>2699</v>
      </c>
      <c r="G31" s="150">
        <v>1972241.1905529392</v>
      </c>
      <c r="H31" s="150">
        <v>344405.6556</v>
      </c>
      <c r="I31" s="151">
        <v>45097.0</v>
      </c>
      <c r="J31" s="151">
        <v>45103.0</v>
      </c>
      <c r="K31" s="152">
        <v>2493.1304454803467</v>
      </c>
      <c r="L31" s="117" t="s">
        <v>84</v>
      </c>
      <c r="M31" s="117" t="s">
        <v>148</v>
      </c>
      <c r="N31" s="153"/>
      <c r="O31" s="153"/>
      <c r="P31" s="153"/>
      <c r="Q31" s="153"/>
      <c r="R31" s="153" t="str">
        <f t="shared" si="1"/>
        <v>2023</v>
      </c>
      <c r="S31" s="154">
        <f t="shared" si="2"/>
        <v>6</v>
      </c>
      <c r="T31" s="153" t="str">
        <f t="shared" si="3"/>
        <v>2023-Q2</v>
      </c>
      <c r="U31" s="153" t="str">
        <f t="shared" si="4"/>
        <v>2023-06</v>
      </c>
      <c r="V31" s="155" t="str">
        <f t="shared" si="5"/>
        <v>2023-H1</v>
      </c>
      <c r="W31" s="155"/>
    </row>
    <row r="32">
      <c r="A32" s="139">
        <f>HYPERLINK("https://polkadot.subsquare.io/referenda/27", 27)</f>
        <v>27</v>
      </c>
      <c r="B32" s="140" t="s">
        <v>162</v>
      </c>
      <c r="C32" s="140" t="s">
        <v>2681</v>
      </c>
      <c r="D32" s="141">
        <v>500.0</v>
      </c>
      <c r="E32" s="142">
        <v>2415.313959121704</v>
      </c>
      <c r="F32" s="140" t="s">
        <v>2699</v>
      </c>
      <c r="G32" s="143">
        <v>1824897.4281974696</v>
      </c>
      <c r="H32" s="143">
        <v>322553.7556</v>
      </c>
      <c r="I32" s="144">
        <v>45097.0</v>
      </c>
      <c r="J32" s="144">
        <v>45103.0</v>
      </c>
      <c r="K32" s="145">
        <v>2493.1304454803467</v>
      </c>
      <c r="L32" s="114" t="s">
        <v>84</v>
      </c>
      <c r="M32" s="114" t="s">
        <v>148</v>
      </c>
      <c r="N32" s="108"/>
      <c r="O32" s="108"/>
      <c r="P32" s="108"/>
      <c r="Q32" s="108"/>
      <c r="R32" s="108" t="str">
        <f t="shared" si="1"/>
        <v>2023</v>
      </c>
      <c r="S32" s="110">
        <f t="shared" si="2"/>
        <v>6</v>
      </c>
      <c r="T32" s="108" t="str">
        <f t="shared" si="3"/>
        <v>2023-Q2</v>
      </c>
      <c r="U32" s="108" t="str">
        <f t="shared" si="4"/>
        <v>2023-06</v>
      </c>
      <c r="V32" s="112" t="str">
        <f t="shared" si="5"/>
        <v>2023-H1</v>
      </c>
      <c r="W32" s="112"/>
    </row>
    <row r="33">
      <c r="A33" s="146">
        <f>HYPERLINK("https://polkadot.subsquare.io/referenda/28", 28)</f>
        <v>28</v>
      </c>
      <c r="B33" s="147" t="s">
        <v>163</v>
      </c>
      <c r="C33" s="147" t="s">
        <v>2681</v>
      </c>
      <c r="D33" s="148">
        <v>500.0</v>
      </c>
      <c r="E33" s="149">
        <v>2550.107479095459</v>
      </c>
      <c r="F33" s="147" t="s">
        <v>2699</v>
      </c>
      <c r="G33" s="150">
        <v>1832886.2950795456</v>
      </c>
      <c r="H33" s="150">
        <v>379790.9589303516</v>
      </c>
      <c r="I33" s="151">
        <v>45097.0</v>
      </c>
      <c r="J33" s="151">
        <v>45103.0</v>
      </c>
      <c r="K33" s="152">
        <v>2493.1304454803467</v>
      </c>
      <c r="L33" s="117" t="s">
        <v>84</v>
      </c>
      <c r="M33" s="117" t="s">
        <v>148</v>
      </c>
      <c r="N33" s="153"/>
      <c r="O33" s="153"/>
      <c r="P33" s="153"/>
      <c r="Q33" s="153"/>
      <c r="R33" s="153" t="str">
        <f t="shared" si="1"/>
        <v>2023</v>
      </c>
      <c r="S33" s="154">
        <f t="shared" si="2"/>
        <v>6</v>
      </c>
      <c r="T33" s="153" t="str">
        <f t="shared" si="3"/>
        <v>2023-Q2</v>
      </c>
      <c r="U33" s="153" t="str">
        <f t="shared" si="4"/>
        <v>2023-06</v>
      </c>
      <c r="V33" s="155" t="str">
        <f t="shared" si="5"/>
        <v>2023-H1</v>
      </c>
      <c r="W33" s="155"/>
    </row>
    <row r="34">
      <c r="A34" s="139">
        <f>HYPERLINK("https://polkadot.subsquare.io/referenda/29", 29)</f>
        <v>29</v>
      </c>
      <c r="B34" s="140" t="s">
        <v>2700</v>
      </c>
      <c r="C34" s="140" t="s">
        <v>2672</v>
      </c>
      <c r="D34" s="141">
        <v>38249.0</v>
      </c>
      <c r="E34" s="142">
        <v>195078.12193584442</v>
      </c>
      <c r="F34" s="140" t="s">
        <v>2683</v>
      </c>
      <c r="G34" s="143">
        <v>5716836.764256967</v>
      </c>
      <c r="H34" s="143">
        <v>8474908.448823085</v>
      </c>
      <c r="I34" s="144">
        <v>45097.0</v>
      </c>
      <c r="J34" s="144">
        <v>45125.0</v>
      </c>
      <c r="K34" s="145">
        <v>209979.77878189087</v>
      </c>
      <c r="L34" s="114" t="s">
        <v>2673</v>
      </c>
      <c r="M34" s="114" t="s">
        <v>2673</v>
      </c>
      <c r="N34" s="108"/>
      <c r="O34" s="108"/>
      <c r="P34" s="108"/>
      <c r="Q34" s="108"/>
      <c r="R34" s="108" t="str">
        <f t="shared" si="1"/>
        <v>2023</v>
      </c>
      <c r="S34" s="110">
        <f t="shared" si="2"/>
        <v>7</v>
      </c>
      <c r="T34" s="108" t="str">
        <f t="shared" si="3"/>
        <v>2023-Q3</v>
      </c>
      <c r="U34" s="108" t="str">
        <f t="shared" si="4"/>
        <v>2023-07</v>
      </c>
      <c r="V34" s="112" t="str">
        <f t="shared" si="5"/>
        <v>2023-H2</v>
      </c>
      <c r="W34" s="112"/>
    </row>
    <row r="35">
      <c r="A35" s="146">
        <f>HYPERLINK("https://polkadot.subsquare.io/referenda/30", 30)</f>
        <v>30</v>
      </c>
      <c r="B35" s="147" t="s">
        <v>2701</v>
      </c>
      <c r="C35" s="147" t="s">
        <v>2672</v>
      </c>
      <c r="D35" s="148">
        <v>146628.0</v>
      </c>
      <c r="E35" s="149">
        <v>747834.3188896179</v>
      </c>
      <c r="F35" s="147" t="s">
        <v>2676</v>
      </c>
      <c r="G35" s="150">
        <v>2027584.2021437099</v>
      </c>
      <c r="H35" s="150">
        <v>8053184.338945685</v>
      </c>
      <c r="I35" s="151">
        <v>45097.0</v>
      </c>
      <c r="J35" s="151">
        <v>45126.0</v>
      </c>
      <c r="K35" s="152">
        <v>804959.9990386963</v>
      </c>
      <c r="L35" s="117" t="s">
        <v>2673</v>
      </c>
      <c r="M35" s="117" t="s">
        <v>2673</v>
      </c>
      <c r="N35" s="153"/>
      <c r="O35" s="153"/>
      <c r="P35" s="153"/>
      <c r="Q35" s="153"/>
      <c r="R35" s="153" t="str">
        <f t="shared" si="1"/>
        <v>2023</v>
      </c>
      <c r="S35" s="154">
        <f t="shared" si="2"/>
        <v>7</v>
      </c>
      <c r="T35" s="153" t="str">
        <f t="shared" si="3"/>
        <v>2023-Q3</v>
      </c>
      <c r="U35" s="153" t="str">
        <f t="shared" si="4"/>
        <v>2023-07</v>
      </c>
      <c r="V35" s="155" t="str">
        <f t="shared" si="5"/>
        <v>2023-H2</v>
      </c>
      <c r="W35" s="155"/>
    </row>
    <row r="36">
      <c r="A36" s="139">
        <f>HYPERLINK("https://polkadot.subsquare.io/referenda/31", 31)</f>
        <v>31</v>
      </c>
      <c r="B36" s="140" t="s">
        <v>164</v>
      </c>
      <c r="C36" s="140" t="s">
        <v>2681</v>
      </c>
      <c r="D36" s="141">
        <v>500.0</v>
      </c>
      <c r="E36" s="142">
        <v>2550.107479095459</v>
      </c>
      <c r="F36" s="140" t="s">
        <v>2699</v>
      </c>
      <c r="G36" s="143">
        <v>1986121.7661197702</v>
      </c>
      <c r="H36" s="143">
        <v>373221.6924692313</v>
      </c>
      <c r="I36" s="144">
        <v>45098.0</v>
      </c>
      <c r="J36" s="144">
        <v>45104.0</v>
      </c>
      <c r="K36" s="145">
        <v>2493.1304454803467</v>
      </c>
      <c r="L36" s="114" t="s">
        <v>84</v>
      </c>
      <c r="M36" s="114" t="s">
        <v>148</v>
      </c>
      <c r="N36" s="108"/>
      <c r="O36" s="108"/>
      <c r="P36" s="108"/>
      <c r="Q36" s="108"/>
      <c r="R36" s="108" t="str">
        <f t="shared" si="1"/>
        <v>2023</v>
      </c>
      <c r="S36" s="110">
        <f t="shared" si="2"/>
        <v>6</v>
      </c>
      <c r="T36" s="108" t="str">
        <f t="shared" si="3"/>
        <v>2023-Q2</v>
      </c>
      <c r="U36" s="108" t="str">
        <f t="shared" si="4"/>
        <v>2023-06</v>
      </c>
      <c r="V36" s="112" t="str">
        <f t="shared" si="5"/>
        <v>2023-H1</v>
      </c>
      <c r="W36" s="112"/>
    </row>
    <row r="37">
      <c r="A37" s="146">
        <f>HYPERLINK("https://polkadot.subsquare.io/referenda/32", 32)</f>
        <v>32</v>
      </c>
      <c r="B37" s="147" t="s">
        <v>165</v>
      </c>
      <c r="C37" s="147" t="s">
        <v>2681</v>
      </c>
      <c r="D37" s="148">
        <v>11730.685</v>
      </c>
      <c r="E37" s="149">
        <v>59829.01510682583</v>
      </c>
      <c r="F37" s="147" t="s">
        <v>2683</v>
      </c>
      <c r="G37" s="150">
        <v>1421644.9241235747</v>
      </c>
      <c r="H37" s="150">
        <v>673386.802499875</v>
      </c>
      <c r="I37" s="151">
        <v>45098.0</v>
      </c>
      <c r="J37" s="151">
        <v>45126.0</v>
      </c>
      <c r="K37" s="152">
        <v>64399.2428889656</v>
      </c>
      <c r="L37" s="117" t="s">
        <v>82</v>
      </c>
      <c r="M37" s="117" t="s">
        <v>150</v>
      </c>
      <c r="N37" s="153"/>
      <c r="O37" s="153"/>
      <c r="P37" s="153"/>
      <c r="Q37" s="153"/>
      <c r="R37" s="153" t="str">
        <f t="shared" si="1"/>
        <v>2023</v>
      </c>
      <c r="S37" s="154">
        <f t="shared" si="2"/>
        <v>7</v>
      </c>
      <c r="T37" s="153" t="str">
        <f t="shared" si="3"/>
        <v>2023-Q3</v>
      </c>
      <c r="U37" s="153" t="str">
        <f t="shared" si="4"/>
        <v>2023-07</v>
      </c>
      <c r="V37" s="155" t="str">
        <f t="shared" si="5"/>
        <v>2023-H2</v>
      </c>
      <c r="W37" s="155"/>
    </row>
    <row r="38">
      <c r="A38" s="139">
        <f>HYPERLINK("https://polkadot.subsquare.io/referenda/33", 33)</f>
        <v>33</v>
      </c>
      <c r="B38" s="140" t="s">
        <v>2702</v>
      </c>
      <c r="C38" s="140" t="s">
        <v>2672</v>
      </c>
      <c r="D38" s="141">
        <v>99672.0</v>
      </c>
      <c r="E38" s="142">
        <v>508348.6253128052</v>
      </c>
      <c r="F38" s="140" t="s">
        <v>2683</v>
      </c>
      <c r="G38" s="143">
        <v>2264937.4916216643</v>
      </c>
      <c r="H38" s="143">
        <v>5921508.980960048</v>
      </c>
      <c r="I38" s="144">
        <v>45098.0</v>
      </c>
      <c r="J38" s="144">
        <v>45126.0</v>
      </c>
      <c r="K38" s="145">
        <v>529103.0425643921</v>
      </c>
      <c r="L38" s="114" t="s">
        <v>2673</v>
      </c>
      <c r="M38" s="114" t="s">
        <v>2673</v>
      </c>
      <c r="N38" s="108"/>
      <c r="O38" s="108"/>
      <c r="P38" s="108"/>
      <c r="Q38" s="108"/>
      <c r="R38" s="108" t="str">
        <f t="shared" si="1"/>
        <v>2023</v>
      </c>
      <c r="S38" s="110">
        <f t="shared" si="2"/>
        <v>7</v>
      </c>
      <c r="T38" s="108" t="str">
        <f t="shared" si="3"/>
        <v>2023-Q3</v>
      </c>
      <c r="U38" s="108" t="str">
        <f t="shared" si="4"/>
        <v>2023-07</v>
      </c>
      <c r="V38" s="112" t="str">
        <f t="shared" si="5"/>
        <v>2023-H2</v>
      </c>
      <c r="W38" s="112"/>
    </row>
    <row r="39">
      <c r="A39" s="146">
        <f>HYPERLINK("https://polkadot.subsquare.io/referenda/34", 34)</f>
        <v>34</v>
      </c>
      <c r="B39" s="147" t="s">
        <v>2703</v>
      </c>
      <c r="C39" s="147" t="s">
        <v>2672</v>
      </c>
      <c r="D39" s="148">
        <v>19256.0</v>
      </c>
      <c r="E39" s="149">
        <v>96423.39492416382</v>
      </c>
      <c r="F39" s="147" t="s">
        <v>2683</v>
      </c>
      <c r="G39" s="150">
        <v>2946712.004114563</v>
      </c>
      <c r="H39" s="150">
        <v>3816011.5749859964</v>
      </c>
      <c r="I39" s="151">
        <v>45098.0</v>
      </c>
      <c r="J39" s="151">
        <v>45129.0</v>
      </c>
      <c r="K39" s="152">
        <v>100430.40020751953</v>
      </c>
      <c r="L39" s="117" t="s">
        <v>2673</v>
      </c>
      <c r="M39" s="117" t="s">
        <v>2673</v>
      </c>
      <c r="N39" s="153"/>
      <c r="O39" s="153"/>
      <c r="P39" s="153"/>
      <c r="Q39" s="153"/>
      <c r="R39" s="153" t="str">
        <f t="shared" si="1"/>
        <v>2023</v>
      </c>
      <c r="S39" s="154">
        <f t="shared" si="2"/>
        <v>7</v>
      </c>
      <c r="T39" s="153" t="str">
        <f t="shared" si="3"/>
        <v>2023-Q3</v>
      </c>
      <c r="U39" s="153" t="str">
        <f t="shared" si="4"/>
        <v>2023-07</v>
      </c>
      <c r="V39" s="155" t="str">
        <f t="shared" si="5"/>
        <v>2023-H2</v>
      </c>
      <c r="W39" s="155"/>
    </row>
    <row r="40">
      <c r="A40" s="139">
        <f>HYPERLINK("https://polkadot.subsquare.io/referenda/35", 35)</f>
        <v>35</v>
      </c>
      <c r="B40" s="140" t="s">
        <v>166</v>
      </c>
      <c r="C40" s="140" t="s">
        <v>2681</v>
      </c>
      <c r="D40" s="141">
        <v>14746.0</v>
      </c>
      <c r="E40" s="142">
        <v>73839.81000995636</v>
      </c>
      <c r="F40" s="140" t="s">
        <v>2683</v>
      </c>
      <c r="G40" s="143">
        <v>3627633.1003135424</v>
      </c>
      <c r="H40" s="143">
        <v>3520391.387092367</v>
      </c>
      <c r="I40" s="144">
        <v>45098.0</v>
      </c>
      <c r="J40" s="144">
        <v>45127.0</v>
      </c>
      <c r="K40" s="145">
        <v>79593.99656677246</v>
      </c>
      <c r="L40" s="114" t="s">
        <v>137</v>
      </c>
      <c r="M40" s="114" t="s">
        <v>138</v>
      </c>
      <c r="N40" s="108"/>
      <c r="O40" s="108"/>
      <c r="P40" s="108"/>
      <c r="Q40" s="108"/>
      <c r="R40" s="108" t="str">
        <f t="shared" si="1"/>
        <v>2023</v>
      </c>
      <c r="S40" s="110">
        <f t="shared" si="2"/>
        <v>7</v>
      </c>
      <c r="T40" s="108" t="str">
        <f t="shared" si="3"/>
        <v>2023-Q3</v>
      </c>
      <c r="U40" s="108" t="str">
        <f t="shared" si="4"/>
        <v>2023-07</v>
      </c>
      <c r="V40" s="112" t="str">
        <f t="shared" si="5"/>
        <v>2023-H2</v>
      </c>
      <c r="W40" s="112"/>
    </row>
    <row r="41">
      <c r="A41" s="146">
        <f>HYPERLINK("https://polkadot.subsquare.io/referenda/36", 36)</f>
        <v>36</v>
      </c>
      <c r="B41" s="147" t="s">
        <v>167</v>
      </c>
      <c r="C41" s="147" t="s">
        <v>2681</v>
      </c>
      <c r="D41" s="148">
        <v>69786.0</v>
      </c>
      <c r="E41" s="149">
        <v>362524.6718673706</v>
      </c>
      <c r="F41" s="147" t="s">
        <v>2683</v>
      </c>
      <c r="G41" s="150">
        <v>1312361.345130413</v>
      </c>
      <c r="H41" s="150">
        <v>1191227.811113608</v>
      </c>
      <c r="I41" s="151">
        <v>45099.0</v>
      </c>
      <c r="J41" s="151">
        <v>45127.0</v>
      </c>
      <c r="K41" s="152">
        <v>376681.58445739746</v>
      </c>
      <c r="L41" s="117" t="s">
        <v>82</v>
      </c>
      <c r="M41" s="117" t="s">
        <v>150</v>
      </c>
      <c r="N41" s="153"/>
      <c r="O41" s="153"/>
      <c r="P41" s="153"/>
      <c r="Q41" s="153"/>
      <c r="R41" s="153" t="str">
        <f t="shared" si="1"/>
        <v>2023</v>
      </c>
      <c r="S41" s="154">
        <f t="shared" si="2"/>
        <v>7</v>
      </c>
      <c r="T41" s="153" t="str">
        <f t="shared" si="3"/>
        <v>2023-Q3</v>
      </c>
      <c r="U41" s="153" t="str">
        <f t="shared" si="4"/>
        <v>2023-07</v>
      </c>
      <c r="V41" s="155" t="str">
        <f t="shared" si="5"/>
        <v>2023-H2</v>
      </c>
      <c r="W41" s="155"/>
    </row>
    <row r="42">
      <c r="A42" s="139">
        <f>HYPERLINK("https://polkadot.subsquare.io/referenda/37", 37)</f>
        <v>37</v>
      </c>
      <c r="B42" s="140" t="s">
        <v>168</v>
      </c>
      <c r="C42" s="140" t="s">
        <v>2681</v>
      </c>
      <c r="D42" s="141">
        <v>932.45</v>
      </c>
      <c r="E42" s="142">
        <v>4843.896057701111</v>
      </c>
      <c r="F42" s="140" t="s">
        <v>2699</v>
      </c>
      <c r="G42" s="143">
        <v>1184379.4564274505</v>
      </c>
      <c r="H42" s="143">
        <v>624726.6057113309</v>
      </c>
      <c r="I42" s="144">
        <v>45099.0</v>
      </c>
      <c r="J42" s="144">
        <v>45105.0</v>
      </c>
      <c r="K42" s="145">
        <v>4988.37175886631</v>
      </c>
      <c r="L42" s="114" t="s">
        <v>137</v>
      </c>
      <c r="M42" s="114" t="s">
        <v>138</v>
      </c>
      <c r="N42" s="108"/>
      <c r="O42" s="108"/>
      <c r="P42" s="108"/>
      <c r="Q42" s="108"/>
      <c r="R42" s="108" t="str">
        <f t="shared" si="1"/>
        <v>2023</v>
      </c>
      <c r="S42" s="110">
        <f t="shared" si="2"/>
        <v>6</v>
      </c>
      <c r="T42" s="108" t="str">
        <f t="shared" si="3"/>
        <v>2023-Q2</v>
      </c>
      <c r="U42" s="108" t="str">
        <f t="shared" si="4"/>
        <v>2023-06</v>
      </c>
      <c r="V42" s="112" t="str">
        <f t="shared" si="5"/>
        <v>2023-H1</v>
      </c>
      <c r="W42" s="112"/>
    </row>
    <row r="43">
      <c r="A43" s="146">
        <f>HYPERLINK("https://polkadot.subsquare.io/referenda/38", 38)</f>
        <v>38</v>
      </c>
      <c r="B43" s="147" t="s">
        <v>2704</v>
      </c>
      <c r="C43" s="147" t="s">
        <v>2672</v>
      </c>
      <c r="D43" s="148">
        <v>120.0</v>
      </c>
      <c r="E43" s="149">
        <v>623.3766174316406</v>
      </c>
      <c r="F43" s="147" t="s">
        <v>186</v>
      </c>
      <c r="G43" s="150">
        <v>95326.1830414097</v>
      </c>
      <c r="H43" s="150">
        <v>801640.4259086589</v>
      </c>
      <c r="I43" s="151">
        <v>45099.0</v>
      </c>
      <c r="J43" s="151">
        <v>45106.0</v>
      </c>
      <c r="K43" s="152">
        <v>660.2297973632812</v>
      </c>
      <c r="L43" s="117" t="s">
        <v>2673</v>
      </c>
      <c r="M43" s="117" t="s">
        <v>2673</v>
      </c>
      <c r="N43" s="153"/>
      <c r="O43" s="153"/>
      <c r="P43" s="153"/>
      <c r="Q43" s="153"/>
      <c r="R43" s="153" t="str">
        <f t="shared" si="1"/>
        <v>2023</v>
      </c>
      <c r="S43" s="154">
        <f t="shared" si="2"/>
        <v>6</v>
      </c>
      <c r="T43" s="153" t="str">
        <f t="shared" si="3"/>
        <v>2023-Q2</v>
      </c>
      <c r="U43" s="153" t="str">
        <f t="shared" si="4"/>
        <v>2023-06</v>
      </c>
      <c r="V43" s="155" t="str">
        <f t="shared" si="5"/>
        <v>2023-H1</v>
      </c>
      <c r="W43" s="155"/>
    </row>
    <row r="44">
      <c r="A44" s="139">
        <f>HYPERLINK("https://polkadot.subsquare.io/referenda/39", 39)</f>
        <v>39</v>
      </c>
      <c r="B44" s="140" t="s">
        <v>2705</v>
      </c>
      <c r="C44" s="140" t="s">
        <v>2691</v>
      </c>
      <c r="D44" s="141">
        <v>0.0</v>
      </c>
      <c r="E44" s="142">
        <v>0.0</v>
      </c>
      <c r="F44" s="140" t="s">
        <v>2682</v>
      </c>
      <c r="G44" s="143">
        <v>1926512.2894038626</v>
      </c>
      <c r="H44" s="143">
        <v>634605.3660649953</v>
      </c>
      <c r="I44" s="144">
        <v>45100.0</v>
      </c>
      <c r="J44" s="144">
        <v>45114.0</v>
      </c>
      <c r="K44" s="145">
        <v>0.0</v>
      </c>
      <c r="L44" s="114" t="s">
        <v>2673</v>
      </c>
      <c r="M44" s="114" t="s">
        <v>2673</v>
      </c>
      <c r="N44" s="108"/>
      <c r="O44" s="108"/>
      <c r="P44" s="108"/>
      <c r="Q44" s="108"/>
      <c r="R44" s="108" t="str">
        <f t="shared" si="1"/>
        <v>2023</v>
      </c>
      <c r="S44" s="110">
        <f t="shared" si="2"/>
        <v>7</v>
      </c>
      <c r="T44" s="108" t="str">
        <f t="shared" si="3"/>
        <v>2023-Q3</v>
      </c>
      <c r="U44" s="108" t="str">
        <f t="shared" si="4"/>
        <v>2023-07</v>
      </c>
      <c r="V44" s="112" t="str">
        <f t="shared" si="5"/>
        <v>2023-H2</v>
      </c>
      <c r="W44" s="112"/>
    </row>
    <row r="45">
      <c r="A45" s="146">
        <f>HYPERLINK("https://polkadot.subsquare.io/referenda/40", 40)</f>
        <v>40</v>
      </c>
      <c r="B45" s="147" t="s">
        <v>2706</v>
      </c>
      <c r="C45" s="147" t="s">
        <v>2672</v>
      </c>
      <c r="D45" s="148">
        <v>4246.19</v>
      </c>
      <c r="E45" s="149">
        <v>21344.45496540546</v>
      </c>
      <c r="F45" s="147" t="s">
        <v>2678</v>
      </c>
      <c r="G45" s="150">
        <v>535586.4422059607</v>
      </c>
      <c r="H45" s="150">
        <v>2596306.643848169</v>
      </c>
      <c r="I45" s="151">
        <v>45101.0</v>
      </c>
      <c r="J45" s="151">
        <v>45129.0</v>
      </c>
      <c r="K45" s="152">
        <v>22146.16540596008</v>
      </c>
      <c r="L45" s="117" t="s">
        <v>2673</v>
      </c>
      <c r="M45" s="117" t="s">
        <v>2673</v>
      </c>
      <c r="N45" s="153"/>
      <c r="O45" s="153"/>
      <c r="P45" s="153"/>
      <c r="Q45" s="153"/>
      <c r="R45" s="153" t="str">
        <f t="shared" si="1"/>
        <v>2023</v>
      </c>
      <c r="S45" s="154">
        <f t="shared" si="2"/>
        <v>7</v>
      </c>
      <c r="T45" s="153" t="str">
        <f t="shared" si="3"/>
        <v>2023-Q3</v>
      </c>
      <c r="U45" s="153" t="str">
        <f t="shared" si="4"/>
        <v>2023-07</v>
      </c>
      <c r="V45" s="155" t="str">
        <f t="shared" si="5"/>
        <v>2023-H2</v>
      </c>
      <c r="W45" s="155"/>
    </row>
    <row r="46">
      <c r="A46" s="139">
        <f>HYPERLINK("https://polkadot.subsquare.io/referenda/41", 41)</f>
        <v>41</v>
      </c>
      <c r="B46" s="140" t="s">
        <v>2707</v>
      </c>
      <c r="C46" s="140" t="s">
        <v>2672</v>
      </c>
      <c r="D46" s="141">
        <v>72916.6667</v>
      </c>
      <c r="E46" s="142">
        <v>366532.4699567448</v>
      </c>
      <c r="F46" s="140" t="s">
        <v>2683</v>
      </c>
      <c r="G46" s="143">
        <v>578479.153888036</v>
      </c>
      <c r="H46" s="143">
        <v>1962082.5150987648</v>
      </c>
      <c r="I46" s="144">
        <v>45101.0</v>
      </c>
      <c r="J46" s="144">
        <v>45130.0</v>
      </c>
      <c r="K46" s="145">
        <v>377451.9663787822</v>
      </c>
      <c r="L46" s="114" t="s">
        <v>2673</v>
      </c>
      <c r="M46" s="114" t="s">
        <v>2673</v>
      </c>
      <c r="N46" s="108"/>
      <c r="O46" s="108"/>
      <c r="P46" s="108"/>
      <c r="Q46" s="108"/>
      <c r="R46" s="108" t="str">
        <f t="shared" si="1"/>
        <v>2023</v>
      </c>
      <c r="S46" s="110">
        <f t="shared" si="2"/>
        <v>7</v>
      </c>
      <c r="T46" s="108" t="str">
        <f t="shared" si="3"/>
        <v>2023-Q3</v>
      </c>
      <c r="U46" s="108" t="str">
        <f t="shared" si="4"/>
        <v>2023-07</v>
      </c>
      <c r="V46" s="112" t="str">
        <f t="shared" si="5"/>
        <v>2023-H2</v>
      </c>
      <c r="W46" s="112"/>
    </row>
    <row r="47">
      <c r="A47" s="146">
        <f>HYPERLINK("https://polkadot.subsquare.io/referenda/42", 42)</f>
        <v>42</v>
      </c>
      <c r="B47" s="147" t="s">
        <v>2708</v>
      </c>
      <c r="C47" s="147" t="s">
        <v>2672</v>
      </c>
      <c r="D47" s="148">
        <v>0.0</v>
      </c>
      <c r="E47" s="149">
        <v>0.0</v>
      </c>
      <c r="F47" s="147" t="s">
        <v>2683</v>
      </c>
      <c r="G47" s="150">
        <v>22100.0</v>
      </c>
      <c r="H47" s="150">
        <v>3480490.0550859645</v>
      </c>
      <c r="I47" s="151">
        <v>45101.0</v>
      </c>
      <c r="J47" s="151">
        <v>45129.0</v>
      </c>
      <c r="K47" s="152">
        <v>0.0</v>
      </c>
      <c r="L47" s="117" t="s">
        <v>2673</v>
      </c>
      <c r="M47" s="117" t="s">
        <v>2673</v>
      </c>
      <c r="N47" s="153"/>
      <c r="O47" s="153"/>
      <c r="P47" s="153"/>
      <c r="Q47" s="153"/>
      <c r="R47" s="153" t="str">
        <f t="shared" si="1"/>
        <v>2023</v>
      </c>
      <c r="S47" s="154">
        <f t="shared" si="2"/>
        <v>7</v>
      </c>
      <c r="T47" s="153" t="str">
        <f t="shared" si="3"/>
        <v>2023-Q3</v>
      </c>
      <c r="U47" s="153" t="str">
        <f t="shared" si="4"/>
        <v>2023-07</v>
      </c>
      <c r="V47" s="155" t="str">
        <f t="shared" si="5"/>
        <v>2023-H2</v>
      </c>
      <c r="W47" s="155"/>
    </row>
    <row r="48">
      <c r="A48" s="139">
        <f>HYPERLINK("https://polkadot.subsquare.io/referenda/43", 43)</f>
        <v>43</v>
      </c>
      <c r="B48" s="140" t="s">
        <v>169</v>
      </c>
      <c r="C48" s="140" t="s">
        <v>2681</v>
      </c>
      <c r="D48" s="141">
        <v>35277.535</v>
      </c>
      <c r="E48" s="142">
        <v>177330.67929085018</v>
      </c>
      <c r="F48" s="140" t="s">
        <v>2683</v>
      </c>
      <c r="G48" s="143">
        <v>1736554.51924286</v>
      </c>
      <c r="H48" s="143">
        <v>1140892.1232540028</v>
      </c>
      <c r="I48" s="144">
        <v>45101.0</v>
      </c>
      <c r="J48" s="144">
        <v>45130.0</v>
      </c>
      <c r="K48" s="145">
        <v>182613.5992958975</v>
      </c>
      <c r="L48" s="114" t="s">
        <v>82</v>
      </c>
      <c r="M48" s="114" t="s">
        <v>150</v>
      </c>
      <c r="N48" s="108"/>
      <c r="O48" s="108"/>
      <c r="P48" s="108"/>
      <c r="Q48" s="108"/>
      <c r="R48" s="108" t="str">
        <f t="shared" si="1"/>
        <v>2023</v>
      </c>
      <c r="S48" s="110">
        <f t="shared" si="2"/>
        <v>7</v>
      </c>
      <c r="T48" s="108" t="str">
        <f t="shared" si="3"/>
        <v>2023-Q3</v>
      </c>
      <c r="U48" s="108" t="str">
        <f t="shared" si="4"/>
        <v>2023-07</v>
      </c>
      <c r="V48" s="112" t="str">
        <f t="shared" si="5"/>
        <v>2023-H2</v>
      </c>
      <c r="W48" s="112"/>
    </row>
    <row r="49">
      <c r="A49" s="146">
        <f>HYPERLINK("https://polkadot.subsquare.io/referenda/44", 44)</f>
        <v>44</v>
      </c>
      <c r="B49" s="147" t="s">
        <v>170</v>
      </c>
      <c r="C49" s="147" t="s">
        <v>2681</v>
      </c>
      <c r="D49" s="148">
        <v>36538.0</v>
      </c>
      <c r="E49" s="149">
        <v>186192.67222309113</v>
      </c>
      <c r="F49" s="147" t="s">
        <v>2683</v>
      </c>
      <c r="G49" s="150">
        <v>3174849.7778280494</v>
      </c>
      <c r="H49" s="150">
        <v>81230.5637913073</v>
      </c>
      <c r="I49" s="151">
        <v>45101.0</v>
      </c>
      <c r="J49" s="151">
        <v>45130.0</v>
      </c>
      <c r="K49" s="152">
        <v>189138.3763370514</v>
      </c>
      <c r="L49" s="117" t="s">
        <v>84</v>
      </c>
      <c r="M49" s="117" t="s">
        <v>148</v>
      </c>
      <c r="N49" s="153"/>
      <c r="O49" s="153"/>
      <c r="P49" s="153"/>
      <c r="Q49" s="153"/>
      <c r="R49" s="153" t="str">
        <f t="shared" si="1"/>
        <v>2023</v>
      </c>
      <c r="S49" s="154">
        <f t="shared" si="2"/>
        <v>7</v>
      </c>
      <c r="T49" s="153" t="str">
        <f t="shared" si="3"/>
        <v>2023-Q3</v>
      </c>
      <c r="U49" s="153" t="str">
        <f t="shared" si="4"/>
        <v>2023-07</v>
      </c>
      <c r="V49" s="155" t="str">
        <f t="shared" si="5"/>
        <v>2023-H2</v>
      </c>
      <c r="W49" s="155"/>
    </row>
    <row r="50">
      <c r="A50" s="139">
        <f>HYPERLINK("https://polkadot.subsquare.io/referenda/45", 45)</f>
        <v>45</v>
      </c>
      <c r="B50" s="140" t="s">
        <v>172</v>
      </c>
      <c r="C50" s="140" t="s">
        <v>2681</v>
      </c>
      <c r="D50" s="141">
        <v>4747.129</v>
      </c>
      <c r="E50" s="142">
        <v>24190.722915806295</v>
      </c>
      <c r="F50" s="140" t="s">
        <v>2678</v>
      </c>
      <c r="G50" s="143">
        <v>2881164.8922535484</v>
      </c>
      <c r="H50" s="143">
        <v>2749682.4816202084</v>
      </c>
      <c r="I50" s="144">
        <v>45101.0</v>
      </c>
      <c r="J50" s="144">
        <v>45131.0</v>
      </c>
      <c r="K50" s="145">
        <v>24864.872765654563</v>
      </c>
      <c r="L50" s="114" t="s">
        <v>84</v>
      </c>
      <c r="M50" s="114" t="s">
        <v>171</v>
      </c>
      <c r="N50" s="108"/>
      <c r="O50" s="108"/>
      <c r="P50" s="108"/>
      <c r="Q50" s="108"/>
      <c r="R50" s="108" t="str">
        <f t="shared" si="1"/>
        <v>2023</v>
      </c>
      <c r="S50" s="110">
        <f t="shared" si="2"/>
        <v>7</v>
      </c>
      <c r="T50" s="108" t="str">
        <f t="shared" si="3"/>
        <v>2023-Q3</v>
      </c>
      <c r="U50" s="108" t="str">
        <f t="shared" si="4"/>
        <v>2023-07</v>
      </c>
      <c r="V50" s="112" t="str">
        <f t="shared" si="5"/>
        <v>2023-H2</v>
      </c>
      <c r="W50" s="112"/>
    </row>
    <row r="51">
      <c r="A51" s="146">
        <f>HYPERLINK("https://polkadot.subsquare.io/referenda/46", 46)</f>
        <v>46</v>
      </c>
      <c r="B51" s="147" t="s">
        <v>2709</v>
      </c>
      <c r="C51" s="147" t="s">
        <v>2672</v>
      </c>
      <c r="D51" s="148">
        <v>7915.0</v>
      </c>
      <c r="E51" s="149">
        <v>38649.0385389328</v>
      </c>
      <c r="F51" s="147" t="s">
        <v>2678</v>
      </c>
      <c r="G51" s="150">
        <v>258648.0611109425</v>
      </c>
      <c r="H51" s="150">
        <v>3502905.499998555</v>
      </c>
      <c r="I51" s="151">
        <v>45102.0</v>
      </c>
      <c r="J51" s="151">
        <v>45131.0</v>
      </c>
      <c r="K51" s="152">
        <v>41457.7880525589</v>
      </c>
      <c r="L51" s="117" t="s">
        <v>2673</v>
      </c>
      <c r="M51" s="117" t="s">
        <v>2673</v>
      </c>
      <c r="N51" s="153"/>
      <c r="O51" s="153"/>
      <c r="P51" s="153"/>
      <c r="Q51" s="153"/>
      <c r="R51" s="153" t="str">
        <f t="shared" si="1"/>
        <v>2023</v>
      </c>
      <c r="S51" s="154">
        <f t="shared" si="2"/>
        <v>7</v>
      </c>
      <c r="T51" s="153" t="str">
        <f t="shared" si="3"/>
        <v>2023-Q3</v>
      </c>
      <c r="U51" s="153" t="str">
        <f t="shared" si="4"/>
        <v>2023-07</v>
      </c>
      <c r="V51" s="155" t="str">
        <f t="shared" si="5"/>
        <v>2023-H2</v>
      </c>
      <c r="W51" s="155"/>
    </row>
    <row r="52">
      <c r="A52" s="139">
        <f>HYPERLINK("https://polkadot.subsquare.io/referenda/47", 47)</f>
        <v>47</v>
      </c>
      <c r="B52" s="140" t="s">
        <v>2710</v>
      </c>
      <c r="C52" s="140" t="s">
        <v>2681</v>
      </c>
      <c r="D52" s="141">
        <v>0.0</v>
      </c>
      <c r="E52" s="142">
        <v>0.0</v>
      </c>
      <c r="F52" s="140" t="s">
        <v>2676</v>
      </c>
      <c r="G52" s="143">
        <v>1.1334665505857082E7</v>
      </c>
      <c r="H52" s="143">
        <v>3295244.2838937347</v>
      </c>
      <c r="I52" s="144">
        <v>45103.0</v>
      </c>
      <c r="J52" s="144">
        <v>45131.0</v>
      </c>
      <c r="K52" s="145">
        <v>0.0</v>
      </c>
      <c r="L52" s="114" t="s">
        <v>2673</v>
      </c>
      <c r="M52" s="114" t="s">
        <v>2673</v>
      </c>
      <c r="N52" s="108"/>
      <c r="O52" s="108" t="s">
        <v>2654</v>
      </c>
      <c r="P52" s="108"/>
      <c r="Q52" s="108"/>
      <c r="R52" s="108" t="str">
        <f t="shared" si="1"/>
        <v>2023</v>
      </c>
      <c r="S52" s="110">
        <f t="shared" si="2"/>
        <v>7</v>
      </c>
      <c r="T52" s="108" t="str">
        <f t="shared" si="3"/>
        <v>2023-Q3</v>
      </c>
      <c r="U52" s="108" t="str">
        <f t="shared" si="4"/>
        <v>2023-07</v>
      </c>
      <c r="V52" s="112" t="str">
        <f t="shared" si="5"/>
        <v>2023-H2</v>
      </c>
      <c r="W52" s="112"/>
    </row>
    <row r="53">
      <c r="A53" s="146">
        <f>HYPERLINK("https://polkadot.subsquare.io/referenda/48", 48)</f>
        <v>48</v>
      </c>
      <c r="B53" s="147" t="s">
        <v>173</v>
      </c>
      <c r="C53" s="147" t="s">
        <v>2681</v>
      </c>
      <c r="D53" s="148">
        <v>100.0</v>
      </c>
      <c r="E53" s="149">
        <v>488.3011817932129</v>
      </c>
      <c r="F53" s="147" t="s">
        <v>186</v>
      </c>
      <c r="G53" s="150">
        <v>922871.0506156298</v>
      </c>
      <c r="H53" s="150">
        <v>102665.6052</v>
      </c>
      <c r="I53" s="151">
        <v>45103.0</v>
      </c>
      <c r="J53" s="151">
        <v>45108.0</v>
      </c>
      <c r="K53" s="152">
        <v>534.7219944000244</v>
      </c>
      <c r="L53" s="117" t="s">
        <v>84</v>
      </c>
      <c r="M53" s="117" t="s">
        <v>148</v>
      </c>
      <c r="N53" s="153"/>
      <c r="O53" s="153"/>
      <c r="P53" s="153"/>
      <c r="Q53" s="153"/>
      <c r="R53" s="153" t="str">
        <f t="shared" si="1"/>
        <v>2023</v>
      </c>
      <c r="S53" s="154">
        <f t="shared" si="2"/>
        <v>7</v>
      </c>
      <c r="T53" s="153" t="str">
        <f t="shared" si="3"/>
        <v>2023-Q3</v>
      </c>
      <c r="U53" s="153" t="str">
        <f t="shared" si="4"/>
        <v>2023-07</v>
      </c>
      <c r="V53" s="155" t="str">
        <f t="shared" si="5"/>
        <v>2023-H2</v>
      </c>
      <c r="W53" s="155"/>
    </row>
    <row r="54">
      <c r="A54" s="139">
        <f>HYPERLINK("https://polkadot.subsquare.io/referenda/49", 49)</f>
        <v>49</v>
      </c>
      <c r="B54" s="140" t="s">
        <v>174</v>
      </c>
      <c r="C54" s="140" t="s">
        <v>2681</v>
      </c>
      <c r="D54" s="141">
        <v>1000.0</v>
      </c>
      <c r="E54" s="142">
        <v>4883.011817932129</v>
      </c>
      <c r="F54" s="140" t="s">
        <v>2699</v>
      </c>
      <c r="G54" s="143">
        <v>804877.8936606903</v>
      </c>
      <c r="H54" s="143">
        <v>108652.866</v>
      </c>
      <c r="I54" s="144">
        <v>45103.0</v>
      </c>
      <c r="J54" s="144">
        <v>45109.0</v>
      </c>
      <c r="K54" s="145">
        <v>5209.113121032715</v>
      </c>
      <c r="L54" s="114" t="s">
        <v>84</v>
      </c>
      <c r="M54" s="114" t="s">
        <v>148</v>
      </c>
      <c r="N54" s="108"/>
      <c r="O54" s="108"/>
      <c r="P54" s="108"/>
      <c r="Q54" s="108"/>
      <c r="R54" s="108" t="str">
        <f t="shared" si="1"/>
        <v>2023</v>
      </c>
      <c r="S54" s="110">
        <f t="shared" si="2"/>
        <v>7</v>
      </c>
      <c r="T54" s="108" t="str">
        <f t="shared" si="3"/>
        <v>2023-Q3</v>
      </c>
      <c r="U54" s="108" t="str">
        <f t="shared" si="4"/>
        <v>2023-07</v>
      </c>
      <c r="V54" s="112" t="str">
        <f t="shared" si="5"/>
        <v>2023-H2</v>
      </c>
      <c r="W54" s="112"/>
    </row>
    <row r="55">
      <c r="A55" s="146">
        <f>HYPERLINK("https://polkadot.subsquare.io/referenda/50", 50)</f>
        <v>50</v>
      </c>
      <c r="B55" s="147" t="s">
        <v>2711</v>
      </c>
      <c r="C55" s="147" t="s">
        <v>2672</v>
      </c>
      <c r="D55" s="148">
        <v>250.0</v>
      </c>
      <c r="E55" s="149">
        <v>1246.5652227401733</v>
      </c>
      <c r="F55" s="147" t="s">
        <v>186</v>
      </c>
      <c r="G55" s="150">
        <v>397715.71</v>
      </c>
      <c r="H55" s="150">
        <v>789693.3307780197</v>
      </c>
      <c r="I55" s="151">
        <v>45103.0</v>
      </c>
      <c r="J55" s="151">
        <v>45110.0</v>
      </c>
      <c r="K55" s="152">
        <v>1256.5122842788696</v>
      </c>
      <c r="L55" s="117" t="s">
        <v>2673</v>
      </c>
      <c r="M55" s="117" t="s">
        <v>2673</v>
      </c>
      <c r="N55" s="153"/>
      <c r="O55" s="153"/>
      <c r="P55" s="153"/>
      <c r="Q55" s="153"/>
      <c r="R55" s="153" t="str">
        <f t="shared" si="1"/>
        <v>2023</v>
      </c>
      <c r="S55" s="154">
        <f t="shared" si="2"/>
        <v>7</v>
      </c>
      <c r="T55" s="153" t="str">
        <f t="shared" si="3"/>
        <v>2023-Q3</v>
      </c>
      <c r="U55" s="153" t="str">
        <f t="shared" si="4"/>
        <v>2023-07</v>
      </c>
      <c r="V55" s="155" t="str">
        <f t="shared" si="5"/>
        <v>2023-H2</v>
      </c>
      <c r="W55" s="155"/>
    </row>
    <row r="56">
      <c r="A56" s="139">
        <f>HYPERLINK("https://polkadot.subsquare.io/referenda/51", 51)</f>
        <v>51</v>
      </c>
      <c r="B56" s="140" t="s">
        <v>2712</v>
      </c>
      <c r="C56" s="140" t="s">
        <v>2681</v>
      </c>
      <c r="D56" s="141">
        <v>0.0</v>
      </c>
      <c r="E56" s="142">
        <v>0.0</v>
      </c>
      <c r="F56" s="140" t="s">
        <v>2682</v>
      </c>
      <c r="G56" s="143">
        <v>6.2443324698371075E7</v>
      </c>
      <c r="H56" s="143">
        <v>100.0</v>
      </c>
      <c r="I56" s="144">
        <v>45106.0</v>
      </c>
      <c r="J56" s="144">
        <v>45130.0</v>
      </c>
      <c r="K56" s="145">
        <v>0.0</v>
      </c>
      <c r="L56" s="114" t="s">
        <v>2673</v>
      </c>
      <c r="M56" s="114" t="s">
        <v>2673</v>
      </c>
      <c r="N56" s="108"/>
      <c r="O56" s="108"/>
      <c r="P56" s="108"/>
      <c r="Q56" s="108"/>
      <c r="R56" s="108" t="str">
        <f t="shared" si="1"/>
        <v>2023</v>
      </c>
      <c r="S56" s="110">
        <f t="shared" si="2"/>
        <v>7</v>
      </c>
      <c r="T56" s="108" t="str">
        <f t="shared" si="3"/>
        <v>2023-Q3</v>
      </c>
      <c r="U56" s="108" t="str">
        <f t="shared" si="4"/>
        <v>2023-07</v>
      </c>
      <c r="V56" s="112" t="str">
        <f t="shared" si="5"/>
        <v>2023-H2</v>
      </c>
      <c r="W56" s="112"/>
    </row>
    <row r="57">
      <c r="A57" s="146">
        <f>HYPERLINK("https://polkadot.subsquare.io/referenda/52", 52)</f>
        <v>52</v>
      </c>
      <c r="B57" s="147" t="s">
        <v>2713</v>
      </c>
      <c r="C57" s="147" t="s">
        <v>2672</v>
      </c>
      <c r="D57" s="148">
        <v>3956.0</v>
      </c>
      <c r="E57" s="149">
        <v>21765.575653076172</v>
      </c>
      <c r="F57" s="147" t="s">
        <v>2678</v>
      </c>
      <c r="G57" s="150">
        <v>495269.8360762875</v>
      </c>
      <c r="H57" s="150">
        <v>1593572.8219458836</v>
      </c>
      <c r="I57" s="151">
        <v>45106.0</v>
      </c>
      <c r="J57" s="151">
        <v>45134.0</v>
      </c>
      <c r="K57" s="152">
        <v>20515.915464401245</v>
      </c>
      <c r="L57" s="117" t="s">
        <v>2673</v>
      </c>
      <c r="M57" s="117" t="s">
        <v>2673</v>
      </c>
      <c r="N57" s="153"/>
      <c r="O57" s="153"/>
      <c r="P57" s="153"/>
      <c r="Q57" s="153"/>
      <c r="R57" s="153" t="str">
        <f t="shared" si="1"/>
        <v>2023</v>
      </c>
      <c r="S57" s="154">
        <f t="shared" si="2"/>
        <v>7</v>
      </c>
      <c r="T57" s="153" t="str">
        <f t="shared" si="3"/>
        <v>2023-Q3</v>
      </c>
      <c r="U57" s="153" t="str">
        <f t="shared" si="4"/>
        <v>2023-07</v>
      </c>
      <c r="V57" s="155" t="str">
        <f t="shared" si="5"/>
        <v>2023-H2</v>
      </c>
      <c r="W57" s="155"/>
    </row>
    <row r="58">
      <c r="A58" s="139">
        <f>HYPERLINK("https://polkadot.subsquare.io/referenda/53", 53)</f>
        <v>53</v>
      </c>
      <c r="B58" s="140" t="s">
        <v>2714</v>
      </c>
      <c r="C58" s="140" t="s">
        <v>2681</v>
      </c>
      <c r="D58" s="141">
        <v>0.0</v>
      </c>
      <c r="E58" s="142">
        <v>0.0</v>
      </c>
      <c r="F58" s="140" t="s">
        <v>2715</v>
      </c>
      <c r="G58" s="143">
        <v>1.6388178298898268E8</v>
      </c>
      <c r="H58" s="143">
        <v>200.5</v>
      </c>
      <c r="I58" s="144">
        <v>45107.0</v>
      </c>
      <c r="J58" s="144">
        <v>45112.0</v>
      </c>
      <c r="K58" s="145">
        <v>0.0</v>
      </c>
      <c r="L58" s="114" t="s">
        <v>2673</v>
      </c>
      <c r="M58" s="114" t="s">
        <v>2673</v>
      </c>
      <c r="N58" s="108"/>
      <c r="O58" s="108"/>
      <c r="P58" s="108"/>
      <c r="Q58" s="108"/>
      <c r="R58" s="108" t="str">
        <f t="shared" si="1"/>
        <v>2023</v>
      </c>
      <c r="S58" s="110">
        <f t="shared" si="2"/>
        <v>7</v>
      </c>
      <c r="T58" s="108" t="str">
        <f t="shared" si="3"/>
        <v>2023-Q3</v>
      </c>
      <c r="U58" s="108" t="str">
        <f t="shared" si="4"/>
        <v>2023-07</v>
      </c>
      <c r="V58" s="112" t="str">
        <f t="shared" si="5"/>
        <v>2023-H2</v>
      </c>
      <c r="W58" s="112"/>
    </row>
    <row r="59">
      <c r="A59" s="146">
        <f>HYPERLINK("https://polkadot.subsquare.io/referenda/54", 54)</f>
        <v>54</v>
      </c>
      <c r="B59" s="147" t="s">
        <v>175</v>
      </c>
      <c r="C59" s="147" t="s">
        <v>2681</v>
      </c>
      <c r="D59" s="148">
        <v>40.0</v>
      </c>
      <c r="E59" s="149">
        <v>216.77236557006836</v>
      </c>
      <c r="F59" s="147" t="s">
        <v>186</v>
      </c>
      <c r="G59" s="150">
        <v>2588925.6659325603</v>
      </c>
      <c r="H59" s="150">
        <v>50313.2</v>
      </c>
      <c r="I59" s="151">
        <v>45108.0</v>
      </c>
      <c r="J59" s="151">
        <v>45113.0</v>
      </c>
      <c r="K59" s="152">
        <v>205.0587272644043</v>
      </c>
      <c r="L59" s="117" t="s">
        <v>137</v>
      </c>
      <c r="M59" s="117" t="s">
        <v>138</v>
      </c>
      <c r="N59" s="153"/>
      <c r="O59" s="153"/>
      <c r="P59" s="153"/>
      <c r="Q59" s="153"/>
      <c r="R59" s="153" t="str">
        <f t="shared" si="1"/>
        <v>2023</v>
      </c>
      <c r="S59" s="154">
        <f t="shared" si="2"/>
        <v>7</v>
      </c>
      <c r="T59" s="153" t="str">
        <f t="shared" si="3"/>
        <v>2023-Q3</v>
      </c>
      <c r="U59" s="153" t="str">
        <f t="shared" si="4"/>
        <v>2023-07</v>
      </c>
      <c r="V59" s="155" t="str">
        <f t="shared" si="5"/>
        <v>2023-H2</v>
      </c>
      <c r="W59" s="155"/>
    </row>
    <row r="60">
      <c r="A60" s="139">
        <f>HYPERLINK("https://polkadot.subsquare.io/referenda/55", 55)</f>
        <v>55</v>
      </c>
      <c r="B60" s="140" t="s">
        <v>2716</v>
      </c>
      <c r="C60" s="140" t="s">
        <v>2681</v>
      </c>
      <c r="D60" s="141">
        <v>0.0</v>
      </c>
      <c r="E60" s="142">
        <v>0.0</v>
      </c>
      <c r="F60" s="140" t="s">
        <v>2682</v>
      </c>
      <c r="G60" s="143">
        <v>6.157420157551171E7</v>
      </c>
      <c r="H60" s="143">
        <v>11413.3152069446</v>
      </c>
      <c r="I60" s="144">
        <v>45108.0</v>
      </c>
      <c r="J60" s="144">
        <v>45129.0</v>
      </c>
      <c r="K60" s="145">
        <v>0.0</v>
      </c>
      <c r="L60" s="114" t="s">
        <v>2673</v>
      </c>
      <c r="M60" s="114" t="s">
        <v>2673</v>
      </c>
      <c r="N60" s="108"/>
      <c r="O60" s="108"/>
      <c r="P60" s="108"/>
      <c r="Q60" s="108"/>
      <c r="R60" s="108" t="str">
        <f t="shared" si="1"/>
        <v>2023</v>
      </c>
      <c r="S60" s="110">
        <f t="shared" si="2"/>
        <v>7</v>
      </c>
      <c r="T60" s="108" t="str">
        <f t="shared" si="3"/>
        <v>2023-Q3</v>
      </c>
      <c r="U60" s="108" t="str">
        <f t="shared" si="4"/>
        <v>2023-07</v>
      </c>
      <c r="V60" s="112" t="str">
        <f t="shared" si="5"/>
        <v>2023-H2</v>
      </c>
      <c r="W60" s="112"/>
    </row>
    <row r="61">
      <c r="A61" s="146">
        <f>HYPERLINK("https://polkadot.subsquare.io/referenda/56", 56)</f>
        <v>56</v>
      </c>
      <c r="B61" s="147" t="s">
        <v>2717</v>
      </c>
      <c r="C61" s="147" t="s">
        <v>2681</v>
      </c>
      <c r="D61" s="148">
        <v>0.0</v>
      </c>
      <c r="E61" s="149">
        <v>0.0</v>
      </c>
      <c r="F61" s="147" t="s">
        <v>2715</v>
      </c>
      <c r="G61" s="150">
        <v>3.977665007842737E7</v>
      </c>
      <c r="H61" s="150">
        <v>6100.0</v>
      </c>
      <c r="I61" s="151">
        <v>45109.0</v>
      </c>
      <c r="J61" s="151">
        <v>45125.0</v>
      </c>
      <c r="K61" s="152">
        <v>0.0</v>
      </c>
      <c r="L61" s="117" t="s">
        <v>2673</v>
      </c>
      <c r="M61" s="117" t="s">
        <v>2673</v>
      </c>
      <c r="N61" s="153"/>
      <c r="O61" s="153"/>
      <c r="P61" s="153"/>
      <c r="Q61" s="153"/>
      <c r="R61" s="153" t="str">
        <f t="shared" si="1"/>
        <v>2023</v>
      </c>
      <c r="S61" s="154">
        <f t="shared" si="2"/>
        <v>7</v>
      </c>
      <c r="T61" s="153" t="str">
        <f t="shared" si="3"/>
        <v>2023-Q3</v>
      </c>
      <c r="U61" s="153" t="str">
        <f t="shared" si="4"/>
        <v>2023-07</v>
      </c>
      <c r="V61" s="155" t="str">
        <f t="shared" si="5"/>
        <v>2023-H2</v>
      </c>
      <c r="W61" s="155"/>
    </row>
    <row r="62">
      <c r="A62" s="139">
        <f>HYPERLINK("https://polkadot.subsquare.io/referenda/57", 57)</f>
        <v>57</v>
      </c>
      <c r="B62" s="140" t="s">
        <v>177</v>
      </c>
      <c r="C62" s="140" t="s">
        <v>2681</v>
      </c>
      <c r="D62" s="141">
        <v>234.0</v>
      </c>
      <c r="E62" s="142">
        <v>1251.2494668960571</v>
      </c>
      <c r="F62" s="140" t="s">
        <v>186</v>
      </c>
      <c r="G62" s="143">
        <v>1026127.0465299801</v>
      </c>
      <c r="H62" s="143">
        <v>114582.2</v>
      </c>
      <c r="I62" s="144">
        <v>45109.0</v>
      </c>
      <c r="J62" s="144">
        <v>45114.0</v>
      </c>
      <c r="K62" s="145">
        <v>1188.584077835083</v>
      </c>
      <c r="L62" s="114" t="s">
        <v>82</v>
      </c>
      <c r="M62" s="114" t="s">
        <v>176</v>
      </c>
      <c r="N62" s="108"/>
      <c r="O62" s="108"/>
      <c r="P62" s="108"/>
      <c r="Q62" s="108"/>
      <c r="R62" s="108" t="str">
        <f t="shared" si="1"/>
        <v>2023</v>
      </c>
      <c r="S62" s="110">
        <f t="shared" si="2"/>
        <v>7</v>
      </c>
      <c r="T62" s="108" t="str">
        <f t="shared" si="3"/>
        <v>2023-Q3</v>
      </c>
      <c r="U62" s="108" t="str">
        <f t="shared" si="4"/>
        <v>2023-07</v>
      </c>
      <c r="V62" s="112" t="str">
        <f t="shared" si="5"/>
        <v>2023-H2</v>
      </c>
      <c r="W62" s="112"/>
    </row>
    <row r="63">
      <c r="A63" s="146">
        <f>HYPERLINK("https://polkadot.subsquare.io/referenda/58", 58)</f>
        <v>58</v>
      </c>
      <c r="B63" s="147" t="s">
        <v>2718</v>
      </c>
      <c r="C63" s="147" t="s">
        <v>2681</v>
      </c>
      <c r="D63" s="148">
        <v>0.0</v>
      </c>
      <c r="E63" s="149">
        <v>0.0</v>
      </c>
      <c r="F63" s="147" t="s">
        <v>2682</v>
      </c>
      <c r="G63" s="150">
        <v>6.124214665431561E7</v>
      </c>
      <c r="H63" s="150">
        <v>0.0</v>
      </c>
      <c r="I63" s="151">
        <v>45110.0</v>
      </c>
      <c r="J63" s="151">
        <v>45132.0</v>
      </c>
      <c r="K63" s="152">
        <v>0.0</v>
      </c>
      <c r="L63" s="117" t="s">
        <v>2673</v>
      </c>
      <c r="M63" s="117" t="s">
        <v>2673</v>
      </c>
      <c r="N63" s="153"/>
      <c r="O63" s="153"/>
      <c r="P63" s="153"/>
      <c r="Q63" s="153"/>
      <c r="R63" s="153" t="str">
        <f t="shared" si="1"/>
        <v>2023</v>
      </c>
      <c r="S63" s="154">
        <f t="shared" si="2"/>
        <v>7</v>
      </c>
      <c r="T63" s="153" t="str">
        <f t="shared" si="3"/>
        <v>2023-Q3</v>
      </c>
      <c r="U63" s="153" t="str">
        <f t="shared" si="4"/>
        <v>2023-07</v>
      </c>
      <c r="V63" s="155" t="str">
        <f t="shared" si="5"/>
        <v>2023-H2</v>
      </c>
      <c r="W63" s="155"/>
    </row>
    <row r="64">
      <c r="A64" s="139">
        <f>HYPERLINK("https://polkadot.subsquare.io/referenda/59", 59)</f>
        <v>59</v>
      </c>
      <c r="B64" s="140" t="s">
        <v>2719</v>
      </c>
      <c r="C64" s="140" t="s">
        <v>2691</v>
      </c>
      <c r="D64" s="141">
        <v>0.0</v>
      </c>
      <c r="E64" s="142">
        <v>0.0</v>
      </c>
      <c r="F64" s="140" t="s">
        <v>186</v>
      </c>
      <c r="G64" s="143">
        <v>122018.0659236606</v>
      </c>
      <c r="H64" s="143">
        <v>2557344.8346599923</v>
      </c>
      <c r="I64" s="144">
        <v>45110.0</v>
      </c>
      <c r="J64" s="144">
        <v>45124.0</v>
      </c>
      <c r="K64" s="145">
        <v>0.0</v>
      </c>
      <c r="L64" s="114" t="s">
        <v>2673</v>
      </c>
      <c r="M64" s="114" t="s">
        <v>2673</v>
      </c>
      <c r="N64" s="108"/>
      <c r="O64" s="108"/>
      <c r="P64" s="108"/>
      <c r="Q64" s="108"/>
      <c r="R64" s="108" t="str">
        <f t="shared" si="1"/>
        <v>2023</v>
      </c>
      <c r="S64" s="110">
        <f t="shared" si="2"/>
        <v>7</v>
      </c>
      <c r="T64" s="108" t="str">
        <f t="shared" si="3"/>
        <v>2023-Q3</v>
      </c>
      <c r="U64" s="108" t="str">
        <f t="shared" si="4"/>
        <v>2023-07</v>
      </c>
      <c r="V64" s="112" t="str">
        <f t="shared" si="5"/>
        <v>2023-H2</v>
      </c>
      <c r="W64" s="156" t="s">
        <v>2654</v>
      </c>
    </row>
    <row r="65">
      <c r="A65" s="146">
        <f>HYPERLINK("https://polkadot.subsquare.io/referenda/60", 60)</f>
        <v>60</v>
      </c>
      <c r="B65" s="147" t="s">
        <v>2720</v>
      </c>
      <c r="C65" s="147" t="s">
        <v>2691</v>
      </c>
      <c r="D65" s="148">
        <v>0.0</v>
      </c>
      <c r="E65" s="149">
        <v>0.0</v>
      </c>
      <c r="F65" s="147" t="s">
        <v>186</v>
      </c>
      <c r="G65" s="150">
        <v>44182.6993408617</v>
      </c>
      <c r="H65" s="150">
        <v>1116239.0921566642</v>
      </c>
      <c r="I65" s="151">
        <v>45110.0</v>
      </c>
      <c r="J65" s="151">
        <v>45124.0</v>
      </c>
      <c r="K65" s="152">
        <v>0.0</v>
      </c>
      <c r="L65" s="117" t="s">
        <v>2673</v>
      </c>
      <c r="M65" s="117" t="s">
        <v>2673</v>
      </c>
      <c r="N65" s="153"/>
      <c r="O65" s="153"/>
      <c r="P65" s="153"/>
      <c r="Q65" s="153"/>
      <c r="R65" s="153" t="str">
        <f t="shared" si="1"/>
        <v>2023</v>
      </c>
      <c r="S65" s="154">
        <f t="shared" si="2"/>
        <v>7</v>
      </c>
      <c r="T65" s="153" t="str">
        <f t="shared" si="3"/>
        <v>2023-Q3</v>
      </c>
      <c r="U65" s="153" t="str">
        <f t="shared" si="4"/>
        <v>2023-07</v>
      </c>
      <c r="V65" s="155" t="str">
        <f t="shared" si="5"/>
        <v>2023-H2</v>
      </c>
      <c r="W65" s="155"/>
    </row>
    <row r="66">
      <c r="A66" s="139">
        <f>HYPERLINK("https://polkadot.subsquare.io/referenda/61", 61)</f>
        <v>61</v>
      </c>
      <c r="B66" s="140" t="s">
        <v>2721</v>
      </c>
      <c r="C66" s="140" t="s">
        <v>2691</v>
      </c>
      <c r="D66" s="141">
        <v>250.0</v>
      </c>
      <c r="E66" s="142">
        <v>1256.5122842788696</v>
      </c>
      <c r="F66" s="140" t="s">
        <v>186</v>
      </c>
      <c r="G66" s="143">
        <v>381841.6537766811</v>
      </c>
      <c r="H66" s="143">
        <v>926139.199478539</v>
      </c>
      <c r="I66" s="144">
        <v>45110.0</v>
      </c>
      <c r="J66" s="144">
        <v>45124.0</v>
      </c>
      <c r="K66" s="145">
        <v>1337.4944925308228</v>
      </c>
      <c r="L66" s="114" t="s">
        <v>2673</v>
      </c>
      <c r="M66" s="114" t="s">
        <v>2673</v>
      </c>
      <c r="N66" s="108"/>
      <c r="O66" s="108"/>
      <c r="P66" s="108"/>
      <c r="Q66" s="108"/>
      <c r="R66" s="108" t="str">
        <f t="shared" si="1"/>
        <v>2023</v>
      </c>
      <c r="S66" s="110">
        <f t="shared" si="2"/>
        <v>7</v>
      </c>
      <c r="T66" s="108" t="str">
        <f t="shared" si="3"/>
        <v>2023-Q3</v>
      </c>
      <c r="U66" s="108" t="str">
        <f t="shared" si="4"/>
        <v>2023-07</v>
      </c>
      <c r="V66" s="112" t="str">
        <f t="shared" si="5"/>
        <v>2023-H2</v>
      </c>
      <c r="W66" s="112"/>
    </row>
    <row r="67">
      <c r="A67" s="146">
        <f>HYPERLINK("https://polkadot.subsquare.io/referenda/62", 62)</f>
        <v>62</v>
      </c>
      <c r="B67" s="147" t="s">
        <v>178</v>
      </c>
      <c r="C67" s="147" t="s">
        <v>2681</v>
      </c>
      <c r="D67" s="148">
        <v>110693.7</v>
      </c>
      <c r="E67" s="149">
        <v>556351.9753691197</v>
      </c>
      <c r="F67" s="147" t="s">
        <v>2676</v>
      </c>
      <c r="G67" s="150">
        <v>4847597.456583484</v>
      </c>
      <c r="H67" s="150">
        <v>362971.8876054939</v>
      </c>
      <c r="I67" s="151">
        <v>45111.0</v>
      </c>
      <c r="J67" s="151">
        <v>45140.0</v>
      </c>
      <c r="K67" s="152">
        <v>552162.5462468147</v>
      </c>
      <c r="L67" s="117" t="s">
        <v>81</v>
      </c>
      <c r="M67" s="117" t="s">
        <v>146</v>
      </c>
      <c r="N67" s="153"/>
      <c r="O67" s="153"/>
      <c r="P67" s="153"/>
      <c r="Q67" s="153"/>
      <c r="R67" s="153" t="str">
        <f t="shared" si="1"/>
        <v>2023</v>
      </c>
      <c r="S67" s="154">
        <f t="shared" si="2"/>
        <v>8</v>
      </c>
      <c r="T67" s="153" t="str">
        <f t="shared" si="3"/>
        <v>2023-Q3</v>
      </c>
      <c r="U67" s="153" t="str">
        <f t="shared" si="4"/>
        <v>2023-08</v>
      </c>
      <c r="V67" s="155" t="str">
        <f t="shared" si="5"/>
        <v>2023-H2</v>
      </c>
      <c r="W67" s="155"/>
    </row>
    <row r="68">
      <c r="A68" s="139">
        <f>HYPERLINK("https://polkadot.subsquare.io/referenda/63", 63)</f>
        <v>63</v>
      </c>
      <c r="B68" s="140" t="s">
        <v>2722</v>
      </c>
      <c r="C68" s="140" t="s">
        <v>2691</v>
      </c>
      <c r="D68" s="141">
        <v>0.0</v>
      </c>
      <c r="E68" s="142">
        <v>0.0</v>
      </c>
      <c r="F68" s="140" t="s">
        <v>2699</v>
      </c>
      <c r="G68" s="143">
        <v>8335.1</v>
      </c>
      <c r="H68" s="143">
        <v>2970004.1748762988</v>
      </c>
      <c r="I68" s="144">
        <v>45111.0</v>
      </c>
      <c r="J68" s="144">
        <v>45125.0</v>
      </c>
      <c r="K68" s="145">
        <v>0.0</v>
      </c>
      <c r="L68" s="114" t="s">
        <v>2673</v>
      </c>
      <c r="M68" s="114" t="s">
        <v>2673</v>
      </c>
      <c r="N68" s="108"/>
      <c r="O68" s="108"/>
      <c r="P68" s="108"/>
      <c r="Q68" s="108"/>
      <c r="R68" s="108" t="str">
        <f t="shared" si="1"/>
        <v>2023</v>
      </c>
      <c r="S68" s="110">
        <f t="shared" si="2"/>
        <v>7</v>
      </c>
      <c r="T68" s="108" t="str">
        <f t="shared" si="3"/>
        <v>2023-Q3</v>
      </c>
      <c r="U68" s="108" t="str">
        <f t="shared" si="4"/>
        <v>2023-07</v>
      </c>
      <c r="V68" s="112" t="str">
        <f t="shared" si="5"/>
        <v>2023-H2</v>
      </c>
      <c r="W68" s="156" t="s">
        <v>2654</v>
      </c>
    </row>
    <row r="69">
      <c r="A69" s="146">
        <f>HYPERLINK("https://polkadot.subsquare.io/referenda/64", 64)</f>
        <v>64</v>
      </c>
      <c r="B69" s="147" t="s">
        <v>2723</v>
      </c>
      <c r="C69" s="147" t="s">
        <v>2672</v>
      </c>
      <c r="D69" s="148">
        <v>28078.569</v>
      </c>
      <c r="E69" s="149">
        <v>143621.25811869334</v>
      </c>
      <c r="F69" s="147" t="s">
        <v>2683</v>
      </c>
      <c r="G69" s="150">
        <v>220863.9527388797</v>
      </c>
      <c r="H69" s="150">
        <v>2303159.5566101545</v>
      </c>
      <c r="I69" s="151">
        <v>45112.0</v>
      </c>
      <c r="J69" s="151">
        <v>45140.0</v>
      </c>
      <c r="K69" s="152">
        <v>139528.33678993178</v>
      </c>
      <c r="L69" s="117" t="s">
        <v>2673</v>
      </c>
      <c r="M69" s="117" t="s">
        <v>2673</v>
      </c>
      <c r="N69" s="153"/>
      <c r="O69" s="153"/>
      <c r="P69" s="153"/>
      <c r="Q69" s="153"/>
      <c r="R69" s="153" t="str">
        <f t="shared" si="1"/>
        <v>2023</v>
      </c>
      <c r="S69" s="154">
        <f t="shared" si="2"/>
        <v>8</v>
      </c>
      <c r="T69" s="153" t="str">
        <f t="shared" si="3"/>
        <v>2023-Q3</v>
      </c>
      <c r="U69" s="153" t="str">
        <f t="shared" si="4"/>
        <v>2023-08</v>
      </c>
      <c r="V69" s="155" t="str">
        <f t="shared" si="5"/>
        <v>2023-H2</v>
      </c>
      <c r="W69" s="155"/>
    </row>
    <row r="70">
      <c r="A70" s="139">
        <f>HYPERLINK("https://polkadot.subsquare.io/referenda/65", 65)</f>
        <v>65</v>
      </c>
      <c r="B70" s="140" t="s">
        <v>2724</v>
      </c>
      <c r="C70" s="140" t="s">
        <v>2691</v>
      </c>
      <c r="D70" s="141">
        <v>97000.0</v>
      </c>
      <c r="E70" s="142">
        <v>497267.4136161804</v>
      </c>
      <c r="F70" s="140" t="s">
        <v>2687</v>
      </c>
      <c r="G70" s="143">
        <v>0.0</v>
      </c>
      <c r="H70" s="143">
        <v>1388229.167028686</v>
      </c>
      <c r="I70" s="144">
        <v>45112.0</v>
      </c>
      <c r="J70" s="144">
        <v>45126.0</v>
      </c>
      <c r="K70" s="145">
        <v>514918.88523101807</v>
      </c>
      <c r="L70" s="114" t="s">
        <v>2673</v>
      </c>
      <c r="M70" s="114" t="s">
        <v>2673</v>
      </c>
      <c r="N70" s="108"/>
      <c r="O70" s="108"/>
      <c r="P70" s="108"/>
      <c r="Q70" s="108"/>
      <c r="R70" s="108" t="str">
        <f t="shared" si="1"/>
        <v>2023</v>
      </c>
      <c r="S70" s="110">
        <f t="shared" si="2"/>
        <v>7</v>
      </c>
      <c r="T70" s="108" t="str">
        <f t="shared" si="3"/>
        <v>2023-Q3</v>
      </c>
      <c r="U70" s="108" t="str">
        <f t="shared" si="4"/>
        <v>2023-07</v>
      </c>
      <c r="V70" s="112" t="str">
        <f t="shared" si="5"/>
        <v>2023-H2</v>
      </c>
      <c r="W70" s="156" t="s">
        <v>2654</v>
      </c>
    </row>
    <row r="71">
      <c r="A71" s="146">
        <f>HYPERLINK("https://polkadot.subsquare.io/referenda/66", 66)</f>
        <v>66</v>
      </c>
      <c r="B71" s="147" t="s">
        <v>2725</v>
      </c>
      <c r="C71" s="147" t="s">
        <v>2691</v>
      </c>
      <c r="D71" s="148">
        <v>97000.0</v>
      </c>
      <c r="E71" s="149">
        <v>497267.4136161804</v>
      </c>
      <c r="F71" s="147" t="s">
        <v>2687</v>
      </c>
      <c r="G71" s="150">
        <v>24.15</v>
      </c>
      <c r="H71" s="150">
        <v>1396571.1542439435</v>
      </c>
      <c r="I71" s="151">
        <v>45112.0</v>
      </c>
      <c r="J71" s="151">
        <v>45126.0</v>
      </c>
      <c r="K71" s="152">
        <v>514918.88523101807</v>
      </c>
      <c r="L71" s="117" t="s">
        <v>2673</v>
      </c>
      <c r="M71" s="117" t="s">
        <v>2673</v>
      </c>
      <c r="N71" s="153"/>
      <c r="O71" s="153"/>
      <c r="P71" s="153"/>
      <c r="Q71" s="153"/>
      <c r="R71" s="153" t="str">
        <f t="shared" si="1"/>
        <v>2023</v>
      </c>
      <c r="S71" s="154">
        <f t="shared" si="2"/>
        <v>7</v>
      </c>
      <c r="T71" s="153" t="str">
        <f t="shared" si="3"/>
        <v>2023-Q3</v>
      </c>
      <c r="U71" s="153" t="str">
        <f t="shared" si="4"/>
        <v>2023-07</v>
      </c>
      <c r="V71" s="155" t="str">
        <f t="shared" si="5"/>
        <v>2023-H2</v>
      </c>
      <c r="W71" s="155"/>
    </row>
    <row r="72">
      <c r="A72" s="139">
        <f>HYPERLINK("https://polkadot.subsquare.io/referenda/67", 67)</f>
        <v>67</v>
      </c>
      <c r="B72" s="140" t="s">
        <v>2726</v>
      </c>
      <c r="C72" s="140" t="s">
        <v>2672</v>
      </c>
      <c r="D72" s="141">
        <v>97000.0</v>
      </c>
      <c r="E72" s="142">
        <v>497267.4136161804</v>
      </c>
      <c r="F72" s="140" t="s">
        <v>2683</v>
      </c>
      <c r="G72" s="143">
        <v>284632.6898</v>
      </c>
      <c r="H72" s="143">
        <v>1.203636451277686E7</v>
      </c>
      <c r="I72" s="144">
        <v>45112.0</v>
      </c>
      <c r="J72" s="144">
        <v>45140.0</v>
      </c>
      <c r="K72" s="145">
        <v>482013.4768486023</v>
      </c>
      <c r="L72" s="114" t="s">
        <v>2673</v>
      </c>
      <c r="M72" s="114" t="s">
        <v>2673</v>
      </c>
      <c r="N72" s="108"/>
      <c r="O72" s="108"/>
      <c r="P72" s="108"/>
      <c r="Q72" s="108"/>
      <c r="R72" s="108" t="str">
        <f t="shared" si="1"/>
        <v>2023</v>
      </c>
      <c r="S72" s="110">
        <f t="shared" si="2"/>
        <v>8</v>
      </c>
      <c r="T72" s="108" t="str">
        <f t="shared" si="3"/>
        <v>2023-Q3</v>
      </c>
      <c r="U72" s="108" t="str">
        <f t="shared" si="4"/>
        <v>2023-08</v>
      </c>
      <c r="V72" s="112" t="str">
        <f t="shared" si="5"/>
        <v>2023-H2</v>
      </c>
      <c r="W72" s="112"/>
    </row>
    <row r="73">
      <c r="A73" s="146">
        <f>HYPERLINK("https://polkadot.subsquare.io/referenda/68", 68)</f>
        <v>68</v>
      </c>
      <c r="B73" s="147" t="s">
        <v>180</v>
      </c>
      <c r="C73" s="147" t="s">
        <v>2681</v>
      </c>
      <c r="D73" s="148">
        <v>17820.0</v>
      </c>
      <c r="E73" s="149">
        <v>91353.66299629211</v>
      </c>
      <c r="F73" s="147" t="s">
        <v>2683</v>
      </c>
      <c r="G73" s="150">
        <v>3561178.420361336</v>
      </c>
      <c r="H73" s="150">
        <v>1589390.3391745489</v>
      </c>
      <c r="I73" s="151">
        <v>45112.0</v>
      </c>
      <c r="J73" s="151">
        <v>45140.0</v>
      </c>
      <c r="K73" s="152">
        <v>88551.34182929993</v>
      </c>
      <c r="L73" s="117" t="s">
        <v>81</v>
      </c>
      <c r="M73" s="117" t="s">
        <v>179</v>
      </c>
      <c r="N73" s="153"/>
      <c r="O73" s="153"/>
      <c r="P73" s="153"/>
      <c r="Q73" s="153"/>
      <c r="R73" s="153" t="str">
        <f t="shared" si="1"/>
        <v>2023</v>
      </c>
      <c r="S73" s="154">
        <f t="shared" si="2"/>
        <v>8</v>
      </c>
      <c r="T73" s="153" t="str">
        <f t="shared" si="3"/>
        <v>2023-Q3</v>
      </c>
      <c r="U73" s="153" t="str">
        <f t="shared" si="4"/>
        <v>2023-08</v>
      </c>
      <c r="V73" s="155" t="str">
        <f t="shared" si="5"/>
        <v>2023-H2</v>
      </c>
      <c r="W73" s="155"/>
    </row>
    <row r="74">
      <c r="A74" s="139">
        <f>HYPERLINK("https://polkadot.subsquare.io/referenda/69", 69)</f>
        <v>69</v>
      </c>
      <c r="B74" s="140" t="s">
        <v>2727</v>
      </c>
      <c r="C74" s="140" t="s">
        <v>2691</v>
      </c>
      <c r="D74" s="141">
        <v>0.0</v>
      </c>
      <c r="E74" s="142">
        <v>0.0</v>
      </c>
      <c r="F74" s="140" t="s">
        <v>186</v>
      </c>
      <c r="G74" s="143">
        <v>24660.0</v>
      </c>
      <c r="H74" s="143">
        <v>974296.3309908297</v>
      </c>
      <c r="I74" s="144">
        <v>45113.0</v>
      </c>
      <c r="J74" s="144">
        <v>45127.0</v>
      </c>
      <c r="K74" s="145">
        <v>0.0</v>
      </c>
      <c r="L74" s="114" t="s">
        <v>2673</v>
      </c>
      <c r="M74" s="114" t="s">
        <v>2673</v>
      </c>
      <c r="N74" s="108"/>
      <c r="O74" s="108"/>
      <c r="P74" s="108"/>
      <c r="Q74" s="108"/>
      <c r="R74" s="108" t="str">
        <f t="shared" si="1"/>
        <v>2023</v>
      </c>
      <c r="S74" s="110">
        <f t="shared" si="2"/>
        <v>7</v>
      </c>
      <c r="T74" s="108" t="str">
        <f t="shared" si="3"/>
        <v>2023-Q3</v>
      </c>
      <c r="U74" s="108" t="str">
        <f t="shared" si="4"/>
        <v>2023-07</v>
      </c>
      <c r="V74" s="112" t="str">
        <f t="shared" si="5"/>
        <v>2023-H2</v>
      </c>
      <c r="W74" s="156" t="s">
        <v>2654</v>
      </c>
    </row>
    <row r="75">
      <c r="A75" s="146">
        <f>HYPERLINK("https://polkadot.subsquare.io/referenda/70", 70)</f>
        <v>70</v>
      </c>
      <c r="B75" s="147" t="s">
        <v>2728</v>
      </c>
      <c r="C75" s="147" t="s">
        <v>2672</v>
      </c>
      <c r="D75" s="148">
        <v>12117.0</v>
      </c>
      <c r="E75" s="149">
        <v>63148.25598335266</v>
      </c>
      <c r="F75" s="147" t="s">
        <v>2683</v>
      </c>
      <c r="G75" s="150">
        <v>924670.6679387339</v>
      </c>
      <c r="H75" s="150">
        <v>1408093.552368431</v>
      </c>
      <c r="I75" s="151">
        <v>45115.0</v>
      </c>
      <c r="J75" s="151">
        <v>45144.0</v>
      </c>
      <c r="K75" s="152">
        <v>61319.03359937668</v>
      </c>
      <c r="L75" s="117" t="s">
        <v>2673</v>
      </c>
      <c r="M75" s="117" t="s">
        <v>2673</v>
      </c>
      <c r="N75" s="153"/>
      <c r="O75" s="153"/>
      <c r="P75" s="153"/>
      <c r="Q75" s="153"/>
      <c r="R75" s="153" t="str">
        <f t="shared" si="1"/>
        <v>2023</v>
      </c>
      <c r="S75" s="154">
        <f t="shared" si="2"/>
        <v>8</v>
      </c>
      <c r="T75" s="153" t="str">
        <f t="shared" si="3"/>
        <v>2023-Q3</v>
      </c>
      <c r="U75" s="153" t="str">
        <f t="shared" si="4"/>
        <v>2023-08</v>
      </c>
      <c r="V75" s="155" t="str">
        <f t="shared" si="5"/>
        <v>2023-H2</v>
      </c>
      <c r="W75" s="155"/>
    </row>
    <row r="76">
      <c r="A76" s="139">
        <f>HYPERLINK("https://polkadot.subsquare.io/referenda/71", 71)</f>
        <v>71</v>
      </c>
      <c r="B76" s="140" t="s">
        <v>2729</v>
      </c>
      <c r="C76" s="140" t="s">
        <v>2681</v>
      </c>
      <c r="D76" s="141">
        <v>0.0</v>
      </c>
      <c r="E76" s="142">
        <v>0.0</v>
      </c>
      <c r="F76" s="140" t="s">
        <v>2676</v>
      </c>
      <c r="G76" s="143">
        <v>4880359.655201729</v>
      </c>
      <c r="H76" s="143">
        <v>558731.4</v>
      </c>
      <c r="I76" s="144">
        <v>45118.0</v>
      </c>
      <c r="J76" s="144">
        <v>45148.0</v>
      </c>
      <c r="K76" s="145">
        <v>0.0</v>
      </c>
      <c r="L76" s="114" t="s">
        <v>2673</v>
      </c>
      <c r="M76" s="114" t="s">
        <v>2673</v>
      </c>
      <c r="N76" s="108"/>
      <c r="O76" s="108" t="s">
        <v>2654</v>
      </c>
      <c r="P76" s="108"/>
      <c r="Q76" s="108"/>
      <c r="R76" s="108" t="str">
        <f t="shared" si="1"/>
        <v>2023</v>
      </c>
      <c r="S76" s="110">
        <f t="shared" si="2"/>
        <v>8</v>
      </c>
      <c r="T76" s="108" t="str">
        <f t="shared" si="3"/>
        <v>2023-Q3</v>
      </c>
      <c r="U76" s="108" t="str">
        <f t="shared" si="4"/>
        <v>2023-08</v>
      </c>
      <c r="V76" s="112" t="str">
        <f t="shared" si="5"/>
        <v>2023-H2</v>
      </c>
      <c r="W76" s="112"/>
    </row>
    <row r="77">
      <c r="A77" s="146">
        <f>HYPERLINK("https://polkadot.subsquare.io/referenda/72", 72)</f>
        <v>72</v>
      </c>
      <c r="B77" s="147" t="s">
        <v>181</v>
      </c>
      <c r="C77" s="147" t="s">
        <v>2681</v>
      </c>
      <c r="D77" s="148">
        <v>100.0</v>
      </c>
      <c r="E77" s="149">
        <v>545.2579021453857</v>
      </c>
      <c r="F77" s="147" t="s">
        <v>186</v>
      </c>
      <c r="G77" s="150">
        <v>400680.9321555039</v>
      </c>
      <c r="H77" s="150">
        <v>173599.7699847809</v>
      </c>
      <c r="I77" s="151">
        <v>45118.0</v>
      </c>
      <c r="J77" s="151">
        <v>45124.0</v>
      </c>
      <c r="K77" s="152">
        <v>519.7083950042725</v>
      </c>
      <c r="L77" s="117" t="s">
        <v>81</v>
      </c>
      <c r="M77" s="117" t="s">
        <v>179</v>
      </c>
      <c r="N77" s="153"/>
      <c r="O77" s="153"/>
      <c r="P77" s="153"/>
      <c r="Q77" s="153"/>
      <c r="R77" s="153" t="str">
        <f t="shared" si="1"/>
        <v>2023</v>
      </c>
      <c r="S77" s="154">
        <f t="shared" si="2"/>
        <v>7</v>
      </c>
      <c r="T77" s="153" t="str">
        <f t="shared" si="3"/>
        <v>2023-Q3</v>
      </c>
      <c r="U77" s="153" t="str">
        <f t="shared" si="4"/>
        <v>2023-07</v>
      </c>
      <c r="V77" s="155" t="str">
        <f t="shared" si="5"/>
        <v>2023-H2</v>
      </c>
      <c r="W77" s="155"/>
    </row>
    <row r="78">
      <c r="A78" s="139">
        <f>HYPERLINK("https://polkadot.subsquare.io/referenda/73", 73)</f>
        <v>73</v>
      </c>
      <c r="B78" s="140" t="s">
        <v>182</v>
      </c>
      <c r="C78" s="140" t="s">
        <v>2681</v>
      </c>
      <c r="D78" s="141">
        <v>11229.05</v>
      </c>
      <c r="E78" s="142">
        <v>61227.28246085643</v>
      </c>
      <c r="F78" s="140" t="s">
        <v>2696</v>
      </c>
      <c r="G78" s="143">
        <v>5.6403189080470085E7</v>
      </c>
      <c r="H78" s="143">
        <v>37839.5</v>
      </c>
      <c r="I78" s="144">
        <v>45118.0</v>
      </c>
      <c r="J78" s="144">
        <v>45145.0</v>
      </c>
      <c r="K78" s="145">
        <v>56754.76063568592</v>
      </c>
      <c r="L78" s="114" t="s">
        <v>84</v>
      </c>
      <c r="M78" s="114" t="s">
        <v>148</v>
      </c>
      <c r="N78" s="108"/>
      <c r="O78" s="108"/>
      <c r="P78" s="108"/>
      <c r="Q78" s="108"/>
      <c r="R78" s="108" t="str">
        <f t="shared" si="1"/>
        <v>2023</v>
      </c>
      <c r="S78" s="110">
        <f t="shared" si="2"/>
        <v>8</v>
      </c>
      <c r="T78" s="108" t="str">
        <f t="shared" si="3"/>
        <v>2023-Q3</v>
      </c>
      <c r="U78" s="108" t="str">
        <f t="shared" si="4"/>
        <v>2023-08</v>
      </c>
      <c r="V78" s="112" t="str">
        <f t="shared" si="5"/>
        <v>2023-H2</v>
      </c>
      <c r="W78" s="112"/>
    </row>
    <row r="79">
      <c r="A79" s="146">
        <f>HYPERLINK("https://polkadot.subsquare.io/referenda/74", 74)</f>
        <v>74</v>
      </c>
      <c r="B79" s="147" t="s">
        <v>2730</v>
      </c>
      <c r="C79" s="147" t="s">
        <v>2691</v>
      </c>
      <c r="D79" s="148">
        <v>0.0</v>
      </c>
      <c r="E79" s="149">
        <v>0.0</v>
      </c>
      <c r="F79" s="147" t="s">
        <v>2696</v>
      </c>
      <c r="G79" s="150">
        <v>8435.0</v>
      </c>
      <c r="H79" s="150">
        <v>1704193.3533758195</v>
      </c>
      <c r="I79" s="151">
        <v>45120.0</v>
      </c>
      <c r="J79" s="151">
        <v>45134.0</v>
      </c>
      <c r="K79" s="152">
        <v>0.0</v>
      </c>
      <c r="L79" s="117" t="s">
        <v>2673</v>
      </c>
      <c r="M79" s="117" t="s">
        <v>2673</v>
      </c>
      <c r="N79" s="153"/>
      <c r="O79" s="153"/>
      <c r="P79" s="153"/>
      <c r="Q79" s="153"/>
      <c r="R79" s="153" t="str">
        <f t="shared" si="1"/>
        <v>2023</v>
      </c>
      <c r="S79" s="154">
        <f t="shared" si="2"/>
        <v>7</v>
      </c>
      <c r="T79" s="153" t="str">
        <f t="shared" si="3"/>
        <v>2023-Q3</v>
      </c>
      <c r="U79" s="153" t="str">
        <f t="shared" si="4"/>
        <v>2023-07</v>
      </c>
      <c r="V79" s="155" t="str">
        <f t="shared" si="5"/>
        <v>2023-H2</v>
      </c>
      <c r="W79" s="155"/>
    </row>
    <row r="80">
      <c r="A80" s="139">
        <f>HYPERLINK("https://polkadot.subsquare.io/referenda/75", 75)</f>
        <v>75</v>
      </c>
      <c r="B80" s="140" t="s">
        <v>2688</v>
      </c>
      <c r="C80" s="140" t="s">
        <v>2672</v>
      </c>
      <c r="D80" s="141">
        <v>999.0</v>
      </c>
      <c r="E80" s="142">
        <v>5301.590266227722</v>
      </c>
      <c r="F80" s="140" t="s">
        <v>2699</v>
      </c>
      <c r="G80" s="143">
        <v>701086.5995730502</v>
      </c>
      <c r="H80" s="143">
        <v>2271354.803267096</v>
      </c>
      <c r="I80" s="144">
        <v>45120.0</v>
      </c>
      <c r="J80" s="144">
        <v>45127.0</v>
      </c>
      <c r="K80" s="145">
        <v>5392.269264221191</v>
      </c>
      <c r="L80" s="114" t="s">
        <v>2673</v>
      </c>
      <c r="M80" s="114" t="s">
        <v>2673</v>
      </c>
      <c r="N80" s="108"/>
      <c r="O80" s="108"/>
      <c r="P80" s="108"/>
      <c r="Q80" s="108"/>
      <c r="R80" s="108" t="str">
        <f t="shared" si="1"/>
        <v>2023</v>
      </c>
      <c r="S80" s="110">
        <f t="shared" si="2"/>
        <v>7</v>
      </c>
      <c r="T80" s="108" t="str">
        <f t="shared" si="3"/>
        <v>2023-Q3</v>
      </c>
      <c r="U80" s="108" t="str">
        <f t="shared" si="4"/>
        <v>2023-07</v>
      </c>
      <c r="V80" s="112" t="str">
        <f t="shared" si="5"/>
        <v>2023-H2</v>
      </c>
      <c r="W80" s="112"/>
    </row>
    <row r="81">
      <c r="A81" s="146">
        <f>HYPERLINK("https://polkadot.subsquare.io/referenda/76", 76)</f>
        <v>76</v>
      </c>
      <c r="B81" s="147" t="s">
        <v>2731</v>
      </c>
      <c r="C81" s="147" t="s">
        <v>2672</v>
      </c>
      <c r="D81" s="148">
        <v>0.0</v>
      </c>
      <c r="E81" s="149">
        <v>0.0</v>
      </c>
      <c r="F81" s="147" t="s">
        <v>2683</v>
      </c>
      <c r="G81" s="150">
        <v>586.6001</v>
      </c>
      <c r="H81" s="150">
        <v>4967644.52289783</v>
      </c>
      <c r="I81" s="151">
        <v>45121.0</v>
      </c>
      <c r="J81" s="151">
        <v>45150.0</v>
      </c>
      <c r="K81" s="152">
        <v>0.0</v>
      </c>
      <c r="L81" s="117" t="s">
        <v>2673</v>
      </c>
      <c r="M81" s="117" t="s">
        <v>2673</v>
      </c>
      <c r="N81" s="153"/>
      <c r="O81" s="153"/>
      <c r="P81" s="153"/>
      <c r="Q81" s="153"/>
      <c r="R81" s="153" t="str">
        <f t="shared" si="1"/>
        <v>2023</v>
      </c>
      <c r="S81" s="154">
        <f t="shared" si="2"/>
        <v>8</v>
      </c>
      <c r="T81" s="153" t="str">
        <f t="shared" si="3"/>
        <v>2023-Q3</v>
      </c>
      <c r="U81" s="153" t="str">
        <f t="shared" si="4"/>
        <v>2023-08</v>
      </c>
      <c r="V81" s="155" t="str">
        <f t="shared" si="5"/>
        <v>2023-H2</v>
      </c>
      <c r="W81" s="155"/>
    </row>
    <row r="82">
      <c r="A82" s="139">
        <f>HYPERLINK("https://polkadot.subsquare.io/referenda/77", 77)</f>
        <v>77</v>
      </c>
      <c r="B82" s="140" t="s">
        <v>184</v>
      </c>
      <c r="C82" s="140" t="s">
        <v>2681</v>
      </c>
      <c r="D82" s="141">
        <v>15139.0</v>
      </c>
      <c r="E82" s="142">
        <v>80293.15419864655</v>
      </c>
      <c r="F82" s="140" t="s">
        <v>2683</v>
      </c>
      <c r="G82" s="143">
        <v>6210049.197051994</v>
      </c>
      <c r="H82" s="143">
        <v>160270.6872152575</v>
      </c>
      <c r="I82" s="144">
        <v>45122.0</v>
      </c>
      <c r="J82" s="144">
        <v>45149.0</v>
      </c>
      <c r="K82" s="145">
        <v>75487.63888597488</v>
      </c>
      <c r="L82" s="114" t="s">
        <v>81</v>
      </c>
      <c r="M82" s="114" t="s">
        <v>183</v>
      </c>
      <c r="N82" s="108"/>
      <c r="O82" s="108"/>
      <c r="P82" s="108"/>
      <c r="Q82" s="108"/>
      <c r="R82" s="108" t="str">
        <f t="shared" si="1"/>
        <v>2023</v>
      </c>
      <c r="S82" s="110">
        <f t="shared" si="2"/>
        <v>8</v>
      </c>
      <c r="T82" s="108" t="str">
        <f t="shared" si="3"/>
        <v>2023-Q3</v>
      </c>
      <c r="U82" s="108" t="str">
        <f t="shared" si="4"/>
        <v>2023-08</v>
      </c>
      <c r="V82" s="112" t="str">
        <f t="shared" si="5"/>
        <v>2023-H2</v>
      </c>
      <c r="W82" s="112"/>
    </row>
    <row r="83">
      <c r="A83" s="146">
        <f>HYPERLINK("https://polkadot.subsquare.io/referenda/78", 78)</f>
        <v>78</v>
      </c>
      <c r="B83" s="147" t="s">
        <v>2732</v>
      </c>
      <c r="C83" s="147" t="s">
        <v>2672</v>
      </c>
      <c r="D83" s="148">
        <v>29946.0</v>
      </c>
      <c r="E83" s="149">
        <v>158825.4703502655</v>
      </c>
      <c r="F83" s="147" t="s">
        <v>2683</v>
      </c>
      <c r="G83" s="150">
        <v>536698.3342410373</v>
      </c>
      <c r="H83" s="150">
        <v>4016304.5886344914</v>
      </c>
      <c r="I83" s="151">
        <v>45122.0</v>
      </c>
      <c r="J83" s="151">
        <v>45150.0</v>
      </c>
      <c r="K83" s="152">
        <v>144114.63950157166</v>
      </c>
      <c r="L83" s="117" t="s">
        <v>2673</v>
      </c>
      <c r="M83" s="117" t="s">
        <v>2673</v>
      </c>
      <c r="N83" s="153"/>
      <c r="O83" s="153"/>
      <c r="P83" s="153"/>
      <c r="Q83" s="153"/>
      <c r="R83" s="153" t="str">
        <f t="shared" si="1"/>
        <v>2023</v>
      </c>
      <c r="S83" s="154">
        <f t="shared" si="2"/>
        <v>8</v>
      </c>
      <c r="T83" s="153" t="str">
        <f t="shared" si="3"/>
        <v>2023-Q3</v>
      </c>
      <c r="U83" s="153" t="str">
        <f t="shared" si="4"/>
        <v>2023-08</v>
      </c>
      <c r="V83" s="155" t="str">
        <f t="shared" si="5"/>
        <v>2023-H2</v>
      </c>
      <c r="W83" s="155"/>
    </row>
    <row r="84">
      <c r="A84" s="139">
        <f>HYPERLINK("https://polkadot.subsquare.io/referenda/79", 79)</f>
        <v>79</v>
      </c>
      <c r="B84" s="140" t="s">
        <v>186</v>
      </c>
      <c r="C84" s="140" t="s">
        <v>2681</v>
      </c>
      <c r="D84" s="141">
        <v>20.0</v>
      </c>
      <c r="E84" s="142">
        <v>106.07458114624023</v>
      </c>
      <c r="F84" s="140" t="s">
        <v>186</v>
      </c>
      <c r="G84" s="143">
        <v>2770176.478645523</v>
      </c>
      <c r="H84" s="143">
        <v>17012.51527</v>
      </c>
      <c r="I84" s="144">
        <v>45122.0</v>
      </c>
      <c r="J84" s="144">
        <v>45128.0</v>
      </c>
      <c r="K84" s="145">
        <v>107.95333862304688</v>
      </c>
      <c r="L84" s="114" t="s">
        <v>81</v>
      </c>
      <c r="M84" s="114" t="s">
        <v>185</v>
      </c>
      <c r="N84" s="108"/>
      <c r="O84" s="108"/>
      <c r="P84" s="108"/>
      <c r="Q84" s="108"/>
      <c r="R84" s="108" t="str">
        <f t="shared" si="1"/>
        <v>2023</v>
      </c>
      <c r="S84" s="110">
        <f t="shared" si="2"/>
        <v>7</v>
      </c>
      <c r="T84" s="108" t="str">
        <f t="shared" si="3"/>
        <v>2023-Q3</v>
      </c>
      <c r="U84" s="108" t="str">
        <f t="shared" si="4"/>
        <v>2023-07</v>
      </c>
      <c r="V84" s="112" t="str">
        <f t="shared" si="5"/>
        <v>2023-H2</v>
      </c>
      <c r="W84" s="112"/>
    </row>
    <row r="85">
      <c r="A85" s="146">
        <f>HYPERLINK("https://polkadot.subsquare.io/referenda/80", 80)</f>
        <v>80</v>
      </c>
      <c r="B85" s="147" t="s">
        <v>2733</v>
      </c>
      <c r="C85" s="147" t="s">
        <v>2672</v>
      </c>
      <c r="D85" s="148">
        <v>0.0</v>
      </c>
      <c r="E85" s="149">
        <v>0.0</v>
      </c>
      <c r="F85" s="147" t="s">
        <v>2676</v>
      </c>
      <c r="G85" s="150">
        <v>6921.2</v>
      </c>
      <c r="H85" s="150">
        <v>3266251.192756873</v>
      </c>
      <c r="I85" s="151">
        <v>45122.0</v>
      </c>
      <c r="J85" s="151">
        <v>45150.0</v>
      </c>
      <c r="K85" s="152">
        <v>0.0</v>
      </c>
      <c r="L85" s="117" t="s">
        <v>2673</v>
      </c>
      <c r="M85" s="117" t="s">
        <v>2673</v>
      </c>
      <c r="N85" s="153"/>
      <c r="O85" s="153"/>
      <c r="P85" s="153"/>
      <c r="Q85" s="153"/>
      <c r="R85" s="153" t="str">
        <f t="shared" si="1"/>
        <v>2023</v>
      </c>
      <c r="S85" s="154">
        <f t="shared" si="2"/>
        <v>8</v>
      </c>
      <c r="T85" s="153" t="str">
        <f t="shared" si="3"/>
        <v>2023-Q3</v>
      </c>
      <c r="U85" s="153" t="str">
        <f t="shared" si="4"/>
        <v>2023-08</v>
      </c>
      <c r="V85" s="155" t="str">
        <f t="shared" si="5"/>
        <v>2023-H2</v>
      </c>
      <c r="W85" s="155"/>
    </row>
    <row r="86">
      <c r="A86" s="139">
        <f>HYPERLINK("https://polkadot.subsquare.io/referenda/81", 81)</f>
        <v>81</v>
      </c>
      <c r="B86" s="140" t="s">
        <v>2734</v>
      </c>
      <c r="C86" s="140" t="s">
        <v>2672</v>
      </c>
      <c r="D86" s="141">
        <v>0.0</v>
      </c>
      <c r="E86" s="142">
        <v>0.0</v>
      </c>
      <c r="F86" s="140" t="s">
        <v>2676</v>
      </c>
      <c r="G86" s="143">
        <v>3.8681362508912414E7</v>
      </c>
      <c r="H86" s="143">
        <v>5.980744014463551E7</v>
      </c>
      <c r="I86" s="144">
        <v>45122.0</v>
      </c>
      <c r="J86" s="144">
        <v>45150.0</v>
      </c>
      <c r="K86" s="145">
        <v>0.0</v>
      </c>
      <c r="L86" s="114" t="s">
        <v>2673</v>
      </c>
      <c r="M86" s="114" t="s">
        <v>2673</v>
      </c>
      <c r="N86" s="108"/>
      <c r="O86" s="108"/>
      <c r="P86" s="108"/>
      <c r="Q86" s="108"/>
      <c r="R86" s="108" t="str">
        <f t="shared" si="1"/>
        <v>2023</v>
      </c>
      <c r="S86" s="110">
        <f t="shared" si="2"/>
        <v>8</v>
      </c>
      <c r="T86" s="108" t="str">
        <f t="shared" si="3"/>
        <v>2023-Q3</v>
      </c>
      <c r="U86" s="108" t="str">
        <f t="shared" si="4"/>
        <v>2023-08</v>
      </c>
      <c r="V86" s="112" t="str">
        <f t="shared" si="5"/>
        <v>2023-H2</v>
      </c>
      <c r="W86" s="112"/>
    </row>
    <row r="87">
      <c r="A87" s="146">
        <f>HYPERLINK("https://polkadot.subsquare.io/referenda/82", 82)</f>
        <v>82</v>
      </c>
      <c r="B87" s="147" t="s">
        <v>187</v>
      </c>
      <c r="C87" s="147" t="s">
        <v>2681</v>
      </c>
      <c r="D87" s="148">
        <v>12455.083</v>
      </c>
      <c r="E87" s="149">
        <v>64508.252939070226</v>
      </c>
      <c r="F87" s="147" t="s">
        <v>2683</v>
      </c>
      <c r="G87" s="150">
        <v>7574005.649151822</v>
      </c>
      <c r="H87" s="150">
        <v>5083003.5840209685</v>
      </c>
      <c r="I87" s="151">
        <v>45123.0</v>
      </c>
      <c r="J87" s="151">
        <v>45148.0</v>
      </c>
      <c r="K87" s="152">
        <v>62711.168772160054</v>
      </c>
      <c r="L87" s="117" t="s">
        <v>84</v>
      </c>
      <c r="M87" s="117" t="s">
        <v>171</v>
      </c>
      <c r="N87" s="153"/>
      <c r="O87" s="153"/>
      <c r="P87" s="153"/>
      <c r="Q87" s="153"/>
      <c r="R87" s="153" t="str">
        <f t="shared" si="1"/>
        <v>2023</v>
      </c>
      <c r="S87" s="154">
        <f t="shared" si="2"/>
        <v>8</v>
      </c>
      <c r="T87" s="153" t="str">
        <f t="shared" si="3"/>
        <v>2023-Q3</v>
      </c>
      <c r="U87" s="153" t="str">
        <f t="shared" si="4"/>
        <v>2023-08</v>
      </c>
      <c r="V87" s="155" t="str">
        <f t="shared" si="5"/>
        <v>2023-H2</v>
      </c>
      <c r="W87" s="155"/>
    </row>
    <row r="88">
      <c r="A88" s="139">
        <f>HYPERLINK("https://polkadot.subsquare.io/referenda/83", 83)</f>
        <v>83</v>
      </c>
      <c r="B88" s="140" t="s">
        <v>186</v>
      </c>
      <c r="C88" s="140" t="s">
        <v>2681</v>
      </c>
      <c r="D88" s="141">
        <v>20.0</v>
      </c>
      <c r="E88" s="142">
        <v>103.58542442321777</v>
      </c>
      <c r="F88" s="140" t="s">
        <v>186</v>
      </c>
      <c r="G88" s="143">
        <v>2732511.4242491024</v>
      </c>
      <c r="H88" s="143">
        <v>105.0001</v>
      </c>
      <c r="I88" s="144">
        <v>45123.0</v>
      </c>
      <c r="J88" s="144">
        <v>45128.0</v>
      </c>
      <c r="K88" s="145">
        <v>107.95333862304688</v>
      </c>
      <c r="L88" s="114" t="s">
        <v>81</v>
      </c>
      <c r="M88" s="114" t="s">
        <v>185</v>
      </c>
      <c r="N88" s="108"/>
      <c r="O88" s="108"/>
      <c r="P88" s="108"/>
      <c r="Q88" s="108"/>
      <c r="R88" s="108" t="str">
        <f t="shared" si="1"/>
        <v>2023</v>
      </c>
      <c r="S88" s="110">
        <f t="shared" si="2"/>
        <v>7</v>
      </c>
      <c r="T88" s="108" t="str">
        <f t="shared" si="3"/>
        <v>2023-Q3</v>
      </c>
      <c r="U88" s="108" t="str">
        <f t="shared" si="4"/>
        <v>2023-07</v>
      </c>
      <c r="V88" s="112" t="str">
        <f t="shared" si="5"/>
        <v>2023-H2</v>
      </c>
      <c r="W88" s="112"/>
    </row>
    <row r="89">
      <c r="A89" s="146">
        <f>HYPERLINK("https://polkadot.subsquare.io/referenda/84", 84)</f>
        <v>84</v>
      </c>
      <c r="B89" s="147" t="s">
        <v>2735</v>
      </c>
      <c r="C89" s="147" t="s">
        <v>2681</v>
      </c>
      <c r="D89" s="148">
        <v>0.0</v>
      </c>
      <c r="E89" s="149">
        <v>0.0</v>
      </c>
      <c r="F89" s="147" t="s">
        <v>2736</v>
      </c>
      <c r="G89" s="150">
        <v>3812823.3020713115</v>
      </c>
      <c r="H89" s="150">
        <v>44853.6472740836</v>
      </c>
      <c r="I89" s="151">
        <v>45124.0</v>
      </c>
      <c r="J89" s="151">
        <v>45147.0</v>
      </c>
      <c r="K89" s="152">
        <v>0.0</v>
      </c>
      <c r="L89" s="117" t="s">
        <v>2673</v>
      </c>
      <c r="M89" s="117" t="s">
        <v>2673</v>
      </c>
      <c r="N89" s="153"/>
      <c r="O89" s="153"/>
      <c r="P89" s="153"/>
      <c r="Q89" s="153"/>
      <c r="R89" s="153" t="str">
        <f t="shared" si="1"/>
        <v>2023</v>
      </c>
      <c r="S89" s="154">
        <f t="shared" si="2"/>
        <v>8</v>
      </c>
      <c r="T89" s="153" t="str">
        <f t="shared" si="3"/>
        <v>2023-Q3</v>
      </c>
      <c r="U89" s="153" t="str">
        <f t="shared" si="4"/>
        <v>2023-08</v>
      </c>
      <c r="V89" s="155" t="str">
        <f t="shared" si="5"/>
        <v>2023-H2</v>
      </c>
      <c r="W89" s="155"/>
    </row>
    <row r="90">
      <c r="A90" s="139">
        <f>HYPERLINK("https://polkadot.subsquare.io/referenda/85", 85)</f>
        <v>85</v>
      </c>
      <c r="B90" s="140" t="s">
        <v>188</v>
      </c>
      <c r="C90" s="140" t="s">
        <v>2681</v>
      </c>
      <c r="D90" s="141">
        <v>59203.58</v>
      </c>
      <c r="E90" s="142">
        <v>325016.46138450626</v>
      </c>
      <c r="F90" s="140" t="s">
        <v>2683</v>
      </c>
      <c r="G90" s="143">
        <v>4.4924577120154776E7</v>
      </c>
      <c r="H90" s="143">
        <v>1.1998648372988708E7</v>
      </c>
      <c r="I90" s="144">
        <v>45125.0</v>
      </c>
      <c r="J90" s="144">
        <v>45149.0</v>
      </c>
      <c r="K90" s="145">
        <v>295206.97983994486</v>
      </c>
      <c r="L90" s="114" t="s">
        <v>137</v>
      </c>
      <c r="M90" s="114" t="s">
        <v>138</v>
      </c>
      <c r="N90" s="108"/>
      <c r="O90" s="108"/>
      <c r="P90" s="108"/>
      <c r="Q90" s="108"/>
      <c r="R90" s="108" t="str">
        <f t="shared" si="1"/>
        <v>2023</v>
      </c>
      <c r="S90" s="110">
        <f t="shared" si="2"/>
        <v>8</v>
      </c>
      <c r="T90" s="108" t="str">
        <f t="shared" si="3"/>
        <v>2023-Q3</v>
      </c>
      <c r="U90" s="108" t="str">
        <f t="shared" si="4"/>
        <v>2023-08</v>
      </c>
      <c r="V90" s="112" t="str">
        <f t="shared" si="5"/>
        <v>2023-H2</v>
      </c>
      <c r="W90" s="112"/>
    </row>
    <row r="91">
      <c r="A91" s="146">
        <f>HYPERLINK("https://polkadot.subsquare.io/referenda/86", 86)</f>
        <v>86</v>
      </c>
      <c r="B91" s="147" t="s">
        <v>2737</v>
      </c>
      <c r="C91" s="147" t="s">
        <v>2672</v>
      </c>
      <c r="D91" s="148">
        <v>990.0</v>
      </c>
      <c r="E91" s="149">
        <v>5434.9128341674805</v>
      </c>
      <c r="F91" s="147" t="s">
        <v>2699</v>
      </c>
      <c r="G91" s="150">
        <v>332889.2860128057</v>
      </c>
      <c r="H91" s="150">
        <v>1257176.614344529</v>
      </c>
      <c r="I91" s="151">
        <v>45125.0</v>
      </c>
      <c r="J91" s="151">
        <v>45132.0</v>
      </c>
      <c r="K91" s="152">
        <v>5164.606246948242</v>
      </c>
      <c r="L91" s="117" t="s">
        <v>2673</v>
      </c>
      <c r="M91" s="117" t="s">
        <v>2673</v>
      </c>
      <c r="N91" s="153"/>
      <c r="O91" s="153"/>
      <c r="P91" s="153"/>
      <c r="Q91" s="153"/>
      <c r="R91" s="153" t="str">
        <f t="shared" si="1"/>
        <v>2023</v>
      </c>
      <c r="S91" s="154">
        <f t="shared" si="2"/>
        <v>7</v>
      </c>
      <c r="T91" s="153" t="str">
        <f t="shared" si="3"/>
        <v>2023-Q3</v>
      </c>
      <c r="U91" s="153" t="str">
        <f t="shared" si="4"/>
        <v>2023-07</v>
      </c>
      <c r="V91" s="155" t="str">
        <f t="shared" si="5"/>
        <v>2023-H2</v>
      </c>
      <c r="W91" s="155"/>
    </row>
    <row r="92">
      <c r="A92" s="139">
        <f>HYPERLINK("https://polkadot.subsquare.io/referenda/87", 87)</f>
        <v>87</v>
      </c>
      <c r="B92" s="140" t="s">
        <v>2738</v>
      </c>
      <c r="C92" s="140" t="s">
        <v>2672</v>
      </c>
      <c r="D92" s="141">
        <v>0.0</v>
      </c>
      <c r="E92" s="142">
        <v>0.0</v>
      </c>
      <c r="F92" s="140" t="s">
        <v>2678</v>
      </c>
      <c r="G92" s="143">
        <v>10.864</v>
      </c>
      <c r="H92" s="143">
        <v>8597057.352723973</v>
      </c>
      <c r="I92" s="144">
        <v>45132.0</v>
      </c>
      <c r="J92" s="144">
        <v>45161.0</v>
      </c>
      <c r="K92" s="145">
        <v>0.0</v>
      </c>
      <c r="L92" s="114" t="s">
        <v>2673</v>
      </c>
      <c r="M92" s="114" t="s">
        <v>2673</v>
      </c>
      <c r="N92" s="108"/>
      <c r="O92" s="108"/>
      <c r="P92" s="108"/>
      <c r="Q92" s="108"/>
      <c r="R92" s="108" t="str">
        <f t="shared" si="1"/>
        <v>2023</v>
      </c>
      <c r="S92" s="110">
        <f t="shared" si="2"/>
        <v>8</v>
      </c>
      <c r="T92" s="108" t="str">
        <f t="shared" si="3"/>
        <v>2023-Q3</v>
      </c>
      <c r="U92" s="108" t="str">
        <f t="shared" si="4"/>
        <v>2023-08</v>
      </c>
      <c r="V92" s="112" t="str">
        <f t="shared" si="5"/>
        <v>2023-H2</v>
      </c>
      <c r="W92" s="156" t="s">
        <v>2654</v>
      </c>
    </row>
    <row r="93" hidden="1">
      <c r="A93" s="146">
        <f>HYPERLINK("https://polkadot.subsquare.io/referenda/1068", 1068)</f>
        <v>1068</v>
      </c>
      <c r="B93" s="147" t="s">
        <v>2739</v>
      </c>
      <c r="C93" s="147" t="s">
        <v>2675</v>
      </c>
      <c r="D93" s="148">
        <v>38291.26867436736</v>
      </c>
      <c r="E93" s="149">
        <v>183325.99999999997</v>
      </c>
      <c r="F93" s="147" t="s">
        <v>2683</v>
      </c>
      <c r="G93" s="150">
        <v>2.2720684784871742E7</v>
      </c>
      <c r="H93" s="150">
        <v>4375947.6553296195</v>
      </c>
      <c r="I93" s="151">
        <v>45511.0</v>
      </c>
      <c r="J93" s="151">
        <v>45539.0</v>
      </c>
      <c r="K93" s="152">
        <v>151613.16738383067</v>
      </c>
      <c r="L93" s="117" t="s">
        <v>81</v>
      </c>
      <c r="M93" s="117" t="s">
        <v>202</v>
      </c>
      <c r="N93" s="153"/>
      <c r="O93" s="153"/>
      <c r="P93" s="153"/>
      <c r="Q93" s="153"/>
      <c r="R93" s="153" t="str">
        <f t="shared" si="1"/>
        <v>2024</v>
      </c>
      <c r="S93" s="154">
        <f t="shared" si="2"/>
        <v>9</v>
      </c>
      <c r="T93" s="153" t="str">
        <f t="shared" si="3"/>
        <v>2024-Q3</v>
      </c>
      <c r="U93" s="153" t="str">
        <f t="shared" si="4"/>
        <v>2024-09</v>
      </c>
      <c r="V93" s="155" t="str">
        <f t="shared" si="5"/>
        <v>2024-H2</v>
      </c>
      <c r="W93" s="155"/>
    </row>
    <row r="94">
      <c r="A94" s="139">
        <f>HYPERLINK("https://polkadot.subsquare.io/referenda/88", 88)</f>
        <v>88</v>
      </c>
      <c r="B94" s="140" t="s">
        <v>2740</v>
      </c>
      <c r="C94" s="140" t="s">
        <v>2672</v>
      </c>
      <c r="D94" s="141">
        <v>14269.071</v>
      </c>
      <c r="E94" s="142">
        <v>74438.51840883636</v>
      </c>
      <c r="F94" s="140" t="s">
        <v>2683</v>
      </c>
      <c r="G94" s="143">
        <v>1317634.1273362057</v>
      </c>
      <c r="H94" s="143">
        <v>1.0767076450346833E7</v>
      </c>
      <c r="I94" s="144">
        <v>45133.0</v>
      </c>
      <c r="J94" s="144">
        <v>45161.0</v>
      </c>
      <c r="K94" s="145">
        <v>64274.171760628225</v>
      </c>
      <c r="L94" s="114" t="s">
        <v>2673</v>
      </c>
      <c r="M94" s="114" t="s">
        <v>2673</v>
      </c>
      <c r="N94" s="108"/>
      <c r="O94" s="108"/>
      <c r="P94" s="108"/>
      <c r="Q94" s="108"/>
      <c r="R94" s="108" t="str">
        <f t="shared" si="1"/>
        <v>2023</v>
      </c>
      <c r="S94" s="110">
        <f t="shared" si="2"/>
        <v>8</v>
      </c>
      <c r="T94" s="108" t="str">
        <f t="shared" si="3"/>
        <v>2023-Q3</v>
      </c>
      <c r="U94" s="108" t="str">
        <f t="shared" si="4"/>
        <v>2023-08</v>
      </c>
      <c r="V94" s="112" t="str">
        <f t="shared" si="5"/>
        <v>2023-H2</v>
      </c>
      <c r="W94" s="112"/>
    </row>
    <row r="95" hidden="1">
      <c r="A95" s="146">
        <f>HYPERLINK("https://polkadot.subsquare.io/referenda/1077", 1077)</f>
        <v>1077</v>
      </c>
      <c r="B95" s="147" t="s">
        <v>2741</v>
      </c>
      <c r="C95" s="147" t="s">
        <v>2675</v>
      </c>
      <c r="D95" s="148">
        <v>0.0</v>
      </c>
      <c r="E95" s="149">
        <v>0.0</v>
      </c>
      <c r="F95" s="147" t="s">
        <v>2683</v>
      </c>
      <c r="G95" s="150">
        <v>4.9285393704682246E7</v>
      </c>
      <c r="H95" s="150">
        <v>3.616821932277324E7</v>
      </c>
      <c r="I95" s="151">
        <v>45511.0</v>
      </c>
      <c r="J95" s="151">
        <v>45539.0</v>
      </c>
      <c r="K95" s="152">
        <v>0.0</v>
      </c>
      <c r="L95" s="117" t="s">
        <v>137</v>
      </c>
      <c r="M95" s="157" t="s">
        <v>523</v>
      </c>
      <c r="N95" s="153"/>
      <c r="O95" s="153"/>
      <c r="P95" s="153"/>
      <c r="Q95" s="153"/>
      <c r="R95" s="153" t="str">
        <f t="shared" si="1"/>
        <v>2024</v>
      </c>
      <c r="S95" s="154">
        <f t="shared" si="2"/>
        <v>9</v>
      </c>
      <c r="T95" s="153" t="str">
        <f t="shared" si="3"/>
        <v>2024-Q3</v>
      </c>
      <c r="U95" s="153" t="str">
        <f t="shared" si="4"/>
        <v>2024-09</v>
      </c>
      <c r="V95" s="155" t="str">
        <f t="shared" si="5"/>
        <v>2024-H2</v>
      </c>
      <c r="W95" s="155"/>
    </row>
    <row r="96">
      <c r="A96" s="139">
        <f>HYPERLINK("https://polkadot.subsquare.io/referenda/89", 89)</f>
        <v>89</v>
      </c>
      <c r="B96" s="140" t="s">
        <v>2742</v>
      </c>
      <c r="C96" s="140" t="s">
        <v>2691</v>
      </c>
      <c r="D96" s="141">
        <v>6686.0</v>
      </c>
      <c r="E96" s="142">
        <v>35115.54053878784</v>
      </c>
      <c r="F96" s="140" t="s">
        <v>2687</v>
      </c>
      <c r="G96" s="143">
        <v>12107.60327</v>
      </c>
      <c r="H96" s="143">
        <v>2343682.1766621214</v>
      </c>
      <c r="I96" s="144">
        <v>45133.0</v>
      </c>
      <c r="J96" s="144">
        <v>45147.0</v>
      </c>
      <c r="K96" s="145">
        <v>33663.91652393341</v>
      </c>
      <c r="L96" s="114" t="s">
        <v>2673</v>
      </c>
      <c r="M96" s="114" t="s">
        <v>2673</v>
      </c>
      <c r="N96" s="108"/>
      <c r="O96" s="108"/>
      <c r="P96" s="108"/>
      <c r="Q96" s="108"/>
      <c r="R96" s="108" t="str">
        <f t="shared" si="1"/>
        <v>2023</v>
      </c>
      <c r="S96" s="110">
        <f t="shared" si="2"/>
        <v>8</v>
      </c>
      <c r="T96" s="108" t="str">
        <f t="shared" si="3"/>
        <v>2023-Q3</v>
      </c>
      <c r="U96" s="108" t="str">
        <f t="shared" si="4"/>
        <v>2023-08</v>
      </c>
      <c r="V96" s="112" t="str">
        <f t="shared" si="5"/>
        <v>2023-H2</v>
      </c>
      <c r="W96" s="112"/>
    </row>
    <row r="97">
      <c r="A97" s="146">
        <f>HYPERLINK("https://polkadot.subsquare.io/referenda/90", 90)</f>
        <v>90</v>
      </c>
      <c r="B97" s="147" t="s">
        <v>189</v>
      </c>
      <c r="C97" s="147" t="s">
        <v>2681</v>
      </c>
      <c r="D97" s="148">
        <v>63916.0</v>
      </c>
      <c r="E97" s="149">
        <v>332237.6813659668</v>
      </c>
      <c r="F97" s="147" t="s">
        <v>2683</v>
      </c>
      <c r="G97" s="150">
        <v>7908415.330092529</v>
      </c>
      <c r="H97" s="150">
        <v>5973479.092043694</v>
      </c>
      <c r="I97" s="151">
        <v>45136.0</v>
      </c>
      <c r="J97" s="151">
        <v>45159.0</v>
      </c>
      <c r="K97" s="152">
        <v>282610.15407562256</v>
      </c>
      <c r="L97" s="117" t="s">
        <v>81</v>
      </c>
      <c r="M97" s="117" t="s">
        <v>185</v>
      </c>
      <c r="N97" s="153"/>
      <c r="O97" s="153"/>
      <c r="P97" s="153"/>
      <c r="Q97" s="153"/>
      <c r="R97" s="153" t="str">
        <f t="shared" si="1"/>
        <v>2023</v>
      </c>
      <c r="S97" s="154">
        <f t="shared" si="2"/>
        <v>8</v>
      </c>
      <c r="T97" s="153" t="str">
        <f t="shared" si="3"/>
        <v>2023-Q3</v>
      </c>
      <c r="U97" s="153" t="str">
        <f t="shared" si="4"/>
        <v>2023-08</v>
      </c>
      <c r="V97" s="155" t="str">
        <f t="shared" si="5"/>
        <v>2023-H2</v>
      </c>
      <c r="W97" s="155"/>
    </row>
    <row r="98">
      <c r="A98" s="139">
        <f>HYPERLINK("https://polkadot.subsquare.io/referenda/91", 91)</f>
        <v>91</v>
      </c>
      <c r="B98" s="140" t="s">
        <v>2743</v>
      </c>
      <c r="C98" s="140" t="s">
        <v>2691</v>
      </c>
      <c r="D98" s="141">
        <v>31612.0</v>
      </c>
      <c r="E98" s="142">
        <v>164320.3201599121</v>
      </c>
      <c r="F98" s="140" t="s">
        <v>2683</v>
      </c>
      <c r="G98" s="143">
        <v>575.1</v>
      </c>
      <c r="H98" s="143">
        <v>1752681.734111025</v>
      </c>
      <c r="I98" s="144">
        <v>45137.0</v>
      </c>
      <c r="J98" s="144">
        <v>45151.0</v>
      </c>
      <c r="K98" s="145">
        <v>152132.23749160767</v>
      </c>
      <c r="L98" s="114" t="s">
        <v>2673</v>
      </c>
      <c r="M98" s="114" t="s">
        <v>2673</v>
      </c>
      <c r="N98" s="108"/>
      <c r="O98" s="108"/>
      <c r="P98" s="108"/>
      <c r="Q98" s="108"/>
      <c r="R98" s="108" t="str">
        <f t="shared" si="1"/>
        <v>2023</v>
      </c>
      <c r="S98" s="110">
        <f t="shared" si="2"/>
        <v>8</v>
      </c>
      <c r="T98" s="108" t="str">
        <f t="shared" si="3"/>
        <v>2023-Q3</v>
      </c>
      <c r="U98" s="108" t="str">
        <f t="shared" si="4"/>
        <v>2023-08</v>
      </c>
      <c r="V98" s="112" t="str">
        <f t="shared" si="5"/>
        <v>2023-H2</v>
      </c>
      <c r="W98" s="112"/>
    </row>
    <row r="99">
      <c r="A99" s="146">
        <f>HYPERLINK("https://polkadot.subsquare.io/referenda/92", 92)</f>
        <v>92</v>
      </c>
      <c r="B99" s="147" t="s">
        <v>2744</v>
      </c>
      <c r="C99" s="147" t="s">
        <v>2691</v>
      </c>
      <c r="D99" s="148">
        <v>3668676.0</v>
      </c>
      <c r="E99" s="149">
        <v>1.8554478895202637E7</v>
      </c>
      <c r="F99" s="147" t="s">
        <v>2683</v>
      </c>
      <c r="G99" s="150">
        <v>3171.71527</v>
      </c>
      <c r="H99" s="150">
        <v>1691419.7090268605</v>
      </c>
      <c r="I99" s="151">
        <v>45137.0</v>
      </c>
      <c r="J99" s="151">
        <v>45151.0</v>
      </c>
      <c r="K99" s="152">
        <v>1.7118068050563812E7</v>
      </c>
      <c r="L99" s="117" t="s">
        <v>2673</v>
      </c>
      <c r="M99" s="117" t="s">
        <v>2673</v>
      </c>
      <c r="N99" s="153"/>
      <c r="O99" s="153"/>
      <c r="P99" s="153"/>
      <c r="Q99" s="153"/>
      <c r="R99" s="153" t="str">
        <f t="shared" si="1"/>
        <v>2023</v>
      </c>
      <c r="S99" s="154">
        <f t="shared" si="2"/>
        <v>8</v>
      </c>
      <c r="T99" s="153" t="str">
        <f t="shared" si="3"/>
        <v>2023-Q3</v>
      </c>
      <c r="U99" s="153" t="str">
        <f t="shared" si="4"/>
        <v>2023-08</v>
      </c>
      <c r="V99" s="155" t="str">
        <f t="shared" si="5"/>
        <v>2023-H2</v>
      </c>
      <c r="W99" s="158" t="s">
        <v>2654</v>
      </c>
    </row>
    <row r="100">
      <c r="A100" s="139">
        <f>HYPERLINK("https://polkadot.subsquare.io/referenda/93", 93)</f>
        <v>93</v>
      </c>
      <c r="B100" s="140" t="s">
        <v>190</v>
      </c>
      <c r="C100" s="140" t="s">
        <v>2681</v>
      </c>
      <c r="D100" s="141">
        <v>36686.0</v>
      </c>
      <c r="E100" s="142">
        <v>185540.94522094727</v>
      </c>
      <c r="F100" s="140" t="s">
        <v>2683</v>
      </c>
      <c r="G100" s="143">
        <v>7725902.403130105</v>
      </c>
      <c r="H100" s="143">
        <v>1202432.7064286622</v>
      </c>
      <c r="I100" s="144">
        <v>45137.0</v>
      </c>
      <c r="J100" s="144">
        <v>45163.0</v>
      </c>
      <c r="K100" s="145">
        <v>168976.15137195587</v>
      </c>
      <c r="L100" s="114" t="s">
        <v>84</v>
      </c>
      <c r="M100" s="114" t="s">
        <v>140</v>
      </c>
      <c r="N100" s="108"/>
      <c r="O100" s="108"/>
      <c r="P100" s="108"/>
      <c r="Q100" s="108"/>
      <c r="R100" s="108" t="str">
        <f t="shared" si="1"/>
        <v>2023</v>
      </c>
      <c r="S100" s="110">
        <f t="shared" si="2"/>
        <v>8</v>
      </c>
      <c r="T100" s="108" t="str">
        <f t="shared" si="3"/>
        <v>2023-Q3</v>
      </c>
      <c r="U100" s="108" t="str">
        <f t="shared" si="4"/>
        <v>2023-08</v>
      </c>
      <c r="V100" s="112" t="str">
        <f t="shared" si="5"/>
        <v>2023-H2</v>
      </c>
      <c r="W100" s="112"/>
    </row>
    <row r="101">
      <c r="A101" s="146">
        <f>HYPERLINK("https://polkadot.subsquare.io/referenda/94", 94)</f>
        <v>94</v>
      </c>
      <c r="B101" s="147" t="s">
        <v>186</v>
      </c>
      <c r="C101" s="147" t="s">
        <v>2681</v>
      </c>
      <c r="D101" s="148">
        <v>80.0</v>
      </c>
      <c r="E101" s="149">
        <v>404.603271484375</v>
      </c>
      <c r="F101" s="147" t="s">
        <v>186</v>
      </c>
      <c r="G101" s="150">
        <v>2374640.5356330145</v>
      </c>
      <c r="H101" s="150">
        <v>6537.2608</v>
      </c>
      <c r="I101" s="151">
        <v>45138.0</v>
      </c>
      <c r="J101" s="151">
        <v>45143.0</v>
      </c>
      <c r="K101" s="152">
        <v>396.84497833251953</v>
      </c>
      <c r="L101" s="117" t="s">
        <v>81</v>
      </c>
      <c r="M101" s="117" t="s">
        <v>185</v>
      </c>
      <c r="N101" s="153"/>
      <c r="O101" s="153"/>
      <c r="P101" s="153"/>
      <c r="Q101" s="153"/>
      <c r="R101" s="153" t="str">
        <f t="shared" si="1"/>
        <v>2023</v>
      </c>
      <c r="S101" s="154">
        <f t="shared" si="2"/>
        <v>8</v>
      </c>
      <c r="T101" s="153" t="str">
        <f t="shared" si="3"/>
        <v>2023-Q3</v>
      </c>
      <c r="U101" s="153" t="str">
        <f t="shared" si="4"/>
        <v>2023-08</v>
      </c>
      <c r="V101" s="155" t="str">
        <f t="shared" si="5"/>
        <v>2023-H2</v>
      </c>
      <c r="W101" s="155"/>
    </row>
    <row r="102">
      <c r="A102" s="139">
        <f>HYPERLINK("https://polkadot.subsquare.io/referenda/95", 95)</f>
        <v>95</v>
      </c>
      <c r="B102" s="140" t="s">
        <v>192</v>
      </c>
      <c r="C102" s="140" t="s">
        <v>2681</v>
      </c>
      <c r="D102" s="141">
        <v>50.0</v>
      </c>
      <c r="E102" s="142">
        <v>248.95095825195312</v>
      </c>
      <c r="F102" s="140" t="s">
        <v>186</v>
      </c>
      <c r="G102" s="143">
        <v>2280748.43645582</v>
      </c>
      <c r="H102" s="143">
        <v>223637.52072</v>
      </c>
      <c r="I102" s="144">
        <v>45138.0</v>
      </c>
      <c r="J102" s="144">
        <v>45143.0</v>
      </c>
      <c r="K102" s="145">
        <v>248.0281114578247</v>
      </c>
      <c r="L102" s="114" t="s">
        <v>137</v>
      </c>
      <c r="M102" s="114" t="s">
        <v>191</v>
      </c>
      <c r="N102" s="108"/>
      <c r="O102" s="108"/>
      <c r="P102" s="108"/>
      <c r="Q102" s="108"/>
      <c r="R102" s="108" t="str">
        <f t="shared" si="1"/>
        <v>2023</v>
      </c>
      <c r="S102" s="110">
        <f t="shared" si="2"/>
        <v>8</v>
      </c>
      <c r="T102" s="108" t="str">
        <f t="shared" si="3"/>
        <v>2023-Q3</v>
      </c>
      <c r="U102" s="108" t="str">
        <f t="shared" si="4"/>
        <v>2023-08</v>
      </c>
      <c r="V102" s="112" t="str">
        <f t="shared" si="5"/>
        <v>2023-H2</v>
      </c>
      <c r="W102" s="112"/>
    </row>
    <row r="103">
      <c r="A103" s="146">
        <f>HYPERLINK("https://polkadot.subsquare.io/referenda/96", 96)</f>
        <v>96</v>
      </c>
      <c r="B103" s="159" t="str">
        <f>Artificial Intelligence for security monitoring on a network level </f>
        <v>#ERROR!</v>
      </c>
      <c r="C103" s="147" t="s">
        <v>2672</v>
      </c>
      <c r="D103" s="148">
        <v>6686.0</v>
      </c>
      <c r="E103" s="149">
        <v>33289.72213745117</v>
      </c>
      <c r="F103" s="147" t="s">
        <v>2678</v>
      </c>
      <c r="G103" s="150">
        <v>241778.9867892313</v>
      </c>
      <c r="H103" s="150">
        <v>8564453.579265747</v>
      </c>
      <c r="I103" s="151">
        <v>45138.0</v>
      </c>
      <c r="J103" s="151">
        <v>45166.0</v>
      </c>
      <c r="K103" s="152">
        <v>28545.543954849243</v>
      </c>
      <c r="L103" s="117" t="s">
        <v>2673</v>
      </c>
      <c r="M103" s="117" t="s">
        <v>2673</v>
      </c>
      <c r="N103" s="153"/>
      <c r="O103" s="153"/>
      <c r="P103" s="153"/>
      <c r="Q103" s="153"/>
      <c r="R103" s="153" t="str">
        <f t="shared" si="1"/>
        <v>2023</v>
      </c>
      <c r="S103" s="154">
        <f t="shared" si="2"/>
        <v>8</v>
      </c>
      <c r="T103" s="153" t="str">
        <f t="shared" si="3"/>
        <v>2023-Q3</v>
      </c>
      <c r="U103" s="153" t="str">
        <f t="shared" si="4"/>
        <v>2023-08</v>
      </c>
      <c r="V103" s="155" t="str">
        <f t="shared" si="5"/>
        <v>2023-H2</v>
      </c>
      <c r="W103" s="155"/>
    </row>
    <row r="104">
      <c r="A104" s="139">
        <f>HYPERLINK("https://polkadot.subsquare.io/referenda/97", 97)</f>
        <v>97</v>
      </c>
      <c r="B104" s="140" t="s">
        <v>193</v>
      </c>
      <c r="C104" s="140" t="s">
        <v>2681</v>
      </c>
      <c r="D104" s="141">
        <v>15375.745</v>
      </c>
      <c r="E104" s="142">
        <v>76697.32342167378</v>
      </c>
      <c r="F104" s="140" t="s">
        <v>2683</v>
      </c>
      <c r="G104" s="143">
        <v>4039651.941887917</v>
      </c>
      <c r="H104" s="143">
        <v>2420972.0955897355</v>
      </c>
      <c r="I104" s="144">
        <v>45139.0</v>
      </c>
      <c r="J104" s="144">
        <v>45169.0</v>
      </c>
      <c r="K104" s="145">
        <v>65529.43958248854</v>
      </c>
      <c r="L104" s="114" t="s">
        <v>81</v>
      </c>
      <c r="M104" s="114" t="s">
        <v>154</v>
      </c>
      <c r="N104" s="108"/>
      <c r="O104" s="108"/>
      <c r="P104" s="108"/>
      <c r="Q104" s="108"/>
      <c r="R104" s="108" t="str">
        <f t="shared" si="1"/>
        <v>2023</v>
      </c>
      <c r="S104" s="110">
        <f t="shared" si="2"/>
        <v>8</v>
      </c>
      <c r="T104" s="108" t="str">
        <f t="shared" si="3"/>
        <v>2023-Q3</v>
      </c>
      <c r="U104" s="108" t="str">
        <f t="shared" si="4"/>
        <v>2023-08</v>
      </c>
      <c r="V104" s="112" t="str">
        <f t="shared" si="5"/>
        <v>2023-H2</v>
      </c>
      <c r="W104" s="112"/>
    </row>
    <row r="105">
      <c r="A105" s="146">
        <f>HYPERLINK("https://polkadot.subsquare.io/referenda/98", 98)</f>
        <v>98</v>
      </c>
      <c r="B105" s="147" t="s">
        <v>194</v>
      </c>
      <c r="C105" s="147" t="s">
        <v>2681</v>
      </c>
      <c r="D105" s="148">
        <v>14257.0</v>
      </c>
      <c r="E105" s="149">
        <v>71116.79726886749</v>
      </c>
      <c r="F105" s="147" t="s">
        <v>2683</v>
      </c>
      <c r="G105" s="150">
        <v>8401407.083628017</v>
      </c>
      <c r="H105" s="150">
        <v>7075387.569513494</v>
      </c>
      <c r="I105" s="151">
        <v>45140.0</v>
      </c>
      <c r="J105" s="151">
        <v>45164.0</v>
      </c>
      <c r="K105" s="152">
        <v>66620.98069190979</v>
      </c>
      <c r="L105" s="117" t="s">
        <v>137</v>
      </c>
      <c r="M105" s="117" t="s">
        <v>138</v>
      </c>
      <c r="N105" s="153"/>
      <c r="O105" s="153"/>
      <c r="P105" s="153"/>
      <c r="Q105" s="153"/>
      <c r="R105" s="153" t="str">
        <f t="shared" si="1"/>
        <v>2023</v>
      </c>
      <c r="S105" s="154">
        <f t="shared" si="2"/>
        <v>8</v>
      </c>
      <c r="T105" s="153" t="str">
        <f t="shared" si="3"/>
        <v>2023-Q3</v>
      </c>
      <c r="U105" s="153" t="str">
        <f t="shared" si="4"/>
        <v>2023-08</v>
      </c>
      <c r="V105" s="155" t="str">
        <f t="shared" si="5"/>
        <v>2023-H2</v>
      </c>
      <c r="W105" s="155"/>
    </row>
    <row r="106">
      <c r="A106" s="139">
        <f>HYPERLINK("https://polkadot.subsquare.io/referenda/99", 99)</f>
        <v>99</v>
      </c>
      <c r="B106" s="140" t="s">
        <v>2745</v>
      </c>
      <c r="C106" s="140" t="s">
        <v>2672</v>
      </c>
      <c r="D106" s="141">
        <v>18391.596</v>
      </c>
      <c r="E106" s="142">
        <v>91740.99769817735</v>
      </c>
      <c r="F106" s="140" t="s">
        <v>2683</v>
      </c>
      <c r="G106" s="143">
        <v>1139247.9246899975</v>
      </c>
      <c r="H106" s="143">
        <v>7767062.625196724</v>
      </c>
      <c r="I106" s="144">
        <v>45140.0</v>
      </c>
      <c r="J106" s="144">
        <v>45168.0</v>
      </c>
      <c r="K106" s="145">
        <v>78382.6070806675</v>
      </c>
      <c r="L106" s="114" t="s">
        <v>2673</v>
      </c>
      <c r="M106" s="114" t="s">
        <v>2673</v>
      </c>
      <c r="N106" s="108"/>
      <c r="O106" s="108"/>
      <c r="P106" s="108"/>
      <c r="Q106" s="108"/>
      <c r="R106" s="108" t="str">
        <f t="shared" si="1"/>
        <v>2023</v>
      </c>
      <c r="S106" s="110">
        <f t="shared" si="2"/>
        <v>8</v>
      </c>
      <c r="T106" s="108" t="str">
        <f t="shared" si="3"/>
        <v>2023-Q3</v>
      </c>
      <c r="U106" s="108" t="str">
        <f t="shared" si="4"/>
        <v>2023-08</v>
      </c>
      <c r="V106" s="112" t="str">
        <f t="shared" si="5"/>
        <v>2023-H2</v>
      </c>
      <c r="W106" s="112"/>
    </row>
    <row r="107" hidden="1">
      <c r="A107" s="146">
        <f>HYPERLINK("https://polkadot.subsquare.io/referenda/1099", 1099)</f>
        <v>1099</v>
      </c>
      <c r="B107" s="147" t="s">
        <v>2746</v>
      </c>
      <c r="C107" s="147" t="s">
        <v>2675</v>
      </c>
      <c r="D107" s="148">
        <v>8497.687388828632</v>
      </c>
      <c r="E107" s="149">
        <v>37314.0</v>
      </c>
      <c r="F107" s="147" t="s">
        <v>2683</v>
      </c>
      <c r="G107" s="150">
        <v>5.207763522551637E7</v>
      </c>
      <c r="H107" s="150">
        <v>2.790073270064084E7</v>
      </c>
      <c r="I107" s="151">
        <v>45520.0</v>
      </c>
      <c r="J107" s="151">
        <v>45539.0</v>
      </c>
      <c r="K107" s="152">
        <v>33646.34667538156</v>
      </c>
      <c r="L107" s="117" t="s">
        <v>81</v>
      </c>
      <c r="M107" s="117" t="s">
        <v>202</v>
      </c>
      <c r="N107" s="153"/>
      <c r="O107" s="153"/>
      <c r="P107" s="153"/>
      <c r="Q107" s="153"/>
      <c r="R107" s="153" t="str">
        <f t="shared" si="1"/>
        <v>2024</v>
      </c>
      <c r="S107" s="154">
        <f t="shared" si="2"/>
        <v>9</v>
      </c>
      <c r="T107" s="153" t="str">
        <f t="shared" si="3"/>
        <v>2024-Q3</v>
      </c>
      <c r="U107" s="153" t="str">
        <f t="shared" si="4"/>
        <v>2024-09</v>
      </c>
      <c r="V107" s="155" t="str">
        <f t="shared" si="5"/>
        <v>2024-H2</v>
      </c>
      <c r="W107" s="155"/>
    </row>
    <row r="108">
      <c r="A108" s="139">
        <f>HYPERLINK("https://polkadot.subsquare.io/referenda/100", 100)</f>
        <v>100</v>
      </c>
      <c r="B108" s="140" t="s">
        <v>195</v>
      </c>
      <c r="C108" s="140" t="s">
        <v>2681</v>
      </c>
      <c r="D108" s="141">
        <v>225.0</v>
      </c>
      <c r="E108" s="142">
        <v>1138.63023519516</v>
      </c>
      <c r="F108" s="140" t="s">
        <v>186</v>
      </c>
      <c r="G108" s="143">
        <v>1234996.1824093596</v>
      </c>
      <c r="H108" s="143">
        <v>287725.7686</v>
      </c>
      <c r="I108" s="144">
        <v>45143.0</v>
      </c>
      <c r="J108" s="144">
        <v>45148.0</v>
      </c>
      <c r="K108" s="145">
        <v>1121.9181418418884</v>
      </c>
      <c r="L108" s="114" t="s">
        <v>81</v>
      </c>
      <c r="M108" s="114" t="s">
        <v>179</v>
      </c>
      <c r="N108" s="108"/>
      <c r="O108" s="108"/>
      <c r="P108" s="108"/>
      <c r="Q108" s="108"/>
      <c r="R108" s="108" t="str">
        <f t="shared" si="1"/>
        <v>2023</v>
      </c>
      <c r="S108" s="110">
        <f t="shared" si="2"/>
        <v>8</v>
      </c>
      <c r="T108" s="108" t="str">
        <f t="shared" si="3"/>
        <v>2023-Q3</v>
      </c>
      <c r="U108" s="108" t="str">
        <f t="shared" si="4"/>
        <v>2023-08</v>
      </c>
      <c r="V108" s="112" t="str">
        <f t="shared" si="5"/>
        <v>2023-H2</v>
      </c>
      <c r="W108" s="112"/>
    </row>
    <row r="109">
      <c r="A109" s="146">
        <f>HYPERLINK("https://polkadot.subsquare.io/referenda/101", 101)</f>
        <v>101</v>
      </c>
      <c r="B109" s="147" t="s">
        <v>257</v>
      </c>
      <c r="C109" s="147" t="s">
        <v>2672</v>
      </c>
      <c r="D109" s="148">
        <v>43920.94</v>
      </c>
      <c r="E109" s="149">
        <v>222265.37885418892</v>
      </c>
      <c r="F109" s="147" t="s">
        <v>2683</v>
      </c>
      <c r="G109" s="150">
        <v>1454747.933590664</v>
      </c>
      <c r="H109" s="150">
        <v>7607059.260747373</v>
      </c>
      <c r="I109" s="151">
        <v>45144.0</v>
      </c>
      <c r="J109" s="151">
        <v>45172.0</v>
      </c>
      <c r="K109" s="152">
        <v>187515.58480478288</v>
      </c>
      <c r="L109" s="117" t="s">
        <v>2673</v>
      </c>
      <c r="M109" s="117" t="s">
        <v>2673</v>
      </c>
      <c r="N109" s="153"/>
      <c r="O109" s="153"/>
      <c r="P109" s="153"/>
      <c r="Q109" s="153"/>
      <c r="R109" s="153" t="str">
        <f t="shared" si="1"/>
        <v>2023</v>
      </c>
      <c r="S109" s="154">
        <f t="shared" si="2"/>
        <v>9</v>
      </c>
      <c r="T109" s="153" t="str">
        <f t="shared" si="3"/>
        <v>2023-Q3</v>
      </c>
      <c r="U109" s="153" t="str">
        <f t="shared" si="4"/>
        <v>2023-09</v>
      </c>
      <c r="V109" s="155" t="str">
        <f t="shared" si="5"/>
        <v>2023-H2</v>
      </c>
      <c r="W109" s="155"/>
    </row>
    <row r="110">
      <c r="A110" s="139">
        <f>HYPERLINK("https://polkadot.subsquare.io/referenda/102", 102)</f>
        <v>102</v>
      </c>
      <c r="B110" s="140" t="s">
        <v>2747</v>
      </c>
      <c r="C110" s="140" t="s">
        <v>2672</v>
      </c>
      <c r="D110" s="141">
        <v>99520.0</v>
      </c>
      <c r="E110" s="142">
        <v>503628.80447387695</v>
      </c>
      <c r="F110" s="140" t="s">
        <v>2683</v>
      </c>
      <c r="G110" s="143">
        <v>4201378.731518984</v>
      </c>
      <c r="H110" s="143">
        <v>1.2751935100499835E7</v>
      </c>
      <c r="I110" s="144">
        <v>45144.0</v>
      </c>
      <c r="J110" s="144">
        <v>45172.0</v>
      </c>
      <c r="K110" s="145">
        <v>424889.60845947266</v>
      </c>
      <c r="L110" s="114" t="s">
        <v>2673</v>
      </c>
      <c r="M110" s="114" t="s">
        <v>2673</v>
      </c>
      <c r="N110" s="108"/>
      <c r="O110" s="108"/>
      <c r="P110" s="108"/>
      <c r="Q110" s="108"/>
      <c r="R110" s="108" t="str">
        <f t="shared" si="1"/>
        <v>2023</v>
      </c>
      <c r="S110" s="110">
        <f t="shared" si="2"/>
        <v>9</v>
      </c>
      <c r="T110" s="108" t="str">
        <f t="shared" si="3"/>
        <v>2023-Q3</v>
      </c>
      <c r="U110" s="108" t="str">
        <f t="shared" si="4"/>
        <v>2023-09</v>
      </c>
      <c r="V110" s="112" t="str">
        <f t="shared" si="5"/>
        <v>2023-H2</v>
      </c>
      <c r="W110" s="112"/>
    </row>
    <row r="111">
      <c r="A111" s="146">
        <f>HYPERLINK("https://polkadot.subsquare.io/referenda/103", 103)</f>
        <v>103</v>
      </c>
      <c r="B111" s="147" t="s">
        <v>196</v>
      </c>
      <c r="C111" s="147" t="s">
        <v>2681</v>
      </c>
      <c r="D111" s="148">
        <v>60246.888</v>
      </c>
      <c r="E111" s="149">
        <v>304504.62928609084</v>
      </c>
      <c r="F111" s="147" t="s">
        <v>2683</v>
      </c>
      <c r="G111" s="150">
        <v>2718300.389463449</v>
      </c>
      <c r="H111" s="150">
        <v>1205976.0773400085</v>
      </c>
      <c r="I111" s="151">
        <v>45144.0</v>
      </c>
      <c r="J111" s="151">
        <v>45172.0</v>
      </c>
      <c r="K111" s="152">
        <v>257217.41010070036</v>
      </c>
      <c r="L111" s="117" t="s">
        <v>82</v>
      </c>
      <c r="M111" s="117" t="s">
        <v>150</v>
      </c>
      <c r="N111" s="153"/>
      <c r="O111" s="153"/>
      <c r="P111" s="153"/>
      <c r="Q111" s="153"/>
      <c r="R111" s="153" t="str">
        <f t="shared" si="1"/>
        <v>2023</v>
      </c>
      <c r="S111" s="154">
        <f t="shared" si="2"/>
        <v>9</v>
      </c>
      <c r="T111" s="153" t="str">
        <f t="shared" si="3"/>
        <v>2023-Q3</v>
      </c>
      <c r="U111" s="153" t="str">
        <f t="shared" si="4"/>
        <v>2023-09</v>
      </c>
      <c r="V111" s="155" t="str">
        <f t="shared" si="5"/>
        <v>2023-H2</v>
      </c>
      <c r="W111" s="155"/>
    </row>
    <row r="112">
      <c r="A112" s="139">
        <f>HYPERLINK("https://polkadot.subsquare.io/referenda/104", 104)</f>
        <v>104</v>
      </c>
      <c r="B112" s="140" t="s">
        <v>2748</v>
      </c>
      <c r="C112" s="140" t="s">
        <v>2672</v>
      </c>
      <c r="D112" s="141">
        <v>2441.0</v>
      </c>
      <c r="E112" s="142">
        <v>12337.497002124786</v>
      </c>
      <c r="F112" s="140" t="s">
        <v>2678</v>
      </c>
      <c r="G112" s="143">
        <v>469.5001</v>
      </c>
      <c r="H112" s="143">
        <v>9666029.169369327</v>
      </c>
      <c r="I112" s="144">
        <v>45144.0</v>
      </c>
      <c r="J112" s="144">
        <v>45173.0</v>
      </c>
      <c r="K112" s="145">
        <v>10421.578921318054</v>
      </c>
      <c r="L112" s="114" t="s">
        <v>2673</v>
      </c>
      <c r="M112" s="114" t="s">
        <v>2673</v>
      </c>
      <c r="N112" s="108"/>
      <c r="O112" s="108"/>
      <c r="P112" s="108"/>
      <c r="Q112" s="108"/>
      <c r="R112" s="108" t="str">
        <f t="shared" si="1"/>
        <v>2023</v>
      </c>
      <c r="S112" s="110">
        <f t="shared" si="2"/>
        <v>9</v>
      </c>
      <c r="T112" s="108" t="str">
        <f t="shared" si="3"/>
        <v>2023-Q3</v>
      </c>
      <c r="U112" s="108" t="str">
        <f t="shared" si="4"/>
        <v>2023-09</v>
      </c>
      <c r="V112" s="112" t="str">
        <f t="shared" si="5"/>
        <v>2023-H2</v>
      </c>
      <c r="W112" s="112"/>
    </row>
    <row r="113">
      <c r="A113" s="146">
        <f>HYPERLINK("https://polkadot.subsquare.io/referenda/105", 105)</f>
        <v>105</v>
      </c>
      <c r="B113" s="147" t="s">
        <v>197</v>
      </c>
      <c r="C113" s="147" t="s">
        <v>2681</v>
      </c>
      <c r="D113" s="148">
        <v>43877.1439</v>
      </c>
      <c r="E113" s="149">
        <v>221767.362281052</v>
      </c>
      <c r="F113" s="147" t="s">
        <v>2683</v>
      </c>
      <c r="G113" s="150">
        <v>1.3428261636466892E7</v>
      </c>
      <c r="H113" s="150">
        <v>490200.5592823739</v>
      </c>
      <c r="I113" s="151">
        <v>45144.0</v>
      </c>
      <c r="J113" s="151">
        <v>45165.0</v>
      </c>
      <c r="K113" s="152">
        <v>199041.0256758802</v>
      </c>
      <c r="L113" s="117" t="s">
        <v>81</v>
      </c>
      <c r="M113" s="117" t="s">
        <v>185</v>
      </c>
      <c r="N113" s="153"/>
      <c r="O113" s="153"/>
      <c r="P113" s="153"/>
      <c r="Q113" s="153"/>
      <c r="R113" s="153" t="str">
        <f t="shared" si="1"/>
        <v>2023</v>
      </c>
      <c r="S113" s="154">
        <f t="shared" si="2"/>
        <v>8</v>
      </c>
      <c r="T113" s="153" t="str">
        <f t="shared" si="3"/>
        <v>2023-Q3</v>
      </c>
      <c r="U113" s="153" t="str">
        <f t="shared" si="4"/>
        <v>2023-08</v>
      </c>
      <c r="V113" s="155" t="str">
        <f t="shared" si="5"/>
        <v>2023-H2</v>
      </c>
      <c r="W113" s="155"/>
    </row>
    <row r="114">
      <c r="A114" s="139">
        <f>HYPERLINK("https://polkadot.subsquare.io/referenda/106", 106)</f>
        <v>106</v>
      </c>
      <c r="B114" s="140" t="s">
        <v>2749</v>
      </c>
      <c r="C114" s="140" t="s">
        <v>2672</v>
      </c>
      <c r="D114" s="141">
        <v>10400.0</v>
      </c>
      <c r="E114" s="142">
        <v>52363.85459899902</v>
      </c>
      <c r="F114" s="140" t="s">
        <v>2683</v>
      </c>
      <c r="G114" s="143">
        <v>46.5606</v>
      </c>
      <c r="H114" s="143">
        <v>1.0376856235622648E7</v>
      </c>
      <c r="I114" s="144">
        <v>45147.0</v>
      </c>
      <c r="J114" s="144">
        <v>45175.0</v>
      </c>
      <c r="K114" s="145">
        <v>44092.83866882324</v>
      </c>
      <c r="L114" s="114" t="s">
        <v>2673</v>
      </c>
      <c r="M114" s="114" t="s">
        <v>2673</v>
      </c>
      <c r="N114" s="108"/>
      <c r="O114" s="108"/>
      <c r="P114" s="108"/>
      <c r="Q114" s="108"/>
      <c r="R114" s="108" t="str">
        <f t="shared" si="1"/>
        <v>2023</v>
      </c>
      <c r="S114" s="110">
        <f t="shared" si="2"/>
        <v>9</v>
      </c>
      <c r="T114" s="108" t="str">
        <f t="shared" si="3"/>
        <v>2023-Q3</v>
      </c>
      <c r="U114" s="108" t="str">
        <f t="shared" si="4"/>
        <v>2023-09</v>
      </c>
      <c r="V114" s="112" t="str">
        <f t="shared" si="5"/>
        <v>2023-H2</v>
      </c>
      <c r="W114" s="112"/>
    </row>
    <row r="115">
      <c r="A115" s="146">
        <f>HYPERLINK("https://polkadot.subsquare.io/referenda/107", 107)</f>
        <v>107</v>
      </c>
      <c r="B115" s="147" t="s">
        <v>2750</v>
      </c>
      <c r="C115" s="147" t="s">
        <v>2672</v>
      </c>
      <c r="D115" s="148">
        <v>81300.0</v>
      </c>
      <c r="E115" s="149">
        <v>405386.421918869</v>
      </c>
      <c r="F115" s="147" t="s">
        <v>2683</v>
      </c>
      <c r="G115" s="150">
        <v>349300.0235388797</v>
      </c>
      <c r="H115" s="150">
        <v>2.4637372195392903E7</v>
      </c>
      <c r="I115" s="151">
        <v>45148.0</v>
      </c>
      <c r="J115" s="151">
        <v>45177.0</v>
      </c>
      <c r="K115" s="152">
        <v>337553.6029815674</v>
      </c>
      <c r="L115" s="117" t="s">
        <v>2673</v>
      </c>
      <c r="M115" s="117" t="s">
        <v>2673</v>
      </c>
      <c r="N115" s="153"/>
      <c r="O115" s="153"/>
      <c r="P115" s="153"/>
      <c r="Q115" s="153"/>
      <c r="R115" s="153" t="str">
        <f t="shared" si="1"/>
        <v>2023</v>
      </c>
      <c r="S115" s="154">
        <f t="shared" si="2"/>
        <v>9</v>
      </c>
      <c r="T115" s="153" t="str">
        <f t="shared" si="3"/>
        <v>2023-Q3</v>
      </c>
      <c r="U115" s="153" t="str">
        <f t="shared" si="4"/>
        <v>2023-09</v>
      </c>
      <c r="V115" s="155" t="str">
        <f t="shared" si="5"/>
        <v>2023-H2</v>
      </c>
      <c r="W115" s="155"/>
    </row>
    <row r="116">
      <c r="A116" s="139">
        <f>HYPERLINK("https://polkadot.subsquare.io/referenda/108", 108)</f>
        <v>108</v>
      </c>
      <c r="B116" s="140" t="s">
        <v>186</v>
      </c>
      <c r="C116" s="140" t="s">
        <v>2681</v>
      </c>
      <c r="D116" s="141">
        <v>80.0</v>
      </c>
      <c r="E116" s="142">
        <v>399.0641784667969</v>
      </c>
      <c r="F116" s="140" t="s">
        <v>186</v>
      </c>
      <c r="G116" s="143">
        <v>1110896.6022407254</v>
      </c>
      <c r="H116" s="143">
        <v>96196.205521818</v>
      </c>
      <c r="I116" s="144">
        <v>45150.0</v>
      </c>
      <c r="J116" s="144">
        <v>45156.0</v>
      </c>
      <c r="K116" s="145">
        <v>361.59793853759766</v>
      </c>
      <c r="L116" s="114" t="s">
        <v>81</v>
      </c>
      <c r="M116" s="114" t="s">
        <v>185</v>
      </c>
      <c r="N116" s="108"/>
      <c r="O116" s="108"/>
      <c r="P116" s="108"/>
      <c r="Q116" s="108"/>
      <c r="R116" s="108" t="str">
        <f t="shared" si="1"/>
        <v>2023</v>
      </c>
      <c r="S116" s="110">
        <f t="shared" si="2"/>
        <v>8</v>
      </c>
      <c r="T116" s="108" t="str">
        <f t="shared" si="3"/>
        <v>2023-Q3</v>
      </c>
      <c r="U116" s="108" t="str">
        <f t="shared" si="4"/>
        <v>2023-08</v>
      </c>
      <c r="V116" s="112" t="str">
        <f t="shared" si="5"/>
        <v>2023-H2</v>
      </c>
      <c r="W116" s="112"/>
    </row>
    <row r="117">
      <c r="A117" s="146">
        <f>HYPERLINK("https://polkadot.subsquare.io/referenda/109", 109)</f>
        <v>109</v>
      </c>
      <c r="B117" s="147" t="s">
        <v>2751</v>
      </c>
      <c r="C117" s="147" t="s">
        <v>2672</v>
      </c>
      <c r="D117" s="148">
        <v>41936.15</v>
      </c>
      <c r="E117" s="149">
        <v>195674.3712114811</v>
      </c>
      <c r="F117" s="147" t="s">
        <v>2683</v>
      </c>
      <c r="G117" s="150">
        <v>1607072.6209056086</v>
      </c>
      <c r="H117" s="150">
        <v>9897751.71654564</v>
      </c>
      <c r="I117" s="151">
        <v>45151.0</v>
      </c>
      <c r="J117" s="151">
        <v>45179.0</v>
      </c>
      <c r="K117" s="152">
        <v>167864.8402448416</v>
      </c>
      <c r="L117" s="117" t="s">
        <v>2673</v>
      </c>
      <c r="M117" s="117" t="s">
        <v>2673</v>
      </c>
      <c r="N117" s="153"/>
      <c r="O117" s="153"/>
      <c r="P117" s="153"/>
      <c r="Q117" s="153"/>
      <c r="R117" s="153" t="str">
        <f t="shared" si="1"/>
        <v>2023</v>
      </c>
      <c r="S117" s="154">
        <f t="shared" si="2"/>
        <v>9</v>
      </c>
      <c r="T117" s="153" t="str">
        <f t="shared" si="3"/>
        <v>2023-Q3</v>
      </c>
      <c r="U117" s="153" t="str">
        <f t="shared" si="4"/>
        <v>2023-09</v>
      </c>
      <c r="V117" s="155" t="str">
        <f t="shared" si="5"/>
        <v>2023-H2</v>
      </c>
      <c r="W117" s="155"/>
    </row>
    <row r="118">
      <c r="A118" s="139">
        <f>HYPERLINK("https://polkadot.subsquare.io/referenda/110", 110)</f>
        <v>110</v>
      </c>
      <c r="B118" s="140" t="s">
        <v>2752</v>
      </c>
      <c r="C118" s="140" t="s">
        <v>2681</v>
      </c>
      <c r="D118" s="141">
        <v>0.0</v>
      </c>
      <c r="E118" s="142">
        <v>0.0</v>
      </c>
      <c r="F118" s="140" t="s">
        <v>2682</v>
      </c>
      <c r="G118" s="143">
        <v>6.832810810186908E7</v>
      </c>
      <c r="H118" s="143">
        <v>10.0</v>
      </c>
      <c r="I118" s="144">
        <v>45151.0</v>
      </c>
      <c r="J118" s="144">
        <v>45168.0</v>
      </c>
      <c r="K118" s="145">
        <v>0.0</v>
      </c>
      <c r="L118" s="114" t="s">
        <v>2673</v>
      </c>
      <c r="M118" s="114" t="s">
        <v>2673</v>
      </c>
      <c r="N118" s="108"/>
      <c r="O118" s="108"/>
      <c r="P118" s="108"/>
      <c r="Q118" s="108"/>
      <c r="R118" s="108" t="str">
        <f t="shared" si="1"/>
        <v>2023</v>
      </c>
      <c r="S118" s="110">
        <f t="shared" si="2"/>
        <v>8</v>
      </c>
      <c r="T118" s="108" t="str">
        <f t="shared" si="3"/>
        <v>2023-Q3</v>
      </c>
      <c r="U118" s="108" t="str">
        <f t="shared" si="4"/>
        <v>2023-08</v>
      </c>
      <c r="V118" s="112" t="str">
        <f t="shared" si="5"/>
        <v>2023-H2</v>
      </c>
      <c r="W118" s="112"/>
    </row>
    <row r="119">
      <c r="A119" s="146">
        <f>HYPERLINK("https://polkadot.subsquare.io/referenda/111", 111)</f>
        <v>111</v>
      </c>
      <c r="B119" s="147" t="s">
        <v>2753</v>
      </c>
      <c r="C119" s="147" t="s">
        <v>2681</v>
      </c>
      <c r="D119" s="148">
        <v>0.0</v>
      </c>
      <c r="E119" s="149">
        <v>0.0</v>
      </c>
      <c r="F119" s="147" t="s">
        <v>2676</v>
      </c>
      <c r="G119" s="150">
        <v>9549371.48081784</v>
      </c>
      <c r="H119" s="150">
        <v>1777789.0804504848</v>
      </c>
      <c r="I119" s="151">
        <v>45152.0</v>
      </c>
      <c r="J119" s="151">
        <v>45180.0</v>
      </c>
      <c r="K119" s="152">
        <v>0.0</v>
      </c>
      <c r="L119" s="117" t="s">
        <v>2673</v>
      </c>
      <c r="M119" s="117" t="s">
        <v>2673</v>
      </c>
      <c r="N119" s="153"/>
      <c r="O119" s="153"/>
      <c r="P119" s="153"/>
      <c r="Q119" s="153"/>
      <c r="R119" s="153" t="str">
        <f t="shared" si="1"/>
        <v>2023</v>
      </c>
      <c r="S119" s="154">
        <f t="shared" si="2"/>
        <v>9</v>
      </c>
      <c r="T119" s="153" t="str">
        <f t="shared" si="3"/>
        <v>2023-Q3</v>
      </c>
      <c r="U119" s="153" t="str">
        <f t="shared" si="4"/>
        <v>2023-09</v>
      </c>
      <c r="V119" s="155" t="str">
        <f t="shared" si="5"/>
        <v>2023-H2</v>
      </c>
      <c r="W119" s="155"/>
    </row>
    <row r="120">
      <c r="A120" s="139">
        <f>HYPERLINK("https://polkadot.subsquare.io/referenda/112", 112)</f>
        <v>112</v>
      </c>
      <c r="B120" s="140" t="s">
        <v>198</v>
      </c>
      <c r="C120" s="140" t="s">
        <v>2681</v>
      </c>
      <c r="D120" s="141">
        <v>172.387</v>
      </c>
      <c r="E120" s="142">
        <v>804.3589559373855</v>
      </c>
      <c r="F120" s="140" t="s">
        <v>186</v>
      </c>
      <c r="G120" s="143">
        <v>6915202.110300566</v>
      </c>
      <c r="H120" s="143">
        <v>32741.1</v>
      </c>
      <c r="I120" s="144">
        <v>45152.0</v>
      </c>
      <c r="J120" s="144">
        <v>45155.0</v>
      </c>
      <c r="K120" s="145">
        <v>778.7728910417557</v>
      </c>
      <c r="L120" s="114" t="s">
        <v>84</v>
      </c>
      <c r="M120" s="114" t="s">
        <v>148</v>
      </c>
      <c r="N120" s="108"/>
      <c r="O120" s="108"/>
      <c r="P120" s="108"/>
      <c r="Q120" s="108"/>
      <c r="R120" s="108" t="str">
        <f t="shared" si="1"/>
        <v>2023</v>
      </c>
      <c r="S120" s="110">
        <f t="shared" si="2"/>
        <v>8</v>
      </c>
      <c r="T120" s="108" t="str">
        <f t="shared" si="3"/>
        <v>2023-Q3</v>
      </c>
      <c r="U120" s="108" t="str">
        <f t="shared" si="4"/>
        <v>2023-08</v>
      </c>
      <c r="V120" s="112" t="str">
        <f t="shared" si="5"/>
        <v>2023-H2</v>
      </c>
      <c r="W120" s="112"/>
    </row>
    <row r="121">
      <c r="A121" s="146">
        <f>HYPERLINK("https://polkadot.subsquare.io/referenda/113", 113)</f>
        <v>113</v>
      </c>
      <c r="B121" s="147" t="s">
        <v>199</v>
      </c>
      <c r="C121" s="147" t="s">
        <v>2681</v>
      </c>
      <c r="D121" s="148">
        <v>212.8825</v>
      </c>
      <c r="E121" s="149">
        <v>993.3112441039085</v>
      </c>
      <c r="F121" s="147" t="s">
        <v>186</v>
      </c>
      <c r="G121" s="150">
        <v>6935202.312304886</v>
      </c>
      <c r="H121" s="150">
        <v>12741.0</v>
      </c>
      <c r="I121" s="151">
        <v>45152.0</v>
      </c>
      <c r="J121" s="151">
        <v>45155.0</v>
      </c>
      <c r="K121" s="152">
        <v>961.7147463393211</v>
      </c>
      <c r="L121" s="117" t="s">
        <v>84</v>
      </c>
      <c r="M121" s="117" t="s">
        <v>148</v>
      </c>
      <c r="N121" s="153"/>
      <c r="O121" s="153"/>
      <c r="P121" s="153"/>
      <c r="Q121" s="153"/>
      <c r="R121" s="153" t="str">
        <f t="shared" si="1"/>
        <v>2023</v>
      </c>
      <c r="S121" s="154">
        <f t="shared" si="2"/>
        <v>8</v>
      </c>
      <c r="T121" s="153" t="str">
        <f t="shared" si="3"/>
        <v>2023-Q3</v>
      </c>
      <c r="U121" s="153" t="str">
        <f t="shared" si="4"/>
        <v>2023-08</v>
      </c>
      <c r="V121" s="155" t="str">
        <f t="shared" si="5"/>
        <v>2023-H2</v>
      </c>
      <c r="W121" s="155"/>
    </row>
    <row r="122">
      <c r="A122" s="139">
        <f>HYPERLINK("https://polkadot.subsquare.io/referenda/114", 114)</f>
        <v>114</v>
      </c>
      <c r="B122" s="140" t="s">
        <v>200</v>
      </c>
      <c r="C122" s="140" t="s">
        <v>2681</v>
      </c>
      <c r="D122" s="141">
        <v>500.0</v>
      </c>
      <c r="E122" s="142">
        <v>2333.003520965576</v>
      </c>
      <c r="F122" s="140" t="s">
        <v>2699</v>
      </c>
      <c r="G122" s="143">
        <v>6964815.49971053</v>
      </c>
      <c r="H122" s="143">
        <v>27741.1</v>
      </c>
      <c r="I122" s="144">
        <v>45152.0</v>
      </c>
      <c r="J122" s="144">
        <v>45156.0</v>
      </c>
      <c r="K122" s="145">
        <v>2216.8214321136475</v>
      </c>
      <c r="L122" s="114" t="s">
        <v>84</v>
      </c>
      <c r="M122" s="114" t="s">
        <v>148</v>
      </c>
      <c r="N122" s="108"/>
      <c r="O122" s="108"/>
      <c r="P122" s="108"/>
      <c r="Q122" s="108"/>
      <c r="R122" s="108" t="str">
        <f t="shared" si="1"/>
        <v>2023</v>
      </c>
      <c r="S122" s="110">
        <f t="shared" si="2"/>
        <v>8</v>
      </c>
      <c r="T122" s="108" t="str">
        <f t="shared" si="3"/>
        <v>2023-Q3</v>
      </c>
      <c r="U122" s="108" t="str">
        <f t="shared" si="4"/>
        <v>2023-08</v>
      </c>
      <c r="V122" s="112" t="str">
        <f t="shared" si="5"/>
        <v>2023-H2</v>
      </c>
      <c r="W122" s="112"/>
    </row>
    <row r="123">
      <c r="A123" s="146">
        <f>HYPERLINK("https://polkadot.subsquare.io/referenda/115", 115)</f>
        <v>115</v>
      </c>
      <c r="B123" s="147" t="s">
        <v>201</v>
      </c>
      <c r="C123" s="147" t="s">
        <v>2681</v>
      </c>
      <c r="D123" s="148">
        <v>360.2</v>
      </c>
      <c r="E123" s="149">
        <v>1680.695736503601</v>
      </c>
      <c r="F123" s="147" t="s">
        <v>2699</v>
      </c>
      <c r="G123" s="150">
        <v>6459460.543195448</v>
      </c>
      <c r="H123" s="150">
        <v>27741.1</v>
      </c>
      <c r="I123" s="151">
        <v>45152.0</v>
      </c>
      <c r="J123" s="151">
        <v>45157.0</v>
      </c>
      <c r="K123" s="152">
        <v>1596.9981596946716</v>
      </c>
      <c r="L123" s="117" t="s">
        <v>84</v>
      </c>
      <c r="M123" s="117" t="s">
        <v>148</v>
      </c>
      <c r="N123" s="153"/>
      <c r="O123" s="153"/>
      <c r="P123" s="153"/>
      <c r="Q123" s="153"/>
      <c r="R123" s="153" t="str">
        <f t="shared" si="1"/>
        <v>2023</v>
      </c>
      <c r="S123" s="154">
        <f t="shared" si="2"/>
        <v>8</v>
      </c>
      <c r="T123" s="153" t="str">
        <f t="shared" si="3"/>
        <v>2023-Q3</v>
      </c>
      <c r="U123" s="153" t="str">
        <f t="shared" si="4"/>
        <v>2023-08</v>
      </c>
      <c r="V123" s="155" t="str">
        <f t="shared" si="5"/>
        <v>2023-H2</v>
      </c>
      <c r="W123" s="155"/>
    </row>
    <row r="124">
      <c r="A124" s="139">
        <f>HYPERLINK("https://polkadot.subsquare.io/referenda/116", 116)</f>
        <v>116</v>
      </c>
      <c r="B124" s="140" t="s">
        <v>2754</v>
      </c>
      <c r="C124" s="140" t="s">
        <v>2672</v>
      </c>
      <c r="D124" s="141">
        <v>16842.0</v>
      </c>
      <c r="E124" s="142">
        <v>78584.89060020447</v>
      </c>
      <c r="F124" s="140" t="s">
        <v>2683</v>
      </c>
      <c r="G124" s="143">
        <v>552334.3568617809</v>
      </c>
      <c r="H124" s="143">
        <v>7669622.991030213</v>
      </c>
      <c r="I124" s="144">
        <v>45152.0</v>
      </c>
      <c r="J124" s="144">
        <v>45180.0</v>
      </c>
      <c r="K124" s="145">
        <v>68357.06049442291</v>
      </c>
      <c r="L124" s="114" t="s">
        <v>2673</v>
      </c>
      <c r="M124" s="114" t="s">
        <v>2673</v>
      </c>
      <c r="N124" s="108"/>
      <c r="O124" s="108"/>
      <c r="P124" s="108"/>
      <c r="Q124" s="108"/>
      <c r="R124" s="108" t="str">
        <f t="shared" si="1"/>
        <v>2023</v>
      </c>
      <c r="S124" s="110">
        <f t="shared" si="2"/>
        <v>9</v>
      </c>
      <c r="T124" s="108" t="str">
        <f t="shared" si="3"/>
        <v>2023-Q3</v>
      </c>
      <c r="U124" s="108" t="str">
        <f t="shared" si="4"/>
        <v>2023-09</v>
      </c>
      <c r="V124" s="112" t="str">
        <f t="shared" si="5"/>
        <v>2023-H2</v>
      </c>
      <c r="W124" s="112"/>
    </row>
    <row r="125">
      <c r="A125" s="146">
        <f>HYPERLINK("https://polkadot.subsquare.io/referenda/117", 117)</f>
        <v>117</v>
      </c>
      <c r="B125" s="147" t="s">
        <v>2755</v>
      </c>
      <c r="C125" s="147" t="s">
        <v>2672</v>
      </c>
      <c r="D125" s="148">
        <v>26616.0</v>
      </c>
      <c r="E125" s="149">
        <v>118120.84882736206</v>
      </c>
      <c r="F125" s="147" t="s">
        <v>2683</v>
      </c>
      <c r="G125" s="150">
        <v>2416625.7260041023</v>
      </c>
      <c r="H125" s="150">
        <v>1.7394431087814342E7</v>
      </c>
      <c r="I125" s="151">
        <v>45152.0</v>
      </c>
      <c r="J125" s="151">
        <v>45180.0</v>
      </c>
      <c r="K125" s="152">
        <v>108027.04679489136</v>
      </c>
      <c r="L125" s="117" t="s">
        <v>2673</v>
      </c>
      <c r="M125" s="117" t="s">
        <v>2673</v>
      </c>
      <c r="N125" s="153"/>
      <c r="O125" s="153"/>
      <c r="P125" s="153"/>
      <c r="Q125" s="153"/>
      <c r="R125" s="153" t="str">
        <f t="shared" si="1"/>
        <v>2023</v>
      </c>
      <c r="S125" s="154">
        <f t="shared" si="2"/>
        <v>9</v>
      </c>
      <c r="T125" s="153" t="str">
        <f t="shared" si="3"/>
        <v>2023-Q3</v>
      </c>
      <c r="U125" s="153" t="str">
        <f t="shared" si="4"/>
        <v>2023-09</v>
      </c>
      <c r="V125" s="155" t="str">
        <f t="shared" si="5"/>
        <v>2023-H2</v>
      </c>
      <c r="W125" s="155"/>
    </row>
    <row r="126">
      <c r="A126" s="139">
        <f>HYPERLINK("https://polkadot.subsquare.io/referenda/118", 118)</f>
        <v>118</v>
      </c>
      <c r="B126" s="140" t="s">
        <v>203</v>
      </c>
      <c r="C126" s="140" t="s">
        <v>2681</v>
      </c>
      <c r="D126" s="141">
        <v>4100.0</v>
      </c>
      <c r="E126" s="142">
        <v>18498.44570159912</v>
      </c>
      <c r="F126" s="140" t="s">
        <v>2678</v>
      </c>
      <c r="G126" s="143">
        <v>1.0393061010226985E7</v>
      </c>
      <c r="H126" s="143">
        <v>1462553.2046127678</v>
      </c>
      <c r="I126" s="144">
        <v>45153.0</v>
      </c>
      <c r="J126" s="144">
        <v>45176.0</v>
      </c>
      <c r="K126" s="145">
        <v>17382.753705978394</v>
      </c>
      <c r="L126" s="114" t="s">
        <v>81</v>
      </c>
      <c r="M126" s="114" t="s">
        <v>202</v>
      </c>
      <c r="N126" s="108"/>
      <c r="O126" s="108"/>
      <c r="P126" s="108"/>
      <c r="Q126" s="108"/>
      <c r="R126" s="108" t="str">
        <f t="shared" si="1"/>
        <v>2023</v>
      </c>
      <c r="S126" s="110">
        <f t="shared" si="2"/>
        <v>9</v>
      </c>
      <c r="T126" s="108" t="str">
        <f t="shared" si="3"/>
        <v>2023-Q3</v>
      </c>
      <c r="U126" s="108" t="str">
        <f t="shared" si="4"/>
        <v>2023-09</v>
      </c>
      <c r="V126" s="112" t="str">
        <f t="shared" si="5"/>
        <v>2023-H2</v>
      </c>
      <c r="W126" s="112"/>
    </row>
    <row r="127">
      <c r="A127" s="146">
        <f>HYPERLINK("https://polkadot.subsquare.io/referenda/119", 119)</f>
        <v>119</v>
      </c>
      <c r="B127" s="147" t="s">
        <v>204</v>
      </c>
      <c r="C127" s="147" t="s">
        <v>2681</v>
      </c>
      <c r="D127" s="148">
        <v>27259.0</v>
      </c>
      <c r="E127" s="149">
        <v>122987.59301948547</v>
      </c>
      <c r="F127" s="147" t="s">
        <v>2683</v>
      </c>
      <c r="G127" s="150">
        <v>9881167.304925859</v>
      </c>
      <c r="H127" s="150">
        <v>1774058.2108842062</v>
      </c>
      <c r="I127" s="151">
        <v>45153.0</v>
      </c>
      <c r="J127" s="151">
        <v>45182.0</v>
      </c>
      <c r="K127" s="152">
        <v>114095.51201915741</v>
      </c>
      <c r="L127" s="117" t="s">
        <v>81</v>
      </c>
      <c r="M127" s="117" t="s">
        <v>140</v>
      </c>
      <c r="N127" s="153"/>
      <c r="O127" s="153"/>
      <c r="P127" s="153"/>
      <c r="Q127" s="153"/>
      <c r="R127" s="153" t="str">
        <f t="shared" si="1"/>
        <v>2023</v>
      </c>
      <c r="S127" s="154">
        <f t="shared" si="2"/>
        <v>9</v>
      </c>
      <c r="T127" s="153" t="str">
        <f t="shared" si="3"/>
        <v>2023-Q3</v>
      </c>
      <c r="U127" s="153" t="str">
        <f t="shared" si="4"/>
        <v>2023-09</v>
      </c>
      <c r="V127" s="155" t="str">
        <f t="shared" si="5"/>
        <v>2023-H2</v>
      </c>
      <c r="W127" s="155"/>
    </row>
    <row r="128">
      <c r="A128" s="139">
        <f>HYPERLINK("https://polkadot.subsquare.io/referenda/120", 120)</f>
        <v>120</v>
      </c>
      <c r="B128" s="140" t="s">
        <v>205</v>
      </c>
      <c r="C128" s="140" t="s">
        <v>2681</v>
      </c>
      <c r="D128" s="141">
        <v>42820.0</v>
      </c>
      <c r="E128" s="142">
        <v>193442.9811668396</v>
      </c>
      <c r="F128" s="140" t="s">
        <v>2683</v>
      </c>
      <c r="G128" s="143">
        <v>1.3377423438059485E7</v>
      </c>
      <c r="H128" s="143">
        <v>741684.2711678819</v>
      </c>
      <c r="I128" s="144">
        <v>45154.0</v>
      </c>
      <c r="J128" s="144">
        <v>45179.0</v>
      </c>
      <c r="K128" s="145">
        <v>170720.25636672974</v>
      </c>
      <c r="L128" s="114" t="s">
        <v>81</v>
      </c>
      <c r="M128" s="114" t="s">
        <v>142</v>
      </c>
      <c r="N128" s="108"/>
      <c r="O128" s="108"/>
      <c r="P128" s="108"/>
      <c r="Q128" s="108"/>
      <c r="R128" s="108" t="str">
        <f t="shared" si="1"/>
        <v>2023</v>
      </c>
      <c r="S128" s="110">
        <f t="shared" si="2"/>
        <v>9</v>
      </c>
      <c r="T128" s="108" t="str">
        <f t="shared" si="3"/>
        <v>2023-Q3</v>
      </c>
      <c r="U128" s="108" t="str">
        <f t="shared" si="4"/>
        <v>2023-09</v>
      </c>
      <c r="V128" s="112" t="str">
        <f t="shared" si="5"/>
        <v>2023-H2</v>
      </c>
      <c r="W128" s="112"/>
    </row>
    <row r="129">
      <c r="A129" s="146">
        <f>HYPERLINK("https://polkadot.subsquare.io/referenda/121", 121)</f>
        <v>121</v>
      </c>
      <c r="B129" s="147" t="s">
        <v>2756</v>
      </c>
      <c r="C129" s="147" t="s">
        <v>2672</v>
      </c>
      <c r="D129" s="148">
        <v>20359.6878</v>
      </c>
      <c r="E129" s="149">
        <v>90004.46167887497</v>
      </c>
      <c r="F129" s="147" t="s">
        <v>2683</v>
      </c>
      <c r="G129" s="150">
        <v>1639770.42252777</v>
      </c>
      <c r="H129" s="150">
        <v>9528437.06765272</v>
      </c>
      <c r="I129" s="151">
        <v>45158.0</v>
      </c>
      <c r="J129" s="151">
        <v>45186.0</v>
      </c>
      <c r="K129" s="152">
        <v>84619.78737840356</v>
      </c>
      <c r="L129" s="117" t="s">
        <v>2673</v>
      </c>
      <c r="M129" s="117" t="s">
        <v>2673</v>
      </c>
      <c r="N129" s="153"/>
      <c r="O129" s="153"/>
      <c r="P129" s="153"/>
      <c r="Q129" s="153"/>
      <c r="R129" s="153" t="str">
        <f t="shared" si="1"/>
        <v>2023</v>
      </c>
      <c r="S129" s="154">
        <f t="shared" si="2"/>
        <v>9</v>
      </c>
      <c r="T129" s="153" t="str">
        <f t="shared" si="3"/>
        <v>2023-Q3</v>
      </c>
      <c r="U129" s="153" t="str">
        <f t="shared" si="4"/>
        <v>2023-09</v>
      </c>
      <c r="V129" s="155" t="str">
        <f t="shared" si="5"/>
        <v>2023-H2</v>
      </c>
      <c r="W129" s="155"/>
    </row>
    <row r="130">
      <c r="A130" s="139">
        <f>HYPERLINK("https://polkadot.subsquare.io/referenda/122", 122)</f>
        <v>122</v>
      </c>
      <c r="B130" s="140" t="s">
        <v>2757</v>
      </c>
      <c r="C130" s="140" t="s">
        <v>2681</v>
      </c>
      <c r="D130" s="141">
        <v>0.0</v>
      </c>
      <c r="E130" s="142">
        <v>0.0</v>
      </c>
      <c r="F130" s="140" t="s">
        <v>2682</v>
      </c>
      <c r="G130" s="143">
        <v>8.206835035509123E7</v>
      </c>
      <c r="H130" s="143">
        <v>5000.0</v>
      </c>
      <c r="I130" s="144">
        <v>45158.0</v>
      </c>
      <c r="J130" s="144">
        <v>45168.0</v>
      </c>
      <c r="K130" s="145">
        <v>0.0</v>
      </c>
      <c r="L130" s="114" t="s">
        <v>2673</v>
      </c>
      <c r="M130" s="114" t="s">
        <v>2673</v>
      </c>
      <c r="N130" s="108"/>
      <c r="O130" s="108"/>
      <c r="P130" s="108"/>
      <c r="Q130" s="108"/>
      <c r="R130" s="108" t="str">
        <f t="shared" si="1"/>
        <v>2023</v>
      </c>
      <c r="S130" s="110">
        <f t="shared" si="2"/>
        <v>8</v>
      </c>
      <c r="T130" s="108" t="str">
        <f t="shared" si="3"/>
        <v>2023-Q3</v>
      </c>
      <c r="U130" s="108" t="str">
        <f t="shared" si="4"/>
        <v>2023-08</v>
      </c>
      <c r="V130" s="112" t="str">
        <f t="shared" si="5"/>
        <v>2023-H2</v>
      </c>
      <c r="W130" s="112"/>
    </row>
    <row r="131">
      <c r="A131" s="146">
        <f>HYPERLINK("https://polkadot.subsquare.io/referenda/123", 123)</f>
        <v>123</v>
      </c>
      <c r="B131" s="147" t="s">
        <v>206</v>
      </c>
      <c r="C131" s="147" t="s">
        <v>2681</v>
      </c>
      <c r="D131" s="148">
        <v>300.0</v>
      </c>
      <c r="E131" s="149">
        <v>1326.2157440185547</v>
      </c>
      <c r="F131" s="147" t="s">
        <v>2699</v>
      </c>
      <c r="G131" s="150">
        <v>6510028.820878574</v>
      </c>
      <c r="H131" s="150">
        <v>20708.8341525147</v>
      </c>
      <c r="I131" s="151">
        <v>45158.0</v>
      </c>
      <c r="J131" s="151">
        <v>45162.0</v>
      </c>
      <c r="K131" s="152">
        <v>1347.7179050445557</v>
      </c>
      <c r="L131" s="117" t="s">
        <v>84</v>
      </c>
      <c r="M131" s="117" t="s">
        <v>148</v>
      </c>
      <c r="N131" s="153"/>
      <c r="O131" s="153"/>
      <c r="P131" s="153"/>
      <c r="Q131" s="153"/>
      <c r="R131" s="153" t="str">
        <f t="shared" si="1"/>
        <v>2023</v>
      </c>
      <c r="S131" s="154">
        <f t="shared" si="2"/>
        <v>8</v>
      </c>
      <c r="T131" s="153" t="str">
        <f t="shared" si="3"/>
        <v>2023-Q3</v>
      </c>
      <c r="U131" s="153" t="str">
        <f t="shared" si="4"/>
        <v>2023-08</v>
      </c>
      <c r="V131" s="155" t="str">
        <f t="shared" si="5"/>
        <v>2023-H2</v>
      </c>
      <c r="W131" s="155"/>
    </row>
    <row r="132">
      <c r="A132" s="139">
        <f>HYPERLINK("https://polkadot.subsquare.io/referenda/124", 124)</f>
        <v>124</v>
      </c>
      <c r="B132" s="140" t="s">
        <v>207</v>
      </c>
      <c r="C132" s="140" t="s">
        <v>2681</v>
      </c>
      <c r="D132" s="141">
        <v>40105.193</v>
      </c>
      <c r="E132" s="142">
        <v>177293.79457834244</v>
      </c>
      <c r="F132" s="140" t="s">
        <v>2683</v>
      </c>
      <c r="G132" s="143">
        <v>8838877.482657176</v>
      </c>
      <c r="H132" s="143">
        <v>2405004.184851485</v>
      </c>
      <c r="I132" s="144">
        <v>45158.0</v>
      </c>
      <c r="J132" s="144">
        <v>45183.0</v>
      </c>
      <c r="K132" s="145">
        <v>163412.5325917449</v>
      </c>
      <c r="L132" s="114" t="s">
        <v>81</v>
      </c>
      <c r="M132" s="114" t="s">
        <v>158</v>
      </c>
      <c r="N132" s="108"/>
      <c r="O132" s="108"/>
      <c r="P132" s="108"/>
      <c r="Q132" s="108"/>
      <c r="R132" s="108" t="str">
        <f t="shared" si="1"/>
        <v>2023</v>
      </c>
      <c r="S132" s="110">
        <f t="shared" si="2"/>
        <v>9</v>
      </c>
      <c r="T132" s="108" t="str">
        <f t="shared" si="3"/>
        <v>2023-Q3</v>
      </c>
      <c r="U132" s="108" t="str">
        <f t="shared" si="4"/>
        <v>2023-09</v>
      </c>
      <c r="V132" s="112" t="str">
        <f t="shared" si="5"/>
        <v>2023-H2</v>
      </c>
      <c r="W132" s="112"/>
    </row>
    <row r="133">
      <c r="A133" s="146">
        <f>HYPERLINK("https://polkadot.subsquare.io/referenda/125", 125)</f>
        <v>125</v>
      </c>
      <c r="B133" s="147" t="s">
        <v>208</v>
      </c>
      <c r="C133" s="147" t="s">
        <v>2681</v>
      </c>
      <c r="D133" s="148">
        <v>129145.0</v>
      </c>
      <c r="E133" s="149">
        <v>570913.7742042542</v>
      </c>
      <c r="F133" s="147" t="s">
        <v>2676</v>
      </c>
      <c r="G133" s="150">
        <v>2.5778966219183177E7</v>
      </c>
      <c r="H133" s="150">
        <v>8589727.942633545</v>
      </c>
      <c r="I133" s="151">
        <v>45158.0</v>
      </c>
      <c r="J133" s="151">
        <v>45183.0</v>
      </c>
      <c r="K133" s="152">
        <v>540550.4567193985</v>
      </c>
      <c r="L133" s="117" t="s">
        <v>81</v>
      </c>
      <c r="M133" s="117" t="s">
        <v>146</v>
      </c>
      <c r="N133" s="153"/>
      <c r="O133" s="153"/>
      <c r="P133" s="153"/>
      <c r="Q133" s="153"/>
      <c r="R133" s="153" t="str">
        <f t="shared" si="1"/>
        <v>2023</v>
      </c>
      <c r="S133" s="154">
        <f t="shared" si="2"/>
        <v>9</v>
      </c>
      <c r="T133" s="153" t="str">
        <f t="shared" si="3"/>
        <v>2023-Q3</v>
      </c>
      <c r="U133" s="153" t="str">
        <f t="shared" si="4"/>
        <v>2023-09</v>
      </c>
      <c r="V133" s="155" t="str">
        <f t="shared" si="5"/>
        <v>2023-H2</v>
      </c>
      <c r="W133" s="155"/>
    </row>
    <row r="134">
      <c r="A134" s="139">
        <f>HYPERLINK("https://polkadot.subsquare.io/referenda/126", 126)</f>
        <v>126</v>
      </c>
      <c r="B134" s="140" t="s">
        <v>2758</v>
      </c>
      <c r="C134" s="140" t="s">
        <v>2672</v>
      </c>
      <c r="D134" s="141">
        <v>19401.45</v>
      </c>
      <c r="E134" s="142">
        <v>87075.59324355125</v>
      </c>
      <c r="F134" s="140" t="s">
        <v>2683</v>
      </c>
      <c r="G134" s="143">
        <v>477424.7660347505</v>
      </c>
      <c r="H134" s="143">
        <v>1.0469698783747932E7</v>
      </c>
      <c r="I134" s="144">
        <v>45158.0</v>
      </c>
      <c r="J134" s="144">
        <v>45186.0</v>
      </c>
      <c r="K134" s="145">
        <v>80320.12238917351</v>
      </c>
      <c r="L134" s="114" t="s">
        <v>2673</v>
      </c>
      <c r="M134" s="114" t="s">
        <v>2673</v>
      </c>
      <c r="N134" s="108"/>
      <c r="O134" s="108"/>
      <c r="P134" s="108"/>
      <c r="Q134" s="108"/>
      <c r="R134" s="108" t="str">
        <f t="shared" si="1"/>
        <v>2023</v>
      </c>
      <c r="S134" s="110">
        <f t="shared" si="2"/>
        <v>9</v>
      </c>
      <c r="T134" s="108" t="str">
        <f t="shared" si="3"/>
        <v>2023-Q3</v>
      </c>
      <c r="U134" s="108" t="str">
        <f t="shared" si="4"/>
        <v>2023-09</v>
      </c>
      <c r="V134" s="112" t="str">
        <f t="shared" si="5"/>
        <v>2023-H2</v>
      </c>
      <c r="W134" s="112"/>
    </row>
    <row r="135">
      <c r="A135" s="146">
        <f>HYPERLINK("https://polkadot.subsquare.io/referenda/127", 127)</f>
        <v>127</v>
      </c>
      <c r="B135" s="147" t="s">
        <v>2759</v>
      </c>
      <c r="C135" s="147" t="s">
        <v>2672</v>
      </c>
      <c r="D135" s="148">
        <v>1.94779899E8</v>
      </c>
      <c r="E135" s="149">
        <v>8.741911175372972E8</v>
      </c>
      <c r="F135" s="147" t="s">
        <v>2676</v>
      </c>
      <c r="G135" s="150">
        <v>250564.3001</v>
      </c>
      <c r="H135" s="150">
        <v>1.1319202934961796E7</v>
      </c>
      <c r="I135" s="151">
        <v>45158.0</v>
      </c>
      <c r="J135" s="151">
        <v>45187.0</v>
      </c>
      <c r="K135" s="152">
        <v>8.063699015604944E8</v>
      </c>
      <c r="L135" s="117" t="s">
        <v>2673</v>
      </c>
      <c r="M135" s="117" t="s">
        <v>2673</v>
      </c>
      <c r="N135" s="153"/>
      <c r="O135" s="153"/>
      <c r="P135" s="153"/>
      <c r="Q135" s="153"/>
      <c r="R135" s="153" t="str">
        <f t="shared" si="1"/>
        <v>2023</v>
      </c>
      <c r="S135" s="154">
        <f t="shared" si="2"/>
        <v>9</v>
      </c>
      <c r="T135" s="153" t="str">
        <f t="shared" si="3"/>
        <v>2023-Q3</v>
      </c>
      <c r="U135" s="153" t="str">
        <f t="shared" si="4"/>
        <v>2023-09</v>
      </c>
      <c r="V135" s="155" t="str">
        <f t="shared" si="5"/>
        <v>2023-H2</v>
      </c>
      <c r="W135" s="155"/>
    </row>
    <row r="136">
      <c r="A136" s="139">
        <f>HYPERLINK("https://polkadot.subsquare.io/referenda/128", 128)</f>
        <v>128</v>
      </c>
      <c r="B136" s="140" t="s">
        <v>2760</v>
      </c>
      <c r="C136" s="140" t="s">
        <v>2672</v>
      </c>
      <c r="D136" s="141">
        <v>194779.0</v>
      </c>
      <c r="E136" s="142">
        <v>874187.0827379227</v>
      </c>
      <c r="F136" s="140" t="s">
        <v>2676</v>
      </c>
      <c r="G136" s="143">
        <v>1532577.915722291</v>
      </c>
      <c r="H136" s="143">
        <v>1.0757500133491058E7</v>
      </c>
      <c r="I136" s="144">
        <v>45158.0</v>
      </c>
      <c r="J136" s="144">
        <v>45187.0</v>
      </c>
      <c r="K136" s="145">
        <v>806366.1797876358</v>
      </c>
      <c r="L136" s="114" t="s">
        <v>2673</v>
      </c>
      <c r="M136" s="114" t="s">
        <v>2673</v>
      </c>
      <c r="N136" s="108"/>
      <c r="O136" s="108"/>
      <c r="P136" s="108"/>
      <c r="Q136" s="108"/>
      <c r="R136" s="108" t="str">
        <f t="shared" si="1"/>
        <v>2023</v>
      </c>
      <c r="S136" s="110">
        <f t="shared" si="2"/>
        <v>9</v>
      </c>
      <c r="T136" s="108" t="str">
        <f t="shared" si="3"/>
        <v>2023-Q3</v>
      </c>
      <c r="U136" s="108" t="str">
        <f t="shared" si="4"/>
        <v>2023-09</v>
      </c>
      <c r="V136" s="112" t="str">
        <f t="shared" si="5"/>
        <v>2023-H2</v>
      </c>
      <c r="W136" s="112"/>
    </row>
    <row r="137">
      <c r="A137" s="146">
        <f>HYPERLINK("https://polkadot.subsquare.io/referenda/129", 129)</f>
        <v>129</v>
      </c>
      <c r="B137" s="147" t="s">
        <v>2761</v>
      </c>
      <c r="C137" s="147" t="s">
        <v>2672</v>
      </c>
      <c r="D137" s="148">
        <v>59895.0</v>
      </c>
      <c r="E137" s="149">
        <v>268814.58124637604</v>
      </c>
      <c r="F137" s="147" t="s">
        <v>2683</v>
      </c>
      <c r="G137" s="150">
        <v>1053668.0843173577</v>
      </c>
      <c r="H137" s="150">
        <v>2.1799859680688288E7</v>
      </c>
      <c r="I137" s="151">
        <v>45159.0</v>
      </c>
      <c r="J137" s="151">
        <v>45187.0</v>
      </c>
      <c r="K137" s="152">
        <v>247959.49429035187</v>
      </c>
      <c r="L137" s="117" t="s">
        <v>2673</v>
      </c>
      <c r="M137" s="117" t="s">
        <v>2673</v>
      </c>
      <c r="N137" s="153"/>
      <c r="O137" s="153"/>
      <c r="P137" s="153"/>
      <c r="Q137" s="153"/>
      <c r="R137" s="153" t="str">
        <f t="shared" si="1"/>
        <v>2023</v>
      </c>
      <c r="S137" s="154">
        <f t="shared" si="2"/>
        <v>9</v>
      </c>
      <c r="T137" s="153" t="str">
        <f t="shared" si="3"/>
        <v>2023-Q3</v>
      </c>
      <c r="U137" s="153" t="str">
        <f t="shared" si="4"/>
        <v>2023-09</v>
      </c>
      <c r="V137" s="155" t="str">
        <f t="shared" si="5"/>
        <v>2023-H2</v>
      </c>
      <c r="W137" s="155"/>
    </row>
    <row r="138">
      <c r="A138" s="139">
        <f>HYPERLINK("https://polkadot.subsquare.io/referenda/130", 130)</f>
        <v>130</v>
      </c>
      <c r="B138" s="140" t="s">
        <v>2762</v>
      </c>
      <c r="C138" s="140" t="s">
        <v>2681</v>
      </c>
      <c r="D138" s="141">
        <v>0.0</v>
      </c>
      <c r="E138" s="142">
        <v>0.0</v>
      </c>
      <c r="F138" s="140" t="s">
        <v>2682</v>
      </c>
      <c r="G138" s="143">
        <v>8.366270379160039E7</v>
      </c>
      <c r="H138" s="143">
        <v>5.1</v>
      </c>
      <c r="I138" s="144">
        <v>45159.0</v>
      </c>
      <c r="J138" s="144">
        <v>45169.0</v>
      </c>
      <c r="K138" s="145">
        <v>0.0</v>
      </c>
      <c r="L138" s="114" t="s">
        <v>2673</v>
      </c>
      <c r="M138" s="114" t="s">
        <v>2673</v>
      </c>
      <c r="N138" s="108"/>
      <c r="O138" s="108"/>
      <c r="P138" s="108"/>
      <c r="Q138" s="108"/>
      <c r="R138" s="108" t="str">
        <f t="shared" si="1"/>
        <v>2023</v>
      </c>
      <c r="S138" s="110">
        <f t="shared" si="2"/>
        <v>8</v>
      </c>
      <c r="T138" s="108" t="str">
        <f t="shared" si="3"/>
        <v>2023-Q3</v>
      </c>
      <c r="U138" s="108" t="str">
        <f t="shared" si="4"/>
        <v>2023-08</v>
      </c>
      <c r="V138" s="112" t="str">
        <f t="shared" si="5"/>
        <v>2023-H2</v>
      </c>
      <c r="W138" s="112"/>
    </row>
    <row r="139">
      <c r="A139" s="146">
        <f>HYPERLINK("https://polkadot.subsquare.io/referenda/131", 131)</f>
        <v>131</v>
      </c>
      <c r="B139" s="147" t="s">
        <v>2763</v>
      </c>
      <c r="C139" s="147" t="s">
        <v>2672</v>
      </c>
      <c r="D139" s="148">
        <v>71068.0</v>
      </c>
      <c r="E139" s="149">
        <v>318843.313583374</v>
      </c>
      <c r="F139" s="147" t="s">
        <v>2683</v>
      </c>
      <c r="G139" s="150">
        <v>642061.6815548666</v>
      </c>
      <c r="H139" s="150">
        <v>1.0403065271781659E7</v>
      </c>
      <c r="I139" s="151">
        <v>45160.0</v>
      </c>
      <c r="J139" s="151">
        <v>45189.0</v>
      </c>
      <c r="K139" s="152">
        <v>285650.86326408386</v>
      </c>
      <c r="L139" s="117" t="s">
        <v>2673</v>
      </c>
      <c r="M139" s="117" t="s">
        <v>2673</v>
      </c>
      <c r="N139" s="153"/>
      <c r="O139" s="153"/>
      <c r="P139" s="153"/>
      <c r="Q139" s="153"/>
      <c r="R139" s="153" t="str">
        <f t="shared" si="1"/>
        <v>2023</v>
      </c>
      <c r="S139" s="154">
        <f t="shared" si="2"/>
        <v>9</v>
      </c>
      <c r="T139" s="153" t="str">
        <f t="shared" si="3"/>
        <v>2023-Q3</v>
      </c>
      <c r="U139" s="153" t="str">
        <f t="shared" si="4"/>
        <v>2023-09</v>
      </c>
      <c r="V139" s="155" t="str">
        <f t="shared" si="5"/>
        <v>2023-H2</v>
      </c>
      <c r="W139" s="155"/>
    </row>
    <row r="140">
      <c r="A140" s="139">
        <f>HYPERLINK("https://polkadot.subsquare.io/referenda/132", 132)</f>
        <v>132</v>
      </c>
      <c r="B140" s="140" t="s">
        <v>2764</v>
      </c>
      <c r="C140" s="140" t="s">
        <v>2681</v>
      </c>
      <c r="D140" s="141">
        <v>0.0</v>
      </c>
      <c r="E140" s="142">
        <v>0.0</v>
      </c>
      <c r="F140" s="140" t="s">
        <v>2687</v>
      </c>
      <c r="G140" s="143">
        <v>1.2979680756598456E8</v>
      </c>
      <c r="H140" s="143">
        <v>10.0000001</v>
      </c>
      <c r="I140" s="144">
        <v>45160.0</v>
      </c>
      <c r="J140" s="144">
        <v>45183.0</v>
      </c>
      <c r="K140" s="145">
        <v>0.0</v>
      </c>
      <c r="L140" s="114" t="s">
        <v>2673</v>
      </c>
      <c r="M140" s="114" t="s">
        <v>2673</v>
      </c>
      <c r="N140" s="108"/>
      <c r="O140" s="108"/>
      <c r="P140" s="108"/>
      <c r="Q140" s="108"/>
      <c r="R140" s="108" t="str">
        <f t="shared" si="1"/>
        <v>2023</v>
      </c>
      <c r="S140" s="110">
        <f t="shared" si="2"/>
        <v>9</v>
      </c>
      <c r="T140" s="108" t="str">
        <f t="shared" si="3"/>
        <v>2023-Q3</v>
      </c>
      <c r="U140" s="108" t="str">
        <f t="shared" si="4"/>
        <v>2023-09</v>
      </c>
      <c r="V140" s="112" t="str">
        <f t="shared" si="5"/>
        <v>2023-H2</v>
      </c>
      <c r="W140" s="112"/>
    </row>
    <row r="141">
      <c r="A141" s="146">
        <f>HYPERLINK("https://polkadot.subsquare.io/referenda/133", 133)</f>
        <v>133</v>
      </c>
      <c r="B141" s="147" t="s">
        <v>2765</v>
      </c>
      <c r="C141" s="147" t="s">
        <v>2681</v>
      </c>
      <c r="D141" s="148">
        <v>0.0</v>
      </c>
      <c r="E141" s="149">
        <v>0.0</v>
      </c>
      <c r="F141" s="147" t="s">
        <v>2676</v>
      </c>
      <c r="G141" s="150">
        <v>1.148536594206403E7</v>
      </c>
      <c r="H141" s="150">
        <v>591578.0769474191</v>
      </c>
      <c r="I141" s="151">
        <v>45161.0</v>
      </c>
      <c r="J141" s="151">
        <v>45190.0</v>
      </c>
      <c r="K141" s="152">
        <v>0.0</v>
      </c>
      <c r="L141" s="117" t="s">
        <v>2673</v>
      </c>
      <c r="M141" s="117" t="s">
        <v>2673</v>
      </c>
      <c r="N141" s="153"/>
      <c r="O141" s="153"/>
      <c r="P141" s="153"/>
      <c r="Q141" s="153"/>
      <c r="R141" s="153" t="str">
        <f t="shared" si="1"/>
        <v>2023</v>
      </c>
      <c r="S141" s="154">
        <f t="shared" si="2"/>
        <v>9</v>
      </c>
      <c r="T141" s="153" t="str">
        <f t="shared" si="3"/>
        <v>2023-Q3</v>
      </c>
      <c r="U141" s="153" t="str">
        <f t="shared" si="4"/>
        <v>2023-09</v>
      </c>
      <c r="V141" s="155" t="str">
        <f t="shared" si="5"/>
        <v>2023-H2</v>
      </c>
      <c r="W141" s="155"/>
    </row>
    <row r="142">
      <c r="A142" s="139">
        <f>HYPERLINK("https://polkadot.subsquare.io/referenda/134", 134)</f>
        <v>134</v>
      </c>
      <c r="B142" s="140" t="s">
        <v>209</v>
      </c>
      <c r="C142" s="140" t="s">
        <v>2681</v>
      </c>
      <c r="D142" s="141">
        <v>53938.013</v>
      </c>
      <c r="E142" s="142">
        <v>242960.53415033102</v>
      </c>
      <c r="F142" s="140" t="s">
        <v>2683</v>
      </c>
      <c r="G142" s="143">
        <v>2.260258761832344E7</v>
      </c>
      <c r="H142" s="143">
        <v>9282888.327112835</v>
      </c>
      <c r="I142" s="144">
        <v>45161.0</v>
      </c>
      <c r="J142" s="144">
        <v>45184.0</v>
      </c>
      <c r="K142" s="145">
        <v>219775.71102316998</v>
      </c>
      <c r="L142" s="114" t="s">
        <v>137</v>
      </c>
      <c r="M142" s="114" t="s">
        <v>138</v>
      </c>
      <c r="N142" s="108"/>
      <c r="O142" s="108"/>
      <c r="P142" s="108"/>
      <c r="Q142" s="108"/>
      <c r="R142" s="108" t="str">
        <f t="shared" si="1"/>
        <v>2023</v>
      </c>
      <c r="S142" s="110">
        <f t="shared" si="2"/>
        <v>9</v>
      </c>
      <c r="T142" s="108" t="str">
        <f t="shared" si="3"/>
        <v>2023-Q3</v>
      </c>
      <c r="U142" s="108" t="str">
        <f t="shared" si="4"/>
        <v>2023-09</v>
      </c>
      <c r="V142" s="112" t="str">
        <f t="shared" si="5"/>
        <v>2023-H2</v>
      </c>
      <c r="W142" s="112"/>
    </row>
    <row r="143">
      <c r="A143" s="146">
        <f>HYPERLINK("https://polkadot.subsquare.io/referenda/135", 135)</f>
        <v>135</v>
      </c>
      <c r="B143" s="147" t="s">
        <v>2615</v>
      </c>
      <c r="C143" s="147" t="s">
        <v>2681</v>
      </c>
      <c r="D143" s="148">
        <v>0.0</v>
      </c>
      <c r="E143" s="149">
        <v>0.0</v>
      </c>
      <c r="F143" s="147" t="s">
        <v>2683</v>
      </c>
      <c r="G143" s="150">
        <v>1.4190929773337824E7</v>
      </c>
      <c r="H143" s="150">
        <v>335416.1258053582</v>
      </c>
      <c r="I143" s="151">
        <v>45163.0</v>
      </c>
      <c r="J143" s="151">
        <v>45187.0</v>
      </c>
      <c r="K143" s="152">
        <v>0.0</v>
      </c>
      <c r="L143" s="117" t="s">
        <v>2673</v>
      </c>
      <c r="M143" s="117" t="s">
        <v>2673</v>
      </c>
      <c r="N143" s="153"/>
      <c r="O143" s="153" t="s">
        <v>2654</v>
      </c>
      <c r="P143" s="153" t="s">
        <v>2654</v>
      </c>
      <c r="Q143" s="153"/>
      <c r="R143" s="153" t="str">
        <f t="shared" si="1"/>
        <v>2023</v>
      </c>
      <c r="S143" s="154">
        <f t="shared" si="2"/>
        <v>9</v>
      </c>
      <c r="T143" s="153" t="str">
        <f t="shared" si="3"/>
        <v>2023-Q3</v>
      </c>
      <c r="U143" s="153" t="str">
        <f t="shared" si="4"/>
        <v>2023-09</v>
      </c>
      <c r="V143" s="155" t="str">
        <f t="shared" si="5"/>
        <v>2023-H2</v>
      </c>
      <c r="W143" s="155"/>
    </row>
    <row r="144">
      <c r="A144" s="139">
        <f>HYPERLINK("https://polkadot.subsquare.io/referenda/136", 136)</f>
        <v>136</v>
      </c>
      <c r="B144" s="140" t="s">
        <v>210</v>
      </c>
      <c r="C144" s="140" t="s">
        <v>2681</v>
      </c>
      <c r="D144" s="141">
        <v>950.0</v>
      </c>
      <c r="E144" s="142">
        <v>4309.509634971619</v>
      </c>
      <c r="F144" s="140" t="s">
        <v>2699</v>
      </c>
      <c r="G144" s="143">
        <v>1259065.6445507207</v>
      </c>
      <c r="H144" s="143">
        <v>49597.6707428057</v>
      </c>
      <c r="I144" s="144">
        <v>45166.0</v>
      </c>
      <c r="J144" s="144">
        <v>45172.0</v>
      </c>
      <c r="K144" s="145">
        <v>4043.890857696533</v>
      </c>
      <c r="L144" s="114" t="s">
        <v>81</v>
      </c>
      <c r="M144" s="114" t="s">
        <v>185</v>
      </c>
      <c r="N144" s="108"/>
      <c r="O144" s="108"/>
      <c r="P144" s="108"/>
      <c r="Q144" s="108"/>
      <c r="R144" s="108" t="str">
        <f t="shared" si="1"/>
        <v>2023</v>
      </c>
      <c r="S144" s="110">
        <f t="shared" si="2"/>
        <v>9</v>
      </c>
      <c r="T144" s="108" t="str">
        <f t="shared" si="3"/>
        <v>2023-Q3</v>
      </c>
      <c r="U144" s="108" t="str">
        <f t="shared" si="4"/>
        <v>2023-09</v>
      </c>
      <c r="V144" s="112" t="str">
        <f t="shared" si="5"/>
        <v>2023-H2</v>
      </c>
      <c r="W144" s="112"/>
    </row>
    <row r="145">
      <c r="A145" s="146">
        <f>HYPERLINK("https://polkadot.subsquare.io/referenda/137", 137)</f>
        <v>137</v>
      </c>
      <c r="B145" s="147" t="s">
        <v>211</v>
      </c>
      <c r="C145" s="147" t="s">
        <v>2681</v>
      </c>
      <c r="D145" s="148">
        <v>58018.0</v>
      </c>
      <c r="E145" s="149">
        <v>247704.9609889984</v>
      </c>
      <c r="F145" s="147" t="s">
        <v>2683</v>
      </c>
      <c r="G145" s="150">
        <v>1.1694379632907165E7</v>
      </c>
      <c r="H145" s="150">
        <v>7949509.53322787</v>
      </c>
      <c r="I145" s="151">
        <v>45167.0</v>
      </c>
      <c r="J145" s="151">
        <v>45188.0</v>
      </c>
      <c r="K145" s="152">
        <v>233197.6668100357</v>
      </c>
      <c r="L145" s="117" t="s">
        <v>81</v>
      </c>
      <c r="M145" s="117" t="s">
        <v>158</v>
      </c>
      <c r="N145" s="153"/>
      <c r="O145" s="153"/>
      <c r="P145" s="153"/>
      <c r="Q145" s="153"/>
      <c r="R145" s="153" t="str">
        <f t="shared" si="1"/>
        <v>2023</v>
      </c>
      <c r="S145" s="154">
        <f t="shared" si="2"/>
        <v>9</v>
      </c>
      <c r="T145" s="153" t="str">
        <f t="shared" si="3"/>
        <v>2023-Q3</v>
      </c>
      <c r="U145" s="153" t="str">
        <f t="shared" si="4"/>
        <v>2023-09</v>
      </c>
      <c r="V145" s="155" t="str">
        <f t="shared" si="5"/>
        <v>2023-H2</v>
      </c>
      <c r="W145" s="155"/>
    </row>
    <row r="146">
      <c r="A146" s="139">
        <f>HYPERLINK("https://polkadot.subsquare.io/referenda/138", 138)</f>
        <v>138</v>
      </c>
      <c r="B146" s="140" t="s">
        <v>2766</v>
      </c>
      <c r="C146" s="140" t="s">
        <v>2672</v>
      </c>
      <c r="D146" s="141">
        <v>12153.7439</v>
      </c>
      <c r="E146" s="142">
        <v>51238.14529046054</v>
      </c>
      <c r="F146" s="140" t="s">
        <v>2683</v>
      </c>
      <c r="G146" s="143">
        <v>1620177.6132044385</v>
      </c>
      <c r="H146" s="143">
        <v>1.3912353415797839E7</v>
      </c>
      <c r="I146" s="144">
        <v>45167.0</v>
      </c>
      <c r="J146" s="144">
        <v>45196.0</v>
      </c>
      <c r="K146" s="145">
        <v>49553.997246555424</v>
      </c>
      <c r="L146" s="114" t="s">
        <v>2673</v>
      </c>
      <c r="M146" s="114" t="s">
        <v>2673</v>
      </c>
      <c r="N146" s="108"/>
      <c r="O146" s="108"/>
      <c r="P146" s="108"/>
      <c r="Q146" s="108"/>
      <c r="R146" s="108" t="str">
        <f t="shared" si="1"/>
        <v>2023</v>
      </c>
      <c r="S146" s="110">
        <f t="shared" si="2"/>
        <v>9</v>
      </c>
      <c r="T146" s="108" t="str">
        <f t="shared" si="3"/>
        <v>2023-Q3</v>
      </c>
      <c r="U146" s="108" t="str">
        <f t="shared" si="4"/>
        <v>2023-09</v>
      </c>
      <c r="V146" s="112" t="str">
        <f t="shared" si="5"/>
        <v>2023-H2</v>
      </c>
      <c r="W146" s="112"/>
    </row>
    <row r="147">
      <c r="A147" s="146">
        <f>HYPERLINK("https://polkadot.subsquare.io/referenda/139", 139)</f>
        <v>139</v>
      </c>
      <c r="B147" s="147" t="s">
        <v>2767</v>
      </c>
      <c r="C147" s="147" t="s">
        <v>2681</v>
      </c>
      <c r="D147" s="148">
        <v>0.0</v>
      </c>
      <c r="E147" s="149">
        <v>0.0</v>
      </c>
      <c r="F147" s="147" t="s">
        <v>2687</v>
      </c>
      <c r="G147" s="150">
        <v>6.735201764582942E7</v>
      </c>
      <c r="H147" s="150">
        <v>574.3</v>
      </c>
      <c r="I147" s="151">
        <v>45171.0</v>
      </c>
      <c r="J147" s="151">
        <v>45209.0</v>
      </c>
      <c r="K147" s="152">
        <v>0.0</v>
      </c>
      <c r="L147" s="117" t="s">
        <v>2673</v>
      </c>
      <c r="M147" s="117" t="s">
        <v>2673</v>
      </c>
      <c r="N147" s="153"/>
      <c r="O147" s="153"/>
      <c r="P147" s="153"/>
      <c r="Q147" s="153"/>
      <c r="R147" s="153" t="str">
        <f t="shared" si="1"/>
        <v>2023</v>
      </c>
      <c r="S147" s="154">
        <f t="shared" si="2"/>
        <v>10</v>
      </c>
      <c r="T147" s="153" t="str">
        <f t="shared" si="3"/>
        <v>2023-Q4</v>
      </c>
      <c r="U147" s="153" t="str">
        <f t="shared" si="4"/>
        <v>2023-10</v>
      </c>
      <c r="V147" s="155" t="str">
        <f t="shared" si="5"/>
        <v>2023-H2</v>
      </c>
      <c r="W147" s="155"/>
    </row>
    <row r="148">
      <c r="A148" s="139">
        <f>HYPERLINK("https://polkadot.subsquare.io/referenda/140", 140)</f>
        <v>140</v>
      </c>
      <c r="B148" s="140" t="s">
        <v>212</v>
      </c>
      <c r="C148" s="140" t="s">
        <v>2681</v>
      </c>
      <c r="D148" s="141">
        <v>75600.0</v>
      </c>
      <c r="E148" s="142">
        <v>322765.8199310303</v>
      </c>
      <c r="F148" s="140" t="s">
        <v>2683</v>
      </c>
      <c r="G148" s="143">
        <v>1.500948115578165E7</v>
      </c>
      <c r="H148" s="143">
        <v>1.1836784393508028E7</v>
      </c>
      <c r="I148" s="144">
        <v>45172.0</v>
      </c>
      <c r="J148" s="144">
        <v>45198.0</v>
      </c>
      <c r="K148" s="145">
        <v>311756.41708374023</v>
      </c>
      <c r="L148" s="114" t="s">
        <v>81</v>
      </c>
      <c r="M148" s="114" t="s">
        <v>140</v>
      </c>
      <c r="N148" s="108"/>
      <c r="O148" s="108"/>
      <c r="P148" s="108"/>
      <c r="Q148" s="108"/>
      <c r="R148" s="108" t="str">
        <f t="shared" si="1"/>
        <v>2023</v>
      </c>
      <c r="S148" s="110">
        <f t="shared" si="2"/>
        <v>9</v>
      </c>
      <c r="T148" s="108" t="str">
        <f t="shared" si="3"/>
        <v>2023-Q3</v>
      </c>
      <c r="U148" s="108" t="str">
        <f t="shared" si="4"/>
        <v>2023-09</v>
      </c>
      <c r="V148" s="112" t="str">
        <f t="shared" si="5"/>
        <v>2023-H2</v>
      </c>
      <c r="W148" s="156" t="s">
        <v>2654</v>
      </c>
    </row>
    <row r="149">
      <c r="A149" s="146">
        <f>HYPERLINK("https://polkadot.subsquare.io/referenda/141", 141)</f>
        <v>141</v>
      </c>
      <c r="B149" s="147" t="s">
        <v>214</v>
      </c>
      <c r="C149" s="147" t="s">
        <v>2681</v>
      </c>
      <c r="D149" s="148">
        <v>44196.0</v>
      </c>
      <c r="E149" s="149">
        <v>188689.9229850769</v>
      </c>
      <c r="F149" s="147" t="s">
        <v>2683</v>
      </c>
      <c r="G149" s="150">
        <v>9815523.715501022</v>
      </c>
      <c r="H149" s="150">
        <v>2164853.1242166907</v>
      </c>
      <c r="I149" s="151">
        <v>45173.0</v>
      </c>
      <c r="J149" s="151">
        <v>45202.0</v>
      </c>
      <c r="K149" s="152">
        <v>179972.68836021423</v>
      </c>
      <c r="L149" s="117" t="s">
        <v>82</v>
      </c>
      <c r="M149" s="117" t="s">
        <v>213</v>
      </c>
      <c r="N149" s="153"/>
      <c r="O149" s="153"/>
      <c r="P149" s="153"/>
      <c r="Q149" s="153"/>
      <c r="R149" s="153" t="str">
        <f t="shared" si="1"/>
        <v>2023</v>
      </c>
      <c r="S149" s="154">
        <f t="shared" si="2"/>
        <v>10</v>
      </c>
      <c r="T149" s="153" t="str">
        <f t="shared" si="3"/>
        <v>2023-Q4</v>
      </c>
      <c r="U149" s="153" t="str">
        <f t="shared" si="4"/>
        <v>2023-10</v>
      </c>
      <c r="V149" s="155" t="str">
        <f t="shared" si="5"/>
        <v>2023-H2</v>
      </c>
      <c r="W149" s="155"/>
    </row>
    <row r="150">
      <c r="A150" s="139">
        <f>HYPERLINK("https://polkadot.subsquare.io/referenda/142", 142)</f>
        <v>142</v>
      </c>
      <c r="B150" s="140" t="s">
        <v>2768</v>
      </c>
      <c r="C150" s="140" t="s">
        <v>2681</v>
      </c>
      <c r="D150" s="141">
        <v>0.0</v>
      </c>
      <c r="E150" s="142">
        <v>0.0</v>
      </c>
      <c r="F150" s="140" t="s">
        <v>2682</v>
      </c>
      <c r="G150" s="143">
        <v>7.962913429153393E7</v>
      </c>
      <c r="H150" s="143">
        <v>10.0</v>
      </c>
      <c r="I150" s="144">
        <v>45173.0</v>
      </c>
      <c r="J150" s="144">
        <v>45184.0</v>
      </c>
      <c r="K150" s="145">
        <v>0.0</v>
      </c>
      <c r="L150" s="114" t="s">
        <v>2673</v>
      </c>
      <c r="M150" s="114" t="s">
        <v>2673</v>
      </c>
      <c r="N150" s="108"/>
      <c r="O150" s="108"/>
      <c r="P150" s="108"/>
      <c r="Q150" s="108"/>
      <c r="R150" s="108" t="str">
        <f t="shared" si="1"/>
        <v>2023</v>
      </c>
      <c r="S150" s="110">
        <f t="shared" si="2"/>
        <v>9</v>
      </c>
      <c r="T150" s="108" t="str">
        <f t="shared" si="3"/>
        <v>2023-Q3</v>
      </c>
      <c r="U150" s="108" t="str">
        <f t="shared" si="4"/>
        <v>2023-09</v>
      </c>
      <c r="V150" s="112" t="str">
        <f t="shared" si="5"/>
        <v>2023-H2</v>
      </c>
      <c r="W150" s="112"/>
    </row>
    <row r="151">
      <c r="A151" s="146">
        <f>HYPERLINK("https://polkadot.subsquare.io/referenda/143", 143)</f>
        <v>143</v>
      </c>
      <c r="B151" s="147" t="s">
        <v>2769</v>
      </c>
      <c r="C151" s="147" t="s">
        <v>2672</v>
      </c>
      <c r="D151" s="148">
        <v>100.0</v>
      </c>
      <c r="E151" s="149">
        <v>428.67398262023926</v>
      </c>
      <c r="F151" s="147" t="s">
        <v>186</v>
      </c>
      <c r="G151" s="150">
        <v>709765.1801915593</v>
      </c>
      <c r="H151" s="150">
        <v>8321085.380210415</v>
      </c>
      <c r="I151" s="151">
        <v>45173.0</v>
      </c>
      <c r="J151" s="151">
        <v>45180.0</v>
      </c>
      <c r="K151" s="152">
        <v>405.8725833892822</v>
      </c>
      <c r="L151" s="117" t="s">
        <v>2673</v>
      </c>
      <c r="M151" s="117" t="s">
        <v>2673</v>
      </c>
      <c r="N151" s="153"/>
      <c r="O151" s="153"/>
      <c r="P151" s="153"/>
      <c r="Q151" s="153"/>
      <c r="R151" s="153" t="str">
        <f t="shared" si="1"/>
        <v>2023</v>
      </c>
      <c r="S151" s="154">
        <f t="shared" si="2"/>
        <v>9</v>
      </c>
      <c r="T151" s="153" t="str">
        <f t="shared" si="3"/>
        <v>2023-Q3</v>
      </c>
      <c r="U151" s="153" t="str">
        <f t="shared" si="4"/>
        <v>2023-09</v>
      </c>
      <c r="V151" s="155" t="str">
        <f t="shared" si="5"/>
        <v>2023-H2</v>
      </c>
      <c r="W151" s="155"/>
    </row>
    <row r="152">
      <c r="A152" s="139">
        <f>HYPERLINK("https://polkadot.subsquare.io/referenda/144", 144)</f>
        <v>144</v>
      </c>
      <c r="B152" s="140" t="s">
        <v>2770</v>
      </c>
      <c r="C152" s="140" t="s">
        <v>2672</v>
      </c>
      <c r="D152" s="141">
        <v>250.0</v>
      </c>
      <c r="E152" s="142">
        <v>1062.4747276306152</v>
      </c>
      <c r="F152" s="140" t="s">
        <v>186</v>
      </c>
      <c r="G152" s="143">
        <v>539671.9548509261</v>
      </c>
      <c r="H152" s="143">
        <v>8496668.073803283</v>
      </c>
      <c r="I152" s="144">
        <v>45174.0</v>
      </c>
      <c r="J152" s="144">
        <v>45181.0</v>
      </c>
      <c r="K152" s="145">
        <v>1035.489797592163</v>
      </c>
      <c r="L152" s="114" t="s">
        <v>2673</v>
      </c>
      <c r="M152" s="114" t="s">
        <v>2673</v>
      </c>
      <c r="N152" s="108"/>
      <c r="O152" s="108"/>
      <c r="P152" s="108"/>
      <c r="Q152" s="108"/>
      <c r="R152" s="108" t="str">
        <f t="shared" si="1"/>
        <v>2023</v>
      </c>
      <c r="S152" s="110">
        <f t="shared" si="2"/>
        <v>9</v>
      </c>
      <c r="T152" s="108" t="str">
        <f t="shared" si="3"/>
        <v>2023-Q3</v>
      </c>
      <c r="U152" s="108" t="str">
        <f t="shared" si="4"/>
        <v>2023-09</v>
      </c>
      <c r="V152" s="112" t="str">
        <f t="shared" si="5"/>
        <v>2023-H2</v>
      </c>
      <c r="W152" s="156" t="s">
        <v>2654</v>
      </c>
    </row>
    <row r="153">
      <c r="A153" s="146">
        <f>HYPERLINK("https://polkadot.subsquare.io/referenda/145", 145)</f>
        <v>145</v>
      </c>
      <c r="B153" s="147" t="s">
        <v>215</v>
      </c>
      <c r="C153" s="147" t="s">
        <v>2681</v>
      </c>
      <c r="D153" s="148">
        <v>58253.66</v>
      </c>
      <c r="E153" s="149">
        <v>246977.81079312327</v>
      </c>
      <c r="F153" s="147" t="s">
        <v>2683</v>
      </c>
      <c r="G153" s="150">
        <v>1.0908977520959217E7</v>
      </c>
      <c r="H153" s="150">
        <v>2029197.8157342088</v>
      </c>
      <c r="I153" s="151">
        <v>45175.0</v>
      </c>
      <c r="J153" s="151">
        <v>45199.0</v>
      </c>
      <c r="K153" s="152">
        <v>237339.79270119668</v>
      </c>
      <c r="L153" s="117" t="s">
        <v>84</v>
      </c>
      <c r="M153" s="117" t="s">
        <v>152</v>
      </c>
      <c r="N153" s="153"/>
      <c r="O153" s="153"/>
      <c r="P153" s="153"/>
      <c r="Q153" s="153"/>
      <c r="R153" s="153" t="str">
        <f t="shared" si="1"/>
        <v>2023</v>
      </c>
      <c r="S153" s="154">
        <f t="shared" si="2"/>
        <v>9</v>
      </c>
      <c r="T153" s="153" t="str">
        <f t="shared" si="3"/>
        <v>2023-Q3</v>
      </c>
      <c r="U153" s="153" t="str">
        <f t="shared" si="4"/>
        <v>2023-09</v>
      </c>
      <c r="V153" s="155" t="str">
        <f t="shared" si="5"/>
        <v>2023-H2</v>
      </c>
      <c r="W153" s="155"/>
    </row>
    <row r="154">
      <c r="A154" s="139">
        <f>HYPERLINK("https://polkadot.subsquare.io/referenda/146", 146)</f>
        <v>146</v>
      </c>
      <c r="B154" s="140" t="s">
        <v>250</v>
      </c>
      <c r="C154" s="140" t="s">
        <v>2672</v>
      </c>
      <c r="D154" s="141">
        <v>253862.0</v>
      </c>
      <c r="E154" s="142">
        <v>1012129.512418747</v>
      </c>
      <c r="F154" s="140" t="s">
        <v>2676</v>
      </c>
      <c r="G154" s="143">
        <v>9073901.901891729</v>
      </c>
      <c r="H154" s="143">
        <v>1.3234063197890121E7</v>
      </c>
      <c r="I154" s="144">
        <v>45178.0</v>
      </c>
      <c r="J154" s="144">
        <v>45206.0</v>
      </c>
      <c r="K154" s="145">
        <v>967831.6252560616</v>
      </c>
      <c r="L154" s="114" t="s">
        <v>2673</v>
      </c>
      <c r="M154" s="114" t="s">
        <v>2673</v>
      </c>
      <c r="N154" s="108"/>
      <c r="O154" s="108"/>
      <c r="P154" s="108"/>
      <c r="Q154" s="108"/>
      <c r="R154" s="108" t="str">
        <f t="shared" si="1"/>
        <v>2023</v>
      </c>
      <c r="S154" s="110">
        <f t="shared" si="2"/>
        <v>10</v>
      </c>
      <c r="T154" s="108" t="str">
        <f t="shared" si="3"/>
        <v>2023-Q4</v>
      </c>
      <c r="U154" s="108" t="str">
        <f t="shared" si="4"/>
        <v>2023-10</v>
      </c>
      <c r="V154" s="112" t="str">
        <f t="shared" si="5"/>
        <v>2023-H2</v>
      </c>
      <c r="W154" s="112"/>
    </row>
    <row r="155">
      <c r="A155" s="146">
        <f>HYPERLINK("https://polkadot.subsquare.io/referenda/147", 147)</f>
        <v>147</v>
      </c>
      <c r="B155" s="147" t="s">
        <v>2771</v>
      </c>
      <c r="C155" s="147" t="s">
        <v>2672</v>
      </c>
      <c r="D155" s="148">
        <v>0.0</v>
      </c>
      <c r="E155" s="149">
        <v>0.0</v>
      </c>
      <c r="F155" s="147" t="s">
        <v>2683</v>
      </c>
      <c r="G155" s="150">
        <v>263544.2916222079</v>
      </c>
      <c r="H155" s="150">
        <v>1.0866612314139314E7</v>
      </c>
      <c r="I155" s="151">
        <v>45179.0</v>
      </c>
      <c r="J155" s="151">
        <v>45208.0</v>
      </c>
      <c r="K155" s="152">
        <v>0.0</v>
      </c>
      <c r="L155" s="117" t="s">
        <v>2673</v>
      </c>
      <c r="M155" s="117" t="s">
        <v>2673</v>
      </c>
      <c r="N155" s="153"/>
      <c r="O155" s="153"/>
      <c r="P155" s="153"/>
      <c r="Q155" s="153"/>
      <c r="R155" s="153" t="str">
        <f t="shared" si="1"/>
        <v>2023</v>
      </c>
      <c r="S155" s="154">
        <f t="shared" si="2"/>
        <v>10</v>
      </c>
      <c r="T155" s="153" t="str">
        <f t="shared" si="3"/>
        <v>2023-Q4</v>
      </c>
      <c r="U155" s="153" t="str">
        <f t="shared" si="4"/>
        <v>2023-10</v>
      </c>
      <c r="V155" s="155" t="str">
        <f t="shared" si="5"/>
        <v>2023-H2</v>
      </c>
      <c r="W155" s="158" t="s">
        <v>2654</v>
      </c>
    </row>
    <row r="156">
      <c r="A156" s="139">
        <f>HYPERLINK("https://polkadot.subsquare.io/referenda/148", 148)</f>
        <v>148</v>
      </c>
      <c r="B156" s="140" t="s">
        <v>2772</v>
      </c>
      <c r="C156" s="140" t="s">
        <v>2672</v>
      </c>
      <c r="D156" s="141">
        <v>35008.393</v>
      </c>
      <c r="E156" s="142">
        <v>142089.46907217262</v>
      </c>
      <c r="F156" s="140" t="s">
        <v>2683</v>
      </c>
      <c r="G156" s="143">
        <v>1738801.961481443</v>
      </c>
      <c r="H156" s="143">
        <v>1.0902545250796333E7</v>
      </c>
      <c r="I156" s="144">
        <v>45181.0</v>
      </c>
      <c r="J156" s="144">
        <v>45209.0</v>
      </c>
      <c r="K156" s="145">
        <v>128606.73090932821</v>
      </c>
      <c r="L156" s="114" t="s">
        <v>2673</v>
      </c>
      <c r="M156" s="114" t="s">
        <v>2673</v>
      </c>
      <c r="N156" s="108"/>
      <c r="O156" s="108"/>
      <c r="P156" s="108"/>
      <c r="Q156" s="108"/>
      <c r="R156" s="108" t="str">
        <f t="shared" si="1"/>
        <v>2023</v>
      </c>
      <c r="S156" s="110">
        <f t="shared" si="2"/>
        <v>10</v>
      </c>
      <c r="T156" s="108" t="str">
        <f t="shared" si="3"/>
        <v>2023-Q4</v>
      </c>
      <c r="U156" s="108" t="str">
        <f t="shared" si="4"/>
        <v>2023-10</v>
      </c>
      <c r="V156" s="112" t="str">
        <f t="shared" si="5"/>
        <v>2023-H2</v>
      </c>
      <c r="W156" s="112"/>
    </row>
    <row r="157">
      <c r="A157" s="146">
        <f>HYPERLINK("https://polkadot.subsquare.io/referenda/149", 149)</f>
        <v>149</v>
      </c>
      <c r="B157" s="147" t="s">
        <v>509</v>
      </c>
      <c r="C157" s="147" t="s">
        <v>2691</v>
      </c>
      <c r="D157" s="148">
        <v>0.0</v>
      </c>
      <c r="E157" s="149">
        <v>0.0</v>
      </c>
      <c r="F157" s="147" t="s">
        <v>2687</v>
      </c>
      <c r="G157" s="150">
        <v>5500.2001</v>
      </c>
      <c r="H157" s="150">
        <v>1.1892506619330889E7</v>
      </c>
      <c r="I157" s="151">
        <v>45181.0</v>
      </c>
      <c r="J157" s="151">
        <v>45195.0</v>
      </c>
      <c r="K157" s="152">
        <v>0.0</v>
      </c>
      <c r="L157" s="117" t="s">
        <v>2673</v>
      </c>
      <c r="M157" s="117" t="s">
        <v>2673</v>
      </c>
      <c r="N157" s="153"/>
      <c r="O157" s="153"/>
      <c r="P157" s="153"/>
      <c r="Q157" s="153"/>
      <c r="R157" s="153" t="str">
        <f t="shared" si="1"/>
        <v>2023</v>
      </c>
      <c r="S157" s="154">
        <f t="shared" si="2"/>
        <v>9</v>
      </c>
      <c r="T157" s="153" t="str">
        <f t="shared" si="3"/>
        <v>2023-Q3</v>
      </c>
      <c r="U157" s="153" t="str">
        <f t="shared" si="4"/>
        <v>2023-09</v>
      </c>
      <c r="V157" s="155" t="str">
        <f t="shared" si="5"/>
        <v>2023-H2</v>
      </c>
      <c r="W157" s="155"/>
    </row>
    <row r="158">
      <c r="A158" s="139">
        <f>HYPERLINK("https://polkadot.subsquare.io/referenda/150", 150)</f>
        <v>150</v>
      </c>
      <c r="B158" s="140" t="s">
        <v>2773</v>
      </c>
      <c r="C158" s="140" t="s">
        <v>2672</v>
      </c>
      <c r="D158" s="141">
        <v>0.0</v>
      </c>
      <c r="E158" s="142">
        <v>0.0</v>
      </c>
      <c r="F158" s="140" t="s">
        <v>2676</v>
      </c>
      <c r="G158" s="143">
        <v>8173838.924613327</v>
      </c>
      <c r="H158" s="143">
        <v>3.615602047384298E7</v>
      </c>
      <c r="I158" s="144">
        <v>45181.0</v>
      </c>
      <c r="J158" s="144">
        <v>45210.0</v>
      </c>
      <c r="K158" s="145">
        <v>0.0</v>
      </c>
      <c r="L158" s="114" t="s">
        <v>2673</v>
      </c>
      <c r="M158" s="114" t="s">
        <v>2673</v>
      </c>
      <c r="N158" s="108"/>
      <c r="O158" s="108"/>
      <c r="P158" s="108"/>
      <c r="Q158" s="108"/>
      <c r="R158" s="108" t="str">
        <f t="shared" si="1"/>
        <v>2023</v>
      </c>
      <c r="S158" s="110">
        <f t="shared" si="2"/>
        <v>10</v>
      </c>
      <c r="T158" s="108" t="str">
        <f t="shared" si="3"/>
        <v>2023-Q4</v>
      </c>
      <c r="U158" s="108" t="str">
        <f t="shared" si="4"/>
        <v>2023-10</v>
      </c>
      <c r="V158" s="112" t="str">
        <f t="shared" si="5"/>
        <v>2023-H2</v>
      </c>
      <c r="W158" s="112"/>
    </row>
    <row r="159">
      <c r="A159" s="146">
        <f>HYPERLINK("https://polkadot.subsquare.io/referenda/151", 151)</f>
        <v>151</v>
      </c>
      <c r="B159" s="147" t="s">
        <v>2774</v>
      </c>
      <c r="C159" s="147" t="s">
        <v>2775</v>
      </c>
      <c r="D159" s="148">
        <v>6075.79</v>
      </c>
      <c r="E159" s="149">
        <v>25165.674229249955</v>
      </c>
      <c r="F159" s="147" t="s">
        <v>2699</v>
      </c>
      <c r="G159" s="150">
        <v>1.0935687746352661E7</v>
      </c>
      <c r="H159" s="150">
        <v>1035357.3614992728</v>
      </c>
      <c r="I159" s="151">
        <v>45182.0</v>
      </c>
      <c r="J159" s="151">
        <v>45186.0</v>
      </c>
      <c r="K159" s="152">
        <v>25153.181664819716</v>
      </c>
      <c r="L159" s="117" t="s">
        <v>2673</v>
      </c>
      <c r="M159" s="117" t="s">
        <v>2673</v>
      </c>
      <c r="N159" s="153"/>
      <c r="O159" s="153"/>
      <c r="P159" s="153"/>
      <c r="Q159" s="153"/>
      <c r="R159" s="153" t="str">
        <f t="shared" si="1"/>
        <v>2023</v>
      </c>
      <c r="S159" s="154">
        <f t="shared" si="2"/>
        <v>9</v>
      </c>
      <c r="T159" s="153" t="str">
        <f t="shared" si="3"/>
        <v>2023-Q3</v>
      </c>
      <c r="U159" s="153" t="str">
        <f t="shared" si="4"/>
        <v>2023-09</v>
      </c>
      <c r="V159" s="155" t="str">
        <f t="shared" si="5"/>
        <v>2023-H2</v>
      </c>
      <c r="W159" s="155"/>
    </row>
    <row r="160">
      <c r="A160" s="139">
        <f>HYPERLINK("https://polkadot.subsquare.io/referenda/152", 152)</f>
        <v>152</v>
      </c>
      <c r="B160" s="140" t="s">
        <v>216</v>
      </c>
      <c r="C160" s="140" t="s">
        <v>2681</v>
      </c>
      <c r="D160" s="141">
        <v>841.34</v>
      </c>
      <c r="E160" s="142">
        <v>3521.520161495209</v>
      </c>
      <c r="F160" s="140" t="s">
        <v>2699</v>
      </c>
      <c r="G160" s="143">
        <v>1.1550445501611734E7</v>
      </c>
      <c r="H160" s="143">
        <v>2360329.5508997575</v>
      </c>
      <c r="I160" s="144">
        <v>45183.0</v>
      </c>
      <c r="J160" s="144">
        <v>45185.0</v>
      </c>
      <c r="K160" s="145">
        <v>3496.8125549030306</v>
      </c>
      <c r="L160" s="114" t="s">
        <v>137</v>
      </c>
      <c r="M160" s="114" t="s">
        <v>138</v>
      </c>
      <c r="N160" s="108"/>
      <c r="O160" s="108"/>
      <c r="P160" s="108"/>
      <c r="Q160" s="108"/>
      <c r="R160" s="108" t="str">
        <f t="shared" si="1"/>
        <v>2023</v>
      </c>
      <c r="S160" s="110">
        <f t="shared" si="2"/>
        <v>9</v>
      </c>
      <c r="T160" s="108" t="str">
        <f t="shared" si="3"/>
        <v>2023-Q3</v>
      </c>
      <c r="U160" s="108" t="str">
        <f t="shared" si="4"/>
        <v>2023-09</v>
      </c>
      <c r="V160" s="112" t="str">
        <f t="shared" si="5"/>
        <v>2023-H2</v>
      </c>
      <c r="W160" s="112"/>
    </row>
    <row r="161">
      <c r="A161" s="146">
        <f>HYPERLINK("https://polkadot.subsquare.io/referenda/153", 153)</f>
        <v>153</v>
      </c>
      <c r="B161" s="147" t="s">
        <v>217</v>
      </c>
      <c r="C161" s="147" t="s">
        <v>2681</v>
      </c>
      <c r="D161" s="148">
        <v>14833.623</v>
      </c>
      <c r="E161" s="149">
        <v>60441.0481690278</v>
      </c>
      <c r="F161" s="147" t="s">
        <v>2683</v>
      </c>
      <c r="G161" s="150">
        <v>1.5145558668774566E7</v>
      </c>
      <c r="H161" s="150">
        <v>1.30392772102238E7</v>
      </c>
      <c r="I161" s="151">
        <v>45183.0</v>
      </c>
      <c r="J161" s="151">
        <v>45207.0</v>
      </c>
      <c r="K161" s="152">
        <v>55448.94446227455</v>
      </c>
      <c r="L161" s="117" t="s">
        <v>81</v>
      </c>
      <c r="M161" s="117" t="s">
        <v>158</v>
      </c>
      <c r="N161" s="153"/>
      <c r="O161" s="153"/>
      <c r="P161" s="153"/>
      <c r="Q161" s="153"/>
      <c r="R161" s="153" t="str">
        <f t="shared" si="1"/>
        <v>2023</v>
      </c>
      <c r="S161" s="154">
        <f t="shared" si="2"/>
        <v>10</v>
      </c>
      <c r="T161" s="153" t="str">
        <f t="shared" si="3"/>
        <v>2023-Q4</v>
      </c>
      <c r="U161" s="153" t="str">
        <f t="shared" si="4"/>
        <v>2023-10</v>
      </c>
      <c r="V161" s="155" t="str">
        <f t="shared" si="5"/>
        <v>2023-H2</v>
      </c>
      <c r="W161" s="155"/>
    </row>
    <row r="162">
      <c r="A162" s="139">
        <f>HYPERLINK("https://polkadot.subsquare.io/referenda/154", 154)</f>
        <v>154</v>
      </c>
      <c r="B162" s="140" t="s">
        <v>2776</v>
      </c>
      <c r="C162" s="140" t="s">
        <v>2672</v>
      </c>
      <c r="D162" s="141">
        <v>22400.0</v>
      </c>
      <c r="E162" s="142">
        <v>92024.64294433594</v>
      </c>
      <c r="F162" s="140" t="s">
        <v>2683</v>
      </c>
      <c r="G162" s="143">
        <v>3072144.4368458968</v>
      </c>
      <c r="H162" s="143">
        <v>1.0707989811922401E7</v>
      </c>
      <c r="I162" s="144">
        <v>45185.0</v>
      </c>
      <c r="J162" s="144">
        <v>45213.0</v>
      </c>
      <c r="K162" s="145">
        <v>82321.27532958984</v>
      </c>
      <c r="L162" s="114" t="s">
        <v>2673</v>
      </c>
      <c r="M162" s="114" t="s">
        <v>2673</v>
      </c>
      <c r="N162" s="108"/>
      <c r="O162" s="108"/>
      <c r="P162" s="108"/>
      <c r="Q162" s="108"/>
      <c r="R162" s="108" t="str">
        <f t="shared" si="1"/>
        <v>2023</v>
      </c>
      <c r="S162" s="110">
        <f t="shared" si="2"/>
        <v>10</v>
      </c>
      <c r="T162" s="108" t="str">
        <f t="shared" si="3"/>
        <v>2023-Q4</v>
      </c>
      <c r="U162" s="108" t="str">
        <f t="shared" si="4"/>
        <v>2023-10</v>
      </c>
      <c r="V162" s="112" t="str">
        <f t="shared" si="5"/>
        <v>2023-H2</v>
      </c>
      <c r="W162" s="112"/>
    </row>
    <row r="163">
      <c r="A163" s="146">
        <f>HYPERLINK("https://polkadot.subsquare.io/referenda/155", 155)</f>
        <v>155</v>
      </c>
      <c r="B163" s="147" t="s">
        <v>218</v>
      </c>
      <c r="C163" s="147" t="s">
        <v>2681</v>
      </c>
      <c r="D163" s="148">
        <v>45074.0</v>
      </c>
      <c r="E163" s="149">
        <v>187338.44711971283</v>
      </c>
      <c r="F163" s="147" t="s">
        <v>2683</v>
      </c>
      <c r="G163" s="150">
        <v>2.1296002802137867E7</v>
      </c>
      <c r="H163" s="150">
        <v>1441880.29251313</v>
      </c>
      <c r="I163" s="151">
        <v>45185.0</v>
      </c>
      <c r="J163" s="151">
        <v>45203.0</v>
      </c>
      <c r="K163" s="152">
        <v>183548.03500652313</v>
      </c>
      <c r="L163" s="117" t="s">
        <v>137</v>
      </c>
      <c r="M163" s="117" t="s">
        <v>191</v>
      </c>
      <c r="N163" s="153"/>
      <c r="O163" s="153"/>
      <c r="P163" s="153"/>
      <c r="Q163" s="153"/>
      <c r="R163" s="153" t="str">
        <f t="shared" si="1"/>
        <v>2023</v>
      </c>
      <c r="S163" s="154">
        <f t="shared" si="2"/>
        <v>10</v>
      </c>
      <c r="T163" s="153" t="str">
        <f t="shared" si="3"/>
        <v>2023-Q4</v>
      </c>
      <c r="U163" s="153" t="str">
        <f t="shared" si="4"/>
        <v>2023-10</v>
      </c>
      <c r="V163" s="155" t="str">
        <f t="shared" si="5"/>
        <v>2023-H2</v>
      </c>
      <c r="W163" s="155"/>
    </row>
    <row r="164">
      <c r="A164" s="139">
        <f>HYPERLINK("https://polkadot.subsquare.io/referenda/156", 156)</f>
        <v>156</v>
      </c>
      <c r="B164" s="140" t="s">
        <v>219</v>
      </c>
      <c r="C164" s="140" t="s">
        <v>2681</v>
      </c>
      <c r="D164" s="141">
        <v>6075.79</v>
      </c>
      <c r="E164" s="142">
        <v>25153.181664819716</v>
      </c>
      <c r="F164" s="140" t="s">
        <v>2678</v>
      </c>
      <c r="G164" s="143">
        <v>1.415097775408714E7</v>
      </c>
      <c r="H164" s="143">
        <v>750254.5688472512</v>
      </c>
      <c r="I164" s="144">
        <v>45186.0</v>
      </c>
      <c r="J164" s="144">
        <v>45206.0</v>
      </c>
      <c r="K164" s="145">
        <v>23163.536529352667</v>
      </c>
      <c r="L164" s="114" t="s">
        <v>84</v>
      </c>
      <c r="M164" s="114" t="s">
        <v>171</v>
      </c>
      <c r="N164" s="108"/>
      <c r="O164" s="108"/>
      <c r="P164" s="108"/>
      <c r="Q164" s="108"/>
      <c r="R164" s="108" t="str">
        <f t="shared" si="1"/>
        <v>2023</v>
      </c>
      <c r="S164" s="110">
        <f t="shared" si="2"/>
        <v>10</v>
      </c>
      <c r="T164" s="108" t="str">
        <f t="shared" si="3"/>
        <v>2023-Q4</v>
      </c>
      <c r="U164" s="108" t="str">
        <f t="shared" si="4"/>
        <v>2023-10</v>
      </c>
      <c r="V164" s="112" t="str">
        <f t="shared" si="5"/>
        <v>2023-H2</v>
      </c>
      <c r="W164" s="112"/>
    </row>
    <row r="165">
      <c r="A165" s="146">
        <f>HYPERLINK("https://polkadot.subsquare.io/referenda/157", 157)</f>
        <v>157</v>
      </c>
      <c r="B165" s="147" t="s">
        <v>2777</v>
      </c>
      <c r="C165" s="147" t="s">
        <v>2672</v>
      </c>
      <c r="D165" s="148">
        <v>247058.0</v>
      </c>
      <c r="E165" s="149">
        <v>1022796.1723079681</v>
      </c>
      <c r="F165" s="147" t="s">
        <v>2676</v>
      </c>
      <c r="G165" s="150">
        <v>2.900250996645172E7</v>
      </c>
      <c r="H165" s="150">
        <v>5.554697532729751E7</v>
      </c>
      <c r="I165" s="151">
        <v>45186.0</v>
      </c>
      <c r="J165" s="151">
        <v>45215.0</v>
      </c>
      <c r="K165" s="152">
        <v>903379.6771345139</v>
      </c>
      <c r="L165" s="117" t="s">
        <v>2673</v>
      </c>
      <c r="M165" s="117" t="s">
        <v>2673</v>
      </c>
      <c r="N165" s="153"/>
      <c r="O165" s="153"/>
      <c r="P165" s="153"/>
      <c r="Q165" s="153"/>
      <c r="R165" s="153" t="str">
        <f t="shared" si="1"/>
        <v>2023</v>
      </c>
      <c r="S165" s="154">
        <f t="shared" si="2"/>
        <v>10</v>
      </c>
      <c r="T165" s="153" t="str">
        <f t="shared" si="3"/>
        <v>2023-Q4</v>
      </c>
      <c r="U165" s="153" t="str">
        <f t="shared" si="4"/>
        <v>2023-10</v>
      </c>
      <c r="V165" s="155" t="str">
        <f t="shared" si="5"/>
        <v>2023-H2</v>
      </c>
      <c r="W165" s="155"/>
    </row>
    <row r="166">
      <c r="A166" s="139">
        <f>HYPERLINK("https://polkadot.subsquare.io/referenda/158", 158)</f>
        <v>158</v>
      </c>
      <c r="B166" s="140" t="s">
        <v>220</v>
      </c>
      <c r="C166" s="140" t="s">
        <v>2681</v>
      </c>
      <c r="D166" s="141">
        <v>32420.0</v>
      </c>
      <c r="E166" s="142">
        <v>134215.65748214722</v>
      </c>
      <c r="F166" s="140" t="s">
        <v>2683</v>
      </c>
      <c r="G166" s="143">
        <v>2.853342736191947E7</v>
      </c>
      <c r="H166" s="143">
        <v>4214708.456740625</v>
      </c>
      <c r="I166" s="144">
        <v>45187.0</v>
      </c>
      <c r="J166" s="144">
        <v>45205.0</v>
      </c>
      <c r="K166" s="145">
        <v>130143.1534576416</v>
      </c>
      <c r="L166" s="114" t="s">
        <v>137</v>
      </c>
      <c r="M166" s="114" t="s">
        <v>191</v>
      </c>
      <c r="N166" s="108"/>
      <c r="O166" s="108"/>
      <c r="P166" s="108"/>
      <c r="Q166" s="108"/>
      <c r="R166" s="108" t="str">
        <f t="shared" si="1"/>
        <v>2023</v>
      </c>
      <c r="S166" s="110">
        <f t="shared" si="2"/>
        <v>10</v>
      </c>
      <c r="T166" s="108" t="str">
        <f t="shared" si="3"/>
        <v>2023-Q4</v>
      </c>
      <c r="U166" s="108" t="str">
        <f t="shared" si="4"/>
        <v>2023-10</v>
      </c>
      <c r="V166" s="112" t="str">
        <f t="shared" si="5"/>
        <v>2023-H2</v>
      </c>
      <c r="W166" s="112"/>
    </row>
    <row r="167">
      <c r="A167" s="146">
        <f>HYPERLINK("https://polkadot.subsquare.io/referenda/159", 159)</f>
        <v>159</v>
      </c>
      <c r="B167" s="147" t="s">
        <v>2778</v>
      </c>
      <c r="C167" s="147" t="s">
        <v>2681</v>
      </c>
      <c r="D167" s="148">
        <v>0.0</v>
      </c>
      <c r="E167" s="149">
        <v>0.0</v>
      </c>
      <c r="F167" s="147" t="s">
        <v>2683</v>
      </c>
      <c r="G167" s="150">
        <v>6714486.932214823</v>
      </c>
      <c r="H167" s="150">
        <v>1573255.404904616</v>
      </c>
      <c r="I167" s="151">
        <v>45188.0</v>
      </c>
      <c r="J167" s="151">
        <v>45213.0</v>
      </c>
      <c r="K167" s="152">
        <v>0.0</v>
      </c>
      <c r="L167" s="117" t="s">
        <v>2673</v>
      </c>
      <c r="M167" s="117" t="s">
        <v>2673</v>
      </c>
      <c r="N167" s="153"/>
      <c r="O167" s="153"/>
      <c r="P167" s="153"/>
      <c r="Q167" s="153"/>
      <c r="R167" s="153" t="str">
        <f t="shared" si="1"/>
        <v>2023</v>
      </c>
      <c r="S167" s="154">
        <f t="shared" si="2"/>
        <v>10</v>
      </c>
      <c r="T167" s="153" t="str">
        <f t="shared" si="3"/>
        <v>2023-Q4</v>
      </c>
      <c r="U167" s="153" t="str">
        <f t="shared" si="4"/>
        <v>2023-10</v>
      </c>
      <c r="V167" s="155" t="str">
        <f t="shared" si="5"/>
        <v>2023-H2</v>
      </c>
      <c r="W167" s="155"/>
    </row>
    <row r="168">
      <c r="A168" s="139">
        <f>HYPERLINK("https://polkadot.subsquare.io/referenda/160", 160)</f>
        <v>160</v>
      </c>
      <c r="B168" s="140" t="s">
        <v>221</v>
      </c>
      <c r="C168" s="140" t="s">
        <v>2681</v>
      </c>
      <c r="D168" s="141">
        <v>16231.0</v>
      </c>
      <c r="E168" s="142">
        <v>65452.15421628952</v>
      </c>
      <c r="F168" s="140" t="s">
        <v>2683</v>
      </c>
      <c r="G168" s="143">
        <v>3.2922393783723775E7</v>
      </c>
      <c r="H168" s="143">
        <v>1.192526170680949E7</v>
      </c>
      <c r="I168" s="144">
        <v>45190.0</v>
      </c>
      <c r="J168" s="144">
        <v>45211.0</v>
      </c>
      <c r="K168" s="145">
        <v>60947.0469686985</v>
      </c>
      <c r="L168" s="114" t="s">
        <v>137</v>
      </c>
      <c r="M168" s="114" t="s">
        <v>138</v>
      </c>
      <c r="N168" s="108"/>
      <c r="O168" s="108"/>
      <c r="P168" s="108"/>
      <c r="Q168" s="108"/>
      <c r="R168" s="108" t="str">
        <f t="shared" si="1"/>
        <v>2023</v>
      </c>
      <c r="S168" s="110">
        <f t="shared" si="2"/>
        <v>10</v>
      </c>
      <c r="T168" s="108" t="str">
        <f t="shared" si="3"/>
        <v>2023-Q4</v>
      </c>
      <c r="U168" s="108" t="str">
        <f t="shared" si="4"/>
        <v>2023-10</v>
      </c>
      <c r="V168" s="112" t="str">
        <f t="shared" si="5"/>
        <v>2023-H2</v>
      </c>
      <c r="W168" s="112"/>
    </row>
    <row r="169">
      <c r="A169" s="146">
        <f>HYPERLINK("https://polkadot.subsquare.io/referenda/161", 161)</f>
        <v>161</v>
      </c>
      <c r="B169" s="147" t="s">
        <v>222</v>
      </c>
      <c r="C169" s="147" t="s">
        <v>2681</v>
      </c>
      <c r="D169" s="148">
        <v>171454.05</v>
      </c>
      <c r="E169" s="149">
        <v>684226.2976417779</v>
      </c>
      <c r="F169" s="147" t="s">
        <v>2676</v>
      </c>
      <c r="G169" s="150">
        <v>4.0992246510089815E7</v>
      </c>
      <c r="H169" s="150">
        <v>3120749.43144537</v>
      </c>
      <c r="I169" s="151">
        <v>45193.0</v>
      </c>
      <c r="J169" s="151">
        <v>45220.0</v>
      </c>
      <c r="K169" s="152">
        <v>745528.9821412325</v>
      </c>
      <c r="L169" s="117" t="s">
        <v>81</v>
      </c>
      <c r="M169" s="117" t="s">
        <v>202</v>
      </c>
      <c r="N169" s="153"/>
      <c r="O169" s="153"/>
      <c r="P169" s="153"/>
      <c r="Q169" s="153"/>
      <c r="R169" s="153" t="str">
        <f t="shared" si="1"/>
        <v>2023</v>
      </c>
      <c r="S169" s="154">
        <f t="shared" si="2"/>
        <v>10</v>
      </c>
      <c r="T169" s="153" t="str">
        <f t="shared" si="3"/>
        <v>2023-Q4</v>
      </c>
      <c r="U169" s="153" t="str">
        <f t="shared" si="4"/>
        <v>2023-10</v>
      </c>
      <c r="V169" s="155" t="str">
        <f t="shared" si="5"/>
        <v>2023-H2</v>
      </c>
      <c r="W169" s="155"/>
    </row>
    <row r="170">
      <c r="A170" s="139">
        <f>HYPERLINK("https://polkadot.subsquare.io/referenda/162", 162)</f>
        <v>162</v>
      </c>
      <c r="B170" s="140" t="s">
        <v>223</v>
      </c>
      <c r="C170" s="140" t="s">
        <v>2681</v>
      </c>
      <c r="D170" s="141">
        <v>24937.0</v>
      </c>
      <c r="E170" s="142">
        <v>99516.75789690018</v>
      </c>
      <c r="F170" s="140" t="s">
        <v>2683</v>
      </c>
      <c r="G170" s="143">
        <v>1.6363832556860913E7</v>
      </c>
      <c r="H170" s="143">
        <v>3029531.992731462</v>
      </c>
      <c r="I170" s="144">
        <v>45194.0</v>
      </c>
      <c r="J170" s="144">
        <v>45214.0</v>
      </c>
      <c r="K170" s="145">
        <v>91183.36183691025</v>
      </c>
      <c r="L170" s="114" t="s">
        <v>81</v>
      </c>
      <c r="M170" s="114" t="s">
        <v>179</v>
      </c>
      <c r="N170" s="108"/>
      <c r="O170" s="108"/>
      <c r="P170" s="108"/>
      <c r="Q170" s="108"/>
      <c r="R170" s="108" t="str">
        <f t="shared" si="1"/>
        <v>2023</v>
      </c>
      <c r="S170" s="110">
        <f t="shared" si="2"/>
        <v>10</v>
      </c>
      <c r="T170" s="108" t="str">
        <f t="shared" si="3"/>
        <v>2023-Q4</v>
      </c>
      <c r="U170" s="108" t="str">
        <f t="shared" si="4"/>
        <v>2023-10</v>
      </c>
      <c r="V170" s="112" t="str">
        <f t="shared" si="5"/>
        <v>2023-H2</v>
      </c>
      <c r="W170" s="112"/>
    </row>
    <row r="171">
      <c r="A171" s="146">
        <f>HYPERLINK("https://polkadot.subsquare.io/referenda/163", 163)</f>
        <v>163</v>
      </c>
      <c r="B171" s="147" t="s">
        <v>2779</v>
      </c>
      <c r="C171" s="147" t="s">
        <v>2681</v>
      </c>
      <c r="D171" s="148">
        <v>0.0</v>
      </c>
      <c r="E171" s="149">
        <v>0.0</v>
      </c>
      <c r="F171" s="147" t="s">
        <v>2683</v>
      </c>
      <c r="G171" s="150">
        <v>1.3862980444431776E7</v>
      </c>
      <c r="H171" s="150">
        <v>2560151.2917201086</v>
      </c>
      <c r="I171" s="151">
        <v>45194.0</v>
      </c>
      <c r="J171" s="151">
        <v>45224.0</v>
      </c>
      <c r="K171" s="152">
        <v>0.0</v>
      </c>
      <c r="L171" s="117" t="s">
        <v>2673</v>
      </c>
      <c r="M171" s="117" t="s">
        <v>2673</v>
      </c>
      <c r="N171" s="153"/>
      <c r="O171" s="153" t="s">
        <v>2654</v>
      </c>
      <c r="P171" s="153"/>
      <c r="Q171" s="153"/>
      <c r="R171" s="153" t="str">
        <f t="shared" si="1"/>
        <v>2023</v>
      </c>
      <c r="S171" s="154">
        <f t="shared" si="2"/>
        <v>10</v>
      </c>
      <c r="T171" s="153" t="str">
        <f t="shared" si="3"/>
        <v>2023-Q4</v>
      </c>
      <c r="U171" s="153" t="str">
        <f t="shared" si="4"/>
        <v>2023-10</v>
      </c>
      <c r="V171" s="155" t="str">
        <f t="shared" si="5"/>
        <v>2023-H2</v>
      </c>
      <c r="W171" s="155"/>
    </row>
    <row r="172">
      <c r="A172" s="139">
        <f>HYPERLINK("https://polkadot.subsquare.io/referenda/164", 164)</f>
        <v>164</v>
      </c>
      <c r="B172" s="140" t="s">
        <v>186</v>
      </c>
      <c r="C172" s="140" t="s">
        <v>2681</v>
      </c>
      <c r="D172" s="141">
        <v>20.0</v>
      </c>
      <c r="E172" s="142">
        <v>81.49321556091309</v>
      </c>
      <c r="F172" s="140" t="s">
        <v>186</v>
      </c>
      <c r="G172" s="143">
        <v>1124068.261025354</v>
      </c>
      <c r="H172" s="143">
        <v>10.0</v>
      </c>
      <c r="I172" s="144">
        <v>45194.0</v>
      </c>
      <c r="J172" s="144">
        <v>45199.0</v>
      </c>
      <c r="K172" s="145">
        <v>81.48493766784668</v>
      </c>
      <c r="L172" s="114" t="s">
        <v>81</v>
      </c>
      <c r="M172" s="114" t="s">
        <v>185</v>
      </c>
      <c r="N172" s="108"/>
      <c r="O172" s="108"/>
      <c r="P172" s="108"/>
      <c r="Q172" s="108"/>
      <c r="R172" s="108" t="str">
        <f t="shared" si="1"/>
        <v>2023</v>
      </c>
      <c r="S172" s="110">
        <f t="shared" si="2"/>
        <v>9</v>
      </c>
      <c r="T172" s="108" t="str">
        <f t="shared" si="3"/>
        <v>2023-Q3</v>
      </c>
      <c r="U172" s="108" t="str">
        <f t="shared" si="4"/>
        <v>2023-09</v>
      </c>
      <c r="V172" s="112" t="str">
        <f t="shared" si="5"/>
        <v>2023-H2</v>
      </c>
      <c r="W172" s="112"/>
    </row>
    <row r="173">
      <c r="A173" s="146">
        <f>HYPERLINK("https://polkadot.subsquare.io/referenda/165", 165)</f>
        <v>165</v>
      </c>
      <c r="B173" s="147" t="s">
        <v>224</v>
      </c>
      <c r="C173" s="147" t="s">
        <v>2681</v>
      </c>
      <c r="D173" s="148">
        <v>32480.0</v>
      </c>
      <c r="E173" s="149">
        <v>132429.46731567383</v>
      </c>
      <c r="F173" s="147" t="s">
        <v>2683</v>
      </c>
      <c r="G173" s="150">
        <v>1.5885988959660273E7</v>
      </c>
      <c r="H173" s="150">
        <v>1.4215047154586323E7</v>
      </c>
      <c r="I173" s="151">
        <v>45195.0</v>
      </c>
      <c r="J173" s="151">
        <v>45219.0</v>
      </c>
      <c r="K173" s="152">
        <v>141231.90055847168</v>
      </c>
      <c r="L173" s="117" t="s">
        <v>81</v>
      </c>
      <c r="M173" s="117" t="s">
        <v>154</v>
      </c>
      <c r="N173" s="153"/>
      <c r="O173" s="153"/>
      <c r="P173" s="153"/>
      <c r="Q173" s="153"/>
      <c r="R173" s="153" t="str">
        <f t="shared" si="1"/>
        <v>2023</v>
      </c>
      <c r="S173" s="154">
        <f t="shared" si="2"/>
        <v>10</v>
      </c>
      <c r="T173" s="153" t="str">
        <f t="shared" si="3"/>
        <v>2023-Q4</v>
      </c>
      <c r="U173" s="153" t="str">
        <f t="shared" si="4"/>
        <v>2023-10</v>
      </c>
      <c r="V173" s="155" t="str">
        <f t="shared" si="5"/>
        <v>2023-H2</v>
      </c>
      <c r="W173" s="155"/>
    </row>
    <row r="174">
      <c r="A174" s="139">
        <f>HYPERLINK("https://polkadot.subsquare.io/referenda/166", 166)</f>
        <v>166</v>
      </c>
      <c r="B174" s="140" t="s">
        <v>2780</v>
      </c>
      <c r="C174" s="140" t="s">
        <v>2681</v>
      </c>
      <c r="D174" s="141">
        <v>0.0</v>
      </c>
      <c r="E174" s="142">
        <v>0.0</v>
      </c>
      <c r="F174" s="140" t="s">
        <v>2682</v>
      </c>
      <c r="G174" s="143">
        <v>7.987862777888377E7</v>
      </c>
      <c r="H174" s="143">
        <v>469179.9508784957</v>
      </c>
      <c r="I174" s="144">
        <v>45196.0</v>
      </c>
      <c r="J174" s="144">
        <v>45219.0</v>
      </c>
      <c r="K174" s="145">
        <v>0.0</v>
      </c>
      <c r="L174" s="114" t="s">
        <v>2673</v>
      </c>
      <c r="M174" s="114" t="s">
        <v>2673</v>
      </c>
      <c r="N174" s="108"/>
      <c r="O174" s="108"/>
      <c r="P174" s="108"/>
      <c r="Q174" s="108"/>
      <c r="R174" s="108" t="str">
        <f t="shared" si="1"/>
        <v>2023</v>
      </c>
      <c r="S174" s="110">
        <f t="shared" si="2"/>
        <v>10</v>
      </c>
      <c r="T174" s="108" t="str">
        <f t="shared" si="3"/>
        <v>2023-Q4</v>
      </c>
      <c r="U174" s="108" t="str">
        <f t="shared" si="4"/>
        <v>2023-10</v>
      </c>
      <c r="V174" s="112" t="str">
        <f t="shared" si="5"/>
        <v>2023-H2</v>
      </c>
      <c r="W174" s="112"/>
    </row>
    <row r="175">
      <c r="A175" s="146">
        <f>HYPERLINK("https://polkadot.subsquare.io/referenda/167", 167)</f>
        <v>167</v>
      </c>
      <c r="B175" s="147" t="s">
        <v>225</v>
      </c>
      <c r="C175" s="147" t="s">
        <v>2681</v>
      </c>
      <c r="D175" s="148">
        <v>6444.7</v>
      </c>
      <c r="E175" s="149">
        <v>26276.729926395416</v>
      </c>
      <c r="F175" s="147" t="s">
        <v>2678</v>
      </c>
      <c r="G175" s="150">
        <v>3.459635421283184E7</v>
      </c>
      <c r="H175" s="150">
        <v>1.054669198594188E7</v>
      </c>
      <c r="I175" s="151">
        <v>45196.0</v>
      </c>
      <c r="J175" s="151">
        <v>45218.0</v>
      </c>
      <c r="K175" s="152">
        <v>25551.40493221283</v>
      </c>
      <c r="L175" s="117" t="s">
        <v>81</v>
      </c>
      <c r="M175" s="117" t="s">
        <v>202</v>
      </c>
      <c r="N175" s="153"/>
      <c r="O175" s="153"/>
      <c r="P175" s="153"/>
      <c r="Q175" s="153"/>
      <c r="R175" s="153" t="str">
        <f t="shared" si="1"/>
        <v>2023</v>
      </c>
      <c r="S175" s="154">
        <f t="shared" si="2"/>
        <v>10</v>
      </c>
      <c r="T175" s="153" t="str">
        <f t="shared" si="3"/>
        <v>2023-Q4</v>
      </c>
      <c r="U175" s="153" t="str">
        <f t="shared" si="4"/>
        <v>2023-10</v>
      </c>
      <c r="V175" s="155" t="str">
        <f t="shared" si="5"/>
        <v>2023-H2</v>
      </c>
      <c r="W175" s="155"/>
    </row>
    <row r="176">
      <c r="A176" s="139">
        <f>HYPERLINK("https://polkadot.subsquare.io/referenda/168", 168)</f>
        <v>168</v>
      </c>
      <c r="B176" s="140" t="s">
        <v>226</v>
      </c>
      <c r="C176" s="140" t="s">
        <v>2681</v>
      </c>
      <c r="D176" s="141">
        <v>5233.0</v>
      </c>
      <c r="E176" s="142">
        <v>21484.6989941597</v>
      </c>
      <c r="F176" s="140" t="s">
        <v>2678</v>
      </c>
      <c r="G176" s="143">
        <v>1.664284886018637E7</v>
      </c>
      <c r="H176" s="143">
        <v>1.0902778199072879E7</v>
      </c>
      <c r="I176" s="144">
        <v>45196.0</v>
      </c>
      <c r="J176" s="144">
        <v>45215.0</v>
      </c>
      <c r="K176" s="145">
        <v>19094.579084396362</v>
      </c>
      <c r="L176" s="114" t="s">
        <v>137</v>
      </c>
      <c r="M176" s="114" t="s">
        <v>138</v>
      </c>
      <c r="N176" s="108"/>
      <c r="O176" s="108"/>
      <c r="P176" s="108"/>
      <c r="Q176" s="108"/>
      <c r="R176" s="108" t="str">
        <f t="shared" si="1"/>
        <v>2023</v>
      </c>
      <c r="S176" s="110">
        <f t="shared" si="2"/>
        <v>10</v>
      </c>
      <c r="T176" s="108" t="str">
        <f t="shared" si="3"/>
        <v>2023-Q4</v>
      </c>
      <c r="U176" s="108" t="str">
        <f t="shared" si="4"/>
        <v>2023-10</v>
      </c>
      <c r="V176" s="112" t="str">
        <f t="shared" si="5"/>
        <v>2023-H2</v>
      </c>
      <c r="W176" s="112"/>
    </row>
    <row r="177">
      <c r="A177" s="146">
        <f>HYPERLINK("https://polkadot.subsquare.io/referenda/169", 169)</f>
        <v>169</v>
      </c>
      <c r="B177" s="147" t="s">
        <v>2781</v>
      </c>
      <c r="C177" s="147" t="s">
        <v>2672</v>
      </c>
      <c r="D177" s="148">
        <v>15.0</v>
      </c>
      <c r="E177" s="149">
        <v>61.584270000457764</v>
      </c>
      <c r="F177" s="147" t="s">
        <v>186</v>
      </c>
      <c r="G177" s="150">
        <v>239659.293476854</v>
      </c>
      <c r="H177" s="150">
        <v>7506281.359547438</v>
      </c>
      <c r="I177" s="151">
        <v>45197.0</v>
      </c>
      <c r="J177" s="151">
        <v>45204.0</v>
      </c>
      <c r="K177" s="152">
        <v>60.84670543670654</v>
      </c>
      <c r="L177" s="117" t="s">
        <v>2673</v>
      </c>
      <c r="M177" s="117" t="s">
        <v>2673</v>
      </c>
      <c r="N177" s="153"/>
      <c r="O177" s="153"/>
      <c r="P177" s="153"/>
      <c r="Q177" s="153"/>
      <c r="R177" s="153" t="str">
        <f t="shared" si="1"/>
        <v>2023</v>
      </c>
      <c r="S177" s="154">
        <f t="shared" si="2"/>
        <v>10</v>
      </c>
      <c r="T177" s="153" t="str">
        <f t="shared" si="3"/>
        <v>2023-Q4</v>
      </c>
      <c r="U177" s="153" t="str">
        <f t="shared" si="4"/>
        <v>2023-10</v>
      </c>
      <c r="V177" s="155" t="str">
        <f t="shared" si="5"/>
        <v>2023-H2</v>
      </c>
      <c r="W177" s="155"/>
    </row>
    <row r="178">
      <c r="A178" s="139">
        <f>HYPERLINK("https://polkadot.subsquare.io/referenda/170", 170)</f>
        <v>170</v>
      </c>
      <c r="B178" s="140" t="s">
        <v>227</v>
      </c>
      <c r="C178" s="140" t="s">
        <v>2681</v>
      </c>
      <c r="D178" s="141">
        <v>5000.0</v>
      </c>
      <c r="E178" s="142">
        <v>21305.04608154297</v>
      </c>
      <c r="F178" s="140" t="s">
        <v>2678</v>
      </c>
      <c r="G178" s="143">
        <v>3.0182311032798253E7</v>
      </c>
      <c r="H178" s="143">
        <v>1.0517214324763149E7</v>
      </c>
      <c r="I178" s="144">
        <v>45197.0</v>
      </c>
      <c r="J178" s="144">
        <v>45212.0</v>
      </c>
      <c r="K178" s="145">
        <v>18774.889707565308</v>
      </c>
      <c r="L178" s="114" t="s">
        <v>137</v>
      </c>
      <c r="M178" s="114" t="s">
        <v>138</v>
      </c>
      <c r="N178" s="108"/>
      <c r="O178" s="108"/>
      <c r="P178" s="108"/>
      <c r="Q178" s="108"/>
      <c r="R178" s="108" t="str">
        <f t="shared" si="1"/>
        <v>2023</v>
      </c>
      <c r="S178" s="110">
        <f t="shared" si="2"/>
        <v>10</v>
      </c>
      <c r="T178" s="108" t="str">
        <f t="shared" si="3"/>
        <v>2023-Q4</v>
      </c>
      <c r="U178" s="108" t="str">
        <f t="shared" si="4"/>
        <v>2023-10</v>
      </c>
      <c r="V178" s="112" t="str">
        <f t="shared" si="5"/>
        <v>2023-H2</v>
      </c>
      <c r="W178" s="112"/>
    </row>
    <row r="179">
      <c r="A179" s="146">
        <f>HYPERLINK("https://polkadot.subsquare.io/referenda/171", 171)</f>
        <v>171</v>
      </c>
      <c r="B179" s="147" t="s">
        <v>228</v>
      </c>
      <c r="C179" s="147" t="s">
        <v>2681</v>
      </c>
      <c r="D179" s="148">
        <v>15.0</v>
      </c>
      <c r="E179" s="149">
        <v>63.915138244628906</v>
      </c>
      <c r="F179" s="147" t="s">
        <v>186</v>
      </c>
      <c r="G179" s="150">
        <v>7838951.480903813</v>
      </c>
      <c r="H179" s="150">
        <v>78191.1</v>
      </c>
      <c r="I179" s="151">
        <v>45198.0</v>
      </c>
      <c r="J179" s="151">
        <v>45201.0</v>
      </c>
      <c r="K179" s="152">
        <v>60.70974111557007</v>
      </c>
      <c r="L179" s="117" t="s">
        <v>81</v>
      </c>
      <c r="M179" s="117" t="s">
        <v>185</v>
      </c>
      <c r="N179" s="153"/>
      <c r="O179" s="153"/>
      <c r="P179" s="153"/>
      <c r="Q179" s="153"/>
      <c r="R179" s="153" t="str">
        <f t="shared" si="1"/>
        <v>2023</v>
      </c>
      <c r="S179" s="154">
        <f t="shared" si="2"/>
        <v>10</v>
      </c>
      <c r="T179" s="153" t="str">
        <f t="shared" si="3"/>
        <v>2023-Q4</v>
      </c>
      <c r="U179" s="153" t="str">
        <f t="shared" si="4"/>
        <v>2023-10</v>
      </c>
      <c r="V179" s="155" t="str">
        <f t="shared" si="5"/>
        <v>2023-H2</v>
      </c>
      <c r="W179" s="155"/>
    </row>
    <row r="180">
      <c r="A180" s="139">
        <f>HYPERLINK("https://polkadot.subsquare.io/referenda/172", 172)</f>
        <v>172</v>
      </c>
      <c r="B180" s="140" t="s">
        <v>229</v>
      </c>
      <c r="C180" s="140" t="s">
        <v>2681</v>
      </c>
      <c r="D180" s="141">
        <v>67438.0</v>
      </c>
      <c r="E180" s="142">
        <v>278098.27057266235</v>
      </c>
      <c r="F180" s="140" t="s">
        <v>2683</v>
      </c>
      <c r="G180" s="143">
        <v>1.5974743506895315E7</v>
      </c>
      <c r="H180" s="143">
        <v>1.3259460570952611E7</v>
      </c>
      <c r="I180" s="144">
        <v>45199.0</v>
      </c>
      <c r="J180" s="144">
        <v>45222.0</v>
      </c>
      <c r="K180" s="145">
        <v>288975.4856014252</v>
      </c>
      <c r="L180" s="114" t="s">
        <v>81</v>
      </c>
      <c r="M180" s="114" t="s">
        <v>148</v>
      </c>
      <c r="N180" s="108"/>
      <c r="O180" s="108"/>
      <c r="P180" s="108"/>
      <c r="Q180" s="108"/>
      <c r="R180" s="108" t="str">
        <f t="shared" si="1"/>
        <v>2023</v>
      </c>
      <c r="S180" s="110">
        <f t="shared" si="2"/>
        <v>10</v>
      </c>
      <c r="T180" s="108" t="str">
        <f t="shared" si="3"/>
        <v>2023-Q4</v>
      </c>
      <c r="U180" s="108" t="str">
        <f t="shared" si="4"/>
        <v>2023-10</v>
      </c>
      <c r="V180" s="112" t="str">
        <f t="shared" si="5"/>
        <v>2023-H2</v>
      </c>
      <c r="W180" s="112"/>
    </row>
    <row r="181">
      <c r="A181" s="146">
        <f>HYPERLINK("https://polkadot.subsquare.io/referenda/173", 173)</f>
        <v>173</v>
      </c>
      <c r="B181" s="147" t="s">
        <v>2782</v>
      </c>
      <c r="C181" s="147" t="s">
        <v>2672</v>
      </c>
      <c r="D181" s="148">
        <v>130.227</v>
      </c>
      <c r="E181" s="149">
        <v>537.025170999527</v>
      </c>
      <c r="F181" s="147" t="s">
        <v>186</v>
      </c>
      <c r="G181" s="150">
        <v>453451.1</v>
      </c>
      <c r="H181" s="150">
        <v>9617022.639728453</v>
      </c>
      <c r="I181" s="151">
        <v>45199.0</v>
      </c>
      <c r="J181" s="151">
        <v>45206.0</v>
      </c>
      <c r="K181" s="152">
        <v>504.91859372735024</v>
      </c>
      <c r="L181" s="117" t="s">
        <v>2673</v>
      </c>
      <c r="M181" s="117" t="s">
        <v>2673</v>
      </c>
      <c r="N181" s="153"/>
      <c r="O181" s="153"/>
      <c r="P181" s="153"/>
      <c r="Q181" s="153"/>
      <c r="R181" s="153" t="str">
        <f t="shared" si="1"/>
        <v>2023</v>
      </c>
      <c r="S181" s="154">
        <f t="shared" si="2"/>
        <v>10</v>
      </c>
      <c r="T181" s="153" t="str">
        <f t="shared" si="3"/>
        <v>2023-Q4</v>
      </c>
      <c r="U181" s="153" t="str">
        <f t="shared" si="4"/>
        <v>2023-10</v>
      </c>
      <c r="V181" s="155" t="str">
        <f t="shared" si="5"/>
        <v>2023-H2</v>
      </c>
      <c r="W181" s="155"/>
    </row>
    <row r="182">
      <c r="A182" s="139">
        <f>HYPERLINK("https://polkadot.subsquare.io/referenda/174", 174)</f>
        <v>174</v>
      </c>
      <c r="B182" s="140" t="s">
        <v>2783</v>
      </c>
      <c r="C182" s="140" t="s">
        <v>2681</v>
      </c>
      <c r="D182" s="141">
        <v>0.0</v>
      </c>
      <c r="E182" s="142">
        <v>0.0</v>
      </c>
      <c r="F182" s="140" t="s">
        <v>2687</v>
      </c>
      <c r="G182" s="143">
        <v>1.1359224421684125E8</v>
      </c>
      <c r="H182" s="143">
        <v>10.0</v>
      </c>
      <c r="I182" s="144">
        <v>45199.0</v>
      </c>
      <c r="J182" s="144">
        <v>45234.0</v>
      </c>
      <c r="K182" s="145">
        <v>0.0</v>
      </c>
      <c r="L182" s="114" t="s">
        <v>2673</v>
      </c>
      <c r="M182" s="114" t="s">
        <v>2673</v>
      </c>
      <c r="N182" s="108"/>
      <c r="O182" s="108"/>
      <c r="P182" s="108"/>
      <c r="Q182" s="108"/>
      <c r="R182" s="108" t="str">
        <f t="shared" si="1"/>
        <v>2023</v>
      </c>
      <c r="S182" s="110">
        <f t="shared" si="2"/>
        <v>11</v>
      </c>
      <c r="T182" s="108" t="str">
        <f t="shared" si="3"/>
        <v>2023-Q4</v>
      </c>
      <c r="U182" s="108" t="str">
        <f t="shared" si="4"/>
        <v>2023-11</v>
      </c>
      <c r="V182" s="112" t="str">
        <f t="shared" si="5"/>
        <v>2023-H2</v>
      </c>
      <c r="W182" s="112"/>
    </row>
    <row r="183">
      <c r="A183" s="146">
        <f>HYPERLINK("https://polkadot.subsquare.io/referenda/175", 175)</f>
        <v>175</v>
      </c>
      <c r="B183" s="147" t="s">
        <v>230</v>
      </c>
      <c r="C183" s="147" t="s">
        <v>2681</v>
      </c>
      <c r="D183" s="148">
        <v>11183.81</v>
      </c>
      <c r="E183" s="149">
        <v>45565.603036952016</v>
      </c>
      <c r="F183" s="147" t="s">
        <v>2683</v>
      </c>
      <c r="G183" s="150">
        <v>1.940517177411935E7</v>
      </c>
      <c r="H183" s="150">
        <v>1.1687126732700344E7</v>
      </c>
      <c r="I183" s="151">
        <v>45199.0</v>
      </c>
      <c r="J183" s="151">
        <v>45228.0</v>
      </c>
      <c r="K183" s="152">
        <v>52909.59660290241</v>
      </c>
      <c r="L183" s="117" t="s">
        <v>81</v>
      </c>
      <c r="M183" s="117" t="s">
        <v>152</v>
      </c>
      <c r="N183" s="153"/>
      <c r="O183" s="153"/>
      <c r="P183" s="153"/>
      <c r="Q183" s="153"/>
      <c r="R183" s="153" t="str">
        <f t="shared" si="1"/>
        <v>2023</v>
      </c>
      <c r="S183" s="154">
        <f t="shared" si="2"/>
        <v>10</v>
      </c>
      <c r="T183" s="153" t="str">
        <f t="shared" si="3"/>
        <v>2023-Q4</v>
      </c>
      <c r="U183" s="153" t="str">
        <f t="shared" si="4"/>
        <v>2023-10</v>
      </c>
      <c r="V183" s="155" t="str">
        <f t="shared" si="5"/>
        <v>2023-H2</v>
      </c>
      <c r="W183" s="155"/>
    </row>
    <row r="184">
      <c r="A184" s="139">
        <f>HYPERLINK("https://polkadot.subsquare.io/referenda/176", 176)</f>
        <v>176</v>
      </c>
      <c r="B184" s="140" t="s">
        <v>186</v>
      </c>
      <c r="C184" s="140" t="s">
        <v>2681</v>
      </c>
      <c r="D184" s="141">
        <v>80.0</v>
      </c>
      <c r="E184" s="142">
        <v>325.9397506713867</v>
      </c>
      <c r="F184" s="140" t="s">
        <v>186</v>
      </c>
      <c r="G184" s="143">
        <v>9618419.74893157</v>
      </c>
      <c r="H184" s="143">
        <v>7010.0</v>
      </c>
      <c r="I184" s="144">
        <v>45200.0</v>
      </c>
      <c r="J184" s="144">
        <v>45203.0</v>
      </c>
      <c r="K184" s="145">
        <v>324.51576232910156</v>
      </c>
      <c r="L184" s="114" t="s">
        <v>81</v>
      </c>
      <c r="M184" s="114" t="s">
        <v>185</v>
      </c>
      <c r="N184" s="108"/>
      <c r="O184" s="108"/>
      <c r="P184" s="108"/>
      <c r="Q184" s="108"/>
      <c r="R184" s="108" t="str">
        <f t="shared" si="1"/>
        <v>2023</v>
      </c>
      <c r="S184" s="110">
        <f t="shared" si="2"/>
        <v>10</v>
      </c>
      <c r="T184" s="108" t="str">
        <f t="shared" si="3"/>
        <v>2023-Q4</v>
      </c>
      <c r="U184" s="108" t="str">
        <f t="shared" si="4"/>
        <v>2023-10</v>
      </c>
      <c r="V184" s="112" t="str">
        <f t="shared" si="5"/>
        <v>2023-H2</v>
      </c>
      <c r="W184" s="112"/>
    </row>
    <row r="185">
      <c r="A185" s="146">
        <f>HYPERLINK("https://polkadot.subsquare.io/referenda/177", 177)</f>
        <v>177</v>
      </c>
      <c r="B185" s="147" t="s">
        <v>232</v>
      </c>
      <c r="C185" s="147" t="s">
        <v>2681</v>
      </c>
      <c r="D185" s="148">
        <v>42685.0</v>
      </c>
      <c r="E185" s="149">
        <v>172759.68663454056</v>
      </c>
      <c r="F185" s="147" t="s">
        <v>2683</v>
      </c>
      <c r="G185" s="150">
        <v>4.183694146930335E7</v>
      </c>
      <c r="H185" s="150">
        <v>1508814.1225582366</v>
      </c>
      <c r="I185" s="151">
        <v>45200.0</v>
      </c>
      <c r="J185" s="151">
        <v>45217.0</v>
      </c>
      <c r="K185" s="152">
        <v>166659.53242063522</v>
      </c>
      <c r="L185" s="117" t="s">
        <v>84</v>
      </c>
      <c r="M185" s="117" t="s">
        <v>231</v>
      </c>
      <c r="N185" s="153"/>
      <c r="O185" s="153"/>
      <c r="P185" s="153"/>
      <c r="Q185" s="153"/>
      <c r="R185" s="153" t="str">
        <f t="shared" si="1"/>
        <v>2023</v>
      </c>
      <c r="S185" s="154">
        <f t="shared" si="2"/>
        <v>10</v>
      </c>
      <c r="T185" s="153" t="str">
        <f t="shared" si="3"/>
        <v>2023-Q4</v>
      </c>
      <c r="U185" s="153" t="str">
        <f t="shared" si="4"/>
        <v>2023-10</v>
      </c>
      <c r="V185" s="155" t="str">
        <f t="shared" si="5"/>
        <v>2023-H2</v>
      </c>
      <c r="W185" s="155"/>
    </row>
    <row r="186">
      <c r="A186" s="139">
        <f>HYPERLINK("https://polkadot.subsquare.io/referenda/178", 178)</f>
        <v>178</v>
      </c>
      <c r="B186" s="140" t="s">
        <v>233</v>
      </c>
      <c r="C186" s="140" t="s">
        <v>2681</v>
      </c>
      <c r="D186" s="141">
        <v>37851.0</v>
      </c>
      <c r="E186" s="142">
        <v>153194.9607310295</v>
      </c>
      <c r="F186" s="140" t="s">
        <v>2683</v>
      </c>
      <c r="G186" s="143">
        <v>1.560995924957572E7</v>
      </c>
      <c r="H186" s="143">
        <v>1.3069205742926199E7</v>
      </c>
      <c r="I186" s="144">
        <v>45201.0</v>
      </c>
      <c r="J186" s="144">
        <v>45224.0</v>
      </c>
      <c r="K186" s="145">
        <v>158221.27057170868</v>
      </c>
      <c r="L186" s="114" t="s">
        <v>137</v>
      </c>
      <c r="M186" s="114" t="s">
        <v>138</v>
      </c>
      <c r="N186" s="108"/>
      <c r="O186" s="108"/>
      <c r="P186" s="108"/>
      <c r="Q186" s="108"/>
      <c r="R186" s="108" t="str">
        <f t="shared" si="1"/>
        <v>2023</v>
      </c>
      <c r="S186" s="110">
        <f t="shared" si="2"/>
        <v>10</v>
      </c>
      <c r="T186" s="108" t="str">
        <f t="shared" si="3"/>
        <v>2023-Q4</v>
      </c>
      <c r="U186" s="108" t="str">
        <f t="shared" si="4"/>
        <v>2023-10</v>
      </c>
      <c r="V186" s="112" t="str">
        <f t="shared" si="5"/>
        <v>2023-H2</v>
      </c>
      <c r="W186" s="112"/>
    </row>
    <row r="187">
      <c r="A187" s="146">
        <f>HYPERLINK("https://polkadot.subsquare.io/referenda/179", 179)</f>
        <v>179</v>
      </c>
      <c r="B187" s="147" t="s">
        <v>234</v>
      </c>
      <c r="C187" s="147" t="s">
        <v>2681</v>
      </c>
      <c r="D187" s="148">
        <v>255835.014</v>
      </c>
      <c r="E187" s="149">
        <v>1029157.2274032126</v>
      </c>
      <c r="F187" s="147" t="s">
        <v>2676</v>
      </c>
      <c r="G187" s="150">
        <v>4.729266341660337E7</v>
      </c>
      <c r="H187" s="150">
        <v>1759274.7082190136</v>
      </c>
      <c r="I187" s="151">
        <v>45201.0</v>
      </c>
      <c r="J187" s="151">
        <v>45224.0</v>
      </c>
      <c r="K187" s="152">
        <v>1069418.0067055263</v>
      </c>
      <c r="L187" s="117" t="s">
        <v>82</v>
      </c>
      <c r="M187" s="117" t="s">
        <v>150</v>
      </c>
      <c r="N187" s="153"/>
      <c r="O187" s="153"/>
      <c r="P187" s="153"/>
      <c r="Q187" s="153"/>
      <c r="R187" s="153" t="str">
        <f t="shared" si="1"/>
        <v>2023</v>
      </c>
      <c r="S187" s="154">
        <f t="shared" si="2"/>
        <v>10</v>
      </c>
      <c r="T187" s="153" t="str">
        <f t="shared" si="3"/>
        <v>2023-Q4</v>
      </c>
      <c r="U187" s="153" t="str">
        <f t="shared" si="4"/>
        <v>2023-10</v>
      </c>
      <c r="V187" s="155" t="str">
        <f t="shared" si="5"/>
        <v>2023-H2</v>
      </c>
      <c r="W187" s="155"/>
    </row>
    <row r="188">
      <c r="A188" s="139">
        <f>HYPERLINK("https://polkadot.subsquare.io/referenda/180", 180)</f>
        <v>180</v>
      </c>
      <c r="B188" s="140" t="s">
        <v>2784</v>
      </c>
      <c r="C188" s="140" t="s">
        <v>2672</v>
      </c>
      <c r="D188" s="141">
        <v>16955.0</v>
      </c>
      <c r="E188" s="142">
        <v>68205.52244901657</v>
      </c>
      <c r="F188" s="140" t="s">
        <v>2683</v>
      </c>
      <c r="G188" s="143">
        <v>3492930.8145728265</v>
      </c>
      <c r="H188" s="143">
        <v>1.1707775346271059E7</v>
      </c>
      <c r="I188" s="144">
        <v>45202.0</v>
      </c>
      <c r="J188" s="144">
        <v>45230.0</v>
      </c>
      <c r="K188" s="145">
        <v>78255.69694519043</v>
      </c>
      <c r="L188" s="114" t="s">
        <v>2673</v>
      </c>
      <c r="M188" s="114" t="s">
        <v>2673</v>
      </c>
      <c r="N188" s="108"/>
      <c r="O188" s="108"/>
      <c r="P188" s="108"/>
      <c r="Q188" s="108"/>
      <c r="R188" s="108" t="str">
        <f t="shared" si="1"/>
        <v>2023</v>
      </c>
      <c r="S188" s="110">
        <f t="shared" si="2"/>
        <v>10</v>
      </c>
      <c r="T188" s="108" t="str">
        <f t="shared" si="3"/>
        <v>2023-Q4</v>
      </c>
      <c r="U188" s="108" t="str">
        <f t="shared" si="4"/>
        <v>2023-10</v>
      </c>
      <c r="V188" s="112" t="str">
        <f t="shared" si="5"/>
        <v>2023-H2</v>
      </c>
      <c r="W188" s="112"/>
    </row>
    <row r="189">
      <c r="A189" s="146">
        <f>HYPERLINK("https://polkadot.subsquare.io/referenda/181", 181)</f>
        <v>181</v>
      </c>
      <c r="B189" s="147" t="s">
        <v>235</v>
      </c>
      <c r="C189" s="147" t="s">
        <v>2681</v>
      </c>
      <c r="D189" s="148">
        <v>12115.0</v>
      </c>
      <c r="E189" s="149">
        <v>49334.08271074295</v>
      </c>
      <c r="F189" s="147" t="s">
        <v>2683</v>
      </c>
      <c r="G189" s="150">
        <v>3.1642966237652868E7</v>
      </c>
      <c r="H189" s="150">
        <v>1.1301172215252753E7</v>
      </c>
      <c r="I189" s="151">
        <v>45202.0</v>
      </c>
      <c r="J189" s="151">
        <v>45221.0</v>
      </c>
      <c r="K189" s="152">
        <v>50720.82905292511</v>
      </c>
      <c r="L189" s="117" t="s">
        <v>84</v>
      </c>
      <c r="M189" s="117" t="s">
        <v>154</v>
      </c>
      <c r="N189" s="153"/>
      <c r="O189" s="153"/>
      <c r="P189" s="153"/>
      <c r="Q189" s="153"/>
      <c r="R189" s="153" t="str">
        <f t="shared" si="1"/>
        <v>2023</v>
      </c>
      <c r="S189" s="154">
        <f t="shared" si="2"/>
        <v>10</v>
      </c>
      <c r="T189" s="153" t="str">
        <f t="shared" si="3"/>
        <v>2023-Q4</v>
      </c>
      <c r="U189" s="153" t="str">
        <f t="shared" si="4"/>
        <v>2023-10</v>
      </c>
      <c r="V189" s="155" t="str">
        <f t="shared" si="5"/>
        <v>2023-H2</v>
      </c>
      <c r="W189" s="155"/>
    </row>
    <row r="190">
      <c r="A190" s="139">
        <f>HYPERLINK("https://polkadot.subsquare.io/referenda/182", 182)</f>
        <v>182</v>
      </c>
      <c r="B190" s="140" t="s">
        <v>2785</v>
      </c>
      <c r="C190" s="140" t="s">
        <v>2691</v>
      </c>
      <c r="D190" s="141">
        <v>5457.0</v>
      </c>
      <c r="E190" s="142">
        <v>22221.716001033783</v>
      </c>
      <c r="F190" s="140" t="s">
        <v>2687</v>
      </c>
      <c r="G190" s="143">
        <v>42262.7451</v>
      </c>
      <c r="H190" s="143">
        <v>1.0678793697015744E7</v>
      </c>
      <c r="I190" s="144">
        <v>45202.0</v>
      </c>
      <c r="J190" s="144">
        <v>45216.0</v>
      </c>
      <c r="K190" s="145">
        <v>20306.99817252159</v>
      </c>
      <c r="L190" s="114" t="s">
        <v>2673</v>
      </c>
      <c r="M190" s="114" t="s">
        <v>2673</v>
      </c>
      <c r="N190" s="108"/>
      <c r="O190" s="108"/>
      <c r="P190" s="108"/>
      <c r="Q190" s="108"/>
      <c r="R190" s="108" t="str">
        <f t="shared" si="1"/>
        <v>2023</v>
      </c>
      <c r="S190" s="110">
        <f t="shared" si="2"/>
        <v>10</v>
      </c>
      <c r="T190" s="108" t="str">
        <f t="shared" si="3"/>
        <v>2023-Q4</v>
      </c>
      <c r="U190" s="108" t="str">
        <f t="shared" si="4"/>
        <v>2023-10</v>
      </c>
      <c r="V190" s="112" t="str">
        <f t="shared" si="5"/>
        <v>2023-H2</v>
      </c>
      <c r="W190" s="112"/>
    </row>
    <row r="191">
      <c r="A191" s="146">
        <f>HYPERLINK("https://polkadot.subsquare.io/referenda/183", 183)</f>
        <v>183</v>
      </c>
      <c r="B191" s="147" t="s">
        <v>236</v>
      </c>
      <c r="C191" s="147" t="s">
        <v>2681</v>
      </c>
      <c r="D191" s="148">
        <v>43154.0</v>
      </c>
      <c r="E191" s="149">
        <v>175051.9150943756</v>
      </c>
      <c r="F191" s="147" t="s">
        <v>2683</v>
      </c>
      <c r="G191" s="150">
        <v>1.213702657335041E7</v>
      </c>
      <c r="H191" s="150">
        <v>2290402.5680582365</v>
      </c>
      <c r="I191" s="151">
        <v>45204.0</v>
      </c>
      <c r="J191" s="151">
        <v>45229.0</v>
      </c>
      <c r="K191" s="152">
        <v>204157.68256092072</v>
      </c>
      <c r="L191" s="117" t="s">
        <v>84</v>
      </c>
      <c r="M191" s="117" t="s">
        <v>148</v>
      </c>
      <c r="N191" s="153"/>
      <c r="O191" s="153"/>
      <c r="P191" s="153"/>
      <c r="Q191" s="153"/>
      <c r="R191" s="153" t="str">
        <f t="shared" si="1"/>
        <v>2023</v>
      </c>
      <c r="S191" s="154">
        <f t="shared" si="2"/>
        <v>10</v>
      </c>
      <c r="T191" s="153" t="str">
        <f t="shared" si="3"/>
        <v>2023-Q4</v>
      </c>
      <c r="U191" s="153" t="str">
        <f t="shared" si="4"/>
        <v>2023-10</v>
      </c>
      <c r="V191" s="155" t="str">
        <f t="shared" si="5"/>
        <v>2023-H2</v>
      </c>
      <c r="W191" s="155"/>
    </row>
    <row r="192">
      <c r="A192" s="139">
        <f>HYPERLINK("https://polkadot.subsquare.io/referenda/184", 184)</f>
        <v>184</v>
      </c>
      <c r="B192" s="140" t="s">
        <v>237</v>
      </c>
      <c r="C192" s="140" t="s">
        <v>2681</v>
      </c>
      <c r="D192" s="141">
        <v>980.0</v>
      </c>
      <c r="E192" s="142">
        <v>3934.0003204345703</v>
      </c>
      <c r="F192" s="140" t="s">
        <v>2699</v>
      </c>
      <c r="G192" s="143">
        <v>3.1090138862718776E7</v>
      </c>
      <c r="H192" s="143">
        <v>1139827.406690996</v>
      </c>
      <c r="I192" s="144">
        <v>45204.0</v>
      </c>
      <c r="J192" s="144">
        <v>45209.0</v>
      </c>
      <c r="K192" s="145">
        <v>3646.7741203308105</v>
      </c>
      <c r="L192" s="114" t="s">
        <v>137</v>
      </c>
      <c r="M192" s="114" t="s">
        <v>138</v>
      </c>
      <c r="N192" s="108"/>
      <c r="O192" s="108"/>
      <c r="P192" s="108"/>
      <c r="Q192" s="108"/>
      <c r="R192" s="108" t="str">
        <f t="shared" si="1"/>
        <v>2023</v>
      </c>
      <c r="S192" s="110">
        <f t="shared" si="2"/>
        <v>10</v>
      </c>
      <c r="T192" s="108" t="str">
        <f t="shared" si="3"/>
        <v>2023-Q4</v>
      </c>
      <c r="U192" s="108" t="str">
        <f t="shared" si="4"/>
        <v>2023-10</v>
      </c>
      <c r="V192" s="112" t="str">
        <f t="shared" si="5"/>
        <v>2023-H2</v>
      </c>
      <c r="W192" s="112"/>
    </row>
    <row r="193">
      <c r="A193" s="146">
        <f>HYPERLINK("https://polkadot.subsquare.io/referenda/185", 185)</f>
        <v>185</v>
      </c>
      <c r="B193" s="147" t="s">
        <v>238</v>
      </c>
      <c r="C193" s="147" t="s">
        <v>2681</v>
      </c>
      <c r="D193" s="148">
        <v>90540.0</v>
      </c>
      <c r="E193" s="149">
        <v>363453.4581756592</v>
      </c>
      <c r="F193" s="147" t="s">
        <v>2683</v>
      </c>
      <c r="G193" s="150">
        <v>3.0524674569029473E7</v>
      </c>
      <c r="H193" s="150">
        <v>1.4315844145121774E7</v>
      </c>
      <c r="I193" s="151">
        <v>45205.0</v>
      </c>
      <c r="J193" s="151">
        <v>45225.0</v>
      </c>
      <c r="K193" s="152">
        <v>378466.9846916199</v>
      </c>
      <c r="L193" s="117" t="s">
        <v>82</v>
      </c>
      <c r="M193" s="117" t="s">
        <v>150</v>
      </c>
      <c r="N193" s="153"/>
      <c r="O193" s="153"/>
      <c r="P193" s="153"/>
      <c r="Q193" s="153"/>
      <c r="R193" s="153" t="str">
        <f t="shared" si="1"/>
        <v>2023</v>
      </c>
      <c r="S193" s="154">
        <f t="shared" si="2"/>
        <v>10</v>
      </c>
      <c r="T193" s="153" t="str">
        <f t="shared" si="3"/>
        <v>2023-Q4</v>
      </c>
      <c r="U193" s="153" t="str">
        <f t="shared" si="4"/>
        <v>2023-10</v>
      </c>
      <c r="V193" s="155" t="str">
        <f t="shared" si="5"/>
        <v>2023-H2</v>
      </c>
      <c r="W193" s="155"/>
    </row>
    <row r="194">
      <c r="A194" s="139">
        <f>HYPERLINK("https://polkadot.subsquare.io/referenda/186", 186)</f>
        <v>186</v>
      </c>
      <c r="B194" s="140" t="s">
        <v>2786</v>
      </c>
      <c r="C194" s="140" t="s">
        <v>2672</v>
      </c>
      <c r="D194" s="141">
        <v>1711.0</v>
      </c>
      <c r="E194" s="142">
        <v>6633.92164349556</v>
      </c>
      <c r="F194" s="140" t="s">
        <v>2678</v>
      </c>
      <c r="G194" s="143">
        <v>3424916.8906073472</v>
      </c>
      <c r="H194" s="143">
        <v>1.2446818670847822E7</v>
      </c>
      <c r="I194" s="144">
        <v>45205.0</v>
      </c>
      <c r="J194" s="144">
        <v>45233.0</v>
      </c>
      <c r="K194" s="145">
        <v>8500.88589811325</v>
      </c>
      <c r="L194" s="114" t="s">
        <v>2673</v>
      </c>
      <c r="M194" s="114" t="s">
        <v>2673</v>
      </c>
      <c r="N194" s="108"/>
      <c r="O194" s="108"/>
      <c r="P194" s="108"/>
      <c r="Q194" s="108"/>
      <c r="R194" s="108" t="str">
        <f t="shared" si="1"/>
        <v>2023</v>
      </c>
      <c r="S194" s="110">
        <f t="shared" si="2"/>
        <v>11</v>
      </c>
      <c r="T194" s="108" t="str">
        <f t="shared" si="3"/>
        <v>2023-Q4</v>
      </c>
      <c r="U194" s="108" t="str">
        <f t="shared" si="4"/>
        <v>2023-11</v>
      </c>
      <c r="V194" s="112" t="str">
        <f t="shared" si="5"/>
        <v>2023-H2</v>
      </c>
      <c r="W194" s="112"/>
    </row>
    <row r="195">
      <c r="A195" s="146">
        <f>HYPERLINK("https://polkadot.subsquare.io/referenda/187", 187)</f>
        <v>187</v>
      </c>
      <c r="B195" s="147" t="s">
        <v>239</v>
      </c>
      <c r="C195" s="147" t="s">
        <v>2681</v>
      </c>
      <c r="D195" s="148">
        <v>12091.65</v>
      </c>
      <c r="E195" s="149">
        <v>46098.59400590658</v>
      </c>
      <c r="F195" s="147" t="s">
        <v>2683</v>
      </c>
      <c r="G195" s="150">
        <v>3.0398607270912297E7</v>
      </c>
      <c r="H195" s="150">
        <v>4716779.223331273</v>
      </c>
      <c r="I195" s="151">
        <v>45206.0</v>
      </c>
      <c r="J195" s="151">
        <v>45229.0</v>
      </c>
      <c r="K195" s="152">
        <v>57204.50577785969</v>
      </c>
      <c r="L195" s="117" t="s">
        <v>82</v>
      </c>
      <c r="M195" s="117" t="s">
        <v>150</v>
      </c>
      <c r="N195" s="153"/>
      <c r="O195" s="153"/>
      <c r="P195" s="153"/>
      <c r="Q195" s="153"/>
      <c r="R195" s="153" t="str">
        <f t="shared" si="1"/>
        <v>2023</v>
      </c>
      <c r="S195" s="154">
        <f t="shared" si="2"/>
        <v>10</v>
      </c>
      <c r="T195" s="153" t="str">
        <f t="shared" si="3"/>
        <v>2023-Q4</v>
      </c>
      <c r="U195" s="153" t="str">
        <f t="shared" si="4"/>
        <v>2023-10</v>
      </c>
      <c r="V195" s="155" t="str">
        <f t="shared" si="5"/>
        <v>2023-H2</v>
      </c>
      <c r="W195" s="155"/>
    </row>
    <row r="196">
      <c r="A196" s="139">
        <f>HYPERLINK("https://polkadot.subsquare.io/referenda/188", 188)</f>
        <v>188</v>
      </c>
      <c r="B196" s="140" t="s">
        <v>2787</v>
      </c>
      <c r="C196" s="140" t="s">
        <v>2672</v>
      </c>
      <c r="D196" s="141">
        <v>33943.0</v>
      </c>
      <c r="E196" s="142">
        <v>129405.38109707832</v>
      </c>
      <c r="F196" s="140" t="s">
        <v>2683</v>
      </c>
      <c r="G196" s="143">
        <v>305821.9566813823</v>
      </c>
      <c r="H196" s="143">
        <v>1.555904530397792E7</v>
      </c>
      <c r="I196" s="144">
        <v>45207.0</v>
      </c>
      <c r="J196" s="144">
        <v>45236.0</v>
      </c>
      <c r="K196" s="145">
        <v>171533.83743667603</v>
      </c>
      <c r="L196" s="114" t="s">
        <v>2673</v>
      </c>
      <c r="M196" s="114" t="s">
        <v>2673</v>
      </c>
      <c r="N196" s="108"/>
      <c r="O196" s="108"/>
      <c r="P196" s="108"/>
      <c r="Q196" s="108"/>
      <c r="R196" s="108" t="str">
        <f t="shared" si="1"/>
        <v>2023</v>
      </c>
      <c r="S196" s="110">
        <f t="shared" si="2"/>
        <v>11</v>
      </c>
      <c r="T196" s="108" t="str">
        <f t="shared" si="3"/>
        <v>2023-Q4</v>
      </c>
      <c r="U196" s="108" t="str">
        <f t="shared" si="4"/>
        <v>2023-11</v>
      </c>
      <c r="V196" s="112" t="str">
        <f t="shared" si="5"/>
        <v>2023-H2</v>
      </c>
      <c r="W196" s="112"/>
    </row>
    <row r="197">
      <c r="A197" s="146">
        <f>HYPERLINK("https://polkadot.subsquare.io/referenda/189", 189)</f>
        <v>189</v>
      </c>
      <c r="B197" s="147" t="s">
        <v>2788</v>
      </c>
      <c r="C197" s="147" t="s">
        <v>2672</v>
      </c>
      <c r="D197" s="148">
        <v>9452.0</v>
      </c>
      <c r="E197" s="149">
        <v>35332.12506866455</v>
      </c>
      <c r="F197" s="147" t="s">
        <v>2678</v>
      </c>
      <c r="G197" s="150">
        <v>155746.3318779763</v>
      </c>
      <c r="H197" s="150">
        <v>1.5581247351948902E7</v>
      </c>
      <c r="I197" s="151">
        <v>45207.0</v>
      </c>
      <c r="J197" s="151">
        <v>45236.0</v>
      </c>
      <c r="K197" s="152">
        <v>48085.680753707886</v>
      </c>
      <c r="L197" s="117" t="s">
        <v>2673</v>
      </c>
      <c r="M197" s="117" t="s">
        <v>2673</v>
      </c>
      <c r="N197" s="153"/>
      <c r="O197" s="153"/>
      <c r="P197" s="153"/>
      <c r="Q197" s="153"/>
      <c r="R197" s="153" t="str">
        <f t="shared" si="1"/>
        <v>2023</v>
      </c>
      <c r="S197" s="154">
        <f t="shared" si="2"/>
        <v>11</v>
      </c>
      <c r="T197" s="153" t="str">
        <f t="shared" si="3"/>
        <v>2023-Q4</v>
      </c>
      <c r="U197" s="153" t="str">
        <f t="shared" si="4"/>
        <v>2023-11</v>
      </c>
      <c r="V197" s="155" t="str">
        <f t="shared" si="5"/>
        <v>2023-H2</v>
      </c>
      <c r="W197" s="155"/>
    </row>
    <row r="198">
      <c r="A198" s="139">
        <f>HYPERLINK("https://polkadot.subsquare.io/referenda/190", 190)</f>
        <v>190</v>
      </c>
      <c r="B198" s="140" t="s">
        <v>240</v>
      </c>
      <c r="C198" s="140" t="s">
        <v>2681</v>
      </c>
      <c r="D198" s="141">
        <v>250.0</v>
      </c>
      <c r="E198" s="142">
        <v>934.5145225524902</v>
      </c>
      <c r="F198" s="140" t="s">
        <v>186</v>
      </c>
      <c r="G198" s="143">
        <v>3.119588903066481E7</v>
      </c>
      <c r="H198" s="143">
        <v>45005.2</v>
      </c>
      <c r="I198" s="144">
        <v>45207.0</v>
      </c>
      <c r="J198" s="144">
        <v>45209.0</v>
      </c>
      <c r="K198" s="145">
        <v>930.2995204925537</v>
      </c>
      <c r="L198" s="114" t="s">
        <v>137</v>
      </c>
      <c r="M198" s="114" t="s">
        <v>191</v>
      </c>
      <c r="N198" s="108"/>
      <c r="O198" s="108"/>
      <c r="P198" s="108"/>
      <c r="Q198" s="108"/>
      <c r="R198" s="108" t="str">
        <f t="shared" si="1"/>
        <v>2023</v>
      </c>
      <c r="S198" s="110">
        <f t="shared" si="2"/>
        <v>10</v>
      </c>
      <c r="T198" s="108" t="str">
        <f t="shared" si="3"/>
        <v>2023-Q4</v>
      </c>
      <c r="U198" s="108" t="str">
        <f t="shared" si="4"/>
        <v>2023-10</v>
      </c>
      <c r="V198" s="112" t="str">
        <f t="shared" si="5"/>
        <v>2023-H2</v>
      </c>
      <c r="W198" s="112"/>
    </row>
    <row r="199">
      <c r="A199" s="146">
        <f>HYPERLINK("https://polkadot.subsquare.io/referenda/191", 191)</f>
        <v>191</v>
      </c>
      <c r="B199" s="147" t="s">
        <v>241</v>
      </c>
      <c r="C199" s="147" t="s">
        <v>2681</v>
      </c>
      <c r="D199" s="148">
        <v>4774.6</v>
      </c>
      <c r="E199" s="149">
        <v>17847.732157516482</v>
      </c>
      <c r="F199" s="147" t="s">
        <v>2678</v>
      </c>
      <c r="G199" s="150">
        <v>3.326273688073045E7</v>
      </c>
      <c r="H199" s="150">
        <v>1.078752271315139E7</v>
      </c>
      <c r="I199" s="151">
        <v>45208.0</v>
      </c>
      <c r="J199" s="151">
        <v>45226.0</v>
      </c>
      <c r="K199" s="152">
        <v>20590.681063842774</v>
      </c>
      <c r="L199" s="117" t="s">
        <v>84</v>
      </c>
      <c r="M199" s="117" t="s">
        <v>171</v>
      </c>
      <c r="N199" s="153"/>
      <c r="O199" s="153"/>
      <c r="P199" s="153"/>
      <c r="Q199" s="153"/>
      <c r="R199" s="153" t="str">
        <f t="shared" si="1"/>
        <v>2023</v>
      </c>
      <c r="S199" s="154">
        <f t="shared" si="2"/>
        <v>10</v>
      </c>
      <c r="T199" s="153" t="str">
        <f t="shared" si="3"/>
        <v>2023-Q4</v>
      </c>
      <c r="U199" s="153" t="str">
        <f t="shared" si="4"/>
        <v>2023-10</v>
      </c>
      <c r="V199" s="155" t="str">
        <f t="shared" si="5"/>
        <v>2023-H2</v>
      </c>
      <c r="W199" s="155"/>
    </row>
    <row r="200">
      <c r="A200" s="139">
        <f>HYPERLINK("https://polkadot.subsquare.io/referenda/192", 192)</f>
        <v>192</v>
      </c>
      <c r="B200" s="140" t="s">
        <v>2789</v>
      </c>
      <c r="C200" s="140" t="s">
        <v>2672</v>
      </c>
      <c r="D200" s="141">
        <v>425660.0</v>
      </c>
      <c r="E200" s="142">
        <v>1563703.3404779434</v>
      </c>
      <c r="F200" s="140" t="s">
        <v>2676</v>
      </c>
      <c r="G200" s="143">
        <v>65021.755100001</v>
      </c>
      <c r="H200" s="143">
        <v>1.5562634646787075E7</v>
      </c>
      <c r="I200" s="144">
        <v>45208.0</v>
      </c>
      <c r="J200" s="144">
        <v>45237.0</v>
      </c>
      <c r="K200" s="145">
        <v>2165483.5875606537</v>
      </c>
      <c r="L200" s="114" t="s">
        <v>2673</v>
      </c>
      <c r="M200" s="114" t="s">
        <v>2673</v>
      </c>
      <c r="N200" s="108"/>
      <c r="O200" s="108"/>
      <c r="P200" s="108"/>
      <c r="Q200" s="108"/>
      <c r="R200" s="108" t="str">
        <f t="shared" si="1"/>
        <v>2023</v>
      </c>
      <c r="S200" s="110">
        <f t="shared" si="2"/>
        <v>11</v>
      </c>
      <c r="T200" s="108" t="str">
        <f t="shared" si="3"/>
        <v>2023-Q4</v>
      </c>
      <c r="U200" s="108" t="str">
        <f t="shared" si="4"/>
        <v>2023-11</v>
      </c>
      <c r="V200" s="112" t="str">
        <f t="shared" si="5"/>
        <v>2023-H2</v>
      </c>
      <c r="W200" s="112"/>
    </row>
    <row r="201">
      <c r="A201" s="146">
        <f>HYPERLINK("https://polkadot.subsquare.io/referenda/193", 193)</f>
        <v>193</v>
      </c>
      <c r="B201" s="147" t="s">
        <v>242</v>
      </c>
      <c r="C201" s="147" t="s">
        <v>2681</v>
      </c>
      <c r="D201" s="148">
        <v>4395.0</v>
      </c>
      <c r="E201" s="149">
        <v>16420.932630300522</v>
      </c>
      <c r="F201" s="147" t="s">
        <v>2678</v>
      </c>
      <c r="G201" s="150">
        <v>3.2315766331863116E7</v>
      </c>
      <c r="H201" s="150">
        <v>1.1182083817293655E7</v>
      </c>
      <c r="I201" s="151">
        <v>45210.0</v>
      </c>
      <c r="J201" s="151">
        <v>45225.0</v>
      </c>
      <c r="K201" s="152">
        <v>18371.574969291687</v>
      </c>
      <c r="L201" s="117" t="s">
        <v>137</v>
      </c>
      <c r="M201" s="117" t="s">
        <v>138</v>
      </c>
      <c r="N201" s="153"/>
      <c r="O201" s="153"/>
      <c r="P201" s="153"/>
      <c r="Q201" s="153"/>
      <c r="R201" s="153" t="str">
        <f t="shared" si="1"/>
        <v>2023</v>
      </c>
      <c r="S201" s="154">
        <f t="shared" si="2"/>
        <v>10</v>
      </c>
      <c r="T201" s="153" t="str">
        <f t="shared" si="3"/>
        <v>2023-Q4</v>
      </c>
      <c r="U201" s="153" t="str">
        <f t="shared" si="4"/>
        <v>2023-10</v>
      </c>
      <c r="V201" s="155" t="str">
        <f t="shared" si="5"/>
        <v>2023-H2</v>
      </c>
      <c r="W201" s="155"/>
    </row>
    <row r="202">
      <c r="A202" s="139">
        <f>HYPERLINK("https://polkadot.subsquare.io/referenda/194", 194)</f>
        <v>194</v>
      </c>
      <c r="B202" s="140" t="s">
        <v>244</v>
      </c>
      <c r="C202" s="140" t="s">
        <v>2681</v>
      </c>
      <c r="D202" s="141">
        <v>1000.0</v>
      </c>
      <c r="E202" s="142">
        <v>3736.2759113311768</v>
      </c>
      <c r="F202" s="140" t="s">
        <v>2699</v>
      </c>
      <c r="G202" s="143">
        <v>3.0376400769506324E7</v>
      </c>
      <c r="H202" s="143">
        <v>1079535.4249467973</v>
      </c>
      <c r="I202" s="144">
        <v>45211.0</v>
      </c>
      <c r="J202" s="144">
        <v>45217.0</v>
      </c>
      <c r="K202" s="145">
        <v>3721.2750911712646</v>
      </c>
      <c r="L202" s="114" t="s">
        <v>137</v>
      </c>
      <c r="M202" s="114" t="s">
        <v>243</v>
      </c>
      <c r="N202" s="108"/>
      <c r="O202" s="108"/>
      <c r="P202" s="108"/>
      <c r="Q202" s="108"/>
      <c r="R202" s="108" t="str">
        <f t="shared" si="1"/>
        <v>2023</v>
      </c>
      <c r="S202" s="110">
        <f t="shared" si="2"/>
        <v>10</v>
      </c>
      <c r="T202" s="108" t="str">
        <f t="shared" si="3"/>
        <v>2023-Q4</v>
      </c>
      <c r="U202" s="108" t="str">
        <f t="shared" si="4"/>
        <v>2023-10</v>
      </c>
      <c r="V202" s="112" t="str">
        <f t="shared" si="5"/>
        <v>2023-H2</v>
      </c>
      <c r="W202" s="112"/>
    </row>
    <row r="203">
      <c r="A203" s="146">
        <f>HYPERLINK("https://polkadot.subsquare.io/referenda/195", 195)</f>
        <v>195</v>
      </c>
      <c r="B203" s="147" t="s">
        <v>2790</v>
      </c>
      <c r="C203" s="147" t="s">
        <v>2691</v>
      </c>
      <c r="D203" s="148">
        <v>925.0</v>
      </c>
      <c r="E203" s="149">
        <v>3502.2451877593994</v>
      </c>
      <c r="F203" s="147" t="s">
        <v>2687</v>
      </c>
      <c r="G203" s="150">
        <v>22322.9872152575</v>
      </c>
      <c r="H203" s="150">
        <v>1.2612869943638694E7</v>
      </c>
      <c r="I203" s="151">
        <v>45213.0</v>
      </c>
      <c r="J203" s="151">
        <v>45227.0</v>
      </c>
      <c r="K203" s="152">
        <v>4188.214194774628</v>
      </c>
      <c r="L203" s="117" t="s">
        <v>2673</v>
      </c>
      <c r="M203" s="117" t="s">
        <v>2673</v>
      </c>
      <c r="N203" s="153"/>
      <c r="O203" s="153"/>
      <c r="P203" s="153"/>
      <c r="Q203" s="153"/>
      <c r="R203" s="153" t="str">
        <f t="shared" si="1"/>
        <v>2023</v>
      </c>
      <c r="S203" s="154">
        <f t="shared" si="2"/>
        <v>10</v>
      </c>
      <c r="T203" s="153" t="str">
        <f t="shared" si="3"/>
        <v>2023-Q4</v>
      </c>
      <c r="U203" s="153" t="str">
        <f t="shared" si="4"/>
        <v>2023-10</v>
      </c>
      <c r="V203" s="155" t="str">
        <f t="shared" si="5"/>
        <v>2023-H2</v>
      </c>
      <c r="W203" s="158" t="s">
        <v>2654</v>
      </c>
    </row>
    <row r="204">
      <c r="A204" s="139">
        <f>HYPERLINK("https://polkadot.subsquare.io/referenda/196", 196)</f>
        <v>196</v>
      </c>
      <c r="B204" s="140" t="s">
        <v>245</v>
      </c>
      <c r="C204" s="140" t="s">
        <v>2681</v>
      </c>
      <c r="D204" s="141">
        <v>925.0</v>
      </c>
      <c r="E204" s="142">
        <v>3502.2451877593994</v>
      </c>
      <c r="F204" s="140" t="s">
        <v>2699</v>
      </c>
      <c r="G204" s="143">
        <v>3.118663247414238E7</v>
      </c>
      <c r="H204" s="143">
        <v>343162.0886441372</v>
      </c>
      <c r="I204" s="144">
        <v>45213.0</v>
      </c>
      <c r="J204" s="144">
        <v>45217.0</v>
      </c>
      <c r="K204" s="145">
        <v>3442.17945933342</v>
      </c>
      <c r="L204" s="114" t="s">
        <v>137</v>
      </c>
      <c r="M204" s="114" t="s">
        <v>138</v>
      </c>
      <c r="N204" s="108"/>
      <c r="O204" s="108"/>
      <c r="P204" s="108"/>
      <c r="Q204" s="108"/>
      <c r="R204" s="108" t="str">
        <f t="shared" si="1"/>
        <v>2023</v>
      </c>
      <c r="S204" s="110">
        <f t="shared" si="2"/>
        <v>10</v>
      </c>
      <c r="T204" s="108" t="str">
        <f t="shared" si="3"/>
        <v>2023-Q4</v>
      </c>
      <c r="U204" s="108" t="str">
        <f t="shared" si="4"/>
        <v>2023-10</v>
      </c>
      <c r="V204" s="112" t="str">
        <f t="shared" si="5"/>
        <v>2023-H2</v>
      </c>
      <c r="W204" s="112"/>
    </row>
    <row r="205">
      <c r="A205" s="146">
        <f>HYPERLINK("https://polkadot.subsquare.io/referenda/197", 197)</f>
        <v>197</v>
      </c>
      <c r="B205" s="147" t="s">
        <v>246</v>
      </c>
      <c r="C205" s="147" t="s">
        <v>2681</v>
      </c>
      <c r="D205" s="148">
        <v>200.0</v>
      </c>
      <c r="E205" s="149">
        <v>731.3097953796387</v>
      </c>
      <c r="F205" s="147" t="s">
        <v>186</v>
      </c>
      <c r="G205" s="150">
        <v>7594055.146525093</v>
      </c>
      <c r="H205" s="150">
        <v>109018.2</v>
      </c>
      <c r="I205" s="151">
        <v>45214.0</v>
      </c>
      <c r="J205" s="151">
        <v>45219.0</v>
      </c>
      <c r="K205" s="152">
        <v>792.9431915283203</v>
      </c>
      <c r="L205" s="117" t="s">
        <v>81</v>
      </c>
      <c r="M205" s="117" t="s">
        <v>185</v>
      </c>
      <c r="N205" s="153"/>
      <c r="O205" s="153"/>
      <c r="P205" s="153"/>
      <c r="Q205" s="153"/>
      <c r="R205" s="153" t="str">
        <f t="shared" si="1"/>
        <v>2023</v>
      </c>
      <c r="S205" s="154">
        <f t="shared" si="2"/>
        <v>10</v>
      </c>
      <c r="T205" s="153" t="str">
        <f t="shared" si="3"/>
        <v>2023-Q4</v>
      </c>
      <c r="U205" s="153" t="str">
        <f t="shared" si="4"/>
        <v>2023-10</v>
      </c>
      <c r="V205" s="155" t="str">
        <f t="shared" si="5"/>
        <v>2023-H2</v>
      </c>
      <c r="W205" s="155"/>
    </row>
    <row r="206">
      <c r="A206" s="139">
        <f>HYPERLINK("https://polkadot.subsquare.io/referenda/198", 198)</f>
        <v>198</v>
      </c>
      <c r="B206" s="140" t="s">
        <v>247</v>
      </c>
      <c r="C206" s="140" t="s">
        <v>2681</v>
      </c>
      <c r="D206" s="141">
        <v>700.0</v>
      </c>
      <c r="E206" s="142">
        <v>2559.5842838287354</v>
      </c>
      <c r="F206" s="140" t="s">
        <v>2699</v>
      </c>
      <c r="G206" s="143">
        <v>7170544.101573456</v>
      </c>
      <c r="H206" s="143">
        <v>506801.5396327592</v>
      </c>
      <c r="I206" s="144">
        <v>45214.0</v>
      </c>
      <c r="J206" s="144">
        <v>45219.0</v>
      </c>
      <c r="K206" s="145">
        <v>3043.7909603118896</v>
      </c>
      <c r="L206" s="114" t="s">
        <v>137</v>
      </c>
      <c r="M206" s="114" t="s">
        <v>138</v>
      </c>
      <c r="N206" s="108"/>
      <c r="O206" s="108"/>
      <c r="P206" s="108"/>
      <c r="Q206" s="108"/>
      <c r="R206" s="108" t="str">
        <f t="shared" si="1"/>
        <v>2023</v>
      </c>
      <c r="S206" s="110">
        <f t="shared" si="2"/>
        <v>10</v>
      </c>
      <c r="T206" s="108" t="str">
        <f t="shared" si="3"/>
        <v>2023-Q4</v>
      </c>
      <c r="U206" s="108" t="str">
        <f t="shared" si="4"/>
        <v>2023-10</v>
      </c>
      <c r="V206" s="112" t="str">
        <f t="shared" si="5"/>
        <v>2023-H2</v>
      </c>
      <c r="W206" s="112"/>
    </row>
    <row r="207">
      <c r="A207" s="146">
        <f>HYPERLINK("https://polkadot.subsquare.io/referenda/199", 199)</f>
        <v>199</v>
      </c>
      <c r="B207" s="147" t="s">
        <v>2791</v>
      </c>
      <c r="C207" s="147" t="s">
        <v>2691</v>
      </c>
      <c r="D207" s="148">
        <v>0.0</v>
      </c>
      <c r="E207" s="149">
        <v>0.0</v>
      </c>
      <c r="F207" s="147" t="s">
        <v>2678</v>
      </c>
      <c r="G207" s="150">
        <v>3.036573339115184E7</v>
      </c>
      <c r="H207" s="150">
        <v>1.3408950321774285E7</v>
      </c>
      <c r="I207" s="151">
        <v>45215.0</v>
      </c>
      <c r="J207" s="151">
        <v>45229.0</v>
      </c>
      <c r="K207" s="152">
        <v>0.0</v>
      </c>
      <c r="L207" s="117" t="s">
        <v>2673</v>
      </c>
      <c r="M207" s="117" t="s">
        <v>2673</v>
      </c>
      <c r="N207" s="153"/>
      <c r="O207" s="153"/>
      <c r="P207" s="153"/>
      <c r="Q207" s="153"/>
      <c r="R207" s="153" t="str">
        <f t="shared" si="1"/>
        <v>2023</v>
      </c>
      <c r="S207" s="154">
        <f t="shared" si="2"/>
        <v>10</v>
      </c>
      <c r="T207" s="153" t="str">
        <f t="shared" si="3"/>
        <v>2023-Q4</v>
      </c>
      <c r="U207" s="153" t="str">
        <f t="shared" si="4"/>
        <v>2023-10</v>
      </c>
      <c r="V207" s="155" t="str">
        <f t="shared" si="5"/>
        <v>2023-H2</v>
      </c>
      <c r="W207" s="155"/>
    </row>
    <row r="208">
      <c r="A208" s="139">
        <f>HYPERLINK("https://polkadot.subsquare.io/referenda/200", 200)</f>
        <v>200</v>
      </c>
      <c r="B208" s="140" t="s">
        <v>249</v>
      </c>
      <c r="C208" s="140" t="s">
        <v>2681</v>
      </c>
      <c r="D208" s="141">
        <v>26281.383</v>
      </c>
      <c r="E208" s="142">
        <v>96099.16412011957</v>
      </c>
      <c r="F208" s="140" t="s">
        <v>2683</v>
      </c>
      <c r="G208" s="143">
        <v>3.2575630328886285E7</v>
      </c>
      <c r="H208" s="143">
        <v>2073723.9689864835</v>
      </c>
      <c r="I208" s="144">
        <v>45215.0</v>
      </c>
      <c r="J208" s="144">
        <v>45234.0</v>
      </c>
      <c r="K208" s="145">
        <v>130575.70901672317</v>
      </c>
      <c r="L208" s="114" t="s">
        <v>82</v>
      </c>
      <c r="M208" s="114" t="s">
        <v>248</v>
      </c>
      <c r="N208" s="108"/>
      <c r="O208" s="108"/>
      <c r="P208" s="108"/>
      <c r="Q208" s="108"/>
      <c r="R208" s="108" t="str">
        <f t="shared" si="1"/>
        <v>2023</v>
      </c>
      <c r="S208" s="110">
        <f t="shared" si="2"/>
        <v>11</v>
      </c>
      <c r="T208" s="108" t="str">
        <f t="shared" si="3"/>
        <v>2023-Q4</v>
      </c>
      <c r="U208" s="108" t="str">
        <f t="shared" si="4"/>
        <v>2023-11</v>
      </c>
      <c r="V208" s="112" t="str">
        <f t="shared" si="5"/>
        <v>2023-H2</v>
      </c>
      <c r="W208" s="112"/>
    </row>
    <row r="209">
      <c r="A209" s="146">
        <f>HYPERLINK("https://polkadot.subsquare.io/referenda/201", 201)</f>
        <v>201</v>
      </c>
      <c r="B209" s="147" t="s">
        <v>250</v>
      </c>
      <c r="C209" s="147" t="s">
        <v>2681</v>
      </c>
      <c r="D209" s="148">
        <v>168432.0</v>
      </c>
      <c r="E209" s="149">
        <v>615879.8572769165</v>
      </c>
      <c r="F209" s="147" t="s">
        <v>2676</v>
      </c>
      <c r="G209" s="150">
        <v>3.506008154796286E7</v>
      </c>
      <c r="H209" s="150">
        <v>1.1070011057488974E7</v>
      </c>
      <c r="I209" s="151">
        <v>45215.0</v>
      </c>
      <c r="J209" s="151">
        <v>45238.0</v>
      </c>
      <c r="K209" s="152">
        <v>935330.6803665161</v>
      </c>
      <c r="L209" s="117" t="s">
        <v>81</v>
      </c>
      <c r="M209" s="117" t="s">
        <v>185</v>
      </c>
      <c r="N209" s="153"/>
      <c r="O209" s="153"/>
      <c r="P209" s="153"/>
      <c r="Q209" s="153"/>
      <c r="R209" s="153" t="str">
        <f t="shared" si="1"/>
        <v>2023</v>
      </c>
      <c r="S209" s="154">
        <f t="shared" si="2"/>
        <v>11</v>
      </c>
      <c r="T209" s="153" t="str">
        <f t="shared" si="3"/>
        <v>2023-Q4</v>
      </c>
      <c r="U209" s="153" t="str">
        <f t="shared" si="4"/>
        <v>2023-11</v>
      </c>
      <c r="V209" s="155" t="str">
        <f t="shared" si="5"/>
        <v>2023-H2</v>
      </c>
      <c r="W209" s="155"/>
    </row>
    <row r="210">
      <c r="A210" s="139">
        <f>HYPERLINK("https://polkadot.subsquare.io/referenda/202", 202)</f>
        <v>202</v>
      </c>
      <c r="B210" s="140" t="s">
        <v>251</v>
      </c>
      <c r="C210" s="140" t="s">
        <v>2681</v>
      </c>
      <c r="D210" s="141">
        <v>28010.0</v>
      </c>
      <c r="E210" s="142">
        <v>102419.9368429184</v>
      </c>
      <c r="F210" s="140" t="s">
        <v>2683</v>
      </c>
      <c r="G210" s="143">
        <v>4.0944721186264046E7</v>
      </c>
      <c r="H210" s="143">
        <v>4103318.8213073215</v>
      </c>
      <c r="I210" s="144">
        <v>45215.0</v>
      </c>
      <c r="J210" s="144">
        <v>45234.0</v>
      </c>
      <c r="K210" s="145">
        <v>138130.9799194336</v>
      </c>
      <c r="L210" s="114" t="s">
        <v>137</v>
      </c>
      <c r="M210" s="114" t="s">
        <v>191</v>
      </c>
      <c r="N210" s="108"/>
      <c r="O210" s="108"/>
      <c r="P210" s="108"/>
      <c r="Q210" s="108"/>
      <c r="R210" s="108" t="str">
        <f t="shared" si="1"/>
        <v>2023</v>
      </c>
      <c r="S210" s="110">
        <f t="shared" si="2"/>
        <v>11</v>
      </c>
      <c r="T210" s="108" t="str">
        <f t="shared" si="3"/>
        <v>2023-Q4</v>
      </c>
      <c r="U210" s="108" t="str">
        <f t="shared" si="4"/>
        <v>2023-11</v>
      </c>
      <c r="V210" s="112" t="str">
        <f t="shared" si="5"/>
        <v>2023-H2</v>
      </c>
      <c r="W210" s="112"/>
    </row>
    <row r="211">
      <c r="A211" s="146">
        <f>HYPERLINK("https://polkadot.subsquare.io/referenda/203", 203)</f>
        <v>203</v>
      </c>
      <c r="B211" s="147" t="s">
        <v>2792</v>
      </c>
      <c r="C211" s="147" t="s">
        <v>2793</v>
      </c>
      <c r="D211" s="148">
        <v>10000.0</v>
      </c>
      <c r="E211" s="149">
        <v>36488.7809753418</v>
      </c>
      <c r="F211" s="147" t="s">
        <v>2678</v>
      </c>
      <c r="G211" s="150">
        <v>30782.7824</v>
      </c>
      <c r="H211" s="150">
        <v>1.6109800952344524E7</v>
      </c>
      <c r="I211" s="151">
        <v>45216.0</v>
      </c>
      <c r="J211" s="151">
        <v>45235.0</v>
      </c>
      <c r="K211" s="152">
        <v>50535.850524902344</v>
      </c>
      <c r="L211" s="117" t="s">
        <v>2673</v>
      </c>
      <c r="M211" s="117" t="s">
        <v>2673</v>
      </c>
      <c r="N211" s="153"/>
      <c r="O211" s="153"/>
      <c r="P211" s="153"/>
      <c r="Q211" s="153"/>
      <c r="R211" s="153" t="str">
        <f t="shared" si="1"/>
        <v>2023</v>
      </c>
      <c r="S211" s="154">
        <f t="shared" si="2"/>
        <v>11</v>
      </c>
      <c r="T211" s="153" t="str">
        <f t="shared" si="3"/>
        <v>2023-Q4</v>
      </c>
      <c r="U211" s="153" t="str">
        <f t="shared" si="4"/>
        <v>2023-11</v>
      </c>
      <c r="V211" s="155" t="str">
        <f t="shared" si="5"/>
        <v>2023-H2</v>
      </c>
      <c r="W211" s="155"/>
    </row>
    <row r="212">
      <c r="A212" s="139">
        <f>HYPERLINK("https://polkadot.subsquare.io/referenda/204", 204)</f>
        <v>204</v>
      </c>
      <c r="B212" s="140" t="s">
        <v>2794</v>
      </c>
      <c r="C212" s="140" t="s">
        <v>2681</v>
      </c>
      <c r="D212" s="141">
        <v>0.0</v>
      </c>
      <c r="E212" s="142">
        <v>0.0</v>
      </c>
      <c r="F212" s="140" t="s">
        <v>2795</v>
      </c>
      <c r="G212" s="143">
        <v>1.3526278503535137E7</v>
      </c>
      <c r="H212" s="143">
        <v>1612050.1</v>
      </c>
      <c r="I212" s="144">
        <v>45216.0</v>
      </c>
      <c r="J212" s="144">
        <v>45235.0</v>
      </c>
      <c r="K212" s="145">
        <v>0.0</v>
      </c>
      <c r="L212" s="114" t="s">
        <v>2673</v>
      </c>
      <c r="M212" s="114" t="s">
        <v>2673</v>
      </c>
      <c r="N212" s="108"/>
      <c r="O212" s="108"/>
      <c r="P212" s="108"/>
      <c r="Q212" s="108"/>
      <c r="R212" s="108" t="str">
        <f t="shared" si="1"/>
        <v>2023</v>
      </c>
      <c r="S212" s="110">
        <f t="shared" si="2"/>
        <v>11</v>
      </c>
      <c r="T212" s="108" t="str">
        <f t="shared" si="3"/>
        <v>2023-Q4</v>
      </c>
      <c r="U212" s="108" t="str">
        <f t="shared" si="4"/>
        <v>2023-11</v>
      </c>
      <c r="V212" s="112" t="str">
        <f t="shared" si="5"/>
        <v>2023-H2</v>
      </c>
      <c r="W212" s="112"/>
    </row>
    <row r="213">
      <c r="A213" s="146">
        <f>HYPERLINK("https://polkadot.subsquare.io/referenda/205", 205)</f>
        <v>205</v>
      </c>
      <c r="B213" s="147" t="s">
        <v>2796</v>
      </c>
      <c r="C213" s="147" t="s">
        <v>2672</v>
      </c>
      <c r="D213" s="148">
        <v>592573.0</v>
      </c>
      <c r="E213" s="149">
        <v>2205127.14460063</v>
      </c>
      <c r="F213" s="147" t="s">
        <v>2676</v>
      </c>
      <c r="G213" s="150">
        <v>268301.7400043632</v>
      </c>
      <c r="H213" s="150">
        <v>4.505387733536229E7</v>
      </c>
      <c r="I213" s="151">
        <v>45216.0</v>
      </c>
      <c r="J213" s="151">
        <v>45244.0</v>
      </c>
      <c r="K213" s="152">
        <v>3106388.0979447365</v>
      </c>
      <c r="L213" s="117" t="s">
        <v>2673</v>
      </c>
      <c r="M213" s="117" t="s">
        <v>2673</v>
      </c>
      <c r="N213" s="153"/>
      <c r="O213" s="153"/>
      <c r="P213" s="153"/>
      <c r="Q213" s="153"/>
      <c r="R213" s="153" t="str">
        <f t="shared" si="1"/>
        <v>2023</v>
      </c>
      <c r="S213" s="154">
        <f t="shared" si="2"/>
        <v>11</v>
      </c>
      <c r="T213" s="153" t="str">
        <f t="shared" si="3"/>
        <v>2023-Q4</v>
      </c>
      <c r="U213" s="153" t="str">
        <f t="shared" si="4"/>
        <v>2023-11</v>
      </c>
      <c r="V213" s="155" t="str">
        <f t="shared" si="5"/>
        <v>2023-H2</v>
      </c>
      <c r="W213" s="155"/>
    </row>
    <row r="214">
      <c r="A214" s="139">
        <f>HYPERLINK("https://polkadot.subsquare.io/referenda/206", 206)</f>
        <v>206</v>
      </c>
      <c r="B214" s="140" t="s">
        <v>2797</v>
      </c>
      <c r="C214" s="140" t="s">
        <v>2691</v>
      </c>
      <c r="D214" s="141">
        <v>2.4474149E7</v>
      </c>
      <c r="E214" s="142">
        <v>9.107504105131412E7</v>
      </c>
      <c r="F214" s="140" t="s">
        <v>2683</v>
      </c>
      <c r="G214" s="143">
        <v>0.0</v>
      </c>
      <c r="H214" s="143">
        <v>3273022.3646644778</v>
      </c>
      <c r="I214" s="144">
        <v>45217.0</v>
      </c>
      <c r="J214" s="144">
        <v>45231.0</v>
      </c>
      <c r="K214" s="145">
        <v>1.1480887444565535E8</v>
      </c>
      <c r="L214" s="114" t="s">
        <v>2673</v>
      </c>
      <c r="M214" s="114" t="s">
        <v>2673</v>
      </c>
      <c r="N214" s="108"/>
      <c r="O214" s="108"/>
      <c r="P214" s="108"/>
      <c r="Q214" s="108"/>
      <c r="R214" s="108" t="str">
        <f t="shared" si="1"/>
        <v>2023</v>
      </c>
      <c r="S214" s="110">
        <f t="shared" si="2"/>
        <v>11</v>
      </c>
      <c r="T214" s="108" t="str">
        <f t="shared" si="3"/>
        <v>2023-Q4</v>
      </c>
      <c r="U214" s="108" t="str">
        <f t="shared" si="4"/>
        <v>2023-11</v>
      </c>
      <c r="V214" s="112" t="str">
        <f t="shared" si="5"/>
        <v>2023-H2</v>
      </c>
      <c r="W214" s="156" t="s">
        <v>2654</v>
      </c>
    </row>
    <row r="215">
      <c r="A215" s="146">
        <f>HYPERLINK("https://polkadot.subsquare.io/referenda/207", 207)</f>
        <v>207</v>
      </c>
      <c r="B215" s="147" t="s">
        <v>252</v>
      </c>
      <c r="C215" s="147" t="s">
        <v>2681</v>
      </c>
      <c r="D215" s="148">
        <v>24474.0</v>
      </c>
      <c r="E215" s="149">
        <v>95556.41083431244</v>
      </c>
      <c r="F215" s="147" t="s">
        <v>2683</v>
      </c>
      <c r="G215" s="150">
        <v>4.253635629766143E7</v>
      </c>
      <c r="H215" s="150">
        <v>1063767.3631033082</v>
      </c>
      <c r="I215" s="151">
        <v>45217.0</v>
      </c>
      <c r="J215" s="151">
        <v>45238.0</v>
      </c>
      <c r="K215" s="152">
        <v>135908.1592054367</v>
      </c>
      <c r="L215" s="117" t="s">
        <v>81</v>
      </c>
      <c r="M215" s="117" t="s">
        <v>185</v>
      </c>
      <c r="N215" s="153"/>
      <c r="O215" s="153"/>
      <c r="P215" s="153"/>
      <c r="Q215" s="153"/>
      <c r="R215" s="153" t="str">
        <f t="shared" si="1"/>
        <v>2023</v>
      </c>
      <c r="S215" s="154">
        <f t="shared" si="2"/>
        <v>11</v>
      </c>
      <c r="T215" s="153" t="str">
        <f t="shared" si="3"/>
        <v>2023-Q4</v>
      </c>
      <c r="U215" s="153" t="str">
        <f t="shared" si="4"/>
        <v>2023-11</v>
      </c>
      <c r="V215" s="155" t="str">
        <f t="shared" si="5"/>
        <v>2023-H2</v>
      </c>
      <c r="W215" s="155"/>
    </row>
    <row r="216">
      <c r="A216" s="139">
        <f>HYPERLINK("https://polkadot.subsquare.io/referenda/208", 208)</f>
        <v>208</v>
      </c>
      <c r="B216" s="140" t="s">
        <v>2798</v>
      </c>
      <c r="C216" s="140" t="s">
        <v>2691</v>
      </c>
      <c r="D216" s="141">
        <v>42650.0</v>
      </c>
      <c r="E216" s="142">
        <v>169095.1355934143</v>
      </c>
      <c r="F216" s="140" t="s">
        <v>2687</v>
      </c>
      <c r="G216" s="143">
        <v>0.0</v>
      </c>
      <c r="H216" s="143">
        <v>1.3752258073958397E7</v>
      </c>
      <c r="I216" s="144">
        <v>45218.0</v>
      </c>
      <c r="J216" s="144">
        <v>45232.0</v>
      </c>
      <c r="K216" s="145">
        <v>203577.8356552124</v>
      </c>
      <c r="L216" s="114" t="s">
        <v>2673</v>
      </c>
      <c r="M216" s="114" t="s">
        <v>2673</v>
      </c>
      <c r="N216" s="108"/>
      <c r="O216" s="108"/>
      <c r="P216" s="108"/>
      <c r="Q216" s="108"/>
      <c r="R216" s="108" t="str">
        <f t="shared" si="1"/>
        <v>2023</v>
      </c>
      <c r="S216" s="110">
        <f t="shared" si="2"/>
        <v>11</v>
      </c>
      <c r="T216" s="108" t="str">
        <f t="shared" si="3"/>
        <v>2023-Q4</v>
      </c>
      <c r="U216" s="108" t="str">
        <f t="shared" si="4"/>
        <v>2023-11</v>
      </c>
      <c r="V216" s="112" t="str">
        <f t="shared" si="5"/>
        <v>2023-H2</v>
      </c>
      <c r="W216" s="112"/>
    </row>
    <row r="217">
      <c r="A217" s="146">
        <f>HYPERLINK("https://polkadot.subsquare.io/referenda/209", 209)</f>
        <v>209</v>
      </c>
      <c r="B217" s="147" t="s">
        <v>253</v>
      </c>
      <c r="C217" s="147" t="s">
        <v>2681</v>
      </c>
      <c r="D217" s="148">
        <v>42650.0</v>
      </c>
      <c r="E217" s="149">
        <v>169095.1355934143</v>
      </c>
      <c r="F217" s="147" t="s">
        <v>2683</v>
      </c>
      <c r="G217" s="150">
        <v>3.2596761284318846E7</v>
      </c>
      <c r="H217" s="150">
        <v>1.4755228009936797E7</v>
      </c>
      <c r="I217" s="151">
        <v>45218.0</v>
      </c>
      <c r="J217" s="151">
        <v>45237.0</v>
      </c>
      <c r="K217" s="152">
        <v>226079.1541337967</v>
      </c>
      <c r="L217" s="117" t="s">
        <v>85</v>
      </c>
      <c r="M217" s="117" t="s">
        <v>85</v>
      </c>
      <c r="N217" s="153"/>
      <c r="O217" s="153"/>
      <c r="P217" s="153"/>
      <c r="Q217" s="153"/>
      <c r="R217" s="153" t="str">
        <f t="shared" si="1"/>
        <v>2023</v>
      </c>
      <c r="S217" s="154">
        <f t="shared" si="2"/>
        <v>11</v>
      </c>
      <c r="T217" s="153" t="str">
        <f t="shared" si="3"/>
        <v>2023-Q4</v>
      </c>
      <c r="U217" s="153" t="str">
        <f t="shared" si="4"/>
        <v>2023-11</v>
      </c>
      <c r="V217" s="155" t="str">
        <f t="shared" si="5"/>
        <v>2023-H2</v>
      </c>
      <c r="W217" s="155"/>
    </row>
    <row r="218">
      <c r="A218" s="139">
        <f>HYPERLINK("https://polkadot.subsquare.io/referenda/210", 210)</f>
        <v>210</v>
      </c>
      <c r="B218" s="140" t="s">
        <v>186</v>
      </c>
      <c r="C218" s="140" t="s">
        <v>2681</v>
      </c>
      <c r="D218" s="141">
        <v>150.0</v>
      </c>
      <c r="E218" s="142">
        <v>594.7073936462402</v>
      </c>
      <c r="F218" s="140" t="s">
        <v>186</v>
      </c>
      <c r="G218" s="143">
        <v>8747316.168064626</v>
      </c>
      <c r="H218" s="143">
        <v>0.0</v>
      </c>
      <c r="I218" s="144">
        <v>45219.0</v>
      </c>
      <c r="J218" s="144">
        <v>45222.0</v>
      </c>
      <c r="K218" s="145">
        <v>635.4608774185181</v>
      </c>
      <c r="L218" s="114" t="s">
        <v>81</v>
      </c>
      <c r="M218" s="114" t="s">
        <v>185</v>
      </c>
      <c r="N218" s="108"/>
      <c r="O218" s="108"/>
      <c r="P218" s="108"/>
      <c r="Q218" s="108"/>
      <c r="R218" s="108" t="str">
        <f t="shared" si="1"/>
        <v>2023</v>
      </c>
      <c r="S218" s="110">
        <f t="shared" si="2"/>
        <v>10</v>
      </c>
      <c r="T218" s="108" t="str">
        <f t="shared" si="3"/>
        <v>2023-Q4</v>
      </c>
      <c r="U218" s="108" t="str">
        <f t="shared" si="4"/>
        <v>2023-10</v>
      </c>
      <c r="V218" s="112" t="str">
        <f t="shared" si="5"/>
        <v>2023-H2</v>
      </c>
      <c r="W218" s="112"/>
    </row>
    <row r="219">
      <c r="A219" s="146">
        <f>HYPERLINK("https://polkadot.subsquare.io/referenda/211", 211)</f>
        <v>211</v>
      </c>
      <c r="B219" s="147" t="s">
        <v>2799</v>
      </c>
      <c r="C219" s="147" t="s">
        <v>2800</v>
      </c>
      <c r="D219" s="148">
        <v>0.0</v>
      </c>
      <c r="E219" s="149">
        <v>0.0</v>
      </c>
      <c r="F219" s="147" t="s">
        <v>2682</v>
      </c>
      <c r="G219" s="150">
        <v>3.491141157795172E7</v>
      </c>
      <c r="H219" s="150">
        <v>1.1114664132716475E7</v>
      </c>
      <c r="I219" s="151">
        <v>45220.0</v>
      </c>
      <c r="J219" s="151">
        <v>45236.0</v>
      </c>
      <c r="K219" s="152">
        <v>0.0</v>
      </c>
      <c r="L219" s="117" t="s">
        <v>2673</v>
      </c>
      <c r="M219" s="117" t="s">
        <v>2673</v>
      </c>
      <c r="N219" s="153"/>
      <c r="O219" s="153"/>
      <c r="P219" s="153"/>
      <c r="Q219" s="153"/>
      <c r="R219" s="153" t="str">
        <f t="shared" si="1"/>
        <v>2023</v>
      </c>
      <c r="S219" s="154">
        <f t="shared" si="2"/>
        <v>11</v>
      </c>
      <c r="T219" s="153" t="str">
        <f t="shared" si="3"/>
        <v>2023-Q4</v>
      </c>
      <c r="U219" s="153" t="str">
        <f t="shared" si="4"/>
        <v>2023-11</v>
      </c>
      <c r="V219" s="155" t="str">
        <f t="shared" si="5"/>
        <v>2023-H2</v>
      </c>
      <c r="W219" s="155"/>
    </row>
    <row r="220">
      <c r="A220" s="139">
        <f>HYPERLINK("https://polkadot.subsquare.io/referenda/212", 212)</f>
        <v>212</v>
      </c>
      <c r="B220" s="140" t="s">
        <v>2801</v>
      </c>
      <c r="C220" s="140" t="s">
        <v>2691</v>
      </c>
      <c r="D220" s="141">
        <v>0.0</v>
      </c>
      <c r="E220" s="142">
        <v>0.0</v>
      </c>
      <c r="F220" s="140" t="s">
        <v>2802</v>
      </c>
      <c r="G220" s="143">
        <v>54351.1965872279</v>
      </c>
      <c r="H220" s="143">
        <v>3985580.2302667242</v>
      </c>
      <c r="I220" s="144">
        <v>45221.0</v>
      </c>
      <c r="J220" s="144">
        <v>45235.0</v>
      </c>
      <c r="K220" s="145">
        <v>0.0</v>
      </c>
      <c r="L220" s="114" t="s">
        <v>2673</v>
      </c>
      <c r="M220" s="114" t="s">
        <v>2673</v>
      </c>
      <c r="N220" s="108"/>
      <c r="O220" s="108"/>
      <c r="P220" s="108"/>
      <c r="Q220" s="108"/>
      <c r="R220" s="108" t="str">
        <f t="shared" si="1"/>
        <v>2023</v>
      </c>
      <c r="S220" s="110">
        <f t="shared" si="2"/>
        <v>11</v>
      </c>
      <c r="T220" s="108" t="str">
        <f t="shared" si="3"/>
        <v>2023-Q4</v>
      </c>
      <c r="U220" s="108" t="str">
        <f t="shared" si="4"/>
        <v>2023-11</v>
      </c>
      <c r="V220" s="112" t="str">
        <f t="shared" si="5"/>
        <v>2023-H2</v>
      </c>
      <c r="W220" s="112"/>
    </row>
    <row r="221">
      <c r="A221" s="146">
        <f>HYPERLINK("https://polkadot.subsquare.io/referenda/213", 213)</f>
        <v>213</v>
      </c>
      <c r="B221" s="147" t="s">
        <v>2803</v>
      </c>
      <c r="C221" s="147" t="s">
        <v>2672</v>
      </c>
      <c r="D221" s="148">
        <v>22687.0</v>
      </c>
      <c r="E221" s="149">
        <v>97215.02479076385</v>
      </c>
      <c r="F221" s="147" t="s">
        <v>2683</v>
      </c>
      <c r="G221" s="150">
        <v>3.2009625444757596E7</v>
      </c>
      <c r="H221" s="150">
        <v>5.828919923032874E7</v>
      </c>
      <c r="I221" s="151">
        <v>45221.0</v>
      </c>
      <c r="J221" s="151">
        <v>45250.0</v>
      </c>
      <c r="K221" s="152">
        <v>117356.78630256653</v>
      </c>
      <c r="L221" s="117" t="s">
        <v>2673</v>
      </c>
      <c r="M221" s="117" t="s">
        <v>2673</v>
      </c>
      <c r="N221" s="153"/>
      <c r="O221" s="153"/>
      <c r="P221" s="153"/>
      <c r="Q221" s="153"/>
      <c r="R221" s="153" t="str">
        <f t="shared" si="1"/>
        <v>2023</v>
      </c>
      <c r="S221" s="154">
        <f t="shared" si="2"/>
        <v>11</v>
      </c>
      <c r="T221" s="153" t="str">
        <f t="shared" si="3"/>
        <v>2023-Q4</v>
      </c>
      <c r="U221" s="153" t="str">
        <f t="shared" si="4"/>
        <v>2023-11</v>
      </c>
      <c r="V221" s="155" t="str">
        <f t="shared" si="5"/>
        <v>2023-H2</v>
      </c>
      <c r="W221" s="155"/>
    </row>
    <row r="222">
      <c r="A222" s="139">
        <f>HYPERLINK("https://polkadot.subsquare.io/referenda/214", 214)</f>
        <v>214</v>
      </c>
      <c r="B222" s="140" t="s">
        <v>255</v>
      </c>
      <c r="C222" s="140" t="s">
        <v>2681</v>
      </c>
      <c r="D222" s="141">
        <v>1800.0</v>
      </c>
      <c r="E222" s="142">
        <v>7713.09757232666</v>
      </c>
      <c r="F222" s="140" t="s">
        <v>2678</v>
      </c>
      <c r="G222" s="143">
        <v>3.342557354838428E7</v>
      </c>
      <c r="H222" s="143">
        <v>1.1486700826510543E7</v>
      </c>
      <c r="I222" s="144">
        <v>45222.0</v>
      </c>
      <c r="J222" s="144">
        <v>45236.0</v>
      </c>
      <c r="K222" s="145">
        <v>9157.239246368408</v>
      </c>
      <c r="L222" s="114" t="s">
        <v>137</v>
      </c>
      <c r="M222" s="114" t="s">
        <v>254</v>
      </c>
      <c r="N222" s="108"/>
      <c r="O222" s="108"/>
      <c r="P222" s="108"/>
      <c r="Q222" s="108"/>
      <c r="R222" s="108" t="str">
        <f t="shared" si="1"/>
        <v>2023</v>
      </c>
      <c r="S222" s="110">
        <f t="shared" si="2"/>
        <v>11</v>
      </c>
      <c r="T222" s="108" t="str">
        <f t="shared" si="3"/>
        <v>2023-Q4</v>
      </c>
      <c r="U222" s="108" t="str">
        <f t="shared" si="4"/>
        <v>2023-11</v>
      </c>
      <c r="V222" s="112" t="str">
        <f t="shared" si="5"/>
        <v>2023-H2</v>
      </c>
      <c r="W222" s="156"/>
    </row>
    <row r="223">
      <c r="A223" s="146">
        <f>HYPERLINK("https://polkadot.subsquare.io/referenda/215", 215)</f>
        <v>215</v>
      </c>
      <c r="B223" s="147" t="s">
        <v>256</v>
      </c>
      <c r="C223" s="147" t="s">
        <v>2681</v>
      </c>
      <c r="D223" s="148">
        <v>18982.6915423</v>
      </c>
      <c r="E223" s="149">
        <v>81341.8622506333</v>
      </c>
      <c r="F223" s="147" t="s">
        <v>2683</v>
      </c>
      <c r="G223" s="150">
        <v>4.6815598214285605E7</v>
      </c>
      <c r="H223" s="150">
        <v>1226423.4874816907</v>
      </c>
      <c r="I223" s="151">
        <v>45222.0</v>
      </c>
      <c r="J223" s="151">
        <v>45238.0</v>
      </c>
      <c r="K223" s="152">
        <v>105414.0174993301</v>
      </c>
      <c r="L223" s="117" t="s">
        <v>81</v>
      </c>
      <c r="M223" s="117" t="s">
        <v>185</v>
      </c>
      <c r="N223" s="153"/>
      <c r="O223" s="153"/>
      <c r="P223" s="153"/>
      <c r="Q223" s="153"/>
      <c r="R223" s="153" t="str">
        <f t="shared" si="1"/>
        <v>2023</v>
      </c>
      <c r="S223" s="154">
        <f t="shared" si="2"/>
        <v>11</v>
      </c>
      <c r="T223" s="153" t="str">
        <f t="shared" si="3"/>
        <v>2023-Q4</v>
      </c>
      <c r="U223" s="153" t="str">
        <f t="shared" si="4"/>
        <v>2023-11</v>
      </c>
      <c r="V223" s="155" t="str">
        <f t="shared" si="5"/>
        <v>2023-H2</v>
      </c>
      <c r="W223" s="155"/>
    </row>
    <row r="224">
      <c r="A224" s="139">
        <f>HYPERLINK("https://polkadot.subsquare.io/referenda/216", 216)</f>
        <v>216</v>
      </c>
      <c r="B224" s="140" t="s">
        <v>257</v>
      </c>
      <c r="C224" s="140" t="s">
        <v>2681</v>
      </c>
      <c r="D224" s="141">
        <v>54753.61</v>
      </c>
      <c r="E224" s="142">
        <v>234622.18687062262</v>
      </c>
      <c r="F224" s="140" t="s">
        <v>2683</v>
      </c>
      <c r="G224" s="143">
        <v>3.0641890579793774E7</v>
      </c>
      <c r="H224" s="143">
        <v>3964552.313170689</v>
      </c>
      <c r="I224" s="144">
        <v>45222.0</v>
      </c>
      <c r="J224" s="144">
        <v>45242.0</v>
      </c>
      <c r="K224" s="145">
        <v>284868.0763871622</v>
      </c>
      <c r="L224" s="114" t="s">
        <v>82</v>
      </c>
      <c r="M224" s="114" t="s">
        <v>150</v>
      </c>
      <c r="N224" s="108"/>
      <c r="O224" s="108"/>
      <c r="P224" s="108"/>
      <c r="Q224" s="108"/>
      <c r="R224" s="108" t="str">
        <f t="shared" si="1"/>
        <v>2023</v>
      </c>
      <c r="S224" s="110">
        <f t="shared" si="2"/>
        <v>11</v>
      </c>
      <c r="T224" s="108" t="str">
        <f t="shared" si="3"/>
        <v>2023-Q4</v>
      </c>
      <c r="U224" s="108" t="str">
        <f t="shared" si="4"/>
        <v>2023-11</v>
      </c>
      <c r="V224" s="112" t="str">
        <f t="shared" si="5"/>
        <v>2023-H2</v>
      </c>
      <c r="W224" s="112"/>
    </row>
    <row r="225">
      <c r="A225" s="146">
        <f>HYPERLINK("https://polkadot.subsquare.io/referenda/217", 217)</f>
        <v>217</v>
      </c>
      <c r="B225" s="147" t="s">
        <v>258</v>
      </c>
      <c r="C225" s="147" t="s">
        <v>2681</v>
      </c>
      <c r="D225" s="148">
        <v>420.69</v>
      </c>
      <c r="E225" s="149">
        <v>1782.2135768079759</v>
      </c>
      <c r="F225" s="147" t="s">
        <v>2699</v>
      </c>
      <c r="G225" s="150">
        <v>4.070204191998445E7</v>
      </c>
      <c r="H225" s="150">
        <v>1640840.3</v>
      </c>
      <c r="I225" s="151">
        <v>45222.0</v>
      </c>
      <c r="J225" s="151">
        <v>45224.0</v>
      </c>
      <c r="K225" s="152">
        <v>1758.5296641254424</v>
      </c>
      <c r="L225" s="117" t="s">
        <v>137</v>
      </c>
      <c r="M225" s="117" t="s">
        <v>191</v>
      </c>
      <c r="N225" s="153"/>
      <c r="O225" s="153"/>
      <c r="P225" s="153"/>
      <c r="Q225" s="153"/>
      <c r="R225" s="153" t="str">
        <f t="shared" si="1"/>
        <v>2023</v>
      </c>
      <c r="S225" s="154">
        <f t="shared" si="2"/>
        <v>10</v>
      </c>
      <c r="T225" s="153" t="str">
        <f t="shared" si="3"/>
        <v>2023-Q4</v>
      </c>
      <c r="U225" s="153" t="str">
        <f t="shared" si="4"/>
        <v>2023-10</v>
      </c>
      <c r="V225" s="155" t="str">
        <f t="shared" si="5"/>
        <v>2023-H2</v>
      </c>
      <c r="W225" s="155"/>
    </row>
    <row r="226">
      <c r="A226" s="139">
        <f>HYPERLINK("https://polkadot.subsquare.io/referenda/218", 218)</f>
        <v>218</v>
      </c>
      <c r="B226" s="140" t="s">
        <v>259</v>
      </c>
      <c r="C226" s="140" t="s">
        <v>2681</v>
      </c>
      <c r="D226" s="141">
        <v>1959.93</v>
      </c>
      <c r="E226" s="142">
        <v>8303.05891652584</v>
      </c>
      <c r="F226" s="140" t="s">
        <v>2678</v>
      </c>
      <c r="G226" s="143">
        <v>3.0276875258131795E7</v>
      </c>
      <c r="H226" s="143">
        <v>1.8106506949889667E7</v>
      </c>
      <c r="I226" s="144">
        <v>45222.0</v>
      </c>
      <c r="J226" s="144">
        <v>45237.0</v>
      </c>
      <c r="K226" s="145">
        <v>10389.19851257801</v>
      </c>
      <c r="L226" s="114" t="s">
        <v>137</v>
      </c>
      <c r="M226" s="114" t="s">
        <v>138</v>
      </c>
      <c r="N226" s="108"/>
      <c r="O226" s="108"/>
      <c r="P226" s="108"/>
      <c r="Q226" s="108"/>
      <c r="R226" s="108" t="str">
        <f t="shared" si="1"/>
        <v>2023</v>
      </c>
      <c r="S226" s="110">
        <f t="shared" si="2"/>
        <v>11</v>
      </c>
      <c r="T226" s="108" t="str">
        <f t="shared" si="3"/>
        <v>2023-Q4</v>
      </c>
      <c r="U226" s="108" t="str">
        <f t="shared" si="4"/>
        <v>2023-11</v>
      </c>
      <c r="V226" s="112" t="str">
        <f t="shared" si="5"/>
        <v>2023-H2</v>
      </c>
      <c r="W226" s="112"/>
    </row>
    <row r="227">
      <c r="A227" s="146">
        <f>HYPERLINK("https://polkadot.subsquare.io/referenda/219", 219)</f>
        <v>219</v>
      </c>
      <c r="B227" s="147" t="s">
        <v>260</v>
      </c>
      <c r="C227" s="147" t="s">
        <v>2681</v>
      </c>
      <c r="D227" s="148">
        <v>14165.0</v>
      </c>
      <c r="E227" s="149">
        <v>60008.68885755539</v>
      </c>
      <c r="F227" s="147" t="s">
        <v>2683</v>
      </c>
      <c r="G227" s="150">
        <v>4.4349149885587655E7</v>
      </c>
      <c r="H227" s="150">
        <v>2738190.4208938363</v>
      </c>
      <c r="I227" s="151">
        <v>45222.0</v>
      </c>
      <c r="J227" s="151">
        <v>45240.0</v>
      </c>
      <c r="K227" s="152">
        <v>80852.26232767105</v>
      </c>
      <c r="L227" s="117" t="s">
        <v>137</v>
      </c>
      <c r="M227" s="117" t="s">
        <v>138</v>
      </c>
      <c r="N227" s="153"/>
      <c r="O227" s="153"/>
      <c r="P227" s="153"/>
      <c r="Q227" s="153"/>
      <c r="R227" s="153" t="str">
        <f t="shared" si="1"/>
        <v>2023</v>
      </c>
      <c r="S227" s="154">
        <f t="shared" si="2"/>
        <v>11</v>
      </c>
      <c r="T227" s="153" t="str">
        <f t="shared" si="3"/>
        <v>2023-Q4</v>
      </c>
      <c r="U227" s="153" t="str">
        <f t="shared" si="4"/>
        <v>2023-11</v>
      </c>
      <c r="V227" s="155" t="str">
        <f t="shared" si="5"/>
        <v>2023-H2</v>
      </c>
      <c r="W227" s="155"/>
    </row>
    <row r="228">
      <c r="A228" s="139">
        <f>HYPERLINK("https://polkadot.subsquare.io/referenda/220", 220)</f>
        <v>220</v>
      </c>
      <c r="B228" s="140" t="s">
        <v>2804</v>
      </c>
      <c r="C228" s="140" t="s">
        <v>2672</v>
      </c>
      <c r="D228" s="141">
        <v>1111.0</v>
      </c>
      <c r="E228" s="142">
        <v>4706.6468987464905</v>
      </c>
      <c r="F228" s="140" t="s">
        <v>2678</v>
      </c>
      <c r="G228" s="143">
        <v>158902.6395762959</v>
      </c>
      <c r="H228" s="143">
        <v>1.5202322409474665E7</v>
      </c>
      <c r="I228" s="144">
        <v>45223.0</v>
      </c>
      <c r="J228" s="144">
        <v>45251.0</v>
      </c>
      <c r="K228" s="145">
        <v>5703.471712589264</v>
      </c>
      <c r="L228" s="114" t="s">
        <v>2673</v>
      </c>
      <c r="M228" s="114" t="s">
        <v>2673</v>
      </c>
      <c r="N228" s="108"/>
      <c r="O228" s="108"/>
      <c r="P228" s="108"/>
      <c r="Q228" s="108"/>
      <c r="R228" s="108" t="str">
        <f t="shared" si="1"/>
        <v>2023</v>
      </c>
      <c r="S228" s="110">
        <f t="shared" si="2"/>
        <v>11</v>
      </c>
      <c r="T228" s="108" t="str">
        <f t="shared" si="3"/>
        <v>2023-Q4</v>
      </c>
      <c r="U228" s="108" t="str">
        <f t="shared" si="4"/>
        <v>2023-11</v>
      </c>
      <c r="V228" s="112" t="str">
        <f t="shared" si="5"/>
        <v>2023-H2</v>
      </c>
      <c r="W228" s="112"/>
    </row>
    <row r="229">
      <c r="A229" s="146">
        <f>HYPERLINK("https://polkadot.subsquare.io/referenda/221", 221)</f>
        <v>221</v>
      </c>
      <c r="B229" s="147" t="s">
        <v>261</v>
      </c>
      <c r="C229" s="147" t="s">
        <v>2681</v>
      </c>
      <c r="D229" s="148">
        <v>4895.0</v>
      </c>
      <c r="E229" s="149">
        <v>20737.206633090973</v>
      </c>
      <c r="F229" s="147" t="s">
        <v>2678</v>
      </c>
      <c r="G229" s="150">
        <v>3.0799899878889088E7</v>
      </c>
      <c r="H229" s="150">
        <v>1.6348075971494554E7</v>
      </c>
      <c r="I229" s="151">
        <v>45223.0</v>
      </c>
      <c r="J229" s="151">
        <v>45238.0</v>
      </c>
      <c r="K229" s="152">
        <v>27182.742474079132</v>
      </c>
      <c r="L229" s="117" t="s">
        <v>82</v>
      </c>
      <c r="M229" s="117" t="s">
        <v>176</v>
      </c>
      <c r="N229" s="153"/>
      <c r="O229" s="153"/>
      <c r="P229" s="153"/>
      <c r="Q229" s="153"/>
      <c r="R229" s="153" t="str">
        <f t="shared" si="1"/>
        <v>2023</v>
      </c>
      <c r="S229" s="154">
        <f t="shared" si="2"/>
        <v>11</v>
      </c>
      <c r="T229" s="153" t="str">
        <f t="shared" si="3"/>
        <v>2023-Q4</v>
      </c>
      <c r="U229" s="153" t="str">
        <f t="shared" si="4"/>
        <v>2023-11</v>
      </c>
      <c r="V229" s="155" t="str">
        <f t="shared" si="5"/>
        <v>2023-H2</v>
      </c>
      <c r="W229" s="155"/>
    </row>
    <row r="230">
      <c r="A230" s="139">
        <f>HYPERLINK("https://polkadot.subsquare.io/referenda/222", 222)</f>
        <v>222</v>
      </c>
      <c r="B230" s="140" t="s">
        <v>262</v>
      </c>
      <c r="C230" s="140" t="s">
        <v>2681</v>
      </c>
      <c r="D230" s="141">
        <v>3535.0</v>
      </c>
      <c r="E230" s="142">
        <v>14776.682028770447</v>
      </c>
      <c r="F230" s="140" t="s">
        <v>2678</v>
      </c>
      <c r="G230" s="143">
        <v>1.6096052322877951E7</v>
      </c>
      <c r="H230" s="143">
        <v>3445767.816292549</v>
      </c>
      <c r="I230" s="144">
        <v>45225.0</v>
      </c>
      <c r="J230" s="144">
        <v>45241.0</v>
      </c>
      <c r="K230" s="145">
        <v>18391.639382839203</v>
      </c>
      <c r="L230" s="114" t="s">
        <v>137</v>
      </c>
      <c r="M230" s="114" t="s">
        <v>144</v>
      </c>
      <c r="N230" s="108"/>
      <c r="O230" s="108"/>
      <c r="P230" s="108"/>
      <c r="Q230" s="108"/>
      <c r="R230" s="108" t="str">
        <f t="shared" si="1"/>
        <v>2023</v>
      </c>
      <c r="S230" s="110">
        <f t="shared" si="2"/>
        <v>11</v>
      </c>
      <c r="T230" s="108" t="str">
        <f t="shared" si="3"/>
        <v>2023-Q4</v>
      </c>
      <c r="U230" s="108" t="str">
        <f t="shared" si="4"/>
        <v>2023-11</v>
      </c>
      <c r="V230" s="112" t="str">
        <f t="shared" si="5"/>
        <v>2023-H2</v>
      </c>
      <c r="W230" s="112"/>
    </row>
    <row r="231">
      <c r="A231" s="146">
        <f>HYPERLINK("https://polkadot.subsquare.io/referenda/223", 223)</f>
        <v>223</v>
      </c>
      <c r="B231" s="147" t="s">
        <v>263</v>
      </c>
      <c r="C231" s="147" t="s">
        <v>2681</v>
      </c>
      <c r="D231" s="148">
        <v>24701.0</v>
      </c>
      <c r="E231" s="149">
        <v>111841.16629743576</v>
      </c>
      <c r="F231" s="147" t="s">
        <v>2683</v>
      </c>
      <c r="G231" s="150">
        <v>4.215251327346247E7</v>
      </c>
      <c r="H231" s="150">
        <v>4340440.159228561</v>
      </c>
      <c r="I231" s="151">
        <v>45226.0</v>
      </c>
      <c r="J231" s="151">
        <v>45244.0</v>
      </c>
      <c r="K231" s="152">
        <v>132358.3769440651</v>
      </c>
      <c r="L231" s="117" t="s">
        <v>137</v>
      </c>
      <c r="M231" s="117" t="s">
        <v>191</v>
      </c>
      <c r="N231" s="153"/>
      <c r="O231" s="153"/>
      <c r="P231" s="153"/>
      <c r="Q231" s="153"/>
      <c r="R231" s="153" t="str">
        <f t="shared" si="1"/>
        <v>2023</v>
      </c>
      <c r="S231" s="154">
        <f t="shared" si="2"/>
        <v>11</v>
      </c>
      <c r="T231" s="153" t="str">
        <f t="shared" si="3"/>
        <v>2023-Q4</v>
      </c>
      <c r="U231" s="153" t="str">
        <f t="shared" si="4"/>
        <v>2023-11</v>
      </c>
      <c r="V231" s="155" t="str">
        <f t="shared" si="5"/>
        <v>2023-H2</v>
      </c>
      <c r="W231" s="155"/>
    </row>
    <row r="232">
      <c r="A232" s="139">
        <f>HYPERLINK("https://polkadot.subsquare.io/referenda/224", 224)</f>
        <v>224</v>
      </c>
      <c r="B232" s="140" t="s">
        <v>2805</v>
      </c>
      <c r="C232" s="140" t="s">
        <v>2672</v>
      </c>
      <c r="D232" s="141">
        <v>17000.0</v>
      </c>
      <c r="E232" s="142">
        <v>76972.58520126343</v>
      </c>
      <c r="F232" s="140" t="s">
        <v>2683</v>
      </c>
      <c r="G232" s="143">
        <v>310887.5519093985</v>
      </c>
      <c r="H232" s="143">
        <v>1.831055537397765E7</v>
      </c>
      <c r="I232" s="144">
        <v>45227.0</v>
      </c>
      <c r="J232" s="144">
        <v>45255.0</v>
      </c>
      <c r="K232" s="145">
        <v>89601.52673721313</v>
      </c>
      <c r="L232" s="114" t="s">
        <v>2673</v>
      </c>
      <c r="M232" s="114" t="s">
        <v>2673</v>
      </c>
      <c r="N232" s="108"/>
      <c r="O232" s="108"/>
      <c r="P232" s="108"/>
      <c r="Q232" s="108"/>
      <c r="R232" s="108" t="str">
        <f t="shared" si="1"/>
        <v>2023</v>
      </c>
      <c r="S232" s="110">
        <f t="shared" si="2"/>
        <v>11</v>
      </c>
      <c r="T232" s="108" t="str">
        <f t="shared" si="3"/>
        <v>2023-Q4</v>
      </c>
      <c r="U232" s="108" t="str">
        <f t="shared" si="4"/>
        <v>2023-11</v>
      </c>
      <c r="V232" s="112" t="str">
        <f t="shared" si="5"/>
        <v>2023-H2</v>
      </c>
      <c r="W232" s="112"/>
    </row>
    <row r="233">
      <c r="A233" s="146">
        <f>HYPERLINK("https://polkadot.subsquare.io/referenda/225", 225)</f>
        <v>225</v>
      </c>
      <c r="B233" s="147" t="s">
        <v>264</v>
      </c>
      <c r="C233" s="147" t="s">
        <v>2681</v>
      </c>
      <c r="D233" s="148">
        <v>1563.0</v>
      </c>
      <c r="E233" s="149">
        <v>6957.194310665131</v>
      </c>
      <c r="F233" s="147" t="s">
        <v>2678</v>
      </c>
      <c r="G233" s="150">
        <v>3.01186582052E7</v>
      </c>
      <c r="H233" s="150">
        <v>1.2503451937641766E7</v>
      </c>
      <c r="I233" s="151">
        <v>45227.0</v>
      </c>
      <c r="J233" s="151">
        <v>45243.0</v>
      </c>
      <c r="K233" s="152">
        <v>8699.747411727905</v>
      </c>
      <c r="L233" s="117" t="s">
        <v>137</v>
      </c>
      <c r="M233" s="117" t="s">
        <v>138</v>
      </c>
      <c r="N233" s="153"/>
      <c r="O233" s="153"/>
      <c r="P233" s="153"/>
      <c r="Q233" s="153"/>
      <c r="R233" s="153" t="str">
        <f t="shared" si="1"/>
        <v>2023</v>
      </c>
      <c r="S233" s="154">
        <f t="shared" si="2"/>
        <v>11</v>
      </c>
      <c r="T233" s="153" t="str">
        <f t="shared" si="3"/>
        <v>2023-Q4</v>
      </c>
      <c r="U233" s="153" t="str">
        <f t="shared" si="4"/>
        <v>2023-11</v>
      </c>
      <c r="V233" s="155" t="str">
        <f t="shared" si="5"/>
        <v>2023-H2</v>
      </c>
      <c r="W233" s="155"/>
    </row>
    <row r="234">
      <c r="A234" s="139">
        <f>HYPERLINK("https://polkadot.subsquare.io/referenda/226", 226)</f>
        <v>226</v>
      </c>
      <c r="B234" s="140" t="s">
        <v>265</v>
      </c>
      <c r="C234" s="140" t="s">
        <v>2681</v>
      </c>
      <c r="D234" s="141">
        <v>1500.0</v>
      </c>
      <c r="E234" s="142">
        <v>6676.769971847534</v>
      </c>
      <c r="F234" s="140" t="s">
        <v>2678</v>
      </c>
      <c r="G234" s="143">
        <v>3.0458354505445477E7</v>
      </c>
      <c r="H234" s="143">
        <v>1.6234693658547647E7</v>
      </c>
      <c r="I234" s="144">
        <v>45227.0</v>
      </c>
      <c r="J234" s="144">
        <v>45243.0</v>
      </c>
      <c r="K234" s="145">
        <v>8349.085807800293</v>
      </c>
      <c r="L234" s="114" t="s">
        <v>137</v>
      </c>
      <c r="M234" s="114" t="s">
        <v>138</v>
      </c>
      <c r="N234" s="108"/>
      <c r="O234" s="108"/>
      <c r="P234" s="108"/>
      <c r="Q234" s="108"/>
      <c r="R234" s="108" t="str">
        <f t="shared" si="1"/>
        <v>2023</v>
      </c>
      <c r="S234" s="110">
        <f t="shared" si="2"/>
        <v>11</v>
      </c>
      <c r="T234" s="108" t="str">
        <f t="shared" si="3"/>
        <v>2023-Q4</v>
      </c>
      <c r="U234" s="108" t="str">
        <f t="shared" si="4"/>
        <v>2023-11</v>
      </c>
      <c r="V234" s="112" t="str">
        <f t="shared" si="5"/>
        <v>2023-H2</v>
      </c>
      <c r="W234" s="112"/>
    </row>
    <row r="235">
      <c r="A235" s="146">
        <f>HYPERLINK("https://polkadot.subsquare.io/referenda/227", 227)</f>
        <v>227</v>
      </c>
      <c r="B235" s="147" t="s">
        <v>267</v>
      </c>
      <c r="C235" s="147" t="s">
        <v>2681</v>
      </c>
      <c r="D235" s="148">
        <v>350.0</v>
      </c>
      <c r="E235" s="149">
        <v>1557.9129934310913</v>
      </c>
      <c r="F235" s="147" t="s">
        <v>2699</v>
      </c>
      <c r="G235" s="150">
        <v>3.0565509954260625E7</v>
      </c>
      <c r="H235" s="150">
        <v>329898.8097734942</v>
      </c>
      <c r="I235" s="151">
        <v>45227.0</v>
      </c>
      <c r="J235" s="151">
        <v>45231.0</v>
      </c>
      <c r="K235" s="152">
        <v>1641.8591737747192</v>
      </c>
      <c r="L235" s="117" t="s">
        <v>137</v>
      </c>
      <c r="M235" s="117" t="s">
        <v>266</v>
      </c>
      <c r="N235" s="153"/>
      <c r="O235" s="153"/>
      <c r="P235" s="153"/>
      <c r="Q235" s="153"/>
      <c r="R235" s="153" t="str">
        <f t="shared" si="1"/>
        <v>2023</v>
      </c>
      <c r="S235" s="154">
        <f t="shared" si="2"/>
        <v>11</v>
      </c>
      <c r="T235" s="153" t="str">
        <f t="shared" si="3"/>
        <v>2023-Q4</v>
      </c>
      <c r="U235" s="153" t="str">
        <f t="shared" si="4"/>
        <v>2023-11</v>
      </c>
      <c r="V235" s="155" t="str">
        <f t="shared" si="5"/>
        <v>2023-H2</v>
      </c>
      <c r="W235" s="155"/>
    </row>
    <row r="236">
      <c r="A236" s="139">
        <f>HYPERLINK("https://polkadot.subsquare.io/referenda/228", 228)</f>
        <v>228</v>
      </c>
      <c r="B236" s="140" t="s">
        <v>2806</v>
      </c>
      <c r="C236" s="140" t="s">
        <v>2672</v>
      </c>
      <c r="D236" s="141">
        <v>59746.84</v>
      </c>
      <c r="E236" s="142">
        <v>265943.93814985274</v>
      </c>
      <c r="F236" s="140" t="s">
        <v>2683</v>
      </c>
      <c r="G236" s="143">
        <v>3915886.003298794</v>
      </c>
      <c r="H236" s="143">
        <v>4.2776238340737134E7</v>
      </c>
      <c r="I236" s="144">
        <v>45227.0</v>
      </c>
      <c r="J236" s="144">
        <v>45256.0</v>
      </c>
      <c r="K236" s="145">
        <v>314906.35774847027</v>
      </c>
      <c r="L236" s="114" t="s">
        <v>2673</v>
      </c>
      <c r="M236" s="114" t="s">
        <v>2673</v>
      </c>
      <c r="N236" s="108"/>
      <c r="O236" s="108"/>
      <c r="P236" s="108"/>
      <c r="Q236" s="108"/>
      <c r="R236" s="108" t="str">
        <f t="shared" si="1"/>
        <v>2023</v>
      </c>
      <c r="S236" s="110">
        <f t="shared" si="2"/>
        <v>11</v>
      </c>
      <c r="T236" s="108" t="str">
        <f t="shared" si="3"/>
        <v>2023-Q4</v>
      </c>
      <c r="U236" s="108" t="str">
        <f t="shared" si="4"/>
        <v>2023-11</v>
      </c>
      <c r="V236" s="112" t="str">
        <f t="shared" si="5"/>
        <v>2023-H2</v>
      </c>
      <c r="W236" s="112"/>
    </row>
    <row r="237">
      <c r="A237" s="146">
        <f>HYPERLINK("https://polkadot.subsquare.io/referenda/229", 229)</f>
        <v>229</v>
      </c>
      <c r="B237" s="147" t="s">
        <v>2807</v>
      </c>
      <c r="C237" s="147" t="s">
        <v>2672</v>
      </c>
      <c r="D237" s="148">
        <v>138711.0</v>
      </c>
      <c r="E237" s="149">
        <v>617427.6263766289</v>
      </c>
      <c r="F237" s="147" t="s">
        <v>2676</v>
      </c>
      <c r="G237" s="150">
        <v>75835.6460449078</v>
      </c>
      <c r="H237" s="150">
        <v>1.5662029021986814E7</v>
      </c>
      <c r="I237" s="151">
        <v>45228.0</v>
      </c>
      <c r="J237" s="151">
        <v>45256.0</v>
      </c>
      <c r="K237" s="152">
        <v>731101.0220732689</v>
      </c>
      <c r="L237" s="117" t="s">
        <v>2673</v>
      </c>
      <c r="M237" s="117" t="s">
        <v>2673</v>
      </c>
      <c r="N237" s="153"/>
      <c r="O237" s="153"/>
      <c r="P237" s="153"/>
      <c r="Q237" s="153"/>
      <c r="R237" s="153" t="str">
        <f t="shared" si="1"/>
        <v>2023</v>
      </c>
      <c r="S237" s="154">
        <f t="shared" si="2"/>
        <v>11</v>
      </c>
      <c r="T237" s="153" t="str">
        <f t="shared" si="3"/>
        <v>2023-Q4</v>
      </c>
      <c r="U237" s="153" t="str">
        <f t="shared" si="4"/>
        <v>2023-11</v>
      </c>
      <c r="V237" s="155" t="str">
        <f t="shared" si="5"/>
        <v>2023-H2</v>
      </c>
      <c r="W237" s="158" t="s">
        <v>2654</v>
      </c>
    </row>
    <row r="238">
      <c r="A238" s="139">
        <f>HYPERLINK("https://polkadot.subsquare.io/referenda/230", 230)</f>
        <v>230</v>
      </c>
      <c r="B238" s="140" t="s">
        <v>268</v>
      </c>
      <c r="C238" s="140" t="s">
        <v>2681</v>
      </c>
      <c r="D238" s="141">
        <v>6970.0</v>
      </c>
      <c r="E238" s="142">
        <v>31024.724469184875</v>
      </c>
      <c r="F238" s="140" t="s">
        <v>2678</v>
      </c>
      <c r="G238" s="143">
        <v>4.144936497389439E7</v>
      </c>
      <c r="H238" s="143">
        <v>3433779.6796261887</v>
      </c>
      <c r="I238" s="144">
        <v>45228.0</v>
      </c>
      <c r="J238" s="144">
        <v>45243.0</v>
      </c>
      <c r="K238" s="145">
        <v>38795.41872024536</v>
      </c>
      <c r="L238" s="114" t="s">
        <v>137</v>
      </c>
      <c r="M238" s="114" t="s">
        <v>191</v>
      </c>
      <c r="N238" s="108"/>
      <c r="O238" s="108"/>
      <c r="P238" s="108"/>
      <c r="Q238" s="108"/>
      <c r="R238" s="108" t="str">
        <f t="shared" si="1"/>
        <v>2023</v>
      </c>
      <c r="S238" s="110">
        <f t="shared" si="2"/>
        <v>11</v>
      </c>
      <c r="T238" s="108" t="str">
        <f t="shared" si="3"/>
        <v>2023-Q4</v>
      </c>
      <c r="U238" s="108" t="str">
        <f t="shared" si="4"/>
        <v>2023-11</v>
      </c>
      <c r="V238" s="112" t="str">
        <f t="shared" si="5"/>
        <v>2023-H2</v>
      </c>
      <c r="W238" s="112"/>
    </row>
    <row r="239">
      <c r="A239" s="146">
        <f>HYPERLINK("https://polkadot.subsquare.io/referenda/231", 231)</f>
        <v>231</v>
      </c>
      <c r="B239" s="147" t="s">
        <v>2808</v>
      </c>
      <c r="C239" s="147" t="s">
        <v>2681</v>
      </c>
      <c r="D239" s="148">
        <v>0.0</v>
      </c>
      <c r="E239" s="149">
        <v>0.0</v>
      </c>
      <c r="F239" s="147" t="s">
        <v>2687</v>
      </c>
      <c r="G239" s="150">
        <v>4.861064937283248E7</v>
      </c>
      <c r="H239" s="150">
        <v>6482757.585845532</v>
      </c>
      <c r="I239" s="151">
        <v>45228.0</v>
      </c>
      <c r="J239" s="151">
        <v>45262.0</v>
      </c>
      <c r="K239" s="152">
        <v>0.0</v>
      </c>
      <c r="L239" s="117" t="s">
        <v>2673</v>
      </c>
      <c r="M239" s="117" t="s">
        <v>2673</v>
      </c>
      <c r="N239" s="153"/>
      <c r="O239" s="153"/>
      <c r="P239" s="153"/>
      <c r="Q239" s="153"/>
      <c r="R239" s="153" t="str">
        <f t="shared" si="1"/>
        <v>2023</v>
      </c>
      <c r="S239" s="154">
        <f t="shared" si="2"/>
        <v>12</v>
      </c>
      <c r="T239" s="153" t="str">
        <f t="shared" si="3"/>
        <v>2023-Q4</v>
      </c>
      <c r="U239" s="153" t="str">
        <f t="shared" si="4"/>
        <v>2023-12</v>
      </c>
      <c r="V239" s="155" t="str">
        <f t="shared" si="5"/>
        <v>2023-H2</v>
      </c>
      <c r="W239" s="155"/>
    </row>
    <row r="240">
      <c r="A240" s="139">
        <f>HYPERLINK("https://polkadot.subsquare.io/referenda/232", 232)</f>
        <v>232</v>
      </c>
      <c r="B240" s="140" t="s">
        <v>269</v>
      </c>
      <c r="C240" s="140" t="s">
        <v>2681</v>
      </c>
      <c r="D240" s="141">
        <v>590.0</v>
      </c>
      <c r="E240" s="142">
        <v>2791.2367963790894</v>
      </c>
      <c r="F240" s="140" t="s">
        <v>2699</v>
      </c>
      <c r="G240" s="143">
        <v>3.0394841984804146E7</v>
      </c>
      <c r="H240" s="143">
        <v>52575.1670582367</v>
      </c>
      <c r="I240" s="144">
        <v>45229.0</v>
      </c>
      <c r="J240" s="144">
        <v>45231.0</v>
      </c>
      <c r="K240" s="145">
        <v>2767.705464363098</v>
      </c>
      <c r="L240" s="114" t="s">
        <v>82</v>
      </c>
      <c r="M240" s="114" t="s">
        <v>150</v>
      </c>
      <c r="N240" s="108"/>
      <c r="O240" s="108"/>
      <c r="P240" s="108"/>
      <c r="Q240" s="108"/>
      <c r="R240" s="108" t="str">
        <f t="shared" si="1"/>
        <v>2023</v>
      </c>
      <c r="S240" s="110">
        <f t="shared" si="2"/>
        <v>11</v>
      </c>
      <c r="T240" s="108" t="str">
        <f t="shared" si="3"/>
        <v>2023-Q4</v>
      </c>
      <c r="U240" s="108" t="str">
        <f t="shared" si="4"/>
        <v>2023-11</v>
      </c>
      <c r="V240" s="112" t="str">
        <f t="shared" si="5"/>
        <v>2023-H2</v>
      </c>
      <c r="W240" s="112"/>
    </row>
    <row r="241">
      <c r="A241" s="146">
        <f>HYPERLINK("https://polkadot.subsquare.io/referenda/233", 233)</f>
        <v>233</v>
      </c>
      <c r="B241" s="147" t="s">
        <v>2809</v>
      </c>
      <c r="C241" s="147" t="s">
        <v>2672</v>
      </c>
      <c r="D241" s="148">
        <v>5917.0</v>
      </c>
      <c r="E241" s="149">
        <v>27427.212115764618</v>
      </c>
      <c r="F241" s="147" t="s">
        <v>2678</v>
      </c>
      <c r="G241" s="150">
        <v>405745.7794890173</v>
      </c>
      <c r="H241" s="150">
        <v>1.0275617990940167E7</v>
      </c>
      <c r="I241" s="151">
        <v>45229.0</v>
      </c>
      <c r="J241" s="151">
        <v>45257.0</v>
      </c>
      <c r="K241" s="152">
        <v>32341.10360956192</v>
      </c>
      <c r="L241" s="117" t="s">
        <v>2673</v>
      </c>
      <c r="M241" s="117" t="s">
        <v>2673</v>
      </c>
      <c r="N241" s="153"/>
      <c r="O241" s="153"/>
      <c r="P241" s="153"/>
      <c r="Q241" s="153"/>
      <c r="R241" s="153" t="str">
        <f t="shared" si="1"/>
        <v>2023</v>
      </c>
      <c r="S241" s="154">
        <f t="shared" si="2"/>
        <v>11</v>
      </c>
      <c r="T241" s="153" t="str">
        <f t="shared" si="3"/>
        <v>2023-Q4</v>
      </c>
      <c r="U241" s="153" t="str">
        <f t="shared" si="4"/>
        <v>2023-11</v>
      </c>
      <c r="V241" s="155" t="str">
        <f t="shared" si="5"/>
        <v>2023-H2</v>
      </c>
      <c r="W241" s="155"/>
    </row>
    <row r="242">
      <c r="A242" s="139">
        <f>HYPERLINK("https://polkadot.subsquare.io/referenda/234", 234)</f>
        <v>234</v>
      </c>
      <c r="B242" s="140" t="s">
        <v>270</v>
      </c>
      <c r="C242" s="140" t="s">
        <v>2681</v>
      </c>
      <c r="D242" s="141">
        <v>137768.0</v>
      </c>
      <c r="E242" s="142">
        <v>635867.3463134766</v>
      </c>
      <c r="F242" s="140" t="s">
        <v>2676</v>
      </c>
      <c r="G242" s="143">
        <v>3.1727688998453148E7</v>
      </c>
      <c r="H242" s="143">
        <v>1.1968360709720328E7</v>
      </c>
      <c r="I242" s="144">
        <v>45231.0</v>
      </c>
      <c r="J242" s="144">
        <v>45255.0</v>
      </c>
      <c r="K242" s="145">
        <v>726130.7726783752</v>
      </c>
      <c r="L242" s="114" t="s">
        <v>137</v>
      </c>
      <c r="M242" s="114" t="s">
        <v>266</v>
      </c>
      <c r="N242" s="108"/>
      <c r="O242" s="108"/>
      <c r="P242" s="108"/>
      <c r="Q242" s="108"/>
      <c r="R242" s="108" t="str">
        <f t="shared" si="1"/>
        <v>2023</v>
      </c>
      <c r="S242" s="110">
        <f t="shared" si="2"/>
        <v>11</v>
      </c>
      <c r="T242" s="108" t="str">
        <f t="shared" si="3"/>
        <v>2023-Q4</v>
      </c>
      <c r="U242" s="108" t="str">
        <f t="shared" si="4"/>
        <v>2023-11</v>
      </c>
      <c r="V242" s="112" t="str">
        <f t="shared" si="5"/>
        <v>2023-H2</v>
      </c>
      <c r="W242" s="112"/>
    </row>
    <row r="243">
      <c r="A243" s="146">
        <f>HYPERLINK("https://polkadot.subsquare.io/referenda/235", 235)</f>
        <v>235</v>
      </c>
      <c r="B243" s="147" t="s">
        <v>2810</v>
      </c>
      <c r="C243" s="147" t="s">
        <v>2691</v>
      </c>
      <c r="D243" s="148">
        <v>1000000.0</v>
      </c>
      <c r="E243" s="149">
        <v>4691026.210784912</v>
      </c>
      <c r="F243" s="147" t="s">
        <v>2676</v>
      </c>
      <c r="G243" s="150">
        <v>86511.1236388797</v>
      </c>
      <c r="H243" s="150">
        <v>1.5308649734266505E7</v>
      </c>
      <c r="I243" s="151">
        <v>45231.0</v>
      </c>
      <c r="J243" s="151">
        <v>45245.0</v>
      </c>
      <c r="K243" s="152">
        <v>5291220.188140869</v>
      </c>
      <c r="L243" s="117" t="s">
        <v>2673</v>
      </c>
      <c r="M243" s="117" t="s">
        <v>2673</v>
      </c>
      <c r="N243" s="153"/>
      <c r="O243" s="153"/>
      <c r="P243" s="153"/>
      <c r="Q243" s="153"/>
      <c r="R243" s="153" t="str">
        <f t="shared" si="1"/>
        <v>2023</v>
      </c>
      <c r="S243" s="154">
        <f t="shared" si="2"/>
        <v>11</v>
      </c>
      <c r="T243" s="153" t="str">
        <f t="shared" si="3"/>
        <v>2023-Q4</v>
      </c>
      <c r="U243" s="153" t="str">
        <f t="shared" si="4"/>
        <v>2023-11</v>
      </c>
      <c r="V243" s="155" t="str">
        <f t="shared" si="5"/>
        <v>2023-H2</v>
      </c>
      <c r="W243" s="155"/>
    </row>
    <row r="244">
      <c r="A244" s="139">
        <f>HYPERLINK("https://polkadot.subsquare.io/referenda/236", 236)</f>
        <v>236</v>
      </c>
      <c r="B244" s="140" t="s">
        <v>2811</v>
      </c>
      <c r="C244" s="140" t="s">
        <v>2681</v>
      </c>
      <c r="D244" s="141">
        <v>0.0</v>
      </c>
      <c r="E244" s="142">
        <v>0.0</v>
      </c>
      <c r="F244" s="140" t="s">
        <v>2676</v>
      </c>
      <c r="G244" s="143">
        <v>9657506.947035635</v>
      </c>
      <c r="H244" s="143">
        <v>1246164.7537619453</v>
      </c>
      <c r="I244" s="144">
        <v>45231.0</v>
      </c>
      <c r="J244" s="144">
        <v>45262.0</v>
      </c>
      <c r="K244" s="145">
        <v>0.0</v>
      </c>
      <c r="L244" s="114" t="s">
        <v>2673</v>
      </c>
      <c r="M244" s="114" t="s">
        <v>2673</v>
      </c>
      <c r="N244" s="108"/>
      <c r="O244" s="108"/>
      <c r="P244" s="108"/>
      <c r="Q244" s="108"/>
      <c r="R244" s="108" t="str">
        <f t="shared" si="1"/>
        <v>2023</v>
      </c>
      <c r="S244" s="110">
        <f t="shared" si="2"/>
        <v>12</v>
      </c>
      <c r="T244" s="108" t="str">
        <f t="shared" si="3"/>
        <v>2023-Q4</v>
      </c>
      <c r="U244" s="108" t="str">
        <f t="shared" si="4"/>
        <v>2023-12</v>
      </c>
      <c r="V244" s="112" t="str">
        <f t="shared" si="5"/>
        <v>2023-H2</v>
      </c>
      <c r="W244" s="112"/>
    </row>
    <row r="245">
      <c r="A245" s="146">
        <f>HYPERLINK("https://polkadot.subsquare.io/referenda/237", 237)</f>
        <v>237</v>
      </c>
      <c r="B245" s="147" t="s">
        <v>271</v>
      </c>
      <c r="C245" s="147" t="s">
        <v>2681</v>
      </c>
      <c r="D245" s="148">
        <v>33124.7</v>
      </c>
      <c r="E245" s="149">
        <v>155388.83592438698</v>
      </c>
      <c r="F245" s="147" t="s">
        <v>2683</v>
      </c>
      <c r="G245" s="150">
        <v>4.198844824830957E7</v>
      </c>
      <c r="H245" s="150">
        <v>4248856.246321443</v>
      </c>
      <c r="I245" s="151">
        <v>45231.0</v>
      </c>
      <c r="J245" s="151">
        <v>45249.0</v>
      </c>
      <c r="K245" s="152">
        <v>161959.54506988524</v>
      </c>
      <c r="L245" s="117" t="s">
        <v>81</v>
      </c>
      <c r="M245" s="117" t="s">
        <v>142</v>
      </c>
      <c r="N245" s="153"/>
      <c r="O245" s="153"/>
      <c r="P245" s="153"/>
      <c r="Q245" s="153"/>
      <c r="R245" s="153" t="str">
        <f t="shared" si="1"/>
        <v>2023</v>
      </c>
      <c r="S245" s="154">
        <f t="shared" si="2"/>
        <v>11</v>
      </c>
      <c r="T245" s="153" t="str">
        <f t="shared" si="3"/>
        <v>2023-Q4</v>
      </c>
      <c r="U245" s="153" t="str">
        <f t="shared" si="4"/>
        <v>2023-11</v>
      </c>
      <c r="V245" s="155" t="str">
        <f t="shared" si="5"/>
        <v>2023-H2</v>
      </c>
      <c r="W245" s="155"/>
    </row>
    <row r="246">
      <c r="A246" s="139">
        <f>HYPERLINK("https://polkadot.subsquare.io/referenda/238", 238)</f>
        <v>238</v>
      </c>
      <c r="B246" s="140" t="s">
        <v>2812</v>
      </c>
      <c r="C246" s="140" t="s">
        <v>2672</v>
      </c>
      <c r="D246" s="141">
        <v>82140.34</v>
      </c>
      <c r="E246" s="142">
        <v>408103.83283005713</v>
      </c>
      <c r="F246" s="140" t="s">
        <v>2676</v>
      </c>
      <c r="G246" s="143">
        <v>7420.0</v>
      </c>
      <c r="H246" s="143">
        <v>2.902016628297301E7</v>
      </c>
      <c r="I246" s="144">
        <v>45234.0</v>
      </c>
      <c r="J246" s="144">
        <v>45264.0</v>
      </c>
      <c r="K246" s="145">
        <v>513103.2653764343</v>
      </c>
      <c r="L246" s="114" t="s">
        <v>2673</v>
      </c>
      <c r="M246" s="114" t="s">
        <v>2673</v>
      </c>
      <c r="N246" s="108"/>
      <c r="O246" s="108"/>
      <c r="P246" s="108"/>
      <c r="Q246" s="108"/>
      <c r="R246" s="108" t="str">
        <f t="shared" si="1"/>
        <v>2023</v>
      </c>
      <c r="S246" s="110">
        <f t="shared" si="2"/>
        <v>12</v>
      </c>
      <c r="T246" s="108" t="str">
        <f t="shared" si="3"/>
        <v>2023-Q4</v>
      </c>
      <c r="U246" s="108" t="str">
        <f t="shared" si="4"/>
        <v>2023-12</v>
      </c>
      <c r="V246" s="112" t="str">
        <f t="shared" si="5"/>
        <v>2023-H2</v>
      </c>
      <c r="W246" s="112"/>
    </row>
    <row r="247">
      <c r="A247" s="146">
        <f>HYPERLINK("https://polkadot.subsquare.io/referenda/239", 239)</f>
        <v>239</v>
      </c>
      <c r="B247" s="147" t="s">
        <v>2813</v>
      </c>
      <c r="C247" s="147" t="s">
        <v>2681</v>
      </c>
      <c r="D247" s="148">
        <v>0.0</v>
      </c>
      <c r="E247" s="149">
        <v>0.0</v>
      </c>
      <c r="F247" s="147" t="s">
        <v>2802</v>
      </c>
      <c r="G247" s="150">
        <v>5.0372653225207165E7</v>
      </c>
      <c r="H247" s="150">
        <v>0.0</v>
      </c>
      <c r="I247" s="151">
        <v>45234.0</v>
      </c>
      <c r="J247" s="151">
        <v>45236.0</v>
      </c>
      <c r="K247" s="152">
        <v>0.0</v>
      </c>
      <c r="L247" s="117" t="s">
        <v>2673</v>
      </c>
      <c r="M247" s="117" t="s">
        <v>2673</v>
      </c>
      <c r="N247" s="153"/>
      <c r="O247" s="153"/>
      <c r="P247" s="153"/>
      <c r="Q247" s="153"/>
      <c r="R247" s="153" t="str">
        <f t="shared" si="1"/>
        <v>2023</v>
      </c>
      <c r="S247" s="154">
        <f t="shared" si="2"/>
        <v>11</v>
      </c>
      <c r="T247" s="153" t="str">
        <f t="shared" si="3"/>
        <v>2023-Q4</v>
      </c>
      <c r="U247" s="153" t="str">
        <f t="shared" si="4"/>
        <v>2023-11</v>
      </c>
      <c r="V247" s="155" t="str">
        <f t="shared" si="5"/>
        <v>2023-H2</v>
      </c>
      <c r="W247" s="155"/>
    </row>
    <row r="248">
      <c r="A248" s="139">
        <f>HYPERLINK("https://polkadot.subsquare.io/referenda/240", 240)</f>
        <v>240</v>
      </c>
      <c r="B248" s="140" t="s">
        <v>272</v>
      </c>
      <c r="C248" s="140" t="s">
        <v>2681</v>
      </c>
      <c r="D248" s="141">
        <v>9700.0</v>
      </c>
      <c r="E248" s="142">
        <v>48193.216371536255</v>
      </c>
      <c r="F248" s="140" t="s">
        <v>2678</v>
      </c>
      <c r="G248" s="143">
        <v>3.2834677912353866E7</v>
      </c>
      <c r="H248" s="143">
        <v>1321479.5707626857</v>
      </c>
      <c r="I248" s="144">
        <v>45234.0</v>
      </c>
      <c r="J248" s="144">
        <v>45249.0</v>
      </c>
      <c r="K248" s="145">
        <v>47427.073669433594</v>
      </c>
      <c r="L248" s="114" t="s">
        <v>137</v>
      </c>
      <c r="M248" s="114" t="s">
        <v>138</v>
      </c>
      <c r="N248" s="108"/>
      <c r="O248" s="108"/>
      <c r="P248" s="108"/>
      <c r="Q248" s="108"/>
      <c r="R248" s="108" t="str">
        <f t="shared" si="1"/>
        <v>2023</v>
      </c>
      <c r="S248" s="110">
        <f t="shared" si="2"/>
        <v>11</v>
      </c>
      <c r="T248" s="108" t="str">
        <f t="shared" si="3"/>
        <v>2023-Q4</v>
      </c>
      <c r="U248" s="108" t="str">
        <f t="shared" si="4"/>
        <v>2023-11</v>
      </c>
      <c r="V248" s="112" t="str">
        <f t="shared" si="5"/>
        <v>2023-H2</v>
      </c>
      <c r="W248" s="112"/>
    </row>
    <row r="249">
      <c r="A249" s="146">
        <f>HYPERLINK("https://polkadot.subsquare.io/referenda/241", 241)</f>
        <v>241</v>
      </c>
      <c r="B249" s="147" t="s">
        <v>187</v>
      </c>
      <c r="C249" s="147" t="s">
        <v>2800</v>
      </c>
      <c r="D249" s="148">
        <v>0.0</v>
      </c>
      <c r="E249" s="149">
        <v>0.0</v>
      </c>
      <c r="F249" s="147" t="s">
        <v>2682</v>
      </c>
      <c r="G249" s="150">
        <v>1199182.177945212</v>
      </c>
      <c r="H249" s="150">
        <v>1.1324511636341574E7</v>
      </c>
      <c r="I249" s="151">
        <v>45234.0</v>
      </c>
      <c r="J249" s="151">
        <v>45242.0</v>
      </c>
      <c r="K249" s="152">
        <v>0.0</v>
      </c>
      <c r="L249" s="117" t="s">
        <v>2673</v>
      </c>
      <c r="M249" s="117" t="s">
        <v>2673</v>
      </c>
      <c r="N249" s="153"/>
      <c r="O249" s="153"/>
      <c r="P249" s="153"/>
      <c r="Q249" s="153"/>
      <c r="R249" s="153" t="str">
        <f t="shared" si="1"/>
        <v>2023</v>
      </c>
      <c r="S249" s="154">
        <f t="shared" si="2"/>
        <v>11</v>
      </c>
      <c r="T249" s="153" t="str">
        <f t="shared" si="3"/>
        <v>2023-Q4</v>
      </c>
      <c r="U249" s="153" t="str">
        <f t="shared" si="4"/>
        <v>2023-11</v>
      </c>
      <c r="V249" s="155" t="str">
        <f t="shared" si="5"/>
        <v>2023-H2</v>
      </c>
      <c r="W249" s="155"/>
    </row>
    <row r="250">
      <c r="A250" s="139">
        <f>HYPERLINK("https://polkadot.subsquare.io/referenda/242", 242)</f>
        <v>242</v>
      </c>
      <c r="B250" s="140" t="s">
        <v>273</v>
      </c>
      <c r="C250" s="140" t="s">
        <v>2681</v>
      </c>
      <c r="D250" s="141">
        <v>16182.0</v>
      </c>
      <c r="E250" s="142">
        <v>79801.3394165039</v>
      </c>
      <c r="F250" s="140" t="s">
        <v>2683</v>
      </c>
      <c r="G250" s="143">
        <v>4.084510661581922E7</v>
      </c>
      <c r="H250" s="143">
        <v>3.8092512063579015E7</v>
      </c>
      <c r="I250" s="144">
        <v>45234.0</v>
      </c>
      <c r="J250" s="144">
        <v>45260.0</v>
      </c>
      <c r="K250" s="145">
        <v>89754.67777347565</v>
      </c>
      <c r="L250" s="114" t="s">
        <v>137</v>
      </c>
      <c r="M250" s="114" t="s">
        <v>191</v>
      </c>
      <c r="N250" s="108"/>
      <c r="O250" s="108"/>
      <c r="P250" s="108"/>
      <c r="Q250" s="108"/>
      <c r="R250" s="108" t="str">
        <f t="shared" si="1"/>
        <v>2023</v>
      </c>
      <c r="S250" s="110">
        <f t="shared" si="2"/>
        <v>11</v>
      </c>
      <c r="T250" s="108" t="str">
        <f t="shared" si="3"/>
        <v>2023-Q4</v>
      </c>
      <c r="U250" s="108" t="str">
        <f t="shared" si="4"/>
        <v>2023-11</v>
      </c>
      <c r="V250" s="112" t="str">
        <f t="shared" si="5"/>
        <v>2023-H2</v>
      </c>
      <c r="W250" s="112"/>
    </row>
    <row r="251">
      <c r="A251" s="146">
        <f>HYPERLINK("https://polkadot.subsquare.io/referenda/243", 243)</f>
        <v>243</v>
      </c>
      <c r="B251" s="147" t="s">
        <v>274</v>
      </c>
      <c r="C251" s="147" t="s">
        <v>2681</v>
      </c>
      <c r="D251" s="148">
        <v>4455.0</v>
      </c>
      <c r="E251" s="149">
        <v>21969.779205322266</v>
      </c>
      <c r="F251" s="147" t="s">
        <v>2678</v>
      </c>
      <c r="G251" s="150">
        <v>3.0301602456372637E7</v>
      </c>
      <c r="H251" s="150">
        <v>1.2539129936206276E7</v>
      </c>
      <c r="I251" s="151">
        <v>45234.0</v>
      </c>
      <c r="J251" s="151">
        <v>45250.0</v>
      </c>
      <c r="K251" s="152">
        <v>23045.113191604614</v>
      </c>
      <c r="L251" s="117" t="s">
        <v>137</v>
      </c>
      <c r="M251" s="117" t="s">
        <v>138</v>
      </c>
      <c r="N251" s="153"/>
      <c r="O251" s="153"/>
      <c r="P251" s="153"/>
      <c r="Q251" s="153"/>
      <c r="R251" s="153" t="str">
        <f t="shared" si="1"/>
        <v>2023</v>
      </c>
      <c r="S251" s="154">
        <f t="shared" si="2"/>
        <v>11</v>
      </c>
      <c r="T251" s="153" t="str">
        <f t="shared" si="3"/>
        <v>2023-Q4</v>
      </c>
      <c r="U251" s="153" t="str">
        <f t="shared" si="4"/>
        <v>2023-11</v>
      </c>
      <c r="V251" s="155" t="str">
        <f t="shared" si="5"/>
        <v>2023-H2</v>
      </c>
      <c r="W251" s="155"/>
    </row>
    <row r="252">
      <c r="A252" s="139">
        <f>HYPERLINK("https://polkadot.subsquare.io/referenda/244", 244)</f>
        <v>244</v>
      </c>
      <c r="B252" s="140" t="s">
        <v>275</v>
      </c>
      <c r="C252" s="140" t="s">
        <v>2681</v>
      </c>
      <c r="D252" s="141">
        <v>3161.0</v>
      </c>
      <c r="E252" s="142">
        <v>15974.38235092163</v>
      </c>
      <c r="F252" s="140" t="s">
        <v>2678</v>
      </c>
      <c r="G252" s="143">
        <v>3.049210498361186E7</v>
      </c>
      <c r="H252" s="143">
        <v>1.442516634810462E7</v>
      </c>
      <c r="I252" s="144">
        <v>45235.0</v>
      </c>
      <c r="J252" s="144">
        <v>45251.0</v>
      </c>
      <c r="K252" s="145">
        <v>16227.429418087006</v>
      </c>
      <c r="L252" s="114" t="s">
        <v>82</v>
      </c>
      <c r="M252" s="114" t="s">
        <v>176</v>
      </c>
      <c r="N252" s="108"/>
      <c r="O252" s="108"/>
      <c r="P252" s="108"/>
      <c r="Q252" s="108"/>
      <c r="R252" s="108" t="str">
        <f t="shared" si="1"/>
        <v>2023</v>
      </c>
      <c r="S252" s="110">
        <f t="shared" si="2"/>
        <v>11</v>
      </c>
      <c r="T252" s="108" t="str">
        <f t="shared" si="3"/>
        <v>2023-Q4</v>
      </c>
      <c r="U252" s="108" t="str">
        <f t="shared" si="4"/>
        <v>2023-11</v>
      </c>
      <c r="V252" s="112" t="str">
        <f t="shared" si="5"/>
        <v>2023-H2</v>
      </c>
      <c r="W252" s="112"/>
    </row>
    <row r="253">
      <c r="A253" s="146">
        <f>HYPERLINK("https://polkadot.subsquare.io/referenda/245", 245)</f>
        <v>245</v>
      </c>
      <c r="B253" s="147" t="s">
        <v>276</v>
      </c>
      <c r="C253" s="147" t="s">
        <v>2681</v>
      </c>
      <c r="D253" s="148">
        <v>10891.119</v>
      </c>
      <c r="E253" s="149">
        <v>55039.19618329239</v>
      </c>
      <c r="F253" s="147" t="s">
        <v>2683</v>
      </c>
      <c r="G253" s="150">
        <v>3.396786575441203E7</v>
      </c>
      <c r="H253" s="150">
        <v>509855.6856913136</v>
      </c>
      <c r="I253" s="151">
        <v>45236.0</v>
      </c>
      <c r="J253" s="151">
        <v>45255.0</v>
      </c>
      <c r="K253" s="152">
        <v>56214.271577871325</v>
      </c>
      <c r="L253" s="117" t="s">
        <v>82</v>
      </c>
      <c r="M253" s="117" t="s">
        <v>150</v>
      </c>
      <c r="N253" s="153"/>
      <c r="O253" s="153"/>
      <c r="P253" s="153"/>
      <c r="Q253" s="153"/>
      <c r="R253" s="153" t="str">
        <f t="shared" si="1"/>
        <v>2023</v>
      </c>
      <c r="S253" s="154">
        <f t="shared" si="2"/>
        <v>11</v>
      </c>
      <c r="T253" s="153" t="str">
        <f t="shared" si="3"/>
        <v>2023-Q4</v>
      </c>
      <c r="U253" s="153" t="str">
        <f t="shared" si="4"/>
        <v>2023-11</v>
      </c>
      <c r="V253" s="155" t="str">
        <f t="shared" si="5"/>
        <v>2023-H2</v>
      </c>
      <c r="W253" s="155"/>
    </row>
    <row r="254">
      <c r="A254" s="139">
        <f>HYPERLINK("https://polkadot.subsquare.io/referenda/246", 246)</f>
        <v>246</v>
      </c>
      <c r="B254" s="140" t="s">
        <v>2814</v>
      </c>
      <c r="C254" s="140" t="s">
        <v>2681</v>
      </c>
      <c r="D254" s="141">
        <v>0.0</v>
      </c>
      <c r="E254" s="142">
        <v>0.0</v>
      </c>
      <c r="F254" s="140" t="s">
        <v>2802</v>
      </c>
      <c r="G254" s="143">
        <v>1.2611289326016707E7</v>
      </c>
      <c r="H254" s="143">
        <v>0.0</v>
      </c>
      <c r="I254" s="144">
        <v>45237.0</v>
      </c>
      <c r="J254" s="144">
        <v>45242.0</v>
      </c>
      <c r="K254" s="145">
        <v>0.0</v>
      </c>
      <c r="L254" s="114" t="s">
        <v>2673</v>
      </c>
      <c r="M254" s="114" t="s">
        <v>2673</v>
      </c>
      <c r="N254" s="108"/>
      <c r="O254" s="108"/>
      <c r="P254" s="108"/>
      <c r="Q254" s="108"/>
      <c r="R254" s="108" t="str">
        <f t="shared" si="1"/>
        <v>2023</v>
      </c>
      <c r="S254" s="110">
        <f t="shared" si="2"/>
        <v>11</v>
      </c>
      <c r="T254" s="108" t="str">
        <f t="shared" si="3"/>
        <v>2023-Q4</v>
      </c>
      <c r="U254" s="108" t="str">
        <f t="shared" si="4"/>
        <v>2023-11</v>
      </c>
      <c r="V254" s="112" t="str">
        <f t="shared" si="5"/>
        <v>2023-H2</v>
      </c>
      <c r="W254" s="112"/>
    </row>
    <row r="255">
      <c r="A255" s="146">
        <f>HYPERLINK("https://polkadot.subsquare.io/referenda/247", 247)</f>
        <v>247</v>
      </c>
      <c r="B255" s="147" t="s">
        <v>278</v>
      </c>
      <c r="C255" s="147" t="s">
        <v>2681</v>
      </c>
      <c r="D255" s="148">
        <v>21400.0</v>
      </c>
      <c r="E255" s="149">
        <v>113437.13712692261</v>
      </c>
      <c r="F255" s="147" t="s">
        <v>2683</v>
      </c>
      <c r="G255" s="150">
        <v>4.447467007021421E7</v>
      </c>
      <c r="H255" s="150">
        <v>4768906.662421701</v>
      </c>
      <c r="I255" s="151">
        <v>45237.0</v>
      </c>
      <c r="J255" s="151">
        <v>45255.0</v>
      </c>
      <c r="K255" s="152">
        <v>110455.63011169434</v>
      </c>
      <c r="L255" s="117" t="s">
        <v>137</v>
      </c>
      <c r="M255" s="157" t="s">
        <v>277</v>
      </c>
      <c r="N255" s="153"/>
      <c r="O255" s="153"/>
      <c r="P255" s="153"/>
      <c r="Q255" s="153"/>
      <c r="R255" s="153" t="str">
        <f t="shared" si="1"/>
        <v>2023</v>
      </c>
      <c r="S255" s="154">
        <f t="shared" si="2"/>
        <v>11</v>
      </c>
      <c r="T255" s="153" t="str">
        <f t="shared" si="3"/>
        <v>2023-Q4</v>
      </c>
      <c r="U255" s="153" t="str">
        <f t="shared" si="4"/>
        <v>2023-11</v>
      </c>
      <c r="V255" s="155" t="str">
        <f t="shared" si="5"/>
        <v>2023-H2</v>
      </c>
      <c r="W255" s="155"/>
    </row>
    <row r="256">
      <c r="A256" s="139">
        <f>HYPERLINK("https://polkadot.subsquare.io/referenda/248", 248)</f>
        <v>248</v>
      </c>
      <c r="B256" s="140" t="s">
        <v>279</v>
      </c>
      <c r="C256" s="140" t="s">
        <v>2681</v>
      </c>
      <c r="D256" s="141">
        <v>99025.0</v>
      </c>
      <c r="E256" s="142">
        <v>524911.7992520332</v>
      </c>
      <c r="F256" s="140" t="s">
        <v>2683</v>
      </c>
      <c r="G256" s="143">
        <v>4.170657932097578E7</v>
      </c>
      <c r="H256" s="143">
        <v>1640263.67898479</v>
      </c>
      <c r="I256" s="144">
        <v>45238.0</v>
      </c>
      <c r="J256" s="144">
        <v>45257.0</v>
      </c>
      <c r="K256" s="145">
        <v>541250.259411335</v>
      </c>
      <c r="L256" s="114" t="s">
        <v>84</v>
      </c>
      <c r="M256" s="114" t="s">
        <v>152</v>
      </c>
      <c r="N256" s="108"/>
      <c r="O256" s="108"/>
      <c r="P256" s="108"/>
      <c r="Q256" s="108"/>
      <c r="R256" s="108" t="str">
        <f t="shared" si="1"/>
        <v>2023</v>
      </c>
      <c r="S256" s="110">
        <f t="shared" si="2"/>
        <v>11</v>
      </c>
      <c r="T256" s="108" t="str">
        <f t="shared" si="3"/>
        <v>2023-Q4</v>
      </c>
      <c r="U256" s="108" t="str">
        <f t="shared" si="4"/>
        <v>2023-11</v>
      </c>
      <c r="V256" s="112" t="str">
        <f t="shared" si="5"/>
        <v>2023-H2</v>
      </c>
      <c r="W256" s="112"/>
    </row>
    <row r="257">
      <c r="A257" s="146">
        <f>HYPERLINK("https://polkadot.subsquare.io/referenda/249", 249)</f>
        <v>249</v>
      </c>
      <c r="B257" s="147" t="s">
        <v>280</v>
      </c>
      <c r="C257" s="147" t="s">
        <v>2681</v>
      </c>
      <c r="D257" s="148">
        <v>500.0</v>
      </c>
      <c r="E257" s="149">
        <v>2776.5824794769287</v>
      </c>
      <c r="F257" s="147" t="s">
        <v>2699</v>
      </c>
      <c r="G257" s="150">
        <v>3.0197495688847136E7</v>
      </c>
      <c r="H257" s="150">
        <v>1404565.8430015205</v>
      </c>
      <c r="I257" s="151">
        <v>45239.0</v>
      </c>
      <c r="J257" s="151">
        <v>45245.0</v>
      </c>
      <c r="K257" s="152">
        <v>2621.1016178131104</v>
      </c>
      <c r="L257" s="117" t="s">
        <v>137</v>
      </c>
      <c r="M257" s="117" t="s">
        <v>191</v>
      </c>
      <c r="N257" s="153"/>
      <c r="O257" s="153"/>
      <c r="P257" s="153"/>
      <c r="Q257" s="153"/>
      <c r="R257" s="153" t="str">
        <f t="shared" si="1"/>
        <v>2023</v>
      </c>
      <c r="S257" s="154">
        <f t="shared" si="2"/>
        <v>11</v>
      </c>
      <c r="T257" s="153" t="str">
        <f t="shared" si="3"/>
        <v>2023-Q4</v>
      </c>
      <c r="U257" s="153" t="str">
        <f t="shared" si="4"/>
        <v>2023-11</v>
      </c>
      <c r="V257" s="155" t="str">
        <f t="shared" si="5"/>
        <v>2023-H2</v>
      </c>
      <c r="W257" s="155"/>
    </row>
    <row r="258">
      <c r="A258" s="139">
        <f>HYPERLINK("https://polkadot.subsquare.io/referenda/250", 250)</f>
        <v>250</v>
      </c>
      <c r="B258" s="140" t="s">
        <v>2815</v>
      </c>
      <c r="C258" s="140" t="s">
        <v>2681</v>
      </c>
      <c r="D258" s="141">
        <v>0.0</v>
      </c>
      <c r="E258" s="142">
        <v>0.0</v>
      </c>
      <c r="F258" s="140" t="s">
        <v>2683</v>
      </c>
      <c r="G258" s="143">
        <v>6960541.497850952</v>
      </c>
      <c r="H258" s="143">
        <v>6056471.904557891</v>
      </c>
      <c r="I258" s="144">
        <v>45239.0</v>
      </c>
      <c r="J258" s="144">
        <v>45266.0</v>
      </c>
      <c r="K258" s="145">
        <v>0.0</v>
      </c>
      <c r="L258" s="114" t="s">
        <v>2673</v>
      </c>
      <c r="M258" s="114" t="s">
        <v>2673</v>
      </c>
      <c r="N258" s="108"/>
      <c r="O258" s="108" t="s">
        <v>2654</v>
      </c>
      <c r="P258" s="108" t="s">
        <v>2654</v>
      </c>
      <c r="Q258" s="108"/>
      <c r="R258" s="108" t="str">
        <f t="shared" si="1"/>
        <v>2023</v>
      </c>
      <c r="S258" s="110">
        <f t="shared" si="2"/>
        <v>12</v>
      </c>
      <c r="T258" s="108" t="str">
        <f t="shared" si="3"/>
        <v>2023-Q4</v>
      </c>
      <c r="U258" s="108" t="str">
        <f t="shared" si="4"/>
        <v>2023-12</v>
      </c>
      <c r="V258" s="112" t="str">
        <f t="shared" si="5"/>
        <v>2023-H2</v>
      </c>
      <c r="W258" s="112"/>
    </row>
    <row r="259">
      <c r="A259" s="146">
        <f>HYPERLINK("https://polkadot.subsquare.io/referenda/251", 251)</f>
        <v>251</v>
      </c>
      <c r="B259" s="147" t="s">
        <v>2816</v>
      </c>
      <c r="C259" s="147" t="s">
        <v>2672</v>
      </c>
      <c r="D259" s="148">
        <v>17765.0</v>
      </c>
      <c r="E259" s="149">
        <v>101400.66644906998</v>
      </c>
      <c r="F259" s="147" t="s">
        <v>2683</v>
      </c>
      <c r="G259" s="150">
        <v>16033.3</v>
      </c>
      <c r="H259" s="150">
        <v>1.2796975256897751E7</v>
      </c>
      <c r="I259" s="151">
        <v>45239.0</v>
      </c>
      <c r="J259" s="151">
        <v>45267.0</v>
      </c>
      <c r="K259" s="152">
        <v>130423.0824637413</v>
      </c>
      <c r="L259" s="117" t="s">
        <v>2673</v>
      </c>
      <c r="M259" s="117" t="s">
        <v>2673</v>
      </c>
      <c r="N259" s="153"/>
      <c r="O259" s="153"/>
      <c r="P259" s="153"/>
      <c r="Q259" s="153"/>
      <c r="R259" s="153" t="str">
        <f t="shared" si="1"/>
        <v>2023</v>
      </c>
      <c r="S259" s="154">
        <f t="shared" si="2"/>
        <v>12</v>
      </c>
      <c r="T259" s="153" t="str">
        <f t="shared" si="3"/>
        <v>2023-Q4</v>
      </c>
      <c r="U259" s="153" t="str">
        <f t="shared" si="4"/>
        <v>2023-12</v>
      </c>
      <c r="V259" s="155" t="str">
        <f t="shared" si="5"/>
        <v>2023-H2</v>
      </c>
      <c r="W259" s="158" t="s">
        <v>2654</v>
      </c>
    </row>
    <row r="260">
      <c r="A260" s="139">
        <f>HYPERLINK("https://polkadot.subsquare.io/referenda/252", 252)</f>
        <v>252</v>
      </c>
      <c r="B260" s="140" t="s">
        <v>2817</v>
      </c>
      <c r="C260" s="140" t="s">
        <v>2672</v>
      </c>
      <c r="D260" s="141">
        <v>0.0</v>
      </c>
      <c r="E260" s="142">
        <v>0.0</v>
      </c>
      <c r="F260" s="140" t="s">
        <v>2678</v>
      </c>
      <c r="G260" s="143">
        <v>25152.4251194975</v>
      </c>
      <c r="H260" s="143">
        <v>1.2402330771805251E7</v>
      </c>
      <c r="I260" s="144">
        <v>45239.0</v>
      </c>
      <c r="J260" s="144">
        <v>45268.0</v>
      </c>
      <c r="K260" s="145">
        <v>0.0</v>
      </c>
      <c r="L260" s="114" t="s">
        <v>2673</v>
      </c>
      <c r="M260" s="114" t="s">
        <v>2673</v>
      </c>
      <c r="N260" s="108"/>
      <c r="O260" s="108"/>
      <c r="P260" s="108"/>
      <c r="Q260" s="108"/>
      <c r="R260" s="108" t="str">
        <f t="shared" si="1"/>
        <v>2023</v>
      </c>
      <c r="S260" s="110">
        <f t="shared" si="2"/>
        <v>12</v>
      </c>
      <c r="T260" s="108" t="str">
        <f t="shared" si="3"/>
        <v>2023-Q4</v>
      </c>
      <c r="U260" s="108" t="str">
        <f t="shared" si="4"/>
        <v>2023-12</v>
      </c>
      <c r="V260" s="112" t="str">
        <f t="shared" si="5"/>
        <v>2023-H2</v>
      </c>
      <c r="W260" s="112"/>
    </row>
    <row r="261">
      <c r="A261" s="146">
        <f>HYPERLINK("https://polkadot.subsquare.io/referenda/253", 253)</f>
        <v>253</v>
      </c>
      <c r="B261" s="147" t="s">
        <v>2818</v>
      </c>
      <c r="C261" s="147" t="s">
        <v>2672</v>
      </c>
      <c r="D261" s="148">
        <v>240.0</v>
      </c>
      <c r="E261" s="149">
        <v>1369.8936080932617</v>
      </c>
      <c r="F261" s="147" t="s">
        <v>186</v>
      </c>
      <c r="G261" s="150">
        <v>117996.6605492723</v>
      </c>
      <c r="H261" s="150">
        <v>4235390.459433627</v>
      </c>
      <c r="I261" s="151">
        <v>45239.0</v>
      </c>
      <c r="J261" s="151">
        <v>45246.0</v>
      </c>
      <c r="K261" s="152">
        <v>1306.6195678710938</v>
      </c>
      <c r="L261" s="117" t="s">
        <v>2673</v>
      </c>
      <c r="M261" s="117" t="s">
        <v>2673</v>
      </c>
      <c r="N261" s="153"/>
      <c r="O261" s="153"/>
      <c r="P261" s="153"/>
      <c r="Q261" s="153"/>
      <c r="R261" s="153" t="str">
        <f t="shared" si="1"/>
        <v>2023</v>
      </c>
      <c r="S261" s="154">
        <f t="shared" si="2"/>
        <v>11</v>
      </c>
      <c r="T261" s="153" t="str">
        <f t="shared" si="3"/>
        <v>2023-Q4</v>
      </c>
      <c r="U261" s="153" t="str">
        <f t="shared" si="4"/>
        <v>2023-11</v>
      </c>
      <c r="V261" s="155" t="str">
        <f t="shared" si="5"/>
        <v>2023-H2</v>
      </c>
      <c r="W261" s="158" t="s">
        <v>2654</v>
      </c>
    </row>
    <row r="262">
      <c r="A262" s="139">
        <f>HYPERLINK("https://polkadot.subsquare.io/referenda/254", 254)</f>
        <v>254</v>
      </c>
      <c r="B262" s="140" t="s">
        <v>2819</v>
      </c>
      <c r="C262" s="140" t="s">
        <v>2672</v>
      </c>
      <c r="D262" s="141">
        <v>4351.0</v>
      </c>
      <c r="E262" s="142">
        <v>24835.02953672409</v>
      </c>
      <c r="F262" s="140" t="s">
        <v>2678</v>
      </c>
      <c r="G262" s="143">
        <v>134664.2983679656</v>
      </c>
      <c r="H262" s="143">
        <v>1.28009436881704E7</v>
      </c>
      <c r="I262" s="144">
        <v>45239.0</v>
      </c>
      <c r="J262" s="144">
        <v>45268.0</v>
      </c>
      <c r="K262" s="145">
        <v>31943.193459033966</v>
      </c>
      <c r="L262" s="114" t="s">
        <v>2673</v>
      </c>
      <c r="M262" s="114" t="s">
        <v>2673</v>
      </c>
      <c r="N262" s="108"/>
      <c r="O262" s="108"/>
      <c r="P262" s="108"/>
      <c r="Q262" s="108"/>
      <c r="R262" s="108" t="str">
        <f t="shared" si="1"/>
        <v>2023</v>
      </c>
      <c r="S262" s="110">
        <f t="shared" si="2"/>
        <v>12</v>
      </c>
      <c r="T262" s="108" t="str">
        <f t="shared" si="3"/>
        <v>2023-Q4</v>
      </c>
      <c r="U262" s="108" t="str">
        <f t="shared" si="4"/>
        <v>2023-12</v>
      </c>
      <c r="V262" s="112" t="str">
        <f t="shared" si="5"/>
        <v>2023-H2</v>
      </c>
      <c r="W262" s="112"/>
    </row>
    <row r="263">
      <c r="A263" s="146">
        <f>HYPERLINK("https://polkadot.subsquare.io/referenda/255", 255)</f>
        <v>255</v>
      </c>
      <c r="B263" s="147" t="s">
        <v>281</v>
      </c>
      <c r="C263" s="147" t="s">
        <v>2681</v>
      </c>
      <c r="D263" s="148">
        <v>21219.12</v>
      </c>
      <c r="E263" s="149">
        <v>113912.04795364379</v>
      </c>
      <c r="F263" s="147" t="s">
        <v>2683</v>
      </c>
      <c r="G263" s="150">
        <v>3.082788707886366E7</v>
      </c>
      <c r="H263" s="150">
        <v>1.3674840009084048E7</v>
      </c>
      <c r="I263" s="151">
        <v>45240.0</v>
      </c>
      <c r="J263" s="151">
        <v>45260.0</v>
      </c>
      <c r="K263" s="152">
        <v>118272.8529725647</v>
      </c>
      <c r="L263" s="117" t="s">
        <v>137</v>
      </c>
      <c r="M263" s="117" t="s">
        <v>138</v>
      </c>
      <c r="N263" s="153"/>
      <c r="O263" s="153"/>
      <c r="P263" s="153"/>
      <c r="Q263" s="153"/>
      <c r="R263" s="153" t="str">
        <f t="shared" si="1"/>
        <v>2023</v>
      </c>
      <c r="S263" s="154">
        <f t="shared" si="2"/>
        <v>11</v>
      </c>
      <c r="T263" s="153" t="str">
        <f t="shared" si="3"/>
        <v>2023-Q4</v>
      </c>
      <c r="U263" s="153" t="str">
        <f t="shared" si="4"/>
        <v>2023-11</v>
      </c>
      <c r="V263" s="155" t="str">
        <f t="shared" si="5"/>
        <v>2023-H2</v>
      </c>
      <c r="W263" s="155"/>
    </row>
    <row r="264">
      <c r="A264" s="139">
        <f>HYPERLINK("https://polkadot.subsquare.io/referenda/256", 256)</f>
        <v>256</v>
      </c>
      <c r="B264" s="140" t="s">
        <v>2820</v>
      </c>
      <c r="C264" s="140" t="s">
        <v>2672</v>
      </c>
      <c r="D264" s="141">
        <v>5304.73</v>
      </c>
      <c r="E264" s="142">
        <v>28477.743570003506</v>
      </c>
      <c r="F264" s="140" t="s">
        <v>2678</v>
      </c>
      <c r="G264" s="143">
        <v>3.0405853046075806E7</v>
      </c>
      <c r="H264" s="143">
        <v>4.958257608666941E7</v>
      </c>
      <c r="I264" s="144">
        <v>45240.0</v>
      </c>
      <c r="J264" s="144">
        <v>45268.0</v>
      </c>
      <c r="K264" s="145">
        <v>35577.21670865535</v>
      </c>
      <c r="L264" s="114" t="s">
        <v>2673</v>
      </c>
      <c r="M264" s="114" t="s">
        <v>2673</v>
      </c>
      <c r="N264" s="108"/>
      <c r="O264" s="108"/>
      <c r="P264" s="108"/>
      <c r="Q264" s="108"/>
      <c r="R264" s="108" t="str">
        <f t="shared" si="1"/>
        <v>2023</v>
      </c>
      <c r="S264" s="110">
        <f t="shared" si="2"/>
        <v>12</v>
      </c>
      <c r="T264" s="108" t="str">
        <f t="shared" si="3"/>
        <v>2023-Q4</v>
      </c>
      <c r="U264" s="108" t="str">
        <f t="shared" si="4"/>
        <v>2023-12</v>
      </c>
      <c r="V264" s="112" t="str">
        <f t="shared" si="5"/>
        <v>2023-H2</v>
      </c>
      <c r="W264" s="112"/>
    </row>
    <row r="265">
      <c r="A265" s="146">
        <f>HYPERLINK("https://polkadot.subsquare.io/referenda/257", 257)</f>
        <v>257</v>
      </c>
      <c r="B265" s="147" t="s">
        <v>2821</v>
      </c>
      <c r="C265" s="147" t="s">
        <v>2672</v>
      </c>
      <c r="D265" s="148">
        <v>5000.0</v>
      </c>
      <c r="E265" s="149">
        <v>26841.840744018555</v>
      </c>
      <c r="F265" s="147" t="s">
        <v>2678</v>
      </c>
      <c r="G265" s="150">
        <v>0.0</v>
      </c>
      <c r="H265" s="150">
        <v>4.968111951148787E7</v>
      </c>
      <c r="I265" s="151">
        <v>45241.0</v>
      </c>
      <c r="J265" s="151">
        <v>45269.0</v>
      </c>
      <c r="K265" s="152">
        <v>35618.89410018921</v>
      </c>
      <c r="L265" s="117" t="s">
        <v>2673</v>
      </c>
      <c r="M265" s="117" t="s">
        <v>2673</v>
      </c>
      <c r="N265" s="153"/>
      <c r="O265" s="153"/>
      <c r="P265" s="153"/>
      <c r="Q265" s="153"/>
      <c r="R265" s="153" t="str">
        <f t="shared" si="1"/>
        <v>2023</v>
      </c>
      <c r="S265" s="154">
        <f t="shared" si="2"/>
        <v>12</v>
      </c>
      <c r="T265" s="153" t="str">
        <f t="shared" si="3"/>
        <v>2023-Q4</v>
      </c>
      <c r="U265" s="153" t="str">
        <f t="shared" si="4"/>
        <v>2023-12</v>
      </c>
      <c r="V265" s="155" t="str">
        <f t="shared" si="5"/>
        <v>2023-H2</v>
      </c>
      <c r="W265" s="155"/>
    </row>
    <row r="266">
      <c r="A266" s="139">
        <f>HYPERLINK("https://polkadot.subsquare.io/referenda/258", 258)</f>
        <v>258</v>
      </c>
      <c r="B266" s="140" t="s">
        <v>282</v>
      </c>
      <c r="C266" s="140" t="s">
        <v>2681</v>
      </c>
      <c r="D266" s="141">
        <v>310.02</v>
      </c>
      <c r="E266" s="142">
        <v>1612.9493752384185</v>
      </c>
      <c r="F266" s="140" t="s">
        <v>2699</v>
      </c>
      <c r="G266" s="143">
        <v>3.0009445E7</v>
      </c>
      <c r="H266" s="143">
        <v>1729854.4601754772</v>
      </c>
      <c r="I266" s="144">
        <v>45241.0</v>
      </c>
      <c r="J266" s="144">
        <v>45245.0</v>
      </c>
      <c r="K266" s="145">
        <v>1625.1878471088407</v>
      </c>
      <c r="L266" s="114" t="s">
        <v>137</v>
      </c>
      <c r="M266" s="114" t="s">
        <v>138</v>
      </c>
      <c r="N266" s="108"/>
      <c r="O266" s="108"/>
      <c r="P266" s="108"/>
      <c r="Q266" s="108"/>
      <c r="R266" s="108" t="str">
        <f t="shared" si="1"/>
        <v>2023</v>
      </c>
      <c r="S266" s="110">
        <f t="shared" si="2"/>
        <v>11</v>
      </c>
      <c r="T266" s="108" t="str">
        <f t="shared" si="3"/>
        <v>2023-Q4</v>
      </c>
      <c r="U266" s="108" t="str">
        <f t="shared" si="4"/>
        <v>2023-11</v>
      </c>
      <c r="V266" s="112" t="str">
        <f t="shared" si="5"/>
        <v>2023-H2</v>
      </c>
      <c r="W266" s="112"/>
    </row>
    <row r="267">
      <c r="A267" s="146">
        <f>HYPERLINK("https://polkadot.subsquare.io/referenda/259", 259)</f>
        <v>259</v>
      </c>
      <c r="B267" s="147" t="s">
        <v>283</v>
      </c>
      <c r="C267" s="147" t="s">
        <v>2681</v>
      </c>
      <c r="D267" s="148">
        <v>1000.0</v>
      </c>
      <c r="E267" s="149">
        <v>5202.7268409729</v>
      </c>
      <c r="F267" s="147" t="s">
        <v>2699</v>
      </c>
      <c r="G267" s="150">
        <v>3.000600001E7</v>
      </c>
      <c r="H267" s="150">
        <v>5235595.222410884</v>
      </c>
      <c r="I267" s="151">
        <v>45241.0</v>
      </c>
      <c r="J267" s="151">
        <v>45245.0</v>
      </c>
      <c r="K267" s="152">
        <v>5242.203235626221</v>
      </c>
      <c r="L267" s="117" t="s">
        <v>137</v>
      </c>
      <c r="M267" s="117" t="s">
        <v>138</v>
      </c>
      <c r="N267" s="153"/>
      <c r="O267" s="153"/>
      <c r="P267" s="153"/>
      <c r="Q267" s="153"/>
      <c r="R267" s="153" t="str">
        <f t="shared" si="1"/>
        <v>2023</v>
      </c>
      <c r="S267" s="154">
        <f t="shared" si="2"/>
        <v>11</v>
      </c>
      <c r="T267" s="153" t="str">
        <f t="shared" si="3"/>
        <v>2023-Q4</v>
      </c>
      <c r="U267" s="153" t="str">
        <f t="shared" si="4"/>
        <v>2023-11</v>
      </c>
      <c r="V267" s="155" t="str">
        <f t="shared" si="5"/>
        <v>2023-H2</v>
      </c>
      <c r="W267" s="155"/>
    </row>
    <row r="268">
      <c r="A268" s="139">
        <f>HYPERLINK("https://polkadot.subsquare.io/referenda/260", 260)</f>
        <v>260</v>
      </c>
      <c r="B268" s="140" t="s">
        <v>284</v>
      </c>
      <c r="C268" s="140" t="s">
        <v>2681</v>
      </c>
      <c r="D268" s="141">
        <v>21849.0</v>
      </c>
      <c r="E268" s="142">
        <v>121612.78387641907</v>
      </c>
      <c r="F268" s="140" t="s">
        <v>2683</v>
      </c>
      <c r="G268" s="143">
        <v>3.09119566222856E7</v>
      </c>
      <c r="H268" s="143">
        <v>7354478.307989768</v>
      </c>
      <c r="I268" s="144">
        <v>45242.0</v>
      </c>
      <c r="J268" s="144">
        <v>45262.0</v>
      </c>
      <c r="K268" s="145">
        <v>122929.61944913864</v>
      </c>
      <c r="L268" s="114" t="s">
        <v>137</v>
      </c>
      <c r="M268" s="114" t="s">
        <v>138</v>
      </c>
      <c r="N268" s="108"/>
      <c r="O268" s="108"/>
      <c r="P268" s="108"/>
      <c r="Q268" s="108"/>
      <c r="R268" s="108" t="str">
        <f t="shared" si="1"/>
        <v>2023</v>
      </c>
      <c r="S268" s="110">
        <f t="shared" si="2"/>
        <v>12</v>
      </c>
      <c r="T268" s="108" t="str">
        <f t="shared" si="3"/>
        <v>2023-Q4</v>
      </c>
      <c r="U268" s="108" t="str">
        <f t="shared" si="4"/>
        <v>2023-12</v>
      </c>
      <c r="V268" s="112" t="str">
        <f t="shared" si="5"/>
        <v>2023-H2</v>
      </c>
      <c r="W268" s="112"/>
    </row>
    <row r="269">
      <c r="A269" s="146">
        <f>HYPERLINK("https://polkadot.subsquare.io/referenda/261", 261)</f>
        <v>261</v>
      </c>
      <c r="B269" s="147" t="s">
        <v>285</v>
      </c>
      <c r="C269" s="147" t="s">
        <v>2681</v>
      </c>
      <c r="D269" s="148">
        <v>8000.0</v>
      </c>
      <c r="E269" s="149">
        <v>44528.45764160156</v>
      </c>
      <c r="F269" s="147" t="s">
        <v>2678</v>
      </c>
      <c r="G269" s="150">
        <v>3.0790426015789296E7</v>
      </c>
      <c r="H269" s="150">
        <v>1192044.9682169957</v>
      </c>
      <c r="I269" s="151">
        <v>45242.0</v>
      </c>
      <c r="J269" s="151">
        <v>45258.0</v>
      </c>
      <c r="K269" s="152">
        <v>43726.35269165039</v>
      </c>
      <c r="L269" s="117" t="s">
        <v>137</v>
      </c>
      <c r="M269" s="117" t="s">
        <v>138</v>
      </c>
      <c r="N269" s="153"/>
      <c r="O269" s="153"/>
      <c r="P269" s="153"/>
      <c r="Q269" s="153"/>
      <c r="R269" s="153" t="str">
        <f t="shared" si="1"/>
        <v>2023</v>
      </c>
      <c r="S269" s="154">
        <f t="shared" si="2"/>
        <v>11</v>
      </c>
      <c r="T269" s="153" t="str">
        <f t="shared" si="3"/>
        <v>2023-Q4</v>
      </c>
      <c r="U269" s="153" t="str">
        <f t="shared" si="4"/>
        <v>2023-11</v>
      </c>
      <c r="V269" s="155" t="str">
        <f t="shared" si="5"/>
        <v>2023-H2</v>
      </c>
      <c r="W269" s="155"/>
    </row>
    <row r="270">
      <c r="A270" s="139">
        <f>HYPERLINK("https://polkadot.subsquare.io/referenda/262", 262)</f>
        <v>262</v>
      </c>
      <c r="B270" s="140" t="s">
        <v>286</v>
      </c>
      <c r="C270" s="140" t="s">
        <v>2681</v>
      </c>
      <c r="D270" s="141">
        <v>905.66</v>
      </c>
      <c r="E270" s="142">
        <v>4852.908289670944</v>
      </c>
      <c r="F270" s="140" t="s">
        <v>2699</v>
      </c>
      <c r="G270" s="143">
        <v>3.378994176920147E7</v>
      </c>
      <c r="H270" s="143">
        <v>1284797.6662018285</v>
      </c>
      <c r="I270" s="144">
        <v>45243.0</v>
      </c>
      <c r="J270" s="144">
        <v>45245.0</v>
      </c>
      <c r="K270" s="145">
        <v>4792.046475591659</v>
      </c>
      <c r="L270" s="114" t="s">
        <v>137</v>
      </c>
      <c r="M270" s="114" t="s">
        <v>138</v>
      </c>
      <c r="N270" s="108"/>
      <c r="O270" s="108"/>
      <c r="P270" s="108"/>
      <c r="Q270" s="108"/>
      <c r="R270" s="108" t="str">
        <f t="shared" si="1"/>
        <v>2023</v>
      </c>
      <c r="S270" s="110">
        <f t="shared" si="2"/>
        <v>11</v>
      </c>
      <c r="T270" s="108" t="str">
        <f t="shared" si="3"/>
        <v>2023-Q4</v>
      </c>
      <c r="U270" s="108" t="str">
        <f t="shared" si="4"/>
        <v>2023-11</v>
      </c>
      <c r="V270" s="112" t="str">
        <f t="shared" si="5"/>
        <v>2023-H2</v>
      </c>
      <c r="W270" s="112"/>
    </row>
    <row r="271">
      <c r="A271" s="146">
        <f>HYPERLINK("https://polkadot.subsquare.io/referenda/263", 263)</f>
        <v>263</v>
      </c>
      <c r="B271" s="147" t="s">
        <v>287</v>
      </c>
      <c r="C271" s="147" t="s">
        <v>2681</v>
      </c>
      <c r="D271" s="148">
        <v>5000.0</v>
      </c>
      <c r="E271" s="149">
        <v>26792.10901260376</v>
      </c>
      <c r="F271" s="147" t="s">
        <v>2678</v>
      </c>
      <c r="G271" s="150">
        <v>3.0578919776982248E7</v>
      </c>
      <c r="H271" s="150">
        <v>2.8259576395204253E7</v>
      </c>
      <c r="I271" s="151">
        <v>45243.0</v>
      </c>
      <c r="J271" s="151">
        <v>45261.0</v>
      </c>
      <c r="K271" s="152">
        <v>28131.635189056396</v>
      </c>
      <c r="L271" s="117" t="s">
        <v>137</v>
      </c>
      <c r="M271" s="117" t="s">
        <v>138</v>
      </c>
      <c r="N271" s="153"/>
      <c r="O271" s="153"/>
      <c r="P271" s="153"/>
      <c r="Q271" s="153"/>
      <c r="R271" s="153" t="str">
        <f t="shared" si="1"/>
        <v>2023</v>
      </c>
      <c r="S271" s="154">
        <f t="shared" si="2"/>
        <v>12</v>
      </c>
      <c r="T271" s="153" t="str">
        <f t="shared" si="3"/>
        <v>2023-Q4</v>
      </c>
      <c r="U271" s="153" t="str">
        <f t="shared" si="4"/>
        <v>2023-12</v>
      </c>
      <c r="V271" s="155" t="str">
        <f t="shared" si="5"/>
        <v>2023-H2</v>
      </c>
      <c r="W271" s="155"/>
    </row>
    <row r="272">
      <c r="A272" s="139">
        <f>HYPERLINK("https://polkadot.subsquare.io/referenda/264", 264)</f>
        <v>264</v>
      </c>
      <c r="B272" s="140" t="s">
        <v>2822</v>
      </c>
      <c r="C272" s="140" t="s">
        <v>2672</v>
      </c>
      <c r="D272" s="141">
        <v>1674.0</v>
      </c>
      <c r="E272" s="142">
        <v>8775.448216438293</v>
      </c>
      <c r="F272" s="140" t="s">
        <v>2678</v>
      </c>
      <c r="G272" s="143">
        <v>4.0095955500001E7</v>
      </c>
      <c r="H272" s="143">
        <v>4.710742690177693E7</v>
      </c>
      <c r="I272" s="144">
        <v>45244.0</v>
      </c>
      <c r="J272" s="144">
        <v>45272.0</v>
      </c>
      <c r="K272" s="145">
        <v>11645.587386131287</v>
      </c>
      <c r="L272" s="114" t="s">
        <v>2673</v>
      </c>
      <c r="M272" s="114" t="s">
        <v>2673</v>
      </c>
      <c r="N272" s="108"/>
      <c r="O272" s="108"/>
      <c r="P272" s="108"/>
      <c r="Q272" s="108"/>
      <c r="R272" s="108" t="str">
        <f t="shared" si="1"/>
        <v>2023</v>
      </c>
      <c r="S272" s="110">
        <f t="shared" si="2"/>
        <v>12</v>
      </c>
      <c r="T272" s="108" t="str">
        <f t="shared" si="3"/>
        <v>2023-Q4</v>
      </c>
      <c r="U272" s="108" t="str">
        <f t="shared" si="4"/>
        <v>2023-12</v>
      </c>
      <c r="V272" s="112" t="str">
        <f t="shared" si="5"/>
        <v>2023-H2</v>
      </c>
      <c r="W272" s="112"/>
    </row>
    <row r="273">
      <c r="A273" s="146">
        <f>HYPERLINK("https://polkadot.subsquare.io/referenda/265", 265)</f>
        <v>265</v>
      </c>
      <c r="B273" s="147" t="s">
        <v>2823</v>
      </c>
      <c r="C273" s="147" t="s">
        <v>2800</v>
      </c>
      <c r="D273" s="148">
        <v>999999.0</v>
      </c>
      <c r="E273" s="149">
        <v>5242197.993422985</v>
      </c>
      <c r="F273" s="147" t="s">
        <v>2676</v>
      </c>
      <c r="G273" s="150">
        <v>3915480.7786718556</v>
      </c>
      <c r="H273" s="150">
        <v>1.2400499771810254E7</v>
      </c>
      <c r="I273" s="151">
        <v>45244.0</v>
      </c>
      <c r="J273" s="151">
        <v>45250.0</v>
      </c>
      <c r="K273" s="152">
        <v>5133632.7714829445</v>
      </c>
      <c r="L273" s="117" t="s">
        <v>2673</v>
      </c>
      <c r="M273" s="117" t="s">
        <v>2673</v>
      </c>
      <c r="N273" s="153"/>
      <c r="O273" s="153"/>
      <c r="P273" s="153"/>
      <c r="Q273" s="153"/>
      <c r="R273" s="153" t="str">
        <f t="shared" si="1"/>
        <v>2023</v>
      </c>
      <c r="S273" s="154">
        <f t="shared" si="2"/>
        <v>11</v>
      </c>
      <c r="T273" s="153" t="str">
        <f t="shared" si="3"/>
        <v>2023-Q4</v>
      </c>
      <c r="U273" s="153" t="str">
        <f t="shared" si="4"/>
        <v>2023-11</v>
      </c>
      <c r="V273" s="155" t="str">
        <f t="shared" si="5"/>
        <v>2023-H2</v>
      </c>
      <c r="W273" s="155"/>
    </row>
    <row r="274">
      <c r="A274" s="139">
        <f>HYPERLINK("https://polkadot.subsquare.io/referenda/266", 266)</f>
        <v>266</v>
      </c>
      <c r="B274" s="140" t="s">
        <v>2824</v>
      </c>
      <c r="C274" s="140" t="s">
        <v>2681</v>
      </c>
      <c r="D274" s="141">
        <v>0.0</v>
      </c>
      <c r="E274" s="142">
        <v>0.0</v>
      </c>
      <c r="F274" s="140" t="s">
        <v>2802</v>
      </c>
      <c r="G274" s="143">
        <v>8388366.351820052</v>
      </c>
      <c r="H274" s="143">
        <v>9135.0</v>
      </c>
      <c r="I274" s="144">
        <v>45245.0</v>
      </c>
      <c r="J274" s="144">
        <v>45250.0</v>
      </c>
      <c r="K274" s="145">
        <v>0.0</v>
      </c>
      <c r="L274" s="114" t="s">
        <v>2673</v>
      </c>
      <c r="M274" s="114" t="s">
        <v>2673</v>
      </c>
      <c r="N274" s="108"/>
      <c r="O274" s="108"/>
      <c r="P274" s="108"/>
      <c r="Q274" s="108"/>
      <c r="R274" s="108" t="str">
        <f t="shared" si="1"/>
        <v>2023</v>
      </c>
      <c r="S274" s="110">
        <f t="shared" si="2"/>
        <v>11</v>
      </c>
      <c r="T274" s="108" t="str">
        <f t="shared" si="3"/>
        <v>2023-Q4</v>
      </c>
      <c r="U274" s="108" t="str">
        <f t="shared" si="4"/>
        <v>2023-11</v>
      </c>
      <c r="V274" s="112" t="str">
        <f t="shared" si="5"/>
        <v>2023-H2</v>
      </c>
      <c r="W274" s="112"/>
    </row>
    <row r="275">
      <c r="A275" s="146">
        <f>HYPERLINK("https://polkadot.subsquare.io/referenda/267", 267)</f>
        <v>267</v>
      </c>
      <c r="B275" s="147" t="s">
        <v>288</v>
      </c>
      <c r="C275" s="147" t="s">
        <v>2681</v>
      </c>
      <c r="D275" s="148">
        <v>120.0</v>
      </c>
      <c r="E275" s="149">
        <v>634.9464225769043</v>
      </c>
      <c r="F275" s="147" t="s">
        <v>186</v>
      </c>
      <c r="G275" s="150">
        <v>2776898.2918266035</v>
      </c>
      <c r="H275" s="150">
        <v>1247495.0517497743</v>
      </c>
      <c r="I275" s="151">
        <v>45245.0</v>
      </c>
      <c r="J275" s="151">
        <v>45252.0</v>
      </c>
      <c r="K275" s="152">
        <v>639.6103477478027</v>
      </c>
      <c r="L275" s="117" t="s">
        <v>137</v>
      </c>
      <c r="M275" s="117" t="s">
        <v>138</v>
      </c>
      <c r="N275" s="153"/>
      <c r="O275" s="153"/>
      <c r="P275" s="153"/>
      <c r="Q275" s="153"/>
      <c r="R275" s="153" t="str">
        <f t="shared" si="1"/>
        <v>2023</v>
      </c>
      <c r="S275" s="154">
        <f t="shared" si="2"/>
        <v>11</v>
      </c>
      <c r="T275" s="153" t="str">
        <f t="shared" si="3"/>
        <v>2023-Q4</v>
      </c>
      <c r="U275" s="153" t="str">
        <f t="shared" si="4"/>
        <v>2023-11</v>
      </c>
      <c r="V275" s="155" t="str">
        <f t="shared" si="5"/>
        <v>2023-H2</v>
      </c>
      <c r="W275" s="155"/>
    </row>
    <row r="276">
      <c r="A276" s="139">
        <f>HYPERLINK("https://polkadot.subsquare.io/referenda/268", 268)</f>
        <v>268</v>
      </c>
      <c r="B276" s="140" t="s">
        <v>2825</v>
      </c>
      <c r="C276" s="140" t="s">
        <v>2681</v>
      </c>
      <c r="D276" s="141">
        <v>0.0</v>
      </c>
      <c r="E276" s="142">
        <v>0.0</v>
      </c>
      <c r="F276" s="140" t="s">
        <v>2682</v>
      </c>
      <c r="G276" s="143">
        <v>1.0201382906180096E8</v>
      </c>
      <c r="H276" s="143">
        <v>0.0</v>
      </c>
      <c r="I276" s="144">
        <v>45245.0</v>
      </c>
      <c r="J276" s="144">
        <v>45259.0</v>
      </c>
      <c r="K276" s="145">
        <v>0.0</v>
      </c>
      <c r="L276" s="114" t="s">
        <v>2673</v>
      </c>
      <c r="M276" s="114" t="s">
        <v>2673</v>
      </c>
      <c r="N276" s="108"/>
      <c r="O276" s="108"/>
      <c r="P276" s="108"/>
      <c r="Q276" s="108"/>
      <c r="R276" s="108" t="str">
        <f t="shared" si="1"/>
        <v>2023</v>
      </c>
      <c r="S276" s="110">
        <f t="shared" si="2"/>
        <v>11</v>
      </c>
      <c r="T276" s="108" t="str">
        <f t="shared" si="3"/>
        <v>2023-Q4</v>
      </c>
      <c r="U276" s="108" t="str">
        <f t="shared" si="4"/>
        <v>2023-11</v>
      </c>
      <c r="V276" s="112" t="str">
        <f t="shared" si="5"/>
        <v>2023-H2</v>
      </c>
      <c r="W276" s="112"/>
    </row>
    <row r="277">
      <c r="A277" s="146">
        <f>HYPERLINK("https://polkadot.subsquare.io/referenda/269", 269)</f>
        <v>269</v>
      </c>
      <c r="B277" s="147" t="s">
        <v>289</v>
      </c>
      <c r="C277" s="147" t="s">
        <v>2681</v>
      </c>
      <c r="D277" s="148">
        <v>632.18</v>
      </c>
      <c r="E277" s="149">
        <v>3345.0035785388945</v>
      </c>
      <c r="F277" s="147" t="s">
        <v>2699</v>
      </c>
      <c r="G277" s="150">
        <v>4.015662752277223E7</v>
      </c>
      <c r="H277" s="150">
        <v>2.8399895388290156E7</v>
      </c>
      <c r="I277" s="151">
        <v>45245.0</v>
      </c>
      <c r="J277" s="151">
        <v>45252.0</v>
      </c>
      <c r="K277" s="152">
        <v>3369.573913660049</v>
      </c>
      <c r="L277" s="117" t="s">
        <v>137</v>
      </c>
      <c r="M277" s="117" t="s">
        <v>138</v>
      </c>
      <c r="N277" s="153"/>
      <c r="O277" s="153"/>
      <c r="P277" s="153"/>
      <c r="Q277" s="153"/>
      <c r="R277" s="153" t="str">
        <f t="shared" si="1"/>
        <v>2023</v>
      </c>
      <c r="S277" s="154">
        <f t="shared" si="2"/>
        <v>11</v>
      </c>
      <c r="T277" s="153" t="str">
        <f t="shared" si="3"/>
        <v>2023-Q4</v>
      </c>
      <c r="U277" s="153" t="str">
        <f t="shared" si="4"/>
        <v>2023-11</v>
      </c>
      <c r="V277" s="155" t="str">
        <f t="shared" si="5"/>
        <v>2023-H2</v>
      </c>
      <c r="W277" s="155"/>
    </row>
    <row r="278">
      <c r="A278" s="139">
        <f>HYPERLINK("https://polkadot.subsquare.io/referenda/270", 270)</f>
        <v>270</v>
      </c>
      <c r="B278" s="140" t="s">
        <v>2826</v>
      </c>
      <c r="C278" s="140" t="s">
        <v>2672</v>
      </c>
      <c r="D278" s="141">
        <v>3266.28</v>
      </c>
      <c r="E278" s="142">
        <v>17282.60667612076</v>
      </c>
      <c r="F278" s="140" t="s">
        <v>2678</v>
      </c>
      <c r="G278" s="143">
        <v>4.00292686E7</v>
      </c>
      <c r="H278" s="143">
        <v>5.195158233001553E7</v>
      </c>
      <c r="I278" s="144">
        <v>45245.0</v>
      </c>
      <c r="J278" s="144">
        <v>45274.0</v>
      </c>
      <c r="K278" s="145">
        <v>23144.556258544922</v>
      </c>
      <c r="L278" s="114" t="s">
        <v>2673</v>
      </c>
      <c r="M278" s="114" t="s">
        <v>2673</v>
      </c>
      <c r="N278" s="108"/>
      <c r="O278" s="108"/>
      <c r="P278" s="108"/>
      <c r="Q278" s="108"/>
      <c r="R278" s="108" t="str">
        <f t="shared" si="1"/>
        <v>2023</v>
      </c>
      <c r="S278" s="110">
        <f t="shared" si="2"/>
        <v>12</v>
      </c>
      <c r="T278" s="108" t="str">
        <f t="shared" si="3"/>
        <v>2023-Q4</v>
      </c>
      <c r="U278" s="108" t="str">
        <f t="shared" si="4"/>
        <v>2023-12</v>
      </c>
      <c r="V278" s="112" t="str">
        <f t="shared" si="5"/>
        <v>2023-H2</v>
      </c>
      <c r="W278" s="112"/>
    </row>
    <row r="279">
      <c r="A279" s="146">
        <f>HYPERLINK("https://polkadot.subsquare.io/referenda/271", 271)</f>
        <v>271</v>
      </c>
      <c r="B279" s="147" t="s">
        <v>290</v>
      </c>
      <c r="C279" s="147" t="s">
        <v>2681</v>
      </c>
      <c r="D279" s="148">
        <v>4700.0</v>
      </c>
      <c r="E279" s="149">
        <v>24868.734884262085</v>
      </c>
      <c r="F279" s="147" t="s">
        <v>2678</v>
      </c>
      <c r="G279" s="150">
        <v>4.2846134456303306E7</v>
      </c>
      <c r="H279" s="150">
        <v>2.617005792020953E7</v>
      </c>
      <c r="I279" s="151">
        <v>45246.0</v>
      </c>
      <c r="J279" s="151">
        <v>45264.0</v>
      </c>
      <c r="K279" s="152">
        <v>28403.631734848022</v>
      </c>
      <c r="L279" s="117" t="s">
        <v>137</v>
      </c>
      <c r="M279" s="117" t="s">
        <v>138</v>
      </c>
      <c r="N279" s="153"/>
      <c r="O279" s="153"/>
      <c r="P279" s="153"/>
      <c r="Q279" s="153"/>
      <c r="R279" s="153" t="str">
        <f t="shared" si="1"/>
        <v>2023</v>
      </c>
      <c r="S279" s="154">
        <f t="shared" si="2"/>
        <v>12</v>
      </c>
      <c r="T279" s="153" t="str">
        <f t="shared" si="3"/>
        <v>2023-Q4</v>
      </c>
      <c r="U279" s="153" t="str">
        <f t="shared" si="4"/>
        <v>2023-12</v>
      </c>
      <c r="V279" s="155" t="str">
        <f t="shared" si="5"/>
        <v>2023-H2</v>
      </c>
      <c r="W279" s="155"/>
    </row>
    <row r="280">
      <c r="A280" s="139">
        <f>HYPERLINK("https://polkadot.subsquare.io/referenda/272", 272)</f>
        <v>272</v>
      </c>
      <c r="B280" s="140" t="s">
        <v>2827</v>
      </c>
      <c r="C280" s="140" t="s">
        <v>2672</v>
      </c>
      <c r="D280" s="141">
        <v>2107.27</v>
      </c>
      <c r="E280" s="142">
        <v>11472.500903282165</v>
      </c>
      <c r="F280" s="140" t="s">
        <v>2678</v>
      </c>
      <c r="G280" s="143">
        <v>4.008488575168E7</v>
      </c>
      <c r="H280" s="143">
        <v>5.238445068349452E7</v>
      </c>
      <c r="I280" s="144">
        <v>45247.0</v>
      </c>
      <c r="J280" s="144">
        <v>45275.0</v>
      </c>
      <c r="K280" s="145">
        <v>14489.015617222785</v>
      </c>
      <c r="L280" s="114" t="s">
        <v>2673</v>
      </c>
      <c r="M280" s="114" t="s">
        <v>2673</v>
      </c>
      <c r="N280" s="108"/>
      <c r="O280" s="108"/>
      <c r="P280" s="108"/>
      <c r="Q280" s="108"/>
      <c r="R280" s="108" t="str">
        <f t="shared" si="1"/>
        <v>2023</v>
      </c>
      <c r="S280" s="110">
        <f t="shared" si="2"/>
        <v>12</v>
      </c>
      <c r="T280" s="108" t="str">
        <f t="shared" si="3"/>
        <v>2023-Q4</v>
      </c>
      <c r="U280" s="108" t="str">
        <f t="shared" si="4"/>
        <v>2023-12</v>
      </c>
      <c r="V280" s="112" t="str">
        <f t="shared" si="5"/>
        <v>2023-H2</v>
      </c>
      <c r="W280" s="112"/>
    </row>
    <row r="281">
      <c r="A281" s="146">
        <f>HYPERLINK("https://polkadot.subsquare.io/referenda/273", 273)</f>
        <v>273</v>
      </c>
      <c r="B281" s="147" t="s">
        <v>2828</v>
      </c>
      <c r="C281" s="147" t="s">
        <v>2672</v>
      </c>
      <c r="D281" s="148">
        <v>3160.91</v>
      </c>
      <c r="E281" s="149">
        <v>16767.356404628754</v>
      </c>
      <c r="F281" s="147" t="s">
        <v>2678</v>
      </c>
      <c r="G281" s="150">
        <v>19054.0</v>
      </c>
      <c r="H281" s="150">
        <v>3.3114145150339477E7</v>
      </c>
      <c r="I281" s="151">
        <v>45247.0</v>
      </c>
      <c r="J281" s="151">
        <v>45275.0</v>
      </c>
      <c r="K281" s="152">
        <v>21733.55780447483</v>
      </c>
      <c r="L281" s="117" t="s">
        <v>2673</v>
      </c>
      <c r="M281" s="117" t="s">
        <v>2673</v>
      </c>
      <c r="N281" s="153"/>
      <c r="O281" s="153"/>
      <c r="P281" s="153"/>
      <c r="Q281" s="153"/>
      <c r="R281" s="153" t="str">
        <f t="shared" si="1"/>
        <v>2023</v>
      </c>
      <c r="S281" s="154">
        <f t="shared" si="2"/>
        <v>12</v>
      </c>
      <c r="T281" s="153" t="str">
        <f t="shared" si="3"/>
        <v>2023-Q4</v>
      </c>
      <c r="U281" s="153" t="str">
        <f t="shared" si="4"/>
        <v>2023-12</v>
      </c>
      <c r="V281" s="155" t="str">
        <f t="shared" si="5"/>
        <v>2023-H2</v>
      </c>
      <c r="W281" s="155"/>
    </row>
    <row r="282">
      <c r="A282" s="139">
        <f>HYPERLINK("https://polkadot.subsquare.io/referenda/274", 274)</f>
        <v>274</v>
      </c>
      <c r="B282" s="140" t="s">
        <v>2829</v>
      </c>
      <c r="C282" s="140" t="s">
        <v>2691</v>
      </c>
      <c r="D282" s="141">
        <v>1661.0</v>
      </c>
      <c r="E282" s="142">
        <v>8810.937036514282</v>
      </c>
      <c r="F282" s="140" t="s">
        <v>2678</v>
      </c>
      <c r="G282" s="143">
        <v>12005.0</v>
      </c>
      <c r="H282" s="143">
        <v>4734227.804249804</v>
      </c>
      <c r="I282" s="144">
        <v>45247.0</v>
      </c>
      <c r="J282" s="144">
        <v>45261.0</v>
      </c>
      <c r="K282" s="145">
        <v>9345.329209804535</v>
      </c>
      <c r="L282" s="114" t="s">
        <v>2673</v>
      </c>
      <c r="M282" s="114" t="s">
        <v>2673</v>
      </c>
      <c r="N282" s="108"/>
      <c r="O282" s="108"/>
      <c r="P282" s="108"/>
      <c r="Q282" s="108"/>
      <c r="R282" s="108" t="str">
        <f t="shared" si="1"/>
        <v>2023</v>
      </c>
      <c r="S282" s="110">
        <f t="shared" si="2"/>
        <v>12</v>
      </c>
      <c r="T282" s="108" t="str">
        <f t="shared" si="3"/>
        <v>2023-Q4</v>
      </c>
      <c r="U282" s="108" t="str">
        <f t="shared" si="4"/>
        <v>2023-12</v>
      </c>
      <c r="V282" s="112" t="str">
        <f t="shared" si="5"/>
        <v>2023-H2</v>
      </c>
      <c r="W282" s="112"/>
    </row>
    <row r="283">
      <c r="A283" s="146">
        <f>HYPERLINK("https://polkadot.subsquare.io/referenda/275", 275)</f>
        <v>275</v>
      </c>
      <c r="B283" s="147" t="s">
        <v>2830</v>
      </c>
      <c r="C283" s="147" t="s">
        <v>2672</v>
      </c>
      <c r="D283" s="148">
        <v>1628.0</v>
      </c>
      <c r="E283" s="149">
        <v>8635.885307312012</v>
      </c>
      <c r="F283" s="147" t="s">
        <v>2678</v>
      </c>
      <c r="G283" s="150">
        <v>4.008898921257388E7</v>
      </c>
      <c r="H283" s="150">
        <v>5.1742061852086164E7</v>
      </c>
      <c r="I283" s="151">
        <v>45247.0</v>
      </c>
      <c r="J283" s="151">
        <v>45275.0</v>
      </c>
      <c r="K283" s="152">
        <v>11193.685396194458</v>
      </c>
      <c r="L283" s="117" t="s">
        <v>2673</v>
      </c>
      <c r="M283" s="117" t="s">
        <v>2673</v>
      </c>
      <c r="N283" s="153"/>
      <c r="O283" s="153"/>
      <c r="P283" s="153"/>
      <c r="Q283" s="153"/>
      <c r="R283" s="153" t="str">
        <f t="shared" si="1"/>
        <v>2023</v>
      </c>
      <c r="S283" s="154">
        <f t="shared" si="2"/>
        <v>12</v>
      </c>
      <c r="T283" s="153" t="str">
        <f t="shared" si="3"/>
        <v>2023-Q4</v>
      </c>
      <c r="U283" s="153" t="str">
        <f t="shared" si="4"/>
        <v>2023-12</v>
      </c>
      <c r="V283" s="155" t="str">
        <f t="shared" si="5"/>
        <v>2023-H2</v>
      </c>
      <c r="W283" s="155"/>
    </row>
    <row r="284">
      <c r="A284" s="139">
        <f>HYPERLINK("https://polkadot.subsquare.io/referenda/276", 276)</f>
        <v>276</v>
      </c>
      <c r="B284" s="140" t="s">
        <v>2831</v>
      </c>
      <c r="C284" s="140" t="s">
        <v>2691</v>
      </c>
      <c r="D284" s="141">
        <v>0.0</v>
      </c>
      <c r="E284" s="142">
        <v>0.0</v>
      </c>
      <c r="F284" s="140" t="s">
        <v>2678</v>
      </c>
      <c r="G284" s="143">
        <v>0.01</v>
      </c>
      <c r="H284" s="143">
        <v>1.0792321612293271E7</v>
      </c>
      <c r="I284" s="144">
        <v>45247.0</v>
      </c>
      <c r="J284" s="144">
        <v>45261.0</v>
      </c>
      <c r="K284" s="145">
        <v>0.0</v>
      </c>
      <c r="L284" s="114" t="s">
        <v>2673</v>
      </c>
      <c r="M284" s="114" t="s">
        <v>2673</v>
      </c>
      <c r="N284" s="108"/>
      <c r="O284" s="108"/>
      <c r="P284" s="108"/>
      <c r="Q284" s="108"/>
      <c r="R284" s="108" t="str">
        <f t="shared" si="1"/>
        <v>2023</v>
      </c>
      <c r="S284" s="110">
        <f t="shared" si="2"/>
        <v>12</v>
      </c>
      <c r="T284" s="108" t="str">
        <f t="shared" si="3"/>
        <v>2023-Q4</v>
      </c>
      <c r="U284" s="108" t="str">
        <f t="shared" si="4"/>
        <v>2023-12</v>
      </c>
      <c r="V284" s="112" t="str">
        <f t="shared" si="5"/>
        <v>2023-H2</v>
      </c>
      <c r="W284" s="156" t="s">
        <v>2654</v>
      </c>
    </row>
    <row r="285">
      <c r="A285" s="146">
        <f>HYPERLINK("https://polkadot.subsquare.io/referenda/277", 277)</f>
        <v>277</v>
      </c>
      <c r="B285" s="147" t="s">
        <v>2832</v>
      </c>
      <c r="C285" s="147" t="s">
        <v>2672</v>
      </c>
      <c r="D285" s="148">
        <v>498.3</v>
      </c>
      <c r="E285" s="149">
        <v>2643.281110954285</v>
      </c>
      <c r="F285" s="147" t="s">
        <v>2678</v>
      </c>
      <c r="G285" s="150">
        <v>4.00534141E7</v>
      </c>
      <c r="H285" s="150">
        <v>5.212347067856228E7</v>
      </c>
      <c r="I285" s="151">
        <v>45248.0</v>
      </c>
      <c r="J285" s="151">
        <v>45276.0</v>
      </c>
      <c r="K285" s="152">
        <v>3346.193638086319</v>
      </c>
      <c r="L285" s="117" t="s">
        <v>2673</v>
      </c>
      <c r="M285" s="117" t="s">
        <v>2673</v>
      </c>
      <c r="N285" s="153"/>
      <c r="O285" s="153"/>
      <c r="P285" s="153"/>
      <c r="Q285" s="153"/>
      <c r="R285" s="153" t="str">
        <f t="shared" si="1"/>
        <v>2023</v>
      </c>
      <c r="S285" s="154">
        <f t="shared" si="2"/>
        <v>12</v>
      </c>
      <c r="T285" s="153" t="str">
        <f t="shared" si="3"/>
        <v>2023-Q4</v>
      </c>
      <c r="U285" s="153" t="str">
        <f t="shared" si="4"/>
        <v>2023-12</v>
      </c>
      <c r="V285" s="155" t="str">
        <f t="shared" si="5"/>
        <v>2023-H2</v>
      </c>
      <c r="W285" s="155"/>
    </row>
    <row r="286">
      <c r="A286" s="139">
        <f>HYPERLINK("https://polkadot.subsquare.io/referenda/278", 278)</f>
        <v>278</v>
      </c>
      <c r="B286" s="140" t="s">
        <v>2833</v>
      </c>
      <c r="C286" s="140" t="s">
        <v>2691</v>
      </c>
      <c r="D286" s="141">
        <v>0.0</v>
      </c>
      <c r="E286" s="142">
        <v>0.0</v>
      </c>
      <c r="F286" s="140" t="s">
        <v>2698</v>
      </c>
      <c r="G286" s="143">
        <v>354426.6326709574</v>
      </c>
      <c r="H286" s="143">
        <v>7723574.912385896</v>
      </c>
      <c r="I286" s="144">
        <v>45248.0</v>
      </c>
      <c r="J286" s="144">
        <v>45262.0</v>
      </c>
      <c r="K286" s="145">
        <v>0.0</v>
      </c>
      <c r="L286" s="114" t="s">
        <v>2673</v>
      </c>
      <c r="M286" s="114" t="s">
        <v>2673</v>
      </c>
      <c r="N286" s="108"/>
      <c r="O286" s="108"/>
      <c r="P286" s="108"/>
      <c r="Q286" s="108"/>
      <c r="R286" s="108" t="str">
        <f t="shared" si="1"/>
        <v>2023</v>
      </c>
      <c r="S286" s="110">
        <f t="shared" si="2"/>
        <v>12</v>
      </c>
      <c r="T286" s="108" t="str">
        <f t="shared" si="3"/>
        <v>2023-Q4</v>
      </c>
      <c r="U286" s="108" t="str">
        <f t="shared" si="4"/>
        <v>2023-12</v>
      </c>
      <c r="V286" s="112" t="str">
        <f t="shared" si="5"/>
        <v>2023-H2</v>
      </c>
      <c r="W286" s="112"/>
    </row>
    <row r="287">
      <c r="A287" s="146">
        <f>HYPERLINK("https://polkadot.subsquare.io/referenda/279", 279)</f>
        <v>279</v>
      </c>
      <c r="B287" s="147" t="s">
        <v>291</v>
      </c>
      <c r="C287" s="147" t="s">
        <v>2681</v>
      </c>
      <c r="D287" s="148">
        <v>25361.29</v>
      </c>
      <c r="E287" s="149">
        <v>124001.21331771852</v>
      </c>
      <c r="F287" s="147" t="s">
        <v>2683</v>
      </c>
      <c r="G287" s="150">
        <v>5.0738421406445645E7</v>
      </c>
      <c r="H287" s="150">
        <v>2818709.3872152576</v>
      </c>
      <c r="I287" s="151">
        <v>45248.0</v>
      </c>
      <c r="J287" s="151">
        <v>45266.0</v>
      </c>
      <c r="K287" s="152">
        <v>173463.07664935113</v>
      </c>
      <c r="L287" s="117" t="s">
        <v>81</v>
      </c>
      <c r="M287" s="117" t="s">
        <v>158</v>
      </c>
      <c r="N287" s="153"/>
      <c r="O287" s="153"/>
      <c r="P287" s="153"/>
      <c r="Q287" s="153"/>
      <c r="R287" s="153" t="str">
        <f t="shared" si="1"/>
        <v>2023</v>
      </c>
      <c r="S287" s="154">
        <f t="shared" si="2"/>
        <v>12</v>
      </c>
      <c r="T287" s="153" t="str">
        <f t="shared" si="3"/>
        <v>2023-Q4</v>
      </c>
      <c r="U287" s="153" t="str">
        <f t="shared" si="4"/>
        <v>2023-12</v>
      </c>
      <c r="V287" s="155" t="str">
        <f t="shared" si="5"/>
        <v>2023-H2</v>
      </c>
      <c r="W287" s="155"/>
    </row>
    <row r="288">
      <c r="A288" s="139">
        <f>HYPERLINK("https://polkadot.subsquare.io/referenda/280", 280)</f>
        <v>280</v>
      </c>
      <c r="B288" s="140" t="s">
        <v>2833</v>
      </c>
      <c r="C288" s="140" t="s">
        <v>2681</v>
      </c>
      <c r="D288" s="141">
        <v>0.0</v>
      </c>
      <c r="E288" s="142">
        <v>0.0</v>
      </c>
      <c r="F288" s="140" t="s">
        <v>2698</v>
      </c>
      <c r="G288" s="143">
        <v>1.2195779086624645E7</v>
      </c>
      <c r="H288" s="143">
        <v>1963170.00000001</v>
      </c>
      <c r="I288" s="144">
        <v>45248.0</v>
      </c>
      <c r="J288" s="144">
        <v>45274.0</v>
      </c>
      <c r="K288" s="145">
        <v>0.0</v>
      </c>
      <c r="L288" s="114" t="s">
        <v>2673</v>
      </c>
      <c r="M288" s="114" t="s">
        <v>2673</v>
      </c>
      <c r="N288" s="108"/>
      <c r="O288" s="108"/>
      <c r="P288" s="108"/>
      <c r="Q288" s="108"/>
      <c r="R288" s="108" t="str">
        <f t="shared" si="1"/>
        <v>2023</v>
      </c>
      <c r="S288" s="110">
        <f t="shared" si="2"/>
        <v>12</v>
      </c>
      <c r="T288" s="108" t="str">
        <f t="shared" si="3"/>
        <v>2023-Q4</v>
      </c>
      <c r="U288" s="108" t="str">
        <f t="shared" si="4"/>
        <v>2023-12</v>
      </c>
      <c r="V288" s="112" t="str">
        <f t="shared" si="5"/>
        <v>2023-H2</v>
      </c>
      <c r="W288" s="112"/>
    </row>
    <row r="289">
      <c r="A289" s="146">
        <f>HYPERLINK("https://polkadot.subsquare.io/referenda/281", 281)</f>
        <v>281</v>
      </c>
      <c r="B289" s="147" t="s">
        <v>2834</v>
      </c>
      <c r="C289" s="147" t="s">
        <v>2672</v>
      </c>
      <c r="D289" s="148">
        <v>9807.68</v>
      </c>
      <c r="E289" s="149">
        <v>47953.563081054686</v>
      </c>
      <c r="F289" s="147" t="s">
        <v>2678</v>
      </c>
      <c r="G289" s="150">
        <v>66319.9858</v>
      </c>
      <c r="H289" s="150">
        <v>5.1957897560349055E7</v>
      </c>
      <c r="I289" s="151">
        <v>45249.0</v>
      </c>
      <c r="J289" s="151">
        <v>45277.0</v>
      </c>
      <c r="K289" s="152">
        <v>68091.73227890015</v>
      </c>
      <c r="L289" s="117" t="s">
        <v>2673</v>
      </c>
      <c r="M289" s="117" t="s">
        <v>2673</v>
      </c>
      <c r="N289" s="153"/>
      <c r="O289" s="153"/>
      <c r="P289" s="153"/>
      <c r="Q289" s="153"/>
      <c r="R289" s="153" t="str">
        <f t="shared" si="1"/>
        <v>2023</v>
      </c>
      <c r="S289" s="154">
        <f t="shared" si="2"/>
        <v>12</v>
      </c>
      <c r="T289" s="153" t="str">
        <f t="shared" si="3"/>
        <v>2023-Q4</v>
      </c>
      <c r="U289" s="153" t="str">
        <f t="shared" si="4"/>
        <v>2023-12</v>
      </c>
      <c r="V289" s="155" t="str">
        <f t="shared" si="5"/>
        <v>2023-H2</v>
      </c>
      <c r="W289" s="155"/>
    </row>
    <row r="290">
      <c r="A290" s="139">
        <f>HYPERLINK("https://polkadot.subsquare.io/referenda/282", 282)</f>
        <v>282</v>
      </c>
      <c r="B290" s="140" t="s">
        <v>2835</v>
      </c>
      <c r="C290" s="140" t="s">
        <v>2672</v>
      </c>
      <c r="D290" s="141">
        <v>9364.15</v>
      </c>
      <c r="E290" s="142">
        <v>48439.48298387527</v>
      </c>
      <c r="F290" s="140" t="s">
        <v>2678</v>
      </c>
      <c r="G290" s="143">
        <v>28005.0011</v>
      </c>
      <c r="H290" s="143">
        <v>5.181088581297835E7</v>
      </c>
      <c r="I290" s="144">
        <v>45249.0</v>
      </c>
      <c r="J290" s="144">
        <v>45277.0</v>
      </c>
      <c r="K290" s="145">
        <v>65012.438703083986</v>
      </c>
      <c r="L290" s="114" t="s">
        <v>2673</v>
      </c>
      <c r="M290" s="114" t="s">
        <v>2673</v>
      </c>
      <c r="N290" s="108"/>
      <c r="O290" s="108"/>
      <c r="P290" s="108"/>
      <c r="Q290" s="108"/>
      <c r="R290" s="108" t="str">
        <f t="shared" si="1"/>
        <v>2023</v>
      </c>
      <c r="S290" s="110">
        <f t="shared" si="2"/>
        <v>12</v>
      </c>
      <c r="T290" s="108" t="str">
        <f t="shared" si="3"/>
        <v>2023-Q4</v>
      </c>
      <c r="U290" s="108" t="str">
        <f t="shared" si="4"/>
        <v>2023-12</v>
      </c>
      <c r="V290" s="112" t="str">
        <f t="shared" si="5"/>
        <v>2023-H2</v>
      </c>
      <c r="W290" s="112"/>
    </row>
    <row r="291">
      <c r="A291" s="146">
        <f>HYPERLINK("https://polkadot.subsquare.io/referenda/283", 283)</f>
        <v>283</v>
      </c>
      <c r="B291" s="147" t="s">
        <v>2836</v>
      </c>
      <c r="C291" s="147" t="s">
        <v>2672</v>
      </c>
      <c r="D291" s="148">
        <v>4327.47</v>
      </c>
      <c r="E291" s="149">
        <v>22385.417729129793</v>
      </c>
      <c r="F291" s="147" t="s">
        <v>2678</v>
      </c>
      <c r="G291" s="150">
        <v>46808.0</v>
      </c>
      <c r="H291" s="150">
        <v>5.164774212716589E7</v>
      </c>
      <c r="I291" s="151">
        <v>45249.0</v>
      </c>
      <c r="J291" s="151">
        <v>45277.0</v>
      </c>
      <c r="K291" s="152">
        <v>30044.30494112492</v>
      </c>
      <c r="L291" s="117" t="s">
        <v>2673</v>
      </c>
      <c r="M291" s="117" t="s">
        <v>2673</v>
      </c>
      <c r="N291" s="153"/>
      <c r="O291" s="153"/>
      <c r="P291" s="153"/>
      <c r="Q291" s="153"/>
      <c r="R291" s="153" t="str">
        <f t="shared" si="1"/>
        <v>2023</v>
      </c>
      <c r="S291" s="154">
        <f t="shared" si="2"/>
        <v>12</v>
      </c>
      <c r="T291" s="153" t="str">
        <f t="shared" si="3"/>
        <v>2023-Q4</v>
      </c>
      <c r="U291" s="153" t="str">
        <f t="shared" si="4"/>
        <v>2023-12</v>
      </c>
      <c r="V291" s="155" t="str">
        <f t="shared" si="5"/>
        <v>2023-H2</v>
      </c>
      <c r="W291" s="155"/>
    </row>
    <row r="292">
      <c r="A292" s="139">
        <f>HYPERLINK("https://polkadot.subsquare.io/referenda/284", 284)</f>
        <v>284</v>
      </c>
      <c r="B292" s="140" t="s">
        <v>2837</v>
      </c>
      <c r="C292" s="140" t="s">
        <v>2672</v>
      </c>
      <c r="D292" s="141">
        <v>0.0</v>
      </c>
      <c r="E292" s="142">
        <v>0.0</v>
      </c>
      <c r="F292" s="140" t="s">
        <v>2678</v>
      </c>
      <c r="G292" s="143">
        <v>706090.0284884511</v>
      </c>
      <c r="H292" s="143">
        <v>1.3724175745954078E7</v>
      </c>
      <c r="I292" s="144">
        <v>45249.0</v>
      </c>
      <c r="J292" s="144">
        <v>45277.0</v>
      </c>
      <c r="K292" s="145">
        <v>0.0</v>
      </c>
      <c r="L292" s="114" t="s">
        <v>2673</v>
      </c>
      <c r="M292" s="114" t="s">
        <v>2673</v>
      </c>
      <c r="N292" s="108"/>
      <c r="O292" s="108"/>
      <c r="P292" s="108"/>
      <c r="Q292" s="108"/>
      <c r="R292" s="108" t="str">
        <f t="shared" si="1"/>
        <v>2023</v>
      </c>
      <c r="S292" s="110">
        <f t="shared" si="2"/>
        <v>12</v>
      </c>
      <c r="T292" s="108" t="str">
        <f t="shared" si="3"/>
        <v>2023-Q4</v>
      </c>
      <c r="U292" s="108" t="str">
        <f t="shared" si="4"/>
        <v>2023-12</v>
      </c>
      <c r="V292" s="112" t="str">
        <f t="shared" si="5"/>
        <v>2023-H2</v>
      </c>
      <c r="W292" s="156" t="s">
        <v>2654</v>
      </c>
    </row>
    <row r="293">
      <c r="A293" s="146">
        <f>HYPERLINK("https://polkadot.subsquare.io/referenda/285", 285)</f>
        <v>285</v>
      </c>
      <c r="B293" s="147" t="s">
        <v>2838</v>
      </c>
      <c r="C293" s="147" t="s">
        <v>2672</v>
      </c>
      <c r="D293" s="148">
        <v>9735.0</v>
      </c>
      <c r="E293" s="149">
        <v>50357.83993721008</v>
      </c>
      <c r="F293" s="147" t="s">
        <v>2678</v>
      </c>
      <c r="G293" s="150">
        <v>35845.1898</v>
      </c>
      <c r="H293" s="150">
        <v>1.52383152540647E7</v>
      </c>
      <c r="I293" s="151">
        <v>45249.0</v>
      </c>
      <c r="J293" s="151">
        <v>45277.0</v>
      </c>
      <c r="K293" s="152">
        <v>67587.137196064</v>
      </c>
      <c r="L293" s="117" t="s">
        <v>2673</v>
      </c>
      <c r="M293" s="117" t="s">
        <v>2673</v>
      </c>
      <c r="N293" s="153"/>
      <c r="O293" s="153"/>
      <c r="P293" s="153"/>
      <c r="Q293" s="153"/>
      <c r="R293" s="153" t="str">
        <f t="shared" si="1"/>
        <v>2023</v>
      </c>
      <c r="S293" s="154">
        <f t="shared" si="2"/>
        <v>12</v>
      </c>
      <c r="T293" s="153" t="str">
        <f t="shared" si="3"/>
        <v>2023-Q4</v>
      </c>
      <c r="U293" s="153" t="str">
        <f t="shared" si="4"/>
        <v>2023-12</v>
      </c>
      <c r="V293" s="155" t="str">
        <f t="shared" si="5"/>
        <v>2023-H2</v>
      </c>
      <c r="W293" s="155"/>
    </row>
    <row r="294">
      <c r="A294" s="139">
        <f>HYPERLINK("https://polkadot.subsquare.io/referenda/286", 286)</f>
        <v>286</v>
      </c>
      <c r="B294" s="140" t="s">
        <v>2839</v>
      </c>
      <c r="C294" s="140" t="s">
        <v>2672</v>
      </c>
      <c r="D294" s="141">
        <v>2400.0</v>
      </c>
      <c r="E294" s="142">
        <v>12414.875793457031</v>
      </c>
      <c r="F294" s="140" t="s">
        <v>2678</v>
      </c>
      <c r="G294" s="143">
        <v>4.013379374191113E7</v>
      </c>
      <c r="H294" s="143">
        <v>5.0204102782666706E7</v>
      </c>
      <c r="I294" s="144">
        <v>45249.0</v>
      </c>
      <c r="J294" s="144">
        <v>45279.0</v>
      </c>
      <c r="K294" s="145">
        <v>20067.617797851562</v>
      </c>
      <c r="L294" s="114" t="s">
        <v>2673</v>
      </c>
      <c r="M294" s="114" t="s">
        <v>2673</v>
      </c>
      <c r="N294" s="108"/>
      <c r="O294" s="108"/>
      <c r="P294" s="108"/>
      <c r="Q294" s="108"/>
      <c r="R294" s="108" t="str">
        <f t="shared" si="1"/>
        <v>2023</v>
      </c>
      <c r="S294" s="110">
        <f t="shared" si="2"/>
        <v>12</v>
      </c>
      <c r="T294" s="108" t="str">
        <f t="shared" si="3"/>
        <v>2023-Q4</v>
      </c>
      <c r="U294" s="108" t="str">
        <f t="shared" si="4"/>
        <v>2023-12</v>
      </c>
      <c r="V294" s="112" t="str">
        <f t="shared" si="5"/>
        <v>2023-H2</v>
      </c>
      <c r="W294" s="112"/>
    </row>
    <row r="295">
      <c r="A295" s="146">
        <f>HYPERLINK("https://polkadot.subsquare.io/referenda/287", 287)</f>
        <v>287</v>
      </c>
      <c r="B295" s="147" t="s">
        <v>2840</v>
      </c>
      <c r="C295" s="147" t="s">
        <v>2672</v>
      </c>
      <c r="D295" s="148">
        <v>7939.0</v>
      </c>
      <c r="E295" s="149">
        <v>41067.37455177307</v>
      </c>
      <c r="F295" s="147" t="s">
        <v>2678</v>
      </c>
      <c r="G295" s="150">
        <v>15014.5693732923</v>
      </c>
      <c r="H295" s="150">
        <v>1.5085473367583107E7</v>
      </c>
      <c r="I295" s="151">
        <v>45250.0</v>
      </c>
      <c r="J295" s="151">
        <v>45278.0</v>
      </c>
      <c r="K295" s="152">
        <v>66382.00737380981</v>
      </c>
      <c r="L295" s="117" t="s">
        <v>2673</v>
      </c>
      <c r="M295" s="117" t="s">
        <v>2673</v>
      </c>
      <c r="N295" s="153"/>
      <c r="O295" s="153"/>
      <c r="P295" s="153"/>
      <c r="Q295" s="153"/>
      <c r="R295" s="153" t="str">
        <f t="shared" si="1"/>
        <v>2023</v>
      </c>
      <c r="S295" s="154">
        <f t="shared" si="2"/>
        <v>12</v>
      </c>
      <c r="T295" s="153" t="str">
        <f t="shared" si="3"/>
        <v>2023-Q4</v>
      </c>
      <c r="U295" s="153" t="str">
        <f t="shared" si="4"/>
        <v>2023-12</v>
      </c>
      <c r="V295" s="155" t="str">
        <f t="shared" si="5"/>
        <v>2023-H2</v>
      </c>
      <c r="W295" s="155"/>
    </row>
    <row r="296">
      <c r="A296" s="139">
        <f>HYPERLINK("https://polkadot.subsquare.io/referenda/288", 288)</f>
        <v>288</v>
      </c>
      <c r="B296" s="140" t="s">
        <v>292</v>
      </c>
      <c r="C296" s="140" t="s">
        <v>2681</v>
      </c>
      <c r="D296" s="141">
        <v>7289.03</v>
      </c>
      <c r="E296" s="142">
        <v>37705.16754365921</v>
      </c>
      <c r="F296" s="140" t="s">
        <v>2678</v>
      </c>
      <c r="G296" s="143">
        <v>2.8468141141384706E7</v>
      </c>
      <c r="H296" s="143">
        <v>2673127.406456474</v>
      </c>
      <c r="I296" s="144">
        <v>45250.0</v>
      </c>
      <c r="J296" s="144">
        <v>45266.0</v>
      </c>
      <c r="K296" s="145">
        <v>49854.62370366096</v>
      </c>
      <c r="L296" s="114" t="s">
        <v>84</v>
      </c>
      <c r="M296" s="114" t="s">
        <v>171</v>
      </c>
      <c r="N296" s="108"/>
      <c r="O296" s="108"/>
      <c r="P296" s="108"/>
      <c r="Q296" s="108"/>
      <c r="R296" s="108" t="str">
        <f t="shared" si="1"/>
        <v>2023</v>
      </c>
      <c r="S296" s="110">
        <f t="shared" si="2"/>
        <v>12</v>
      </c>
      <c r="T296" s="108" t="str">
        <f t="shared" si="3"/>
        <v>2023-Q4</v>
      </c>
      <c r="U296" s="108" t="str">
        <f t="shared" si="4"/>
        <v>2023-12</v>
      </c>
      <c r="V296" s="112" t="str">
        <f t="shared" si="5"/>
        <v>2023-H2</v>
      </c>
      <c r="W296" s="112"/>
    </row>
    <row r="297">
      <c r="A297" s="146">
        <f>HYPERLINK("https://polkadot.subsquare.io/referenda/289", 289)</f>
        <v>289</v>
      </c>
      <c r="B297" s="147" t="s">
        <v>2841</v>
      </c>
      <c r="C297" s="147" t="s">
        <v>2691</v>
      </c>
      <c r="D297" s="148">
        <v>2.0E-10</v>
      </c>
      <c r="E297" s="149">
        <v>1.034572982788086E-9</v>
      </c>
      <c r="F297" s="147" t="s">
        <v>186</v>
      </c>
      <c r="G297" s="150">
        <v>10200.0</v>
      </c>
      <c r="H297" s="150">
        <v>7536767.8619166175</v>
      </c>
      <c r="I297" s="151">
        <v>45250.0</v>
      </c>
      <c r="J297" s="151">
        <v>45264.0</v>
      </c>
      <c r="K297" s="152">
        <v>1.2086651802062988E-9</v>
      </c>
      <c r="L297" s="117" t="s">
        <v>2673</v>
      </c>
      <c r="M297" s="117" t="s">
        <v>2673</v>
      </c>
      <c r="N297" s="153"/>
      <c r="O297" s="153"/>
      <c r="P297" s="153"/>
      <c r="Q297" s="153"/>
      <c r="R297" s="153" t="str">
        <f t="shared" si="1"/>
        <v>2023</v>
      </c>
      <c r="S297" s="154">
        <f t="shared" si="2"/>
        <v>12</v>
      </c>
      <c r="T297" s="153" t="str">
        <f t="shared" si="3"/>
        <v>2023-Q4</v>
      </c>
      <c r="U297" s="153" t="str">
        <f t="shared" si="4"/>
        <v>2023-12</v>
      </c>
      <c r="V297" s="155" t="str">
        <f t="shared" si="5"/>
        <v>2023-H2</v>
      </c>
      <c r="W297" s="158" t="s">
        <v>2654</v>
      </c>
    </row>
    <row r="298">
      <c r="A298" s="139">
        <f>HYPERLINK("https://polkadot.subsquare.io/referenda/290", 290)</f>
        <v>290</v>
      </c>
      <c r="B298" s="140" t="s">
        <v>293</v>
      </c>
      <c r="C298" s="140" t="s">
        <v>2681</v>
      </c>
      <c r="D298" s="141">
        <v>5645.0</v>
      </c>
      <c r="E298" s="142">
        <v>28979.385974407196</v>
      </c>
      <c r="F298" s="140" t="s">
        <v>2678</v>
      </c>
      <c r="G298" s="143">
        <v>1.1597520754924638E7</v>
      </c>
      <c r="H298" s="143">
        <v>1616171.3397688481</v>
      </c>
      <c r="I298" s="144">
        <v>45250.0</v>
      </c>
      <c r="J298" s="144">
        <v>45273.0</v>
      </c>
      <c r="K298" s="145">
        <v>39270.812900066376</v>
      </c>
      <c r="L298" s="114" t="s">
        <v>81</v>
      </c>
      <c r="M298" s="114" t="s">
        <v>185</v>
      </c>
      <c r="N298" s="108"/>
      <c r="O298" s="108"/>
      <c r="P298" s="108"/>
      <c r="Q298" s="108"/>
      <c r="R298" s="108" t="str">
        <f t="shared" si="1"/>
        <v>2023</v>
      </c>
      <c r="S298" s="110">
        <f t="shared" si="2"/>
        <v>12</v>
      </c>
      <c r="T298" s="108" t="str">
        <f t="shared" si="3"/>
        <v>2023-Q4</v>
      </c>
      <c r="U298" s="108" t="str">
        <f t="shared" si="4"/>
        <v>2023-12</v>
      </c>
      <c r="V298" s="112" t="str">
        <f t="shared" si="5"/>
        <v>2023-H2</v>
      </c>
      <c r="W298" s="112"/>
    </row>
    <row r="299">
      <c r="A299" s="146">
        <f>HYPERLINK("https://polkadot.subsquare.io/referenda/291", 291)</f>
        <v>291</v>
      </c>
      <c r="B299" s="147" t="s">
        <v>2842</v>
      </c>
      <c r="C299" s="147" t="s">
        <v>2672</v>
      </c>
      <c r="D299" s="148">
        <v>6098.0</v>
      </c>
      <c r="E299" s="149">
        <v>31304.92394542694</v>
      </c>
      <c r="F299" s="147" t="s">
        <v>2678</v>
      </c>
      <c r="G299" s="150">
        <v>4.0031866502648085E7</v>
      </c>
      <c r="H299" s="150">
        <v>5.240465190775571E7</v>
      </c>
      <c r="I299" s="151">
        <v>45250.0</v>
      </c>
      <c r="J299" s="151">
        <v>45278.0</v>
      </c>
      <c r="K299" s="152">
        <v>50988.47222137451</v>
      </c>
      <c r="L299" s="117" t="s">
        <v>2673</v>
      </c>
      <c r="M299" s="117" t="s">
        <v>2673</v>
      </c>
      <c r="N299" s="153"/>
      <c r="O299" s="153"/>
      <c r="P299" s="153"/>
      <c r="Q299" s="153"/>
      <c r="R299" s="153" t="str">
        <f t="shared" si="1"/>
        <v>2023</v>
      </c>
      <c r="S299" s="154">
        <f t="shared" si="2"/>
        <v>12</v>
      </c>
      <c r="T299" s="153" t="str">
        <f t="shared" si="3"/>
        <v>2023-Q4</v>
      </c>
      <c r="U299" s="153" t="str">
        <f t="shared" si="4"/>
        <v>2023-12</v>
      </c>
      <c r="V299" s="155" t="str">
        <f t="shared" si="5"/>
        <v>2023-H2</v>
      </c>
      <c r="W299" s="158" t="s">
        <v>2654</v>
      </c>
    </row>
    <row r="300">
      <c r="A300" s="139">
        <f>HYPERLINK("https://polkadot.subsquare.io/referenda/292", 292)</f>
        <v>292</v>
      </c>
      <c r="B300" s="140" t="s">
        <v>2843</v>
      </c>
      <c r="C300" s="140" t="s">
        <v>2672</v>
      </c>
      <c r="D300" s="141">
        <v>3463.0</v>
      </c>
      <c r="E300" s="142">
        <v>17777.788065433502</v>
      </c>
      <c r="F300" s="140" t="s">
        <v>2678</v>
      </c>
      <c r="G300" s="143">
        <v>15130.5360900128</v>
      </c>
      <c r="H300" s="143">
        <v>5.1651701090338744E7</v>
      </c>
      <c r="I300" s="144">
        <v>45250.0</v>
      </c>
      <c r="J300" s="144">
        <v>45279.0</v>
      </c>
      <c r="K300" s="145">
        <v>27597.103930950165</v>
      </c>
      <c r="L300" s="114" t="s">
        <v>2673</v>
      </c>
      <c r="M300" s="114" t="s">
        <v>2673</v>
      </c>
      <c r="N300" s="108"/>
      <c r="O300" s="108"/>
      <c r="P300" s="108"/>
      <c r="Q300" s="108"/>
      <c r="R300" s="108" t="str">
        <f t="shared" si="1"/>
        <v>2023</v>
      </c>
      <c r="S300" s="110">
        <f t="shared" si="2"/>
        <v>12</v>
      </c>
      <c r="T300" s="108" t="str">
        <f t="shared" si="3"/>
        <v>2023-Q4</v>
      </c>
      <c r="U300" s="108" t="str">
        <f t="shared" si="4"/>
        <v>2023-12</v>
      </c>
      <c r="V300" s="112" t="str">
        <f t="shared" si="5"/>
        <v>2023-H2</v>
      </c>
      <c r="W300" s="112"/>
    </row>
    <row r="301">
      <c r="A301" s="146">
        <f>HYPERLINK("https://polkadot.subsquare.io/referenda/293", 293)</f>
        <v>293</v>
      </c>
      <c r="B301" s="147" t="s">
        <v>2844</v>
      </c>
      <c r="C301" s="147" t="s">
        <v>2672</v>
      </c>
      <c r="D301" s="148">
        <v>0.0</v>
      </c>
      <c r="E301" s="149">
        <v>0.0</v>
      </c>
      <c r="F301" s="147" t="s">
        <v>2683</v>
      </c>
      <c r="G301" s="150">
        <v>4.245212836202146E7</v>
      </c>
      <c r="H301" s="150">
        <v>6.5192955515835255E7</v>
      </c>
      <c r="I301" s="151">
        <v>45250.0</v>
      </c>
      <c r="J301" s="151">
        <v>45279.0</v>
      </c>
      <c r="K301" s="152">
        <v>0.0</v>
      </c>
      <c r="L301" s="117" t="s">
        <v>2673</v>
      </c>
      <c r="M301" s="117" t="s">
        <v>2673</v>
      </c>
      <c r="N301" s="153"/>
      <c r="O301" s="153"/>
      <c r="P301" s="153"/>
      <c r="Q301" s="153"/>
      <c r="R301" s="153" t="str">
        <f t="shared" si="1"/>
        <v>2023</v>
      </c>
      <c r="S301" s="154">
        <f t="shared" si="2"/>
        <v>12</v>
      </c>
      <c r="T301" s="153" t="str">
        <f t="shared" si="3"/>
        <v>2023-Q4</v>
      </c>
      <c r="U301" s="153" t="str">
        <f t="shared" si="4"/>
        <v>2023-12</v>
      </c>
      <c r="V301" s="155" t="str">
        <f t="shared" si="5"/>
        <v>2023-H2</v>
      </c>
      <c r="W301" s="155"/>
    </row>
    <row r="302">
      <c r="A302" s="139">
        <f>HYPERLINK("https://polkadot.subsquare.io/referenda/294", 294)</f>
        <v>294</v>
      </c>
      <c r="B302" s="140" t="s">
        <v>2845</v>
      </c>
      <c r="C302" s="140" t="s">
        <v>2672</v>
      </c>
      <c r="D302" s="141">
        <v>5.3723E-6</v>
      </c>
      <c r="E302" s="142">
        <v>2.757944291768074E-5</v>
      </c>
      <c r="F302" s="140" t="s">
        <v>2683</v>
      </c>
      <c r="G302" s="143">
        <v>33573.9872152575</v>
      </c>
      <c r="H302" s="143">
        <v>3.296648019878072E7</v>
      </c>
      <c r="I302" s="144">
        <v>45250.0</v>
      </c>
      <c r="J302" s="144">
        <v>45279.0</v>
      </c>
      <c r="K302" s="145">
        <v>4.492052628974915E-5</v>
      </c>
      <c r="L302" s="114" t="s">
        <v>2673</v>
      </c>
      <c r="M302" s="114" t="s">
        <v>2673</v>
      </c>
      <c r="N302" s="108"/>
      <c r="O302" s="108"/>
      <c r="P302" s="108"/>
      <c r="Q302" s="108"/>
      <c r="R302" s="108" t="str">
        <f t="shared" si="1"/>
        <v>2023</v>
      </c>
      <c r="S302" s="110">
        <f t="shared" si="2"/>
        <v>12</v>
      </c>
      <c r="T302" s="108" t="str">
        <f t="shared" si="3"/>
        <v>2023-Q4</v>
      </c>
      <c r="U302" s="108" t="str">
        <f t="shared" si="4"/>
        <v>2023-12</v>
      </c>
      <c r="V302" s="112" t="str">
        <f t="shared" si="5"/>
        <v>2023-H2</v>
      </c>
      <c r="W302" s="156" t="s">
        <v>2654</v>
      </c>
    </row>
    <row r="303">
      <c r="A303" s="146">
        <f>HYPERLINK("https://polkadot.subsquare.io/referenda/295", 295)</f>
        <v>295</v>
      </c>
      <c r="B303" s="147" t="s">
        <v>2846</v>
      </c>
      <c r="C303" s="147" t="s">
        <v>2672</v>
      </c>
      <c r="D303" s="148">
        <v>53723.0</v>
      </c>
      <c r="E303" s="149">
        <v>275794.4291768074</v>
      </c>
      <c r="F303" s="147" t="s">
        <v>2683</v>
      </c>
      <c r="G303" s="150">
        <v>5887272.612024391</v>
      </c>
      <c r="H303" s="150">
        <v>6.694311646115765E7</v>
      </c>
      <c r="I303" s="151">
        <v>45250.0</v>
      </c>
      <c r="J303" s="151">
        <v>45279.0</v>
      </c>
      <c r="K303" s="152">
        <v>449205.26289749146</v>
      </c>
      <c r="L303" s="117" t="s">
        <v>2673</v>
      </c>
      <c r="M303" s="117" t="s">
        <v>2673</v>
      </c>
      <c r="N303" s="153"/>
      <c r="O303" s="153"/>
      <c r="P303" s="153"/>
      <c r="Q303" s="153"/>
      <c r="R303" s="153" t="str">
        <f t="shared" si="1"/>
        <v>2023</v>
      </c>
      <c r="S303" s="154">
        <f t="shared" si="2"/>
        <v>12</v>
      </c>
      <c r="T303" s="153" t="str">
        <f t="shared" si="3"/>
        <v>2023-Q4</v>
      </c>
      <c r="U303" s="153" t="str">
        <f t="shared" si="4"/>
        <v>2023-12</v>
      </c>
      <c r="V303" s="155" t="str">
        <f t="shared" si="5"/>
        <v>2023-H2</v>
      </c>
      <c r="W303" s="158" t="s">
        <v>2654</v>
      </c>
    </row>
    <row r="304">
      <c r="A304" s="139">
        <f>HYPERLINK("https://polkadot.subsquare.io/referenda/296", 296)</f>
        <v>296</v>
      </c>
      <c r="B304" s="140" t="s">
        <v>2847</v>
      </c>
      <c r="C304" s="140" t="s">
        <v>2691</v>
      </c>
      <c r="D304" s="141">
        <v>32000.0</v>
      </c>
      <c r="E304" s="142">
        <v>164276.4129638672</v>
      </c>
      <c r="F304" s="140" t="s">
        <v>2683</v>
      </c>
      <c r="G304" s="143">
        <v>7951.3</v>
      </c>
      <c r="H304" s="143">
        <v>9957828.995687028</v>
      </c>
      <c r="I304" s="144">
        <v>45251.0</v>
      </c>
      <c r="J304" s="144">
        <v>45265.0</v>
      </c>
      <c r="K304" s="145">
        <v>199893.310546875</v>
      </c>
      <c r="L304" s="114" t="s">
        <v>2673</v>
      </c>
      <c r="M304" s="114" t="s">
        <v>2673</v>
      </c>
      <c r="N304" s="108"/>
      <c r="O304" s="108"/>
      <c r="P304" s="108"/>
      <c r="Q304" s="108"/>
      <c r="R304" s="108" t="str">
        <f t="shared" si="1"/>
        <v>2023</v>
      </c>
      <c r="S304" s="110">
        <f t="shared" si="2"/>
        <v>12</v>
      </c>
      <c r="T304" s="108" t="str">
        <f t="shared" si="3"/>
        <v>2023-Q4</v>
      </c>
      <c r="U304" s="108" t="str">
        <f t="shared" si="4"/>
        <v>2023-12</v>
      </c>
      <c r="V304" s="112" t="str">
        <f t="shared" si="5"/>
        <v>2023-H2</v>
      </c>
      <c r="W304" s="156" t="s">
        <v>2654</v>
      </c>
    </row>
    <row r="305">
      <c r="A305" s="146">
        <f>HYPERLINK("https://polkadot.subsquare.io/referenda/297", 297)</f>
        <v>297</v>
      </c>
      <c r="B305" s="147" t="s">
        <v>2847</v>
      </c>
      <c r="C305" s="147" t="s">
        <v>2691</v>
      </c>
      <c r="D305" s="148">
        <v>32000.0</v>
      </c>
      <c r="E305" s="149">
        <v>164276.4129638672</v>
      </c>
      <c r="F305" s="147" t="s">
        <v>2683</v>
      </c>
      <c r="G305" s="150">
        <v>5010.2</v>
      </c>
      <c r="H305" s="150">
        <v>9959624.002530927</v>
      </c>
      <c r="I305" s="151">
        <v>45251.0</v>
      </c>
      <c r="J305" s="151">
        <v>45265.0</v>
      </c>
      <c r="K305" s="152">
        <v>199893.310546875</v>
      </c>
      <c r="L305" s="117" t="s">
        <v>2673</v>
      </c>
      <c r="M305" s="117" t="s">
        <v>2673</v>
      </c>
      <c r="N305" s="153"/>
      <c r="O305" s="153"/>
      <c r="P305" s="153"/>
      <c r="Q305" s="153"/>
      <c r="R305" s="153" t="str">
        <f t="shared" si="1"/>
        <v>2023</v>
      </c>
      <c r="S305" s="154">
        <f t="shared" si="2"/>
        <v>12</v>
      </c>
      <c r="T305" s="153" t="str">
        <f t="shared" si="3"/>
        <v>2023-Q4</v>
      </c>
      <c r="U305" s="153" t="str">
        <f t="shared" si="4"/>
        <v>2023-12</v>
      </c>
      <c r="V305" s="155" t="str">
        <f t="shared" si="5"/>
        <v>2023-H2</v>
      </c>
      <c r="W305" s="158" t="s">
        <v>2654</v>
      </c>
    </row>
    <row r="306">
      <c r="A306" s="139">
        <f>HYPERLINK("https://polkadot.subsquare.io/referenda/298", 298)</f>
        <v>298</v>
      </c>
      <c r="B306" s="140" t="s">
        <v>294</v>
      </c>
      <c r="C306" s="140" t="s">
        <v>2681</v>
      </c>
      <c r="D306" s="141">
        <v>32000.0</v>
      </c>
      <c r="E306" s="142">
        <v>164276.4129638672</v>
      </c>
      <c r="F306" s="140" t="s">
        <v>2683</v>
      </c>
      <c r="G306" s="143">
        <v>4.258797100522304E7</v>
      </c>
      <c r="H306" s="143">
        <v>1.2455107305116015E7</v>
      </c>
      <c r="I306" s="144">
        <v>45251.0</v>
      </c>
      <c r="J306" s="144">
        <v>45270.0</v>
      </c>
      <c r="K306" s="145">
        <v>243525.69580078125</v>
      </c>
      <c r="L306" s="114" t="s">
        <v>137</v>
      </c>
      <c r="M306" s="114" t="s">
        <v>254</v>
      </c>
      <c r="N306" s="108"/>
      <c r="O306" s="108"/>
      <c r="P306" s="108"/>
      <c r="Q306" s="108"/>
      <c r="R306" s="108" t="str">
        <f t="shared" si="1"/>
        <v>2023</v>
      </c>
      <c r="S306" s="110">
        <f t="shared" si="2"/>
        <v>12</v>
      </c>
      <c r="T306" s="108" t="str">
        <f t="shared" si="3"/>
        <v>2023-Q4</v>
      </c>
      <c r="U306" s="108" t="str">
        <f t="shared" si="4"/>
        <v>2023-12</v>
      </c>
      <c r="V306" s="112" t="str">
        <f t="shared" si="5"/>
        <v>2023-H2</v>
      </c>
      <c r="W306" s="112"/>
    </row>
    <row r="307">
      <c r="A307" s="146">
        <f>HYPERLINK("https://polkadot.subsquare.io/referenda/299", 299)</f>
        <v>299</v>
      </c>
      <c r="B307" s="147" t="s">
        <v>2848</v>
      </c>
      <c r="C307" s="147" t="s">
        <v>2672</v>
      </c>
      <c r="D307" s="148">
        <v>28489.0</v>
      </c>
      <c r="E307" s="149">
        <v>149377.56803750992</v>
      </c>
      <c r="F307" s="147" t="s">
        <v>2683</v>
      </c>
      <c r="G307" s="150">
        <v>4.0819009214806415E7</v>
      </c>
      <c r="H307" s="150">
        <v>6.712509456636864E7</v>
      </c>
      <c r="I307" s="151">
        <v>45251.0</v>
      </c>
      <c r="J307" s="151">
        <v>45279.0</v>
      </c>
      <c r="K307" s="152">
        <v>227032.60002565384</v>
      </c>
      <c r="L307" s="117" t="s">
        <v>2673</v>
      </c>
      <c r="M307" s="117" t="s">
        <v>2673</v>
      </c>
      <c r="N307" s="153"/>
      <c r="O307" s="153"/>
      <c r="P307" s="153"/>
      <c r="Q307" s="153"/>
      <c r="R307" s="153" t="str">
        <f t="shared" si="1"/>
        <v>2023</v>
      </c>
      <c r="S307" s="154">
        <f t="shared" si="2"/>
        <v>12</v>
      </c>
      <c r="T307" s="153" t="str">
        <f t="shared" si="3"/>
        <v>2023-Q4</v>
      </c>
      <c r="U307" s="153" t="str">
        <f t="shared" si="4"/>
        <v>2023-12</v>
      </c>
      <c r="V307" s="155" t="str">
        <f t="shared" si="5"/>
        <v>2023-H2</v>
      </c>
      <c r="W307" s="155"/>
    </row>
    <row r="308">
      <c r="A308" s="139">
        <f>HYPERLINK("https://polkadot.subsquare.io/referenda/300", 300)</f>
        <v>300</v>
      </c>
      <c r="B308" s="140" t="s">
        <v>2849</v>
      </c>
      <c r="C308" s="140" t="s">
        <v>2672</v>
      </c>
      <c r="D308" s="141">
        <v>8842.0</v>
      </c>
      <c r="E308" s="142">
        <v>46361.629281044006</v>
      </c>
      <c r="F308" s="140" t="s">
        <v>2678</v>
      </c>
      <c r="G308" s="143">
        <v>5732.8372980983</v>
      </c>
      <c r="H308" s="143">
        <v>1.4985053701613016E7</v>
      </c>
      <c r="I308" s="144">
        <v>45251.0</v>
      </c>
      <c r="J308" s="144">
        <v>45279.0</v>
      </c>
      <c r="K308" s="145">
        <v>70463.06467151642</v>
      </c>
      <c r="L308" s="114" t="s">
        <v>2673</v>
      </c>
      <c r="M308" s="114" t="s">
        <v>2673</v>
      </c>
      <c r="N308" s="108"/>
      <c r="O308" s="108"/>
      <c r="P308" s="108"/>
      <c r="Q308" s="108"/>
      <c r="R308" s="108" t="str">
        <f t="shared" si="1"/>
        <v>2023</v>
      </c>
      <c r="S308" s="110">
        <f t="shared" si="2"/>
        <v>12</v>
      </c>
      <c r="T308" s="108" t="str">
        <f t="shared" si="3"/>
        <v>2023-Q4</v>
      </c>
      <c r="U308" s="108" t="str">
        <f t="shared" si="4"/>
        <v>2023-12</v>
      </c>
      <c r="V308" s="112" t="str">
        <f t="shared" si="5"/>
        <v>2023-H2</v>
      </c>
      <c r="W308" s="112"/>
    </row>
    <row r="309">
      <c r="A309" s="146">
        <f>HYPERLINK("https://polkadot.subsquare.io/referenda/301", 301)</f>
        <v>301</v>
      </c>
      <c r="B309" s="147" t="s">
        <v>2850</v>
      </c>
      <c r="C309" s="147" t="s">
        <v>2672</v>
      </c>
      <c r="D309" s="148">
        <v>0.0</v>
      </c>
      <c r="E309" s="149">
        <v>0.0</v>
      </c>
      <c r="F309" s="147" t="s">
        <v>2683</v>
      </c>
      <c r="G309" s="150">
        <v>104439.4898</v>
      </c>
      <c r="H309" s="150">
        <v>1.4732238635625483E7</v>
      </c>
      <c r="I309" s="151">
        <v>45251.0</v>
      </c>
      <c r="J309" s="151">
        <v>45279.0</v>
      </c>
      <c r="K309" s="152">
        <v>0.0</v>
      </c>
      <c r="L309" s="117" t="s">
        <v>2673</v>
      </c>
      <c r="M309" s="117" t="s">
        <v>2673</v>
      </c>
      <c r="N309" s="153"/>
      <c r="O309" s="153"/>
      <c r="P309" s="153"/>
      <c r="Q309" s="153"/>
      <c r="R309" s="153" t="str">
        <f t="shared" si="1"/>
        <v>2023</v>
      </c>
      <c r="S309" s="154">
        <f t="shared" si="2"/>
        <v>12</v>
      </c>
      <c r="T309" s="153" t="str">
        <f t="shared" si="3"/>
        <v>2023-Q4</v>
      </c>
      <c r="U309" s="153" t="str">
        <f t="shared" si="4"/>
        <v>2023-12</v>
      </c>
      <c r="V309" s="155" t="str">
        <f t="shared" si="5"/>
        <v>2023-H2</v>
      </c>
      <c r="W309" s="155"/>
    </row>
    <row r="310">
      <c r="A310" s="139">
        <f>HYPERLINK("https://polkadot.subsquare.io/referenda/302", 302)</f>
        <v>302</v>
      </c>
      <c r="B310" s="140" t="s">
        <v>295</v>
      </c>
      <c r="C310" s="140" t="s">
        <v>2681</v>
      </c>
      <c r="D310" s="141">
        <v>125484.0</v>
      </c>
      <c r="E310" s="142">
        <v>657955.5178356171</v>
      </c>
      <c r="F310" s="140" t="s">
        <v>2676</v>
      </c>
      <c r="G310" s="143">
        <v>4.465946919095604E7</v>
      </c>
      <c r="H310" s="143">
        <v>1.2955056471889194E7</v>
      </c>
      <c r="I310" s="144">
        <v>45251.0</v>
      </c>
      <c r="J310" s="144">
        <v>45275.0</v>
      </c>
      <c r="K310" s="145">
        <v>852314.0514621735</v>
      </c>
      <c r="L310" s="114" t="s">
        <v>81</v>
      </c>
      <c r="M310" s="114" t="s">
        <v>146</v>
      </c>
      <c r="N310" s="108"/>
      <c r="O310" s="108"/>
      <c r="P310" s="108"/>
      <c r="Q310" s="108"/>
      <c r="R310" s="108" t="str">
        <f t="shared" si="1"/>
        <v>2023</v>
      </c>
      <c r="S310" s="110">
        <f t="shared" si="2"/>
        <v>12</v>
      </c>
      <c r="T310" s="108" t="str">
        <f t="shared" si="3"/>
        <v>2023-Q4</v>
      </c>
      <c r="U310" s="108" t="str">
        <f t="shared" si="4"/>
        <v>2023-12</v>
      </c>
      <c r="V310" s="112" t="str">
        <f t="shared" si="5"/>
        <v>2023-H2</v>
      </c>
      <c r="W310" s="112"/>
    </row>
    <row r="311">
      <c r="A311" s="146">
        <f>HYPERLINK("https://polkadot.subsquare.io/referenda/303", 303)</f>
        <v>303</v>
      </c>
      <c r="B311" s="147" t="s">
        <v>2851</v>
      </c>
      <c r="C311" s="147" t="s">
        <v>2672</v>
      </c>
      <c r="D311" s="148">
        <v>200.0</v>
      </c>
      <c r="E311" s="149">
        <v>1048.668384552002</v>
      </c>
      <c r="F311" s="147" t="s">
        <v>186</v>
      </c>
      <c r="G311" s="150">
        <v>446964.1980092828</v>
      </c>
      <c r="H311" s="150">
        <v>1160084.067439429</v>
      </c>
      <c r="I311" s="151">
        <v>45251.0</v>
      </c>
      <c r="J311" s="151">
        <v>45258.0</v>
      </c>
      <c r="K311" s="152">
        <v>1095.0079917907715</v>
      </c>
      <c r="L311" s="117" t="s">
        <v>2673</v>
      </c>
      <c r="M311" s="117" t="s">
        <v>2673</v>
      </c>
      <c r="N311" s="153"/>
      <c r="O311" s="153"/>
      <c r="P311" s="153"/>
      <c r="Q311" s="153"/>
      <c r="R311" s="153" t="str">
        <f t="shared" si="1"/>
        <v>2023</v>
      </c>
      <c r="S311" s="154">
        <f t="shared" si="2"/>
        <v>11</v>
      </c>
      <c r="T311" s="153" t="str">
        <f t="shared" si="3"/>
        <v>2023-Q4</v>
      </c>
      <c r="U311" s="153" t="str">
        <f t="shared" si="4"/>
        <v>2023-11</v>
      </c>
      <c r="V311" s="155" t="str">
        <f t="shared" si="5"/>
        <v>2023-H2</v>
      </c>
      <c r="W311" s="155"/>
    </row>
    <row r="312">
      <c r="A312" s="139">
        <f>HYPERLINK("https://polkadot.subsquare.io/referenda/304", 304)</f>
        <v>304</v>
      </c>
      <c r="B312" s="140" t="s">
        <v>297</v>
      </c>
      <c r="C312" s="140" t="s">
        <v>2681</v>
      </c>
      <c r="D312" s="141">
        <v>47837.0</v>
      </c>
      <c r="E312" s="142">
        <v>250825.7475590706</v>
      </c>
      <c r="F312" s="140" t="s">
        <v>2683</v>
      </c>
      <c r="G312" s="143">
        <v>4.967111193559184E7</v>
      </c>
      <c r="H312" s="143">
        <v>3.845368625001785E7</v>
      </c>
      <c r="I312" s="144">
        <v>45251.0</v>
      </c>
      <c r="J312" s="144">
        <v>45274.0</v>
      </c>
      <c r="K312" s="145">
        <v>338968.53231811523</v>
      </c>
      <c r="L312" s="114" t="s">
        <v>137</v>
      </c>
      <c r="M312" s="114" t="s">
        <v>296</v>
      </c>
      <c r="N312" s="108"/>
      <c r="O312" s="108"/>
      <c r="P312" s="108"/>
      <c r="Q312" s="108"/>
      <c r="R312" s="108" t="str">
        <f t="shared" si="1"/>
        <v>2023</v>
      </c>
      <c r="S312" s="110">
        <f t="shared" si="2"/>
        <v>12</v>
      </c>
      <c r="T312" s="108" t="str">
        <f t="shared" si="3"/>
        <v>2023-Q4</v>
      </c>
      <c r="U312" s="108" t="str">
        <f t="shared" si="4"/>
        <v>2023-12</v>
      </c>
      <c r="V312" s="112" t="str">
        <f t="shared" si="5"/>
        <v>2023-H2</v>
      </c>
      <c r="W312" s="112"/>
    </row>
    <row r="313">
      <c r="A313" s="146">
        <f>HYPERLINK("https://polkadot.subsquare.io/referenda/305", 305)</f>
        <v>305</v>
      </c>
      <c r="B313" s="147" t="s">
        <v>2842</v>
      </c>
      <c r="C313" s="147" t="s">
        <v>2672</v>
      </c>
      <c r="D313" s="148">
        <v>11877.0</v>
      </c>
      <c r="E313" s="149">
        <v>62275.172016620636</v>
      </c>
      <c r="F313" s="147" t="s">
        <v>2683</v>
      </c>
      <c r="G313" s="150">
        <v>30700.1</v>
      </c>
      <c r="H313" s="150">
        <v>1.4889755656037E7</v>
      </c>
      <c r="I313" s="151">
        <v>45251.0</v>
      </c>
      <c r="J313" s="151">
        <v>45280.0</v>
      </c>
      <c r="K313" s="152">
        <v>94649.38012933731</v>
      </c>
      <c r="L313" s="117" t="s">
        <v>2673</v>
      </c>
      <c r="M313" s="117" t="s">
        <v>2673</v>
      </c>
      <c r="N313" s="153"/>
      <c r="O313" s="153"/>
      <c r="P313" s="153"/>
      <c r="Q313" s="153"/>
      <c r="R313" s="153" t="str">
        <f t="shared" si="1"/>
        <v>2023</v>
      </c>
      <c r="S313" s="154">
        <f t="shared" si="2"/>
        <v>12</v>
      </c>
      <c r="T313" s="153" t="str">
        <f t="shared" si="3"/>
        <v>2023-Q4</v>
      </c>
      <c r="U313" s="153" t="str">
        <f t="shared" si="4"/>
        <v>2023-12</v>
      </c>
      <c r="V313" s="155" t="str">
        <f t="shared" si="5"/>
        <v>2023-H2</v>
      </c>
      <c r="W313" s="158" t="s">
        <v>2654</v>
      </c>
    </row>
    <row r="314">
      <c r="A314" s="139">
        <f>HYPERLINK("https://polkadot.subsquare.io/referenda/306", 306)</f>
        <v>306</v>
      </c>
      <c r="B314" s="140" t="s">
        <v>2852</v>
      </c>
      <c r="C314" s="140" t="s">
        <v>2681</v>
      </c>
      <c r="D314" s="141">
        <v>0.0</v>
      </c>
      <c r="E314" s="142">
        <v>0.0</v>
      </c>
      <c r="F314" s="140" t="s">
        <v>2683</v>
      </c>
      <c r="G314" s="143">
        <v>1.4313621314417174E7</v>
      </c>
      <c r="H314" s="143">
        <v>741892.3146520681</v>
      </c>
      <c r="I314" s="144">
        <v>45252.0</v>
      </c>
      <c r="J314" s="144">
        <v>45277.0</v>
      </c>
      <c r="K314" s="145">
        <v>0.0</v>
      </c>
      <c r="L314" s="114" t="s">
        <v>2673</v>
      </c>
      <c r="M314" s="114" t="s">
        <v>2673</v>
      </c>
      <c r="N314" s="108"/>
      <c r="O314" s="108"/>
      <c r="P314" s="108"/>
      <c r="Q314" s="108"/>
      <c r="R314" s="108" t="str">
        <f t="shared" si="1"/>
        <v>2023</v>
      </c>
      <c r="S314" s="110">
        <f t="shared" si="2"/>
        <v>12</v>
      </c>
      <c r="T314" s="108" t="str">
        <f t="shared" si="3"/>
        <v>2023-Q4</v>
      </c>
      <c r="U314" s="108" t="str">
        <f t="shared" si="4"/>
        <v>2023-12</v>
      </c>
      <c r="V314" s="112" t="str">
        <f t="shared" si="5"/>
        <v>2023-H2</v>
      </c>
      <c r="W314" s="112"/>
    </row>
    <row r="315">
      <c r="A315" s="146">
        <f>HYPERLINK("https://polkadot.subsquare.io/referenda/307", 307)</f>
        <v>307</v>
      </c>
      <c r="B315" s="147" t="s">
        <v>298</v>
      </c>
      <c r="C315" s="147" t="s">
        <v>2681</v>
      </c>
      <c r="D315" s="148">
        <v>3.0</v>
      </c>
      <c r="E315" s="149">
        <v>15.990258693695068</v>
      </c>
      <c r="F315" s="147" t="s">
        <v>186</v>
      </c>
      <c r="G315" s="150">
        <v>2062021.4808090366</v>
      </c>
      <c r="H315" s="150">
        <v>1904666.5772655963</v>
      </c>
      <c r="I315" s="151">
        <v>45252.0</v>
      </c>
      <c r="J315" s="151">
        <v>45264.0</v>
      </c>
      <c r="K315" s="152">
        <v>18.73999786376953</v>
      </c>
      <c r="L315" s="117" t="s">
        <v>137</v>
      </c>
      <c r="M315" s="117" t="s">
        <v>138</v>
      </c>
      <c r="N315" s="153"/>
      <c r="O315" s="153"/>
      <c r="P315" s="153"/>
      <c r="Q315" s="153"/>
      <c r="R315" s="153" t="str">
        <f t="shared" si="1"/>
        <v>2023</v>
      </c>
      <c r="S315" s="154">
        <f t="shared" si="2"/>
        <v>12</v>
      </c>
      <c r="T315" s="153" t="str">
        <f t="shared" si="3"/>
        <v>2023-Q4</v>
      </c>
      <c r="U315" s="153" t="str">
        <f t="shared" si="4"/>
        <v>2023-12</v>
      </c>
      <c r="V315" s="155" t="str">
        <f t="shared" si="5"/>
        <v>2023-H2</v>
      </c>
      <c r="W315" s="155"/>
    </row>
    <row r="316">
      <c r="A316" s="139">
        <f>HYPERLINK("https://polkadot.subsquare.io/referenda/308", 308)</f>
        <v>308</v>
      </c>
      <c r="B316" s="140" t="s">
        <v>2853</v>
      </c>
      <c r="C316" s="140" t="s">
        <v>2691</v>
      </c>
      <c r="D316" s="141">
        <v>8300.0</v>
      </c>
      <c r="E316" s="142">
        <v>44239.71571922302</v>
      </c>
      <c r="F316" s="140" t="s">
        <v>2678</v>
      </c>
      <c r="G316" s="143">
        <v>0.0</v>
      </c>
      <c r="H316" s="143">
        <v>1.2043104141175348E7</v>
      </c>
      <c r="I316" s="144">
        <v>45253.0</v>
      </c>
      <c r="J316" s="144">
        <v>45267.0</v>
      </c>
      <c r="K316" s="145">
        <v>59076.24592781067</v>
      </c>
      <c r="L316" s="114" t="s">
        <v>2673</v>
      </c>
      <c r="M316" s="114" t="s">
        <v>2673</v>
      </c>
      <c r="N316" s="108"/>
      <c r="O316" s="108"/>
      <c r="P316" s="108"/>
      <c r="Q316" s="108"/>
      <c r="R316" s="108" t="str">
        <f t="shared" si="1"/>
        <v>2023</v>
      </c>
      <c r="S316" s="110">
        <f t="shared" si="2"/>
        <v>12</v>
      </c>
      <c r="T316" s="108" t="str">
        <f t="shared" si="3"/>
        <v>2023-Q4</v>
      </c>
      <c r="U316" s="108" t="str">
        <f t="shared" si="4"/>
        <v>2023-12</v>
      </c>
      <c r="V316" s="112" t="str">
        <f t="shared" si="5"/>
        <v>2023-H2</v>
      </c>
      <c r="W316" s="112"/>
    </row>
    <row r="317">
      <c r="A317" s="146">
        <f>HYPERLINK("https://polkadot.subsquare.io/referenda/309", 309)</f>
        <v>309</v>
      </c>
      <c r="B317" s="147" t="s">
        <v>2854</v>
      </c>
      <c r="C317" s="147" t="s">
        <v>2672</v>
      </c>
      <c r="D317" s="148">
        <v>572.63</v>
      </c>
      <c r="E317" s="149">
        <v>3049.3286376714705</v>
      </c>
      <c r="F317" s="147" t="s">
        <v>2699</v>
      </c>
      <c r="G317" s="150">
        <v>65403.9885414647</v>
      </c>
      <c r="H317" s="150">
        <v>5150529.064133251</v>
      </c>
      <c r="I317" s="151">
        <v>45253.0</v>
      </c>
      <c r="J317" s="151">
        <v>45260.0</v>
      </c>
      <c r="K317" s="152">
        <v>3176.135282006264</v>
      </c>
      <c r="L317" s="117" t="s">
        <v>2673</v>
      </c>
      <c r="M317" s="117" t="s">
        <v>2673</v>
      </c>
      <c r="N317" s="153"/>
      <c r="O317" s="153"/>
      <c r="P317" s="153"/>
      <c r="Q317" s="153"/>
      <c r="R317" s="153" t="str">
        <f t="shared" si="1"/>
        <v>2023</v>
      </c>
      <c r="S317" s="154">
        <f t="shared" si="2"/>
        <v>11</v>
      </c>
      <c r="T317" s="153" t="str">
        <f t="shared" si="3"/>
        <v>2023-Q4</v>
      </c>
      <c r="U317" s="153" t="str">
        <f t="shared" si="4"/>
        <v>2023-11</v>
      </c>
      <c r="V317" s="155" t="str">
        <f t="shared" si="5"/>
        <v>2023-H2</v>
      </c>
      <c r="W317" s="155"/>
    </row>
    <row r="318">
      <c r="A318" s="139">
        <f>HYPERLINK("https://polkadot.subsquare.io/referenda/310", 310)</f>
        <v>310</v>
      </c>
      <c r="B318" s="140" t="s">
        <v>299</v>
      </c>
      <c r="C318" s="140" t="s">
        <v>2681</v>
      </c>
      <c r="D318" s="141">
        <v>79975.0</v>
      </c>
      <c r="E318" s="142">
        <v>412789.20645713806</v>
      </c>
      <c r="F318" s="140" t="s">
        <v>2683</v>
      </c>
      <c r="G318" s="143">
        <v>4.4187135340540595E7</v>
      </c>
      <c r="H318" s="143">
        <v>2880687.5613671164</v>
      </c>
      <c r="I318" s="144">
        <v>45254.0</v>
      </c>
      <c r="J318" s="144">
        <v>45273.0</v>
      </c>
      <c r="K318" s="145">
        <v>556365.502512455</v>
      </c>
      <c r="L318" s="114" t="s">
        <v>81</v>
      </c>
      <c r="M318" s="114" t="s">
        <v>146</v>
      </c>
      <c r="N318" s="108"/>
      <c r="O318" s="108"/>
      <c r="P318" s="108"/>
      <c r="Q318" s="108"/>
      <c r="R318" s="108" t="str">
        <f t="shared" si="1"/>
        <v>2023</v>
      </c>
      <c r="S318" s="110">
        <f t="shared" si="2"/>
        <v>12</v>
      </c>
      <c r="T318" s="108" t="str">
        <f t="shared" si="3"/>
        <v>2023-Q4</v>
      </c>
      <c r="U318" s="108" t="str">
        <f t="shared" si="4"/>
        <v>2023-12</v>
      </c>
      <c r="V318" s="112" t="str">
        <f t="shared" si="5"/>
        <v>2023-H2</v>
      </c>
      <c r="W318" s="112"/>
    </row>
    <row r="319">
      <c r="A319" s="146">
        <f>HYPERLINK("https://polkadot.subsquare.io/referenda/311", 311)</f>
        <v>311</v>
      </c>
      <c r="B319" s="147" t="s">
        <v>300</v>
      </c>
      <c r="C319" s="147" t="s">
        <v>2681</v>
      </c>
      <c r="D319" s="148">
        <v>78676.0</v>
      </c>
      <c r="E319" s="149">
        <v>406084.44647979736</v>
      </c>
      <c r="F319" s="147" t="s">
        <v>2683</v>
      </c>
      <c r="G319" s="150">
        <v>5.226050330335246E7</v>
      </c>
      <c r="H319" s="150">
        <v>3533785.757928237</v>
      </c>
      <c r="I319" s="151">
        <v>45255.0</v>
      </c>
      <c r="J319" s="151">
        <v>45273.0</v>
      </c>
      <c r="K319" s="152">
        <v>547328.6936626434</v>
      </c>
      <c r="L319" s="117" t="s">
        <v>84</v>
      </c>
      <c r="M319" s="117" t="s">
        <v>154</v>
      </c>
      <c r="N319" s="153"/>
      <c r="O319" s="153"/>
      <c r="P319" s="153"/>
      <c r="Q319" s="153"/>
      <c r="R319" s="153" t="str">
        <f t="shared" si="1"/>
        <v>2023</v>
      </c>
      <c r="S319" s="154">
        <f t="shared" si="2"/>
        <v>12</v>
      </c>
      <c r="T319" s="153" t="str">
        <f t="shared" si="3"/>
        <v>2023-Q4</v>
      </c>
      <c r="U319" s="153" t="str">
        <f t="shared" si="4"/>
        <v>2023-12</v>
      </c>
      <c r="V319" s="155" t="str">
        <f t="shared" si="5"/>
        <v>2023-H2</v>
      </c>
      <c r="W319" s="155"/>
    </row>
    <row r="320">
      <c r="A320" s="139">
        <f>HYPERLINK("https://polkadot.subsquare.io/referenda/312", 312)</f>
        <v>312</v>
      </c>
      <c r="B320" s="140" t="s">
        <v>301</v>
      </c>
      <c r="C320" s="140" t="s">
        <v>2681</v>
      </c>
      <c r="D320" s="141">
        <v>70475.0</v>
      </c>
      <c r="E320" s="142">
        <v>371451.0351061821</v>
      </c>
      <c r="F320" s="140" t="s">
        <v>2683</v>
      </c>
      <c r="G320" s="143">
        <v>1.570833500163753E7</v>
      </c>
      <c r="H320" s="143">
        <v>1922098.1391802235</v>
      </c>
      <c r="I320" s="144">
        <v>45255.0</v>
      </c>
      <c r="J320" s="144">
        <v>45279.0</v>
      </c>
      <c r="K320" s="145">
        <v>561624.5739340782</v>
      </c>
      <c r="L320" s="114" t="s">
        <v>81</v>
      </c>
      <c r="M320" s="114" t="s">
        <v>140</v>
      </c>
      <c r="N320" s="108"/>
      <c r="O320" s="108"/>
      <c r="P320" s="108"/>
      <c r="Q320" s="108"/>
      <c r="R320" s="108" t="str">
        <f t="shared" si="1"/>
        <v>2023</v>
      </c>
      <c r="S320" s="110">
        <f t="shared" si="2"/>
        <v>12</v>
      </c>
      <c r="T320" s="108" t="str">
        <f t="shared" si="3"/>
        <v>2023-Q4</v>
      </c>
      <c r="U320" s="108" t="str">
        <f t="shared" si="4"/>
        <v>2023-12</v>
      </c>
      <c r="V320" s="112" t="str">
        <f t="shared" si="5"/>
        <v>2023-H2</v>
      </c>
      <c r="W320" s="112"/>
    </row>
    <row r="321">
      <c r="A321" s="146">
        <f>HYPERLINK("https://polkadot.subsquare.io/referenda/313", 313)</f>
        <v>313</v>
      </c>
      <c r="B321" s="147" t="s">
        <v>2855</v>
      </c>
      <c r="C321" s="147" t="s">
        <v>2672</v>
      </c>
      <c r="D321" s="148">
        <v>999.99</v>
      </c>
      <c r="E321" s="149">
        <v>5270.625336585045</v>
      </c>
      <c r="F321" s="147" t="s">
        <v>2699</v>
      </c>
      <c r="G321" s="150">
        <v>6228798.944682249</v>
      </c>
      <c r="H321" s="150">
        <v>9559054.407856146</v>
      </c>
      <c r="I321" s="151">
        <v>45255.0</v>
      </c>
      <c r="J321" s="151">
        <v>45262.0</v>
      </c>
      <c r="K321" s="152">
        <v>5911.51286380291</v>
      </c>
      <c r="L321" s="117" t="s">
        <v>2673</v>
      </c>
      <c r="M321" s="117" t="s">
        <v>2673</v>
      </c>
      <c r="N321" s="153"/>
      <c r="O321" s="153"/>
      <c r="P321" s="153"/>
      <c r="Q321" s="153"/>
      <c r="R321" s="153" t="str">
        <f t="shared" si="1"/>
        <v>2023</v>
      </c>
      <c r="S321" s="154">
        <f t="shared" si="2"/>
        <v>12</v>
      </c>
      <c r="T321" s="153" t="str">
        <f t="shared" si="3"/>
        <v>2023-Q4</v>
      </c>
      <c r="U321" s="153" t="str">
        <f t="shared" si="4"/>
        <v>2023-12</v>
      </c>
      <c r="V321" s="155" t="str">
        <f t="shared" si="5"/>
        <v>2023-H2</v>
      </c>
      <c r="W321" s="155"/>
    </row>
    <row r="322">
      <c r="A322" s="139">
        <f>HYPERLINK("https://polkadot.subsquare.io/referenda/314", 314)</f>
        <v>314</v>
      </c>
      <c r="B322" s="140" t="s">
        <v>2856</v>
      </c>
      <c r="C322" s="140" t="s">
        <v>2691</v>
      </c>
      <c r="D322" s="141">
        <v>100.0</v>
      </c>
      <c r="E322" s="142">
        <v>527.0678043365479</v>
      </c>
      <c r="F322" s="140" t="s">
        <v>186</v>
      </c>
      <c r="G322" s="143">
        <v>16010.0</v>
      </c>
      <c r="H322" s="143">
        <v>9081070.894132078</v>
      </c>
      <c r="I322" s="144">
        <v>45255.0</v>
      </c>
      <c r="J322" s="144">
        <v>45269.0</v>
      </c>
      <c r="K322" s="145">
        <v>712.3778820037842</v>
      </c>
      <c r="L322" s="114" t="s">
        <v>2673</v>
      </c>
      <c r="M322" s="114" t="s">
        <v>2673</v>
      </c>
      <c r="N322" s="108"/>
      <c r="O322" s="108"/>
      <c r="P322" s="108"/>
      <c r="Q322" s="108"/>
      <c r="R322" s="108" t="str">
        <f t="shared" si="1"/>
        <v>2023</v>
      </c>
      <c r="S322" s="110">
        <f t="shared" si="2"/>
        <v>12</v>
      </c>
      <c r="T322" s="108" t="str">
        <f t="shared" si="3"/>
        <v>2023-Q4</v>
      </c>
      <c r="U322" s="108" t="str">
        <f t="shared" si="4"/>
        <v>2023-12</v>
      </c>
      <c r="V322" s="112" t="str">
        <f t="shared" si="5"/>
        <v>2023-H2</v>
      </c>
      <c r="W322" s="156" t="s">
        <v>2654</v>
      </c>
    </row>
    <row r="323">
      <c r="A323" s="146">
        <f>HYPERLINK("https://polkadot.subsquare.io/referenda/315", 315)</f>
        <v>315</v>
      </c>
      <c r="B323" s="147" t="s">
        <v>2856</v>
      </c>
      <c r="C323" s="147" t="s">
        <v>2691</v>
      </c>
      <c r="D323" s="148">
        <v>100.0</v>
      </c>
      <c r="E323" s="149">
        <v>527.0678043365479</v>
      </c>
      <c r="F323" s="147" t="s">
        <v>186</v>
      </c>
      <c r="G323" s="150">
        <v>15000.0</v>
      </c>
      <c r="H323" s="150">
        <v>9079163.107378144</v>
      </c>
      <c r="I323" s="151">
        <v>45255.0</v>
      </c>
      <c r="J323" s="151">
        <v>45269.0</v>
      </c>
      <c r="K323" s="152">
        <v>712.3778820037842</v>
      </c>
      <c r="L323" s="117" t="s">
        <v>2673</v>
      </c>
      <c r="M323" s="117" t="s">
        <v>2673</v>
      </c>
      <c r="N323" s="153"/>
      <c r="O323" s="153"/>
      <c r="P323" s="153"/>
      <c r="Q323" s="153"/>
      <c r="R323" s="153" t="str">
        <f t="shared" si="1"/>
        <v>2023</v>
      </c>
      <c r="S323" s="154">
        <f t="shared" si="2"/>
        <v>12</v>
      </c>
      <c r="T323" s="153" t="str">
        <f t="shared" si="3"/>
        <v>2023-Q4</v>
      </c>
      <c r="U323" s="153" t="str">
        <f t="shared" si="4"/>
        <v>2023-12</v>
      </c>
      <c r="V323" s="155" t="str">
        <f t="shared" si="5"/>
        <v>2023-H2</v>
      </c>
      <c r="W323" s="158" t="s">
        <v>2654</v>
      </c>
    </row>
    <row r="324">
      <c r="A324" s="139">
        <f>HYPERLINK("https://polkadot.subsquare.io/referenda/316", 316)</f>
        <v>316</v>
      </c>
      <c r="B324" s="140" t="s">
        <v>2856</v>
      </c>
      <c r="C324" s="140" t="s">
        <v>2691</v>
      </c>
      <c r="D324" s="141">
        <v>100.0</v>
      </c>
      <c r="E324" s="142">
        <v>527.0678043365479</v>
      </c>
      <c r="F324" s="140" t="s">
        <v>186</v>
      </c>
      <c r="G324" s="143">
        <v>15021.1</v>
      </c>
      <c r="H324" s="143">
        <v>9066651.136159636</v>
      </c>
      <c r="I324" s="144">
        <v>45255.0</v>
      </c>
      <c r="J324" s="144">
        <v>45269.0</v>
      </c>
      <c r="K324" s="145">
        <v>712.3778820037842</v>
      </c>
      <c r="L324" s="114" t="s">
        <v>2673</v>
      </c>
      <c r="M324" s="114" t="s">
        <v>2673</v>
      </c>
      <c r="N324" s="108"/>
      <c r="O324" s="108"/>
      <c r="P324" s="108"/>
      <c r="Q324" s="108"/>
      <c r="R324" s="108" t="str">
        <f t="shared" si="1"/>
        <v>2023</v>
      </c>
      <c r="S324" s="110">
        <f t="shared" si="2"/>
        <v>12</v>
      </c>
      <c r="T324" s="108" t="str">
        <f t="shared" si="3"/>
        <v>2023-Q4</v>
      </c>
      <c r="U324" s="108" t="str">
        <f t="shared" si="4"/>
        <v>2023-12</v>
      </c>
      <c r="V324" s="112" t="str">
        <f t="shared" si="5"/>
        <v>2023-H2</v>
      </c>
      <c r="W324" s="156" t="s">
        <v>2654</v>
      </c>
    </row>
    <row r="325">
      <c r="A325" s="146">
        <f>HYPERLINK("https://polkadot.subsquare.io/referenda/317", 317)</f>
        <v>317</v>
      </c>
      <c r="B325" s="147" t="s">
        <v>2856</v>
      </c>
      <c r="C325" s="147" t="s">
        <v>2691</v>
      </c>
      <c r="D325" s="148">
        <v>100.0</v>
      </c>
      <c r="E325" s="149">
        <v>527.0678043365479</v>
      </c>
      <c r="F325" s="147" t="s">
        <v>186</v>
      </c>
      <c r="G325" s="150">
        <v>35000.00000001</v>
      </c>
      <c r="H325" s="150">
        <v>9056271.240118047</v>
      </c>
      <c r="I325" s="151">
        <v>45255.0</v>
      </c>
      <c r="J325" s="151">
        <v>45269.0</v>
      </c>
      <c r="K325" s="152">
        <v>712.3778820037842</v>
      </c>
      <c r="L325" s="117" t="s">
        <v>2673</v>
      </c>
      <c r="M325" s="117" t="s">
        <v>2673</v>
      </c>
      <c r="N325" s="153"/>
      <c r="O325" s="153"/>
      <c r="P325" s="153"/>
      <c r="Q325" s="153"/>
      <c r="R325" s="153" t="str">
        <f t="shared" si="1"/>
        <v>2023</v>
      </c>
      <c r="S325" s="154">
        <f t="shared" si="2"/>
        <v>12</v>
      </c>
      <c r="T325" s="153" t="str">
        <f t="shared" si="3"/>
        <v>2023-Q4</v>
      </c>
      <c r="U325" s="153" t="str">
        <f t="shared" si="4"/>
        <v>2023-12</v>
      </c>
      <c r="V325" s="155" t="str">
        <f t="shared" si="5"/>
        <v>2023-H2</v>
      </c>
      <c r="W325" s="158" t="s">
        <v>2654</v>
      </c>
    </row>
    <row r="326">
      <c r="A326" s="139">
        <f>HYPERLINK("https://polkadot.subsquare.io/referenda/318", 318)</f>
        <v>318</v>
      </c>
      <c r="B326" s="140" t="s">
        <v>2856</v>
      </c>
      <c r="C326" s="140" t="s">
        <v>2691</v>
      </c>
      <c r="D326" s="141">
        <v>100.0</v>
      </c>
      <c r="E326" s="142">
        <v>527.0678043365479</v>
      </c>
      <c r="F326" s="140" t="s">
        <v>186</v>
      </c>
      <c r="G326" s="143">
        <v>0.0</v>
      </c>
      <c r="H326" s="143">
        <v>9072226.717987042</v>
      </c>
      <c r="I326" s="144">
        <v>45255.0</v>
      </c>
      <c r="J326" s="144">
        <v>45269.0</v>
      </c>
      <c r="K326" s="145">
        <v>712.3778820037842</v>
      </c>
      <c r="L326" s="114" t="s">
        <v>2673</v>
      </c>
      <c r="M326" s="114" t="s">
        <v>2673</v>
      </c>
      <c r="N326" s="108"/>
      <c r="O326" s="108"/>
      <c r="P326" s="108"/>
      <c r="Q326" s="108"/>
      <c r="R326" s="108" t="str">
        <f t="shared" si="1"/>
        <v>2023</v>
      </c>
      <c r="S326" s="110">
        <f t="shared" si="2"/>
        <v>12</v>
      </c>
      <c r="T326" s="108" t="str">
        <f t="shared" si="3"/>
        <v>2023-Q4</v>
      </c>
      <c r="U326" s="108" t="str">
        <f t="shared" si="4"/>
        <v>2023-12</v>
      </c>
      <c r="V326" s="112" t="str">
        <f t="shared" si="5"/>
        <v>2023-H2</v>
      </c>
      <c r="W326" s="156" t="s">
        <v>2654</v>
      </c>
    </row>
    <row r="327">
      <c r="A327" s="146">
        <f>HYPERLINK("https://polkadot.subsquare.io/referenda/319", 319)</f>
        <v>319</v>
      </c>
      <c r="B327" s="147" t="s">
        <v>2856</v>
      </c>
      <c r="C327" s="147" t="s">
        <v>2691</v>
      </c>
      <c r="D327" s="148">
        <v>100.0</v>
      </c>
      <c r="E327" s="149">
        <v>527.0678043365479</v>
      </c>
      <c r="F327" s="147" t="s">
        <v>186</v>
      </c>
      <c r="G327" s="150">
        <v>1.0E-9</v>
      </c>
      <c r="H327" s="150">
        <v>9096245.933938928</v>
      </c>
      <c r="I327" s="151">
        <v>45255.0</v>
      </c>
      <c r="J327" s="151">
        <v>45269.0</v>
      </c>
      <c r="K327" s="152">
        <v>712.3778820037842</v>
      </c>
      <c r="L327" s="117" t="s">
        <v>2673</v>
      </c>
      <c r="M327" s="117" t="s">
        <v>2673</v>
      </c>
      <c r="N327" s="153"/>
      <c r="O327" s="153"/>
      <c r="P327" s="153"/>
      <c r="Q327" s="153"/>
      <c r="R327" s="153" t="str">
        <f t="shared" si="1"/>
        <v>2023</v>
      </c>
      <c r="S327" s="154">
        <f t="shared" si="2"/>
        <v>12</v>
      </c>
      <c r="T327" s="153" t="str">
        <f t="shared" si="3"/>
        <v>2023-Q4</v>
      </c>
      <c r="U327" s="153" t="str">
        <f t="shared" si="4"/>
        <v>2023-12</v>
      </c>
      <c r="V327" s="155" t="str">
        <f t="shared" si="5"/>
        <v>2023-H2</v>
      </c>
      <c r="W327" s="158" t="s">
        <v>2654</v>
      </c>
    </row>
    <row r="328">
      <c r="A328" s="139">
        <f>HYPERLINK("https://polkadot.subsquare.io/referenda/320", 320)</f>
        <v>320</v>
      </c>
      <c r="B328" s="160" t="s">
        <v>302</v>
      </c>
      <c r="C328" s="140" t="s">
        <v>2681</v>
      </c>
      <c r="D328" s="141">
        <v>80.0</v>
      </c>
      <c r="E328" s="142">
        <v>421.6542434692383</v>
      </c>
      <c r="F328" s="140" t="s">
        <v>186</v>
      </c>
      <c r="G328" s="143">
        <v>4865870.116532736</v>
      </c>
      <c r="H328" s="143">
        <v>159094.2235388797</v>
      </c>
      <c r="I328" s="144">
        <v>45256.0</v>
      </c>
      <c r="J328" s="144">
        <v>45259.0</v>
      </c>
      <c r="K328" s="145">
        <v>445.9104919433594</v>
      </c>
      <c r="L328" s="114" t="s">
        <v>81</v>
      </c>
      <c r="M328" s="114" t="s">
        <v>185</v>
      </c>
      <c r="N328" s="108"/>
      <c r="O328" s="108"/>
      <c r="P328" s="108"/>
      <c r="Q328" s="108"/>
      <c r="R328" s="108" t="str">
        <f t="shared" si="1"/>
        <v>2023</v>
      </c>
      <c r="S328" s="110">
        <f t="shared" si="2"/>
        <v>11</v>
      </c>
      <c r="T328" s="108" t="str">
        <f t="shared" si="3"/>
        <v>2023-Q4</v>
      </c>
      <c r="U328" s="108" t="str">
        <f t="shared" si="4"/>
        <v>2023-11</v>
      </c>
      <c r="V328" s="112" t="str">
        <f t="shared" si="5"/>
        <v>2023-H2</v>
      </c>
      <c r="W328" s="112"/>
    </row>
    <row r="329">
      <c r="A329" s="146">
        <f>HYPERLINK("https://polkadot.subsquare.io/referenda/321", 321)</f>
        <v>321</v>
      </c>
      <c r="B329" s="147" t="s">
        <v>2857</v>
      </c>
      <c r="C329" s="147" t="s">
        <v>2691</v>
      </c>
      <c r="D329" s="148">
        <v>100.0</v>
      </c>
      <c r="E329" s="149">
        <v>527.0678043365479</v>
      </c>
      <c r="F329" s="147" t="s">
        <v>186</v>
      </c>
      <c r="G329" s="150">
        <v>1000.1000010001</v>
      </c>
      <c r="H329" s="150">
        <v>9046297.11486128</v>
      </c>
      <c r="I329" s="151">
        <v>45256.0</v>
      </c>
      <c r="J329" s="151">
        <v>45270.0</v>
      </c>
      <c r="K329" s="152">
        <v>712.3778820037842</v>
      </c>
      <c r="L329" s="117" t="s">
        <v>2673</v>
      </c>
      <c r="M329" s="117" t="s">
        <v>2673</v>
      </c>
      <c r="N329" s="153"/>
      <c r="O329" s="153"/>
      <c r="P329" s="153"/>
      <c r="Q329" s="153"/>
      <c r="R329" s="153" t="str">
        <f t="shared" si="1"/>
        <v>2023</v>
      </c>
      <c r="S329" s="154">
        <f t="shared" si="2"/>
        <v>12</v>
      </c>
      <c r="T329" s="153" t="str">
        <f t="shared" si="3"/>
        <v>2023-Q4</v>
      </c>
      <c r="U329" s="153" t="str">
        <f t="shared" si="4"/>
        <v>2023-12</v>
      </c>
      <c r="V329" s="155" t="str">
        <f t="shared" si="5"/>
        <v>2023-H2</v>
      </c>
      <c r="W329" s="158" t="s">
        <v>2654</v>
      </c>
    </row>
    <row r="330">
      <c r="A330" s="139">
        <f>HYPERLINK("https://polkadot.subsquare.io/referenda/322", 322)</f>
        <v>322</v>
      </c>
      <c r="B330" s="140" t="s">
        <v>2858</v>
      </c>
      <c r="C330" s="140" t="s">
        <v>2672</v>
      </c>
      <c r="D330" s="141">
        <v>900.0</v>
      </c>
      <c r="E330" s="142">
        <v>4651.2800216674805</v>
      </c>
      <c r="F330" s="140" t="s">
        <v>2699</v>
      </c>
      <c r="G330" s="143">
        <v>90810.5760615647</v>
      </c>
      <c r="H330" s="143">
        <v>2049280.2389882293</v>
      </c>
      <c r="I330" s="144">
        <v>45256.0</v>
      </c>
      <c r="J330" s="144">
        <v>45263.0</v>
      </c>
      <c r="K330" s="145">
        <v>5438.993310928345</v>
      </c>
      <c r="L330" s="114" t="s">
        <v>2673</v>
      </c>
      <c r="M330" s="114" t="s">
        <v>2673</v>
      </c>
      <c r="N330" s="108"/>
      <c r="O330" s="108"/>
      <c r="P330" s="108"/>
      <c r="Q330" s="108"/>
      <c r="R330" s="108" t="str">
        <f t="shared" si="1"/>
        <v>2023</v>
      </c>
      <c r="S330" s="110">
        <f t="shared" si="2"/>
        <v>12</v>
      </c>
      <c r="T330" s="108" t="str">
        <f t="shared" si="3"/>
        <v>2023-Q4</v>
      </c>
      <c r="U330" s="108" t="str">
        <f t="shared" si="4"/>
        <v>2023-12</v>
      </c>
      <c r="V330" s="112" t="str">
        <f t="shared" si="5"/>
        <v>2023-H2</v>
      </c>
      <c r="W330" s="112"/>
    </row>
    <row r="331">
      <c r="A331" s="146">
        <f>HYPERLINK("https://polkadot.subsquare.io/referenda/323", 323)</f>
        <v>323</v>
      </c>
      <c r="B331" s="147" t="s">
        <v>2859</v>
      </c>
      <c r="C331" s="147" t="s">
        <v>2672</v>
      </c>
      <c r="D331" s="148">
        <v>0.0</v>
      </c>
      <c r="E331" s="149">
        <v>0.0</v>
      </c>
      <c r="F331" s="147" t="s">
        <v>2678</v>
      </c>
      <c r="G331" s="150">
        <v>123349.5885424647</v>
      </c>
      <c r="H331" s="150">
        <v>1.4678337131542116E7</v>
      </c>
      <c r="I331" s="151">
        <v>45256.0</v>
      </c>
      <c r="J331" s="151">
        <v>45285.0</v>
      </c>
      <c r="K331" s="152">
        <v>0.0</v>
      </c>
      <c r="L331" s="117" t="s">
        <v>2673</v>
      </c>
      <c r="M331" s="117" t="s">
        <v>2673</v>
      </c>
      <c r="N331" s="153"/>
      <c r="O331" s="153"/>
      <c r="P331" s="153"/>
      <c r="Q331" s="153"/>
      <c r="R331" s="153" t="str">
        <f t="shared" si="1"/>
        <v>2023</v>
      </c>
      <c r="S331" s="154">
        <f t="shared" si="2"/>
        <v>12</v>
      </c>
      <c r="T331" s="153" t="str">
        <f t="shared" si="3"/>
        <v>2023-Q4</v>
      </c>
      <c r="U331" s="153" t="str">
        <f t="shared" si="4"/>
        <v>2023-12</v>
      </c>
      <c r="V331" s="155" t="str">
        <f t="shared" si="5"/>
        <v>2023-H2</v>
      </c>
      <c r="W331" s="155"/>
    </row>
    <row r="332">
      <c r="A332" s="139">
        <f>HYPERLINK("https://polkadot.subsquare.io/referenda/324", 324)</f>
        <v>324</v>
      </c>
      <c r="B332" s="140" t="s">
        <v>303</v>
      </c>
      <c r="C332" s="140" t="s">
        <v>2681</v>
      </c>
      <c r="D332" s="141">
        <v>35395.0</v>
      </c>
      <c r="E332" s="142">
        <v>182924.50707435608</v>
      </c>
      <c r="F332" s="140" t="s">
        <v>2683</v>
      </c>
      <c r="G332" s="143">
        <v>4.069527459459643E7</v>
      </c>
      <c r="H332" s="143">
        <v>1.4061017817724539E7</v>
      </c>
      <c r="I332" s="144">
        <v>45256.0</v>
      </c>
      <c r="J332" s="144">
        <v>45276.0</v>
      </c>
      <c r="K332" s="145">
        <v>237685.1772427559</v>
      </c>
      <c r="L332" s="114" t="s">
        <v>137</v>
      </c>
      <c r="M332" s="114" t="s">
        <v>254</v>
      </c>
      <c r="N332" s="108"/>
      <c r="O332" s="108"/>
      <c r="P332" s="108"/>
      <c r="Q332" s="108"/>
      <c r="R332" s="108" t="str">
        <f t="shared" si="1"/>
        <v>2023</v>
      </c>
      <c r="S332" s="110">
        <f t="shared" si="2"/>
        <v>12</v>
      </c>
      <c r="T332" s="108" t="str">
        <f t="shared" si="3"/>
        <v>2023-Q4</v>
      </c>
      <c r="U332" s="108" t="str">
        <f t="shared" si="4"/>
        <v>2023-12</v>
      </c>
      <c r="V332" s="112" t="str">
        <f t="shared" si="5"/>
        <v>2023-H2</v>
      </c>
      <c r="W332" s="112"/>
    </row>
    <row r="333">
      <c r="A333" s="146">
        <f>HYPERLINK("https://polkadot.subsquare.io/referenda/325", 325)</f>
        <v>325</v>
      </c>
      <c r="B333" s="147" t="s">
        <v>304</v>
      </c>
      <c r="C333" s="147" t="s">
        <v>2681</v>
      </c>
      <c r="D333" s="148">
        <v>8000.0</v>
      </c>
      <c r="E333" s="149">
        <v>41344.71130371094</v>
      </c>
      <c r="F333" s="147" t="s">
        <v>2678</v>
      </c>
      <c r="G333" s="150">
        <v>5.0609674107939035E7</v>
      </c>
      <c r="H333" s="150">
        <v>1068235.7683779332</v>
      </c>
      <c r="I333" s="151">
        <v>45257.0</v>
      </c>
      <c r="J333" s="151">
        <v>45270.0</v>
      </c>
      <c r="K333" s="152">
        <v>60881.42395019531</v>
      </c>
      <c r="L333" s="117" t="s">
        <v>137</v>
      </c>
      <c r="M333" s="117" t="s">
        <v>191</v>
      </c>
      <c r="N333" s="153"/>
      <c r="O333" s="153"/>
      <c r="P333" s="153"/>
      <c r="Q333" s="153"/>
      <c r="R333" s="153" t="str">
        <f t="shared" si="1"/>
        <v>2023</v>
      </c>
      <c r="S333" s="154">
        <f t="shared" si="2"/>
        <v>12</v>
      </c>
      <c r="T333" s="153" t="str">
        <f t="shared" si="3"/>
        <v>2023-Q4</v>
      </c>
      <c r="U333" s="153" t="str">
        <f t="shared" si="4"/>
        <v>2023-12</v>
      </c>
      <c r="V333" s="155" t="str">
        <f t="shared" si="5"/>
        <v>2023-H2</v>
      </c>
      <c r="W333" s="155"/>
    </row>
    <row r="334">
      <c r="A334" s="139">
        <f>HYPERLINK("https://polkadot.subsquare.io/referenda/326", 326)</f>
        <v>326</v>
      </c>
      <c r="B334" s="140" t="s">
        <v>2860</v>
      </c>
      <c r="C334" s="140" t="s">
        <v>2691</v>
      </c>
      <c r="D334" s="141">
        <v>40.0</v>
      </c>
      <c r="E334" s="142">
        <v>218.63176345825195</v>
      </c>
      <c r="F334" s="140" t="s">
        <v>2683</v>
      </c>
      <c r="G334" s="143">
        <v>0.0</v>
      </c>
      <c r="H334" s="143">
        <v>2.998679216326582E7</v>
      </c>
      <c r="I334" s="144">
        <v>45257.0</v>
      </c>
      <c r="J334" s="144">
        <v>45271.0</v>
      </c>
      <c r="K334" s="145">
        <v>300.8437919616699</v>
      </c>
      <c r="L334" s="114" t="s">
        <v>2673</v>
      </c>
      <c r="M334" s="114" t="s">
        <v>2673</v>
      </c>
      <c r="N334" s="108"/>
      <c r="O334" s="108"/>
      <c r="P334" s="108"/>
      <c r="Q334" s="108"/>
      <c r="R334" s="108" t="str">
        <f t="shared" si="1"/>
        <v>2023</v>
      </c>
      <c r="S334" s="110">
        <f t="shared" si="2"/>
        <v>12</v>
      </c>
      <c r="T334" s="108" t="str">
        <f t="shared" si="3"/>
        <v>2023-Q4</v>
      </c>
      <c r="U334" s="108" t="str">
        <f t="shared" si="4"/>
        <v>2023-12</v>
      </c>
      <c r="V334" s="112" t="str">
        <f t="shared" si="5"/>
        <v>2023-H2</v>
      </c>
      <c r="W334" s="156" t="s">
        <v>2654</v>
      </c>
    </row>
    <row r="335">
      <c r="A335" s="146">
        <f>HYPERLINK("https://polkadot.subsquare.io/referenda/327", 327)</f>
        <v>327</v>
      </c>
      <c r="B335" s="147" t="s">
        <v>2861</v>
      </c>
      <c r="C335" s="147" t="s">
        <v>2691</v>
      </c>
      <c r="D335" s="148">
        <v>12000.0</v>
      </c>
      <c r="E335" s="149">
        <v>65589.52903747559</v>
      </c>
      <c r="F335" s="147" t="s">
        <v>2683</v>
      </c>
      <c r="G335" s="150">
        <v>9500.1</v>
      </c>
      <c r="H335" s="150">
        <v>4082832.44442956</v>
      </c>
      <c r="I335" s="151">
        <v>45257.0</v>
      </c>
      <c r="J335" s="151">
        <v>45271.0</v>
      </c>
      <c r="K335" s="152">
        <v>90253.13758850098</v>
      </c>
      <c r="L335" s="117" t="s">
        <v>2673</v>
      </c>
      <c r="M335" s="117" t="s">
        <v>2673</v>
      </c>
      <c r="N335" s="153"/>
      <c r="O335" s="153"/>
      <c r="P335" s="153"/>
      <c r="Q335" s="153"/>
      <c r="R335" s="153" t="str">
        <f t="shared" si="1"/>
        <v>2023</v>
      </c>
      <c r="S335" s="154">
        <f t="shared" si="2"/>
        <v>12</v>
      </c>
      <c r="T335" s="153" t="str">
        <f t="shared" si="3"/>
        <v>2023-Q4</v>
      </c>
      <c r="U335" s="153" t="str">
        <f t="shared" si="4"/>
        <v>2023-12</v>
      </c>
      <c r="V335" s="155" t="str">
        <f t="shared" si="5"/>
        <v>2023-H2</v>
      </c>
      <c r="W335" s="155"/>
    </row>
    <row r="336">
      <c r="A336" s="139">
        <f>HYPERLINK("https://polkadot.subsquare.io/referenda/328", 328)</f>
        <v>328</v>
      </c>
      <c r="B336" s="140" t="s">
        <v>305</v>
      </c>
      <c r="C336" s="140" t="s">
        <v>2681</v>
      </c>
      <c r="D336" s="141">
        <v>42865.0</v>
      </c>
      <c r="E336" s="142">
        <v>234291.26351594925</v>
      </c>
      <c r="F336" s="140" t="s">
        <v>2683</v>
      </c>
      <c r="G336" s="143">
        <v>5.362030762578072E7</v>
      </c>
      <c r="H336" s="143">
        <v>791064.4653407662</v>
      </c>
      <c r="I336" s="144">
        <v>45257.0</v>
      </c>
      <c r="J336" s="144">
        <v>45275.0</v>
      </c>
      <c r="K336" s="145">
        <v>294728.0863070488</v>
      </c>
      <c r="L336" s="114" t="s">
        <v>137</v>
      </c>
      <c r="M336" s="114" t="s">
        <v>138</v>
      </c>
      <c r="N336" s="108"/>
      <c r="O336" s="108"/>
      <c r="P336" s="108"/>
      <c r="Q336" s="108"/>
      <c r="R336" s="108" t="str">
        <f t="shared" si="1"/>
        <v>2023</v>
      </c>
      <c r="S336" s="110">
        <f t="shared" si="2"/>
        <v>12</v>
      </c>
      <c r="T336" s="108" t="str">
        <f t="shared" si="3"/>
        <v>2023-Q4</v>
      </c>
      <c r="U336" s="108" t="str">
        <f t="shared" si="4"/>
        <v>2023-12</v>
      </c>
      <c r="V336" s="112" t="str">
        <f t="shared" si="5"/>
        <v>2023-H2</v>
      </c>
      <c r="W336" s="112"/>
    </row>
    <row r="337">
      <c r="A337" s="146">
        <f>HYPERLINK("https://polkadot.subsquare.io/referenda/329", 329)</f>
        <v>329</v>
      </c>
      <c r="B337" s="147" t="s">
        <v>2862</v>
      </c>
      <c r="C337" s="147" t="s">
        <v>2672</v>
      </c>
      <c r="D337" s="148">
        <v>22195.0</v>
      </c>
      <c r="E337" s="149">
        <v>121313.29974889755</v>
      </c>
      <c r="F337" s="147" t="s">
        <v>2683</v>
      </c>
      <c r="G337" s="150">
        <v>1100.601</v>
      </c>
      <c r="H337" s="150">
        <v>1.3020459373797458E7</v>
      </c>
      <c r="I337" s="151">
        <v>45258.0</v>
      </c>
      <c r="J337" s="151">
        <v>45286.0</v>
      </c>
      <c r="K337" s="152">
        <v>187550.28578281403</v>
      </c>
      <c r="L337" s="117" t="s">
        <v>2673</v>
      </c>
      <c r="M337" s="117" t="s">
        <v>2673</v>
      </c>
      <c r="N337" s="153"/>
      <c r="O337" s="153"/>
      <c r="P337" s="153"/>
      <c r="Q337" s="153"/>
      <c r="R337" s="153" t="str">
        <f t="shared" si="1"/>
        <v>2023</v>
      </c>
      <c r="S337" s="154">
        <f t="shared" si="2"/>
        <v>12</v>
      </c>
      <c r="T337" s="153" t="str">
        <f t="shared" si="3"/>
        <v>2023-Q4</v>
      </c>
      <c r="U337" s="153" t="str">
        <f t="shared" si="4"/>
        <v>2023-12</v>
      </c>
      <c r="V337" s="155" t="str">
        <f t="shared" si="5"/>
        <v>2023-H2</v>
      </c>
      <c r="W337" s="155"/>
    </row>
    <row r="338">
      <c r="A338" s="139">
        <f>HYPERLINK("https://polkadot.subsquare.io/referenda/330", 330)</f>
        <v>330</v>
      </c>
      <c r="B338" s="140" t="s">
        <v>2863</v>
      </c>
      <c r="C338" s="140" t="s">
        <v>2691</v>
      </c>
      <c r="D338" s="141">
        <v>9999.0</v>
      </c>
      <c r="E338" s="142">
        <v>54744.92454957962</v>
      </c>
      <c r="F338" s="140" t="s">
        <v>2678</v>
      </c>
      <c r="G338" s="143">
        <v>27.20000001</v>
      </c>
      <c r="H338" s="143">
        <v>4256236.002121974</v>
      </c>
      <c r="I338" s="144">
        <v>45258.0</v>
      </c>
      <c r="J338" s="144">
        <v>45272.0</v>
      </c>
      <c r="K338" s="145">
        <v>69560.47089242935</v>
      </c>
      <c r="L338" s="114" t="s">
        <v>2673</v>
      </c>
      <c r="M338" s="114" t="s">
        <v>2673</v>
      </c>
      <c r="N338" s="108"/>
      <c r="O338" s="108"/>
      <c r="P338" s="108"/>
      <c r="Q338" s="108"/>
      <c r="R338" s="108" t="str">
        <f t="shared" si="1"/>
        <v>2023</v>
      </c>
      <c r="S338" s="110">
        <f t="shared" si="2"/>
        <v>12</v>
      </c>
      <c r="T338" s="108" t="str">
        <f t="shared" si="3"/>
        <v>2023-Q4</v>
      </c>
      <c r="U338" s="108" t="str">
        <f t="shared" si="4"/>
        <v>2023-12</v>
      </c>
      <c r="V338" s="112" t="str">
        <f t="shared" si="5"/>
        <v>2023-H2</v>
      </c>
      <c r="W338" s="112"/>
    </row>
    <row r="339">
      <c r="A339" s="146">
        <f>HYPERLINK("https://polkadot.subsquare.io/referenda/331", 331)</f>
        <v>331</v>
      </c>
      <c r="B339" s="147" t="s">
        <v>306</v>
      </c>
      <c r="C339" s="147" t="s">
        <v>2681</v>
      </c>
      <c r="D339" s="148">
        <v>13560.0</v>
      </c>
      <c r="E339" s="149">
        <v>75581.82838439941</v>
      </c>
      <c r="F339" s="147" t="s">
        <v>2683</v>
      </c>
      <c r="G339" s="150">
        <v>4.344460132650781E7</v>
      </c>
      <c r="H339" s="150">
        <v>1940628.4257413351</v>
      </c>
      <c r="I339" s="151">
        <v>45259.0</v>
      </c>
      <c r="J339" s="151">
        <v>45278.0</v>
      </c>
      <c r="K339" s="152">
        <v>113382.04055786133</v>
      </c>
      <c r="L339" s="117" t="s">
        <v>137</v>
      </c>
      <c r="M339" s="117" t="s">
        <v>138</v>
      </c>
      <c r="N339" s="153"/>
      <c r="O339" s="153"/>
      <c r="P339" s="153"/>
      <c r="Q339" s="153"/>
      <c r="R339" s="153" t="str">
        <f t="shared" si="1"/>
        <v>2023</v>
      </c>
      <c r="S339" s="154">
        <f t="shared" si="2"/>
        <v>12</v>
      </c>
      <c r="T339" s="153" t="str">
        <f t="shared" si="3"/>
        <v>2023-Q4</v>
      </c>
      <c r="U339" s="153" t="str">
        <f t="shared" si="4"/>
        <v>2023-12</v>
      </c>
      <c r="V339" s="155" t="str">
        <f t="shared" si="5"/>
        <v>2023-H2</v>
      </c>
      <c r="W339" s="155"/>
    </row>
    <row r="340">
      <c r="A340" s="139">
        <f>HYPERLINK("https://polkadot.subsquare.io/referenda/332", 332)</f>
        <v>332</v>
      </c>
      <c r="B340" s="140" t="s">
        <v>307</v>
      </c>
      <c r="C340" s="140" t="s">
        <v>2681</v>
      </c>
      <c r="D340" s="141">
        <v>1000.0</v>
      </c>
      <c r="E340" s="142">
        <v>5573.881149291992</v>
      </c>
      <c r="F340" s="140" t="s">
        <v>2699</v>
      </c>
      <c r="G340" s="143">
        <v>1938416.8089000662</v>
      </c>
      <c r="H340" s="143">
        <v>676917.0</v>
      </c>
      <c r="I340" s="144">
        <v>45260.0</v>
      </c>
      <c r="J340" s="144">
        <v>45266.0</v>
      </c>
      <c r="K340" s="145">
        <v>6839.678764343262</v>
      </c>
      <c r="L340" s="114" t="s">
        <v>81</v>
      </c>
      <c r="M340" s="114" t="s">
        <v>185</v>
      </c>
      <c r="N340" s="108"/>
      <c r="O340" s="108"/>
      <c r="P340" s="108"/>
      <c r="Q340" s="108"/>
      <c r="R340" s="108" t="str">
        <f t="shared" si="1"/>
        <v>2023</v>
      </c>
      <c r="S340" s="110">
        <f t="shared" si="2"/>
        <v>12</v>
      </c>
      <c r="T340" s="108" t="str">
        <f t="shared" si="3"/>
        <v>2023-Q4</v>
      </c>
      <c r="U340" s="108" t="str">
        <f t="shared" si="4"/>
        <v>2023-12</v>
      </c>
      <c r="V340" s="112" t="str">
        <f t="shared" si="5"/>
        <v>2023-H2</v>
      </c>
      <c r="W340" s="112"/>
    </row>
    <row r="341">
      <c r="A341" s="146">
        <f>HYPERLINK("https://polkadot.subsquare.io/referenda/333", 333)</f>
        <v>333</v>
      </c>
      <c r="B341" s="147" t="s">
        <v>2864</v>
      </c>
      <c r="C341" s="147" t="s">
        <v>2672</v>
      </c>
      <c r="D341" s="148">
        <v>5000.0</v>
      </c>
      <c r="E341" s="149">
        <v>28131.635189056396</v>
      </c>
      <c r="F341" s="147" t="s">
        <v>2678</v>
      </c>
      <c r="G341" s="150">
        <v>2452744.3595240074</v>
      </c>
      <c r="H341" s="150">
        <v>1.2555287763410358E7</v>
      </c>
      <c r="I341" s="151">
        <v>45262.0</v>
      </c>
      <c r="J341" s="151">
        <v>45291.0</v>
      </c>
      <c r="K341" s="152">
        <v>42063.47942352295</v>
      </c>
      <c r="L341" s="117" t="s">
        <v>2673</v>
      </c>
      <c r="M341" s="117" t="s">
        <v>2673</v>
      </c>
      <c r="N341" s="153"/>
      <c r="O341" s="153"/>
      <c r="P341" s="153"/>
      <c r="Q341" s="153"/>
      <c r="R341" s="153" t="str">
        <f t="shared" si="1"/>
        <v>2023</v>
      </c>
      <c r="S341" s="154">
        <f t="shared" si="2"/>
        <v>12</v>
      </c>
      <c r="T341" s="153" t="str">
        <f t="shared" si="3"/>
        <v>2023-Q4</v>
      </c>
      <c r="U341" s="153" t="str">
        <f t="shared" si="4"/>
        <v>2023-12</v>
      </c>
      <c r="V341" s="155" t="str">
        <f t="shared" si="5"/>
        <v>2023-H2</v>
      </c>
      <c r="W341" s="158" t="s">
        <v>2654</v>
      </c>
    </row>
    <row r="342">
      <c r="A342" s="139">
        <f>HYPERLINK("https://polkadot.subsquare.io/referenda/334", 334)</f>
        <v>334</v>
      </c>
      <c r="B342" s="140" t="s">
        <v>308</v>
      </c>
      <c r="C342" s="140" t="s">
        <v>2681</v>
      </c>
      <c r="D342" s="141">
        <v>6431.0</v>
      </c>
      <c r="E342" s="142">
        <v>38017.319400310516</v>
      </c>
      <c r="F342" s="140" t="s">
        <v>2678</v>
      </c>
      <c r="G342" s="143">
        <v>5.3048548260518506E7</v>
      </c>
      <c r="H342" s="143">
        <v>1290903.2647381595</v>
      </c>
      <c r="I342" s="144">
        <v>45262.0</v>
      </c>
      <c r="J342" s="144">
        <v>45282.0</v>
      </c>
      <c r="K342" s="145">
        <v>55615.090220451355</v>
      </c>
      <c r="L342" s="114" t="s">
        <v>85</v>
      </c>
      <c r="M342" s="114" t="s">
        <v>148</v>
      </c>
      <c r="N342" s="108"/>
      <c r="O342" s="108"/>
      <c r="P342" s="108"/>
      <c r="Q342" s="108"/>
      <c r="R342" s="108" t="str">
        <f t="shared" si="1"/>
        <v>2023</v>
      </c>
      <c r="S342" s="110">
        <f t="shared" si="2"/>
        <v>12</v>
      </c>
      <c r="T342" s="108" t="str">
        <f t="shared" si="3"/>
        <v>2023-Q4</v>
      </c>
      <c r="U342" s="108" t="str">
        <f t="shared" si="4"/>
        <v>2023-12</v>
      </c>
      <c r="V342" s="112" t="str">
        <f t="shared" si="5"/>
        <v>2023-H2</v>
      </c>
      <c r="W342" s="112"/>
    </row>
    <row r="343">
      <c r="A343" s="146">
        <f>HYPERLINK("https://polkadot.subsquare.io/referenda/335", 335)</f>
        <v>335</v>
      </c>
      <c r="B343" s="147" t="s">
        <v>2865</v>
      </c>
      <c r="C343" s="147" t="s">
        <v>2681</v>
      </c>
      <c r="D343" s="148">
        <v>0.0</v>
      </c>
      <c r="E343" s="149">
        <v>0.0</v>
      </c>
      <c r="F343" s="147" t="s">
        <v>2715</v>
      </c>
      <c r="G343" s="150">
        <v>3.1116971862839773E7</v>
      </c>
      <c r="H343" s="150">
        <v>54320.6865210526</v>
      </c>
      <c r="I343" s="151">
        <v>45263.0</v>
      </c>
      <c r="J343" s="151">
        <v>45288.0</v>
      </c>
      <c r="K343" s="152">
        <v>0.0</v>
      </c>
      <c r="L343" s="117" t="s">
        <v>2673</v>
      </c>
      <c r="M343" s="117" t="s">
        <v>2673</v>
      </c>
      <c r="N343" s="153"/>
      <c r="O343" s="153"/>
      <c r="P343" s="153"/>
      <c r="Q343" s="153"/>
      <c r="R343" s="153" t="str">
        <f t="shared" si="1"/>
        <v>2023</v>
      </c>
      <c r="S343" s="154">
        <f t="shared" si="2"/>
        <v>12</v>
      </c>
      <c r="T343" s="153" t="str">
        <f t="shared" si="3"/>
        <v>2023-Q4</v>
      </c>
      <c r="U343" s="153" t="str">
        <f t="shared" si="4"/>
        <v>2023-12</v>
      </c>
      <c r="V343" s="155" t="str">
        <f t="shared" si="5"/>
        <v>2023-H2</v>
      </c>
      <c r="W343" s="155"/>
    </row>
    <row r="344">
      <c r="A344" s="139">
        <f>HYPERLINK("https://polkadot.subsquare.io/referenda/336", 336)</f>
        <v>336</v>
      </c>
      <c r="B344" s="140" t="s">
        <v>321</v>
      </c>
      <c r="C344" s="140" t="s">
        <v>2672</v>
      </c>
      <c r="D344" s="141">
        <v>1086847.0</v>
      </c>
      <c r="E344" s="142">
        <v>6568170.625558376</v>
      </c>
      <c r="F344" s="140" t="s">
        <v>2683</v>
      </c>
      <c r="G344" s="143">
        <v>0.0</v>
      </c>
      <c r="H344" s="143">
        <v>1.3739780149511142E7</v>
      </c>
      <c r="I344" s="144">
        <v>45264.0</v>
      </c>
      <c r="J344" s="144">
        <v>45292.0</v>
      </c>
      <c r="K344" s="145">
        <v>8305492.200950623</v>
      </c>
      <c r="L344" s="114" t="s">
        <v>2673</v>
      </c>
      <c r="M344" s="114" t="s">
        <v>2673</v>
      </c>
      <c r="N344" s="108"/>
      <c r="O344" s="108"/>
      <c r="P344" s="108"/>
      <c r="Q344" s="108"/>
      <c r="R344" s="108" t="str">
        <f t="shared" si="1"/>
        <v>2024</v>
      </c>
      <c r="S344" s="110">
        <f t="shared" si="2"/>
        <v>1</v>
      </c>
      <c r="T344" s="108" t="str">
        <f t="shared" si="3"/>
        <v>2024-Q1</v>
      </c>
      <c r="U344" s="108" t="str">
        <f t="shared" si="4"/>
        <v>2024-01</v>
      </c>
      <c r="V344" s="112" t="str">
        <f t="shared" si="5"/>
        <v>2024-H1</v>
      </c>
      <c r="W344" s="112"/>
    </row>
    <row r="345">
      <c r="A345" s="146">
        <f>HYPERLINK("https://polkadot.subsquare.io/referenda/337", 337)</f>
        <v>337</v>
      </c>
      <c r="B345" s="147" t="s">
        <v>2866</v>
      </c>
      <c r="C345" s="147" t="s">
        <v>2672</v>
      </c>
      <c r="D345" s="148">
        <v>9000.0</v>
      </c>
      <c r="E345" s="149">
        <v>56219.993591308594</v>
      </c>
      <c r="F345" s="147" t="s">
        <v>2678</v>
      </c>
      <c r="G345" s="150">
        <v>705123.0032703419</v>
      </c>
      <c r="H345" s="150">
        <v>1.3567024466198064E7</v>
      </c>
      <c r="I345" s="151">
        <v>45264.0</v>
      </c>
      <c r="J345" s="151">
        <v>45292.0</v>
      </c>
      <c r="K345" s="152">
        <v>70933.28332901001</v>
      </c>
      <c r="L345" s="117" t="s">
        <v>2673</v>
      </c>
      <c r="M345" s="117" t="s">
        <v>2673</v>
      </c>
      <c r="N345" s="153"/>
      <c r="O345" s="153"/>
      <c r="P345" s="153"/>
      <c r="Q345" s="153"/>
      <c r="R345" s="153" t="str">
        <f t="shared" si="1"/>
        <v>2024</v>
      </c>
      <c r="S345" s="154">
        <f t="shared" si="2"/>
        <v>1</v>
      </c>
      <c r="T345" s="153" t="str">
        <f t="shared" si="3"/>
        <v>2024-Q1</v>
      </c>
      <c r="U345" s="153" t="str">
        <f t="shared" si="4"/>
        <v>2024-01</v>
      </c>
      <c r="V345" s="155" t="str">
        <f t="shared" si="5"/>
        <v>2024-H1</v>
      </c>
      <c r="W345" s="155"/>
    </row>
    <row r="346">
      <c r="A346" s="139">
        <f>HYPERLINK("https://polkadot.subsquare.io/referenda/338", 338)</f>
        <v>338</v>
      </c>
      <c r="B346" s="140" t="s">
        <v>309</v>
      </c>
      <c r="C346" s="140" t="s">
        <v>2681</v>
      </c>
      <c r="D346" s="141">
        <v>71503.0</v>
      </c>
      <c r="E346" s="142">
        <v>446655.3557510376</v>
      </c>
      <c r="F346" s="140" t="s">
        <v>2683</v>
      </c>
      <c r="G346" s="143">
        <v>4.391815148159021E7</v>
      </c>
      <c r="H346" s="143">
        <v>1.1631872381211E7</v>
      </c>
      <c r="I346" s="144">
        <v>45264.0</v>
      </c>
      <c r="J346" s="144">
        <v>45284.0</v>
      </c>
      <c r="K346" s="145">
        <v>630603.3177213669</v>
      </c>
      <c r="L346" s="114" t="s">
        <v>137</v>
      </c>
      <c r="M346" s="114" t="s">
        <v>266</v>
      </c>
      <c r="N346" s="108"/>
      <c r="O346" s="108"/>
      <c r="P346" s="108"/>
      <c r="Q346" s="108"/>
      <c r="R346" s="108" t="str">
        <f t="shared" si="1"/>
        <v>2023</v>
      </c>
      <c r="S346" s="110">
        <f t="shared" si="2"/>
        <v>12</v>
      </c>
      <c r="T346" s="108" t="str">
        <f t="shared" si="3"/>
        <v>2023-Q4</v>
      </c>
      <c r="U346" s="108" t="str">
        <f t="shared" si="4"/>
        <v>2023-12</v>
      </c>
      <c r="V346" s="112" t="str">
        <f t="shared" si="5"/>
        <v>2023-H2</v>
      </c>
      <c r="W346" s="112"/>
    </row>
    <row r="347">
      <c r="A347" s="146">
        <f>HYPERLINK("https://polkadot.subsquare.io/referenda/339", 339)</f>
        <v>339</v>
      </c>
      <c r="B347" s="147" t="s">
        <v>2867</v>
      </c>
      <c r="C347" s="147" t="s">
        <v>2672</v>
      </c>
      <c r="D347" s="148">
        <v>5210.0</v>
      </c>
      <c r="E347" s="149">
        <v>32545.129623413086</v>
      </c>
      <c r="F347" s="147" t="s">
        <v>2678</v>
      </c>
      <c r="G347" s="150">
        <v>2341030.322045777</v>
      </c>
      <c r="H347" s="150">
        <v>1.216534161806062E7</v>
      </c>
      <c r="I347" s="151">
        <v>45264.0</v>
      </c>
      <c r="J347" s="151">
        <v>45293.0</v>
      </c>
      <c r="K347" s="152">
        <v>38791.37742519379</v>
      </c>
      <c r="L347" s="117" t="s">
        <v>2673</v>
      </c>
      <c r="M347" s="117" t="s">
        <v>2673</v>
      </c>
      <c r="N347" s="153"/>
      <c r="O347" s="153"/>
      <c r="P347" s="153"/>
      <c r="Q347" s="153"/>
      <c r="R347" s="153" t="str">
        <f t="shared" si="1"/>
        <v>2024</v>
      </c>
      <c r="S347" s="154">
        <f t="shared" si="2"/>
        <v>1</v>
      </c>
      <c r="T347" s="153" t="str">
        <f t="shared" si="3"/>
        <v>2024-Q1</v>
      </c>
      <c r="U347" s="153" t="str">
        <f t="shared" si="4"/>
        <v>2024-01</v>
      </c>
      <c r="V347" s="155" t="str">
        <f t="shared" si="5"/>
        <v>2024-H1</v>
      </c>
      <c r="W347" s="155"/>
    </row>
    <row r="348">
      <c r="A348" s="139">
        <f>HYPERLINK("https://polkadot.subsquare.io/referenda/340", 340)</f>
        <v>340</v>
      </c>
      <c r="B348" s="140" t="s">
        <v>2868</v>
      </c>
      <c r="C348" s="140" t="s">
        <v>2775</v>
      </c>
      <c r="D348" s="141">
        <v>0.0</v>
      </c>
      <c r="E348" s="142">
        <v>0.0</v>
      </c>
      <c r="F348" s="140" t="s">
        <v>2698</v>
      </c>
      <c r="G348" s="143">
        <v>1.1784649916953847E7</v>
      </c>
      <c r="H348" s="143">
        <v>41025.6078432547</v>
      </c>
      <c r="I348" s="144">
        <v>45264.0</v>
      </c>
      <c r="J348" s="144">
        <v>45292.0</v>
      </c>
      <c r="K348" s="145">
        <v>0.0</v>
      </c>
      <c r="L348" s="114" t="s">
        <v>2673</v>
      </c>
      <c r="M348" s="114" t="s">
        <v>2673</v>
      </c>
      <c r="N348" s="108"/>
      <c r="O348" s="108"/>
      <c r="P348" s="108"/>
      <c r="Q348" s="108"/>
      <c r="R348" s="108" t="str">
        <f t="shared" si="1"/>
        <v>2024</v>
      </c>
      <c r="S348" s="110">
        <f t="shared" si="2"/>
        <v>1</v>
      </c>
      <c r="T348" s="108" t="str">
        <f t="shared" si="3"/>
        <v>2024-Q1</v>
      </c>
      <c r="U348" s="108" t="str">
        <f t="shared" si="4"/>
        <v>2024-01</v>
      </c>
      <c r="V348" s="112" t="str">
        <f t="shared" si="5"/>
        <v>2024-H1</v>
      </c>
      <c r="W348" s="112"/>
    </row>
    <row r="349">
      <c r="A349" s="146">
        <f>HYPERLINK("https://polkadot.subsquare.io/referenda/341", 341)</f>
        <v>341</v>
      </c>
      <c r="B349" s="147" t="s">
        <v>2869</v>
      </c>
      <c r="C349" s="147" t="s">
        <v>2800</v>
      </c>
      <c r="D349" s="148">
        <v>149657.0</v>
      </c>
      <c r="E349" s="149">
        <v>934857.2867660522</v>
      </c>
      <c r="F349" s="147" t="s">
        <v>2676</v>
      </c>
      <c r="G349" s="150">
        <v>820167.5394027361</v>
      </c>
      <c r="H349" s="150">
        <v>1.5501114562934028E7</v>
      </c>
      <c r="I349" s="151">
        <v>45264.0</v>
      </c>
      <c r="J349" s="151">
        <v>45274.0</v>
      </c>
      <c r="K349" s="152">
        <v>1016502.2154192924</v>
      </c>
      <c r="L349" s="117" t="s">
        <v>2673</v>
      </c>
      <c r="M349" s="117" t="s">
        <v>2673</v>
      </c>
      <c r="N349" s="153"/>
      <c r="O349" s="153"/>
      <c r="P349" s="153"/>
      <c r="Q349" s="153"/>
      <c r="R349" s="153" t="str">
        <f t="shared" si="1"/>
        <v>2023</v>
      </c>
      <c r="S349" s="154">
        <f t="shared" si="2"/>
        <v>12</v>
      </c>
      <c r="T349" s="153" t="str">
        <f t="shared" si="3"/>
        <v>2023-Q4</v>
      </c>
      <c r="U349" s="153" t="str">
        <f t="shared" si="4"/>
        <v>2023-12</v>
      </c>
      <c r="V349" s="155" t="str">
        <f t="shared" si="5"/>
        <v>2023-H2</v>
      </c>
      <c r="W349" s="155"/>
    </row>
    <row r="350">
      <c r="A350" s="139">
        <f>HYPERLINK("https://polkadot.subsquare.io/referenda/342", 342)</f>
        <v>342</v>
      </c>
      <c r="B350" s="140" t="s">
        <v>310</v>
      </c>
      <c r="C350" s="140" t="s">
        <v>2681</v>
      </c>
      <c r="D350" s="141">
        <v>26706.0</v>
      </c>
      <c r="E350" s="142">
        <v>166823.46098327637</v>
      </c>
      <c r="F350" s="140" t="s">
        <v>2683</v>
      </c>
      <c r="G350" s="143">
        <v>4.077124636234969E7</v>
      </c>
      <c r="H350" s="143">
        <v>1.2772067327100229E7</v>
      </c>
      <c r="I350" s="144">
        <v>45264.0</v>
      </c>
      <c r="J350" s="144">
        <v>45284.0</v>
      </c>
      <c r="K350" s="145">
        <v>232424.17905807495</v>
      </c>
      <c r="L350" s="114" t="s">
        <v>137</v>
      </c>
      <c r="M350" s="114" t="s">
        <v>296</v>
      </c>
      <c r="N350" s="108"/>
      <c r="O350" s="108"/>
      <c r="P350" s="108"/>
      <c r="Q350" s="108"/>
      <c r="R350" s="108" t="str">
        <f t="shared" si="1"/>
        <v>2023</v>
      </c>
      <c r="S350" s="110">
        <f t="shared" si="2"/>
        <v>12</v>
      </c>
      <c r="T350" s="108" t="str">
        <f t="shared" si="3"/>
        <v>2023-Q4</v>
      </c>
      <c r="U350" s="108" t="str">
        <f t="shared" si="4"/>
        <v>2023-12</v>
      </c>
      <c r="V350" s="112" t="str">
        <f t="shared" si="5"/>
        <v>2023-H2</v>
      </c>
      <c r="W350" s="112"/>
    </row>
    <row r="351">
      <c r="A351" s="146">
        <f>HYPERLINK("https://polkadot.subsquare.io/referenda/343", 343)</f>
        <v>343</v>
      </c>
      <c r="B351" s="147" t="s">
        <v>311</v>
      </c>
      <c r="C351" s="147" t="s">
        <v>2681</v>
      </c>
      <c r="D351" s="148">
        <v>11239.0</v>
      </c>
      <c r="E351" s="149">
        <v>76871.14963245392</v>
      </c>
      <c r="F351" s="147" t="s">
        <v>2683</v>
      </c>
      <c r="G351" s="150">
        <v>4.012783179648351E7</v>
      </c>
      <c r="H351" s="150">
        <v>1.4090210882136062E7</v>
      </c>
      <c r="I351" s="151">
        <v>45265.0</v>
      </c>
      <c r="J351" s="151">
        <v>45294.0</v>
      </c>
      <c r="K351" s="152">
        <v>80233.32316684723</v>
      </c>
      <c r="L351" s="117" t="s">
        <v>137</v>
      </c>
      <c r="M351" s="117" t="s">
        <v>243</v>
      </c>
      <c r="N351" s="153"/>
      <c r="O351" s="153"/>
      <c r="P351" s="153"/>
      <c r="Q351" s="153"/>
      <c r="R351" s="153" t="str">
        <f t="shared" si="1"/>
        <v>2024</v>
      </c>
      <c r="S351" s="154">
        <f t="shared" si="2"/>
        <v>1</v>
      </c>
      <c r="T351" s="153" t="str">
        <f t="shared" si="3"/>
        <v>2024-Q1</v>
      </c>
      <c r="U351" s="153" t="str">
        <f t="shared" si="4"/>
        <v>2024-01</v>
      </c>
      <c r="V351" s="155" t="str">
        <f t="shared" si="5"/>
        <v>2024-H1</v>
      </c>
      <c r="W351" s="155"/>
    </row>
    <row r="352">
      <c r="A352" s="139">
        <f>HYPERLINK("https://polkadot.subsquare.io/referenda/344", 344)</f>
        <v>344</v>
      </c>
      <c r="B352" s="140" t="s">
        <v>312</v>
      </c>
      <c r="C352" s="140" t="s">
        <v>2681</v>
      </c>
      <c r="D352" s="141">
        <v>16981.0</v>
      </c>
      <c r="E352" s="142">
        <v>116144.58509731293</v>
      </c>
      <c r="F352" s="140" t="s">
        <v>2683</v>
      </c>
      <c r="G352" s="143">
        <v>4.0139274507129185E7</v>
      </c>
      <c r="H352" s="143">
        <v>1.5664451232700586E7</v>
      </c>
      <c r="I352" s="144">
        <v>45265.0</v>
      </c>
      <c r="J352" s="144">
        <v>45285.0</v>
      </c>
      <c r="K352" s="145">
        <v>143491.3900823593</v>
      </c>
      <c r="L352" s="114" t="s">
        <v>137</v>
      </c>
      <c r="M352" s="114" t="s">
        <v>296</v>
      </c>
      <c r="N352" s="108"/>
      <c r="O352" s="108"/>
      <c r="P352" s="108"/>
      <c r="Q352" s="108"/>
      <c r="R352" s="108" t="str">
        <f t="shared" si="1"/>
        <v>2023</v>
      </c>
      <c r="S352" s="110">
        <f t="shared" si="2"/>
        <v>12</v>
      </c>
      <c r="T352" s="108" t="str">
        <f t="shared" si="3"/>
        <v>2023-Q4</v>
      </c>
      <c r="U352" s="108" t="str">
        <f t="shared" si="4"/>
        <v>2023-12</v>
      </c>
      <c r="V352" s="112" t="str">
        <f t="shared" si="5"/>
        <v>2023-H2</v>
      </c>
      <c r="W352" s="112"/>
    </row>
    <row r="353">
      <c r="A353" s="146">
        <f>HYPERLINK("https://polkadot.subsquare.io/referenda/345", 345)</f>
        <v>345</v>
      </c>
      <c r="B353" s="147" t="s">
        <v>2870</v>
      </c>
      <c r="C353" s="147" t="s">
        <v>2672</v>
      </c>
      <c r="D353" s="148">
        <v>21000.0</v>
      </c>
      <c r="E353" s="149">
        <v>143633.2540512085</v>
      </c>
      <c r="F353" s="147" t="s">
        <v>2683</v>
      </c>
      <c r="G353" s="150">
        <v>642341.841820502</v>
      </c>
      <c r="H353" s="150">
        <v>2377607.5034548435</v>
      </c>
      <c r="I353" s="151">
        <v>45265.0</v>
      </c>
      <c r="J353" s="151">
        <v>45294.0</v>
      </c>
      <c r="K353" s="152">
        <v>156356.79960250854</v>
      </c>
      <c r="L353" s="117" t="s">
        <v>137</v>
      </c>
      <c r="M353" s="117" t="s">
        <v>138</v>
      </c>
      <c r="N353" s="153"/>
      <c r="O353" s="153"/>
      <c r="P353" s="153"/>
      <c r="Q353" s="153"/>
      <c r="R353" s="153" t="str">
        <f t="shared" si="1"/>
        <v>2024</v>
      </c>
      <c r="S353" s="154">
        <f t="shared" si="2"/>
        <v>1</v>
      </c>
      <c r="T353" s="153" t="str">
        <f t="shared" si="3"/>
        <v>2024-Q1</v>
      </c>
      <c r="U353" s="153" t="str">
        <f t="shared" si="4"/>
        <v>2024-01</v>
      </c>
      <c r="V353" s="155" t="str">
        <f t="shared" si="5"/>
        <v>2024-H1</v>
      </c>
      <c r="W353" s="155"/>
    </row>
    <row r="354">
      <c r="A354" s="139">
        <f>HYPERLINK("https://polkadot.subsquare.io/referenda/346", 346)</f>
        <v>346</v>
      </c>
      <c r="B354" s="140" t="s">
        <v>2871</v>
      </c>
      <c r="C354" s="140" t="s">
        <v>2681</v>
      </c>
      <c r="D354" s="141">
        <v>0.0</v>
      </c>
      <c r="E354" s="142">
        <v>0.0</v>
      </c>
      <c r="F354" s="140" t="s">
        <v>2683</v>
      </c>
      <c r="G354" s="143">
        <v>1.277154673353161E7</v>
      </c>
      <c r="H354" s="143">
        <v>519658.0743996018</v>
      </c>
      <c r="I354" s="144">
        <v>45266.0</v>
      </c>
      <c r="J354" s="144">
        <v>45292.0</v>
      </c>
      <c r="K354" s="145">
        <v>0.0</v>
      </c>
      <c r="L354" s="114" t="s">
        <v>84</v>
      </c>
      <c r="M354" s="114" t="s">
        <v>171</v>
      </c>
      <c r="N354" s="108"/>
      <c r="O354" s="108" t="s">
        <v>2654</v>
      </c>
      <c r="P354" s="108" t="s">
        <v>2654</v>
      </c>
      <c r="Q354" s="108"/>
      <c r="R354" s="108" t="str">
        <f t="shared" si="1"/>
        <v>2024</v>
      </c>
      <c r="S354" s="110">
        <f t="shared" si="2"/>
        <v>1</v>
      </c>
      <c r="T354" s="108" t="str">
        <f t="shared" si="3"/>
        <v>2024-Q1</v>
      </c>
      <c r="U354" s="108" t="str">
        <f t="shared" si="4"/>
        <v>2024-01</v>
      </c>
      <c r="V354" s="112" t="str">
        <f t="shared" si="5"/>
        <v>2024-H1</v>
      </c>
      <c r="W354" s="112"/>
    </row>
    <row r="355">
      <c r="A355" s="146">
        <f>HYPERLINK("https://polkadot.subsquare.io/referenda/347", 347)</f>
        <v>347</v>
      </c>
      <c r="B355" s="147" t="s">
        <v>313</v>
      </c>
      <c r="C355" s="147" t="s">
        <v>2681</v>
      </c>
      <c r="D355" s="148">
        <v>610.0</v>
      </c>
      <c r="E355" s="149">
        <v>4341.748194694519</v>
      </c>
      <c r="F355" s="147" t="s">
        <v>2699</v>
      </c>
      <c r="G355" s="150">
        <v>1299312.8215687599</v>
      </c>
      <c r="H355" s="150">
        <v>327389.0237545887</v>
      </c>
      <c r="I355" s="151">
        <v>45266.0</v>
      </c>
      <c r="J355" s="151">
        <v>45273.0</v>
      </c>
      <c r="K355" s="152">
        <v>4243.613085746765</v>
      </c>
      <c r="L355" s="117" t="s">
        <v>82</v>
      </c>
      <c r="M355" s="117" t="s">
        <v>176</v>
      </c>
      <c r="N355" s="153"/>
      <c r="O355" s="153"/>
      <c r="P355" s="153"/>
      <c r="Q355" s="153"/>
      <c r="R355" s="153" t="str">
        <f t="shared" si="1"/>
        <v>2023</v>
      </c>
      <c r="S355" s="154">
        <f t="shared" si="2"/>
        <v>12</v>
      </c>
      <c r="T355" s="153" t="str">
        <f t="shared" si="3"/>
        <v>2023-Q4</v>
      </c>
      <c r="U355" s="153" t="str">
        <f t="shared" si="4"/>
        <v>2023-12</v>
      </c>
      <c r="V355" s="155" t="str">
        <f t="shared" si="5"/>
        <v>2023-H2</v>
      </c>
      <c r="W355" s="155"/>
    </row>
    <row r="356">
      <c r="A356" s="139">
        <f>HYPERLINK("https://polkadot.subsquare.io/referenda/348", 348)</f>
        <v>348</v>
      </c>
      <c r="B356" s="140" t="s">
        <v>2872</v>
      </c>
      <c r="C356" s="140" t="s">
        <v>2681</v>
      </c>
      <c r="D356" s="141">
        <v>0.0</v>
      </c>
      <c r="E356" s="142">
        <v>0.0</v>
      </c>
      <c r="F356" s="140" t="s">
        <v>2802</v>
      </c>
      <c r="G356" s="143">
        <v>1.0395602393778948E7</v>
      </c>
      <c r="H356" s="143">
        <v>183939.6872152575</v>
      </c>
      <c r="I356" s="144">
        <v>45266.0</v>
      </c>
      <c r="J356" s="144">
        <v>45274.0</v>
      </c>
      <c r="K356" s="145">
        <v>0.0</v>
      </c>
      <c r="L356" s="114"/>
      <c r="M356" s="114"/>
      <c r="N356" s="108"/>
      <c r="O356" s="108"/>
      <c r="P356" s="108"/>
      <c r="Q356" s="108"/>
      <c r="R356" s="108" t="str">
        <f t="shared" si="1"/>
        <v>2023</v>
      </c>
      <c r="S356" s="110">
        <f t="shared" si="2"/>
        <v>12</v>
      </c>
      <c r="T356" s="108" t="str">
        <f t="shared" si="3"/>
        <v>2023-Q4</v>
      </c>
      <c r="U356" s="108" t="str">
        <f t="shared" si="4"/>
        <v>2023-12</v>
      </c>
      <c r="V356" s="112" t="str">
        <f t="shared" si="5"/>
        <v>2023-H2</v>
      </c>
      <c r="W356" s="112"/>
    </row>
    <row r="357">
      <c r="A357" s="146">
        <f>HYPERLINK("https://polkadot.subsquare.io/referenda/349", 349)</f>
        <v>349</v>
      </c>
      <c r="B357" s="147" t="s">
        <v>314</v>
      </c>
      <c r="C357" s="147" t="s">
        <v>2681</v>
      </c>
      <c r="D357" s="148">
        <v>482.0</v>
      </c>
      <c r="E357" s="149">
        <v>3430.6928358078003</v>
      </c>
      <c r="F357" s="147" t="s">
        <v>2699</v>
      </c>
      <c r="G357" s="150">
        <v>2186348.418541134</v>
      </c>
      <c r="H357" s="150">
        <v>138903.5726849249</v>
      </c>
      <c r="I357" s="151">
        <v>45267.0</v>
      </c>
      <c r="J357" s="151">
        <v>45272.0</v>
      </c>
      <c r="K357" s="152">
        <v>3353.1500120162964</v>
      </c>
      <c r="L357" s="117" t="s">
        <v>82</v>
      </c>
      <c r="M357" s="117" t="s">
        <v>150</v>
      </c>
      <c r="N357" s="153"/>
      <c r="O357" s="153"/>
      <c r="P357" s="153"/>
      <c r="Q357" s="153"/>
      <c r="R357" s="153" t="str">
        <f t="shared" si="1"/>
        <v>2023</v>
      </c>
      <c r="S357" s="154">
        <f t="shared" si="2"/>
        <v>12</v>
      </c>
      <c r="T357" s="153" t="str">
        <f t="shared" si="3"/>
        <v>2023-Q4</v>
      </c>
      <c r="U357" s="153" t="str">
        <f t="shared" si="4"/>
        <v>2023-12</v>
      </c>
      <c r="V357" s="155" t="str">
        <f t="shared" si="5"/>
        <v>2023-H2</v>
      </c>
      <c r="W357" s="155"/>
    </row>
    <row r="358">
      <c r="A358" s="139">
        <f>HYPERLINK("https://polkadot.subsquare.io/referenda/350", 350)</f>
        <v>350</v>
      </c>
      <c r="B358" s="140" t="s">
        <v>316</v>
      </c>
      <c r="C358" s="140" t="s">
        <v>2681</v>
      </c>
      <c r="D358" s="141">
        <v>99950.0</v>
      </c>
      <c r="E358" s="142">
        <v>711406.1181306839</v>
      </c>
      <c r="F358" s="140" t="s">
        <v>2683</v>
      </c>
      <c r="G358" s="143">
        <v>4.290680056530482E7</v>
      </c>
      <c r="H358" s="143">
        <v>1290236.0674714393</v>
      </c>
      <c r="I358" s="144">
        <v>45267.0</v>
      </c>
      <c r="J358" s="144">
        <v>45287.0</v>
      </c>
      <c r="K358" s="145">
        <v>836667.7529335022</v>
      </c>
      <c r="L358" s="114" t="s">
        <v>137</v>
      </c>
      <c r="M358" s="114" t="s">
        <v>315</v>
      </c>
      <c r="N358" s="108"/>
      <c r="O358" s="108"/>
      <c r="P358" s="108"/>
      <c r="Q358" s="108"/>
      <c r="R358" s="108" t="str">
        <f t="shared" si="1"/>
        <v>2023</v>
      </c>
      <c r="S358" s="110">
        <f t="shared" si="2"/>
        <v>12</v>
      </c>
      <c r="T358" s="108" t="str">
        <f t="shared" si="3"/>
        <v>2023-Q4</v>
      </c>
      <c r="U358" s="108" t="str">
        <f t="shared" si="4"/>
        <v>2023-12</v>
      </c>
      <c r="V358" s="112" t="str">
        <f t="shared" si="5"/>
        <v>2023-H2</v>
      </c>
      <c r="W358" s="112"/>
    </row>
    <row r="359">
      <c r="A359" s="146">
        <f>HYPERLINK("https://polkadot.subsquare.io/referenda/351", 351)</f>
        <v>351</v>
      </c>
      <c r="B359" s="147" t="s">
        <v>2873</v>
      </c>
      <c r="C359" s="147" t="s">
        <v>2691</v>
      </c>
      <c r="D359" s="148">
        <v>0.0</v>
      </c>
      <c r="E359" s="149">
        <v>0.0</v>
      </c>
      <c r="F359" s="147" t="s">
        <v>2687</v>
      </c>
      <c r="G359" s="150">
        <v>29367.0693732923</v>
      </c>
      <c r="H359" s="150">
        <v>4576366.465971193</v>
      </c>
      <c r="I359" s="151">
        <v>45267.0</v>
      </c>
      <c r="J359" s="151">
        <v>45281.0</v>
      </c>
      <c r="K359" s="152">
        <v>0.0</v>
      </c>
      <c r="L359" s="117"/>
      <c r="M359" s="117"/>
      <c r="N359" s="153"/>
      <c r="O359" s="153"/>
      <c r="P359" s="153"/>
      <c r="Q359" s="153"/>
      <c r="R359" s="153" t="str">
        <f t="shared" si="1"/>
        <v>2023</v>
      </c>
      <c r="S359" s="154">
        <f t="shared" si="2"/>
        <v>12</v>
      </c>
      <c r="T359" s="153" t="str">
        <f t="shared" si="3"/>
        <v>2023-Q4</v>
      </c>
      <c r="U359" s="153" t="str">
        <f t="shared" si="4"/>
        <v>2023-12</v>
      </c>
      <c r="V359" s="155" t="str">
        <f t="shared" si="5"/>
        <v>2023-H2</v>
      </c>
      <c r="W359" s="155"/>
    </row>
    <row r="360">
      <c r="A360" s="139">
        <f>HYPERLINK("https://polkadot.subsquare.io/referenda/352", 352)</f>
        <v>352</v>
      </c>
      <c r="B360" s="140" t="s">
        <v>2874</v>
      </c>
      <c r="C360" s="140" t="s">
        <v>2672</v>
      </c>
      <c r="D360" s="141">
        <v>450.0</v>
      </c>
      <c r="E360" s="142">
        <v>3303.708815574646</v>
      </c>
      <c r="F360" s="140" t="s">
        <v>2699</v>
      </c>
      <c r="G360" s="143">
        <v>174575.1980649949</v>
      </c>
      <c r="H360" s="143">
        <v>1076030.0025477984</v>
      </c>
      <c r="I360" s="144">
        <v>45267.0</v>
      </c>
      <c r="J360" s="144">
        <v>45275.0</v>
      </c>
      <c r="K360" s="145">
        <v>3094.0776586532593</v>
      </c>
      <c r="L360" s="114"/>
      <c r="M360" s="114"/>
      <c r="N360" s="108"/>
      <c r="O360" s="108"/>
      <c r="P360" s="108"/>
      <c r="Q360" s="108"/>
      <c r="R360" s="108" t="str">
        <f t="shared" si="1"/>
        <v>2023</v>
      </c>
      <c r="S360" s="110">
        <f t="shared" si="2"/>
        <v>12</v>
      </c>
      <c r="T360" s="108" t="str">
        <f t="shared" si="3"/>
        <v>2023-Q4</v>
      </c>
      <c r="U360" s="108" t="str">
        <f t="shared" si="4"/>
        <v>2023-12</v>
      </c>
      <c r="V360" s="112" t="str">
        <f t="shared" si="5"/>
        <v>2023-H2</v>
      </c>
      <c r="W360" s="112"/>
    </row>
    <row r="361">
      <c r="A361" s="146">
        <f>HYPERLINK("https://polkadot.subsquare.io/referenda/353", 353)</f>
        <v>353</v>
      </c>
      <c r="B361" s="147" t="s">
        <v>2875</v>
      </c>
      <c r="C361" s="147" t="s">
        <v>2672</v>
      </c>
      <c r="D361" s="148">
        <v>1950.0</v>
      </c>
      <c r="E361" s="149">
        <v>14316.0715341568</v>
      </c>
      <c r="F361" s="147" t="s">
        <v>2678</v>
      </c>
      <c r="G361" s="150">
        <v>1284846.0818512216</v>
      </c>
      <c r="H361" s="150">
        <v>1.3562709451485574E7</v>
      </c>
      <c r="I361" s="151">
        <v>45268.0</v>
      </c>
      <c r="J361" s="151">
        <v>45296.0</v>
      </c>
      <c r="K361" s="152">
        <v>13446.874380111694</v>
      </c>
      <c r="L361" s="117"/>
      <c r="M361" s="117"/>
      <c r="N361" s="153"/>
      <c r="O361" s="153"/>
      <c r="P361" s="153"/>
      <c r="Q361" s="153"/>
      <c r="R361" s="153" t="str">
        <f t="shared" si="1"/>
        <v>2024</v>
      </c>
      <c r="S361" s="154">
        <f t="shared" si="2"/>
        <v>1</v>
      </c>
      <c r="T361" s="153" t="str">
        <f t="shared" si="3"/>
        <v>2024-Q1</v>
      </c>
      <c r="U361" s="153" t="str">
        <f t="shared" si="4"/>
        <v>2024-01</v>
      </c>
      <c r="V361" s="155" t="str">
        <f t="shared" si="5"/>
        <v>2024-H1</v>
      </c>
      <c r="W361" s="155"/>
    </row>
    <row r="362">
      <c r="A362" s="139">
        <f>HYPERLINK("https://polkadot.subsquare.io/referenda/354", 354)</f>
        <v>354</v>
      </c>
      <c r="B362" s="140" t="s">
        <v>2876</v>
      </c>
      <c r="C362" s="140" t="s">
        <v>2691</v>
      </c>
      <c r="D362" s="141">
        <v>48750.0</v>
      </c>
      <c r="E362" s="142">
        <v>326951.47812366486</v>
      </c>
      <c r="F362" s="140" t="s">
        <v>2683</v>
      </c>
      <c r="G362" s="143">
        <v>18965.6761885379</v>
      </c>
      <c r="H362" s="143">
        <v>3.3445472574286193E7</v>
      </c>
      <c r="I362" s="144">
        <v>45268.0</v>
      </c>
      <c r="J362" s="144">
        <v>45282.0</v>
      </c>
      <c r="K362" s="145">
        <v>449897.15695381165</v>
      </c>
      <c r="L362" s="114"/>
      <c r="M362" s="114"/>
      <c r="N362" s="108"/>
      <c r="O362" s="108"/>
      <c r="P362" s="108"/>
      <c r="Q362" s="108"/>
      <c r="R362" s="108" t="str">
        <f t="shared" si="1"/>
        <v>2023</v>
      </c>
      <c r="S362" s="110">
        <f t="shared" si="2"/>
        <v>12</v>
      </c>
      <c r="T362" s="108" t="str">
        <f t="shared" si="3"/>
        <v>2023-Q4</v>
      </c>
      <c r="U362" s="108" t="str">
        <f t="shared" si="4"/>
        <v>2023-12</v>
      </c>
      <c r="V362" s="112" t="str">
        <f t="shared" si="5"/>
        <v>2023-H2</v>
      </c>
      <c r="W362" s="112"/>
    </row>
    <row r="363">
      <c r="A363" s="146">
        <f>HYPERLINK("https://polkadot.subsquare.io/referenda/355", 355)</f>
        <v>355</v>
      </c>
      <c r="B363" s="147" t="s">
        <v>318</v>
      </c>
      <c r="C363" s="147" t="s">
        <v>2681</v>
      </c>
      <c r="D363" s="148">
        <v>22252.0</v>
      </c>
      <c r="E363" s="149">
        <v>149237.42135810852</v>
      </c>
      <c r="F363" s="147" t="s">
        <v>2683</v>
      </c>
      <c r="G363" s="150">
        <v>1.4242921524911059E7</v>
      </c>
      <c r="H363" s="150">
        <v>1032051.3668829323</v>
      </c>
      <c r="I363" s="151">
        <v>45269.0</v>
      </c>
      <c r="J363" s="151">
        <v>45293.0</v>
      </c>
      <c r="K363" s="152">
        <v>165678.6430835724</v>
      </c>
      <c r="L363" s="117" t="s">
        <v>84</v>
      </c>
      <c r="M363" s="117" t="s">
        <v>317</v>
      </c>
      <c r="N363" s="153"/>
      <c r="O363" s="153"/>
      <c r="P363" s="153"/>
      <c r="Q363" s="153"/>
      <c r="R363" s="153" t="str">
        <f t="shared" si="1"/>
        <v>2024</v>
      </c>
      <c r="S363" s="154">
        <f t="shared" si="2"/>
        <v>1</v>
      </c>
      <c r="T363" s="153" t="str">
        <f t="shared" si="3"/>
        <v>2024-Q1</v>
      </c>
      <c r="U363" s="153" t="str">
        <f t="shared" si="4"/>
        <v>2024-01</v>
      </c>
      <c r="V363" s="155" t="str">
        <f t="shared" si="5"/>
        <v>2024-H1</v>
      </c>
      <c r="W363" s="155"/>
    </row>
    <row r="364">
      <c r="A364" s="139">
        <f>HYPERLINK("https://polkadot.subsquare.io/referenda/356", 356)</f>
        <v>356</v>
      </c>
      <c r="B364" s="140" t="s">
        <v>319</v>
      </c>
      <c r="C364" s="140" t="s">
        <v>2681</v>
      </c>
      <c r="D364" s="141">
        <v>11059.0</v>
      </c>
      <c r="E364" s="142">
        <v>74169.36198091507</v>
      </c>
      <c r="F364" s="140" t="s">
        <v>2683</v>
      </c>
      <c r="G364" s="143">
        <v>6.330314211125132E7</v>
      </c>
      <c r="H364" s="143">
        <v>4.726606633080685E7</v>
      </c>
      <c r="I364" s="144">
        <v>45269.0</v>
      </c>
      <c r="J364" s="144">
        <v>45299.0</v>
      </c>
      <c r="K364" s="145">
        <v>90354.11908721924</v>
      </c>
      <c r="L364" s="114" t="s">
        <v>137</v>
      </c>
      <c r="M364" s="114" t="s">
        <v>254</v>
      </c>
      <c r="N364" s="108"/>
      <c r="O364" s="108"/>
      <c r="P364" s="108"/>
      <c r="Q364" s="108"/>
      <c r="R364" s="108" t="str">
        <f t="shared" si="1"/>
        <v>2024</v>
      </c>
      <c r="S364" s="110">
        <f t="shared" si="2"/>
        <v>1</v>
      </c>
      <c r="T364" s="108" t="str">
        <f t="shared" si="3"/>
        <v>2024-Q1</v>
      </c>
      <c r="U364" s="108" t="str">
        <f t="shared" si="4"/>
        <v>2024-01</v>
      </c>
      <c r="V364" s="112" t="str">
        <f t="shared" si="5"/>
        <v>2024-H1</v>
      </c>
      <c r="W364" s="112"/>
    </row>
    <row r="365">
      <c r="A365" s="146">
        <f>HYPERLINK("https://polkadot.subsquare.io/referenda/357", 357)</f>
        <v>357</v>
      </c>
      <c r="B365" s="147" t="s">
        <v>319</v>
      </c>
      <c r="C365" s="147" t="s">
        <v>2681</v>
      </c>
      <c r="D365" s="148">
        <v>1000.0</v>
      </c>
      <c r="E365" s="149">
        <v>6706.6969871521</v>
      </c>
      <c r="F365" s="147" t="s">
        <v>2699</v>
      </c>
      <c r="G365" s="150">
        <v>4.0012051951830134E7</v>
      </c>
      <c r="H365" s="150">
        <v>1.9504448335955422E7</v>
      </c>
      <c r="I365" s="151">
        <v>45269.0</v>
      </c>
      <c r="J365" s="151">
        <v>45273.0</v>
      </c>
      <c r="K365" s="152">
        <v>7085.906982421875</v>
      </c>
      <c r="L365" s="117" t="s">
        <v>137</v>
      </c>
      <c r="M365" s="117" t="s">
        <v>254</v>
      </c>
      <c r="N365" s="153"/>
      <c r="O365" s="153"/>
      <c r="P365" s="153"/>
      <c r="Q365" s="153"/>
      <c r="R365" s="153" t="str">
        <f t="shared" si="1"/>
        <v>2023</v>
      </c>
      <c r="S365" s="154">
        <f t="shared" si="2"/>
        <v>12</v>
      </c>
      <c r="T365" s="153" t="str">
        <f t="shared" si="3"/>
        <v>2023-Q4</v>
      </c>
      <c r="U365" s="153" t="str">
        <f t="shared" si="4"/>
        <v>2023-12</v>
      </c>
      <c r="V365" s="155" t="str">
        <f t="shared" si="5"/>
        <v>2023-H2</v>
      </c>
      <c r="W365" s="155"/>
    </row>
    <row r="366">
      <c r="A366" s="139">
        <f>HYPERLINK("https://polkadot.subsquare.io/referenda/358", 358)</f>
        <v>358</v>
      </c>
      <c r="B366" s="140" t="s">
        <v>320</v>
      </c>
      <c r="C366" s="140" t="s">
        <v>2681</v>
      </c>
      <c r="D366" s="141">
        <v>41667.0</v>
      </c>
      <c r="E366" s="142">
        <v>279447.94336366653</v>
      </c>
      <c r="F366" s="140" t="s">
        <v>2683</v>
      </c>
      <c r="G366" s="143">
        <v>5.441849491967519E7</v>
      </c>
      <c r="H366" s="143">
        <v>223081.331658338</v>
      </c>
      <c r="I366" s="144">
        <v>45269.0</v>
      </c>
      <c r="J366" s="144">
        <v>45286.0</v>
      </c>
      <c r="K366" s="145">
        <v>345528.823677063</v>
      </c>
      <c r="L366" s="114" t="s">
        <v>81</v>
      </c>
      <c r="M366" s="114" t="s">
        <v>202</v>
      </c>
      <c r="N366" s="108"/>
      <c r="O366" s="108"/>
      <c r="P366" s="108"/>
      <c r="Q366" s="108"/>
      <c r="R366" s="108" t="str">
        <f t="shared" si="1"/>
        <v>2023</v>
      </c>
      <c r="S366" s="110">
        <f t="shared" si="2"/>
        <v>12</v>
      </c>
      <c r="T366" s="108" t="str">
        <f t="shared" si="3"/>
        <v>2023-Q4</v>
      </c>
      <c r="U366" s="108" t="str">
        <f t="shared" si="4"/>
        <v>2023-12</v>
      </c>
      <c r="V366" s="112" t="str">
        <f t="shared" si="5"/>
        <v>2023-H2</v>
      </c>
      <c r="W366" s="112"/>
    </row>
    <row r="367">
      <c r="A367" s="146">
        <f>HYPERLINK("https://polkadot.subsquare.io/referenda/359", 359)</f>
        <v>359</v>
      </c>
      <c r="B367" s="147" t="s">
        <v>321</v>
      </c>
      <c r="C367" s="147" t="s">
        <v>2681</v>
      </c>
      <c r="D367" s="148">
        <v>10541.327</v>
      </c>
      <c r="E367" s="149">
        <v>80221.37476058006</v>
      </c>
      <c r="F367" s="147" t="s">
        <v>2683</v>
      </c>
      <c r="G367" s="150">
        <v>4.026127863549032E7</v>
      </c>
      <c r="H367" s="150">
        <v>3.0980686016067643E7</v>
      </c>
      <c r="I367" s="151">
        <v>45271.0</v>
      </c>
      <c r="J367" s="151">
        <v>45297.0</v>
      </c>
      <c r="K367" s="152">
        <v>78827.49714700603</v>
      </c>
      <c r="L367" s="117" t="s">
        <v>82</v>
      </c>
      <c r="M367" s="117" t="s">
        <v>176</v>
      </c>
      <c r="N367" s="153"/>
      <c r="O367" s="153"/>
      <c r="P367" s="153"/>
      <c r="Q367" s="153"/>
      <c r="R367" s="153" t="str">
        <f t="shared" si="1"/>
        <v>2024</v>
      </c>
      <c r="S367" s="154">
        <f t="shared" si="2"/>
        <v>1</v>
      </c>
      <c r="T367" s="153" t="str">
        <f t="shared" si="3"/>
        <v>2024-Q1</v>
      </c>
      <c r="U367" s="153" t="str">
        <f t="shared" si="4"/>
        <v>2024-01</v>
      </c>
      <c r="V367" s="155" t="str">
        <f t="shared" si="5"/>
        <v>2024-H1</v>
      </c>
      <c r="W367" s="155"/>
    </row>
    <row r="368">
      <c r="A368" s="139">
        <f>HYPERLINK("https://polkadot.subsquare.io/referenda/360", 360)</f>
        <v>360</v>
      </c>
      <c r="B368" s="140" t="s">
        <v>322</v>
      </c>
      <c r="C368" s="140" t="s">
        <v>2681</v>
      </c>
      <c r="D368" s="141">
        <v>26448.736</v>
      </c>
      <c r="E368" s="142">
        <v>201279.58867034913</v>
      </c>
      <c r="F368" s="140" t="s">
        <v>2683</v>
      </c>
      <c r="G368" s="143">
        <v>1.322039321812113E7</v>
      </c>
      <c r="H368" s="143">
        <v>249230.6466693924</v>
      </c>
      <c r="I368" s="144">
        <v>45271.0</v>
      </c>
      <c r="J368" s="144">
        <v>45296.0</v>
      </c>
      <c r="K368" s="145">
        <v>182386.0669255066</v>
      </c>
      <c r="L368" s="114" t="s">
        <v>81</v>
      </c>
      <c r="M368" s="114" t="s">
        <v>158</v>
      </c>
      <c r="N368" s="108"/>
      <c r="O368" s="108"/>
      <c r="P368" s="108"/>
      <c r="Q368" s="108"/>
      <c r="R368" s="108" t="str">
        <f t="shared" si="1"/>
        <v>2024</v>
      </c>
      <c r="S368" s="110">
        <f t="shared" si="2"/>
        <v>1</v>
      </c>
      <c r="T368" s="108" t="str">
        <f t="shared" si="3"/>
        <v>2024-Q1</v>
      </c>
      <c r="U368" s="108" t="str">
        <f t="shared" si="4"/>
        <v>2024-01</v>
      </c>
      <c r="V368" s="112" t="str">
        <f t="shared" si="5"/>
        <v>2024-H1</v>
      </c>
      <c r="W368" s="112"/>
    </row>
    <row r="369">
      <c r="A369" s="146">
        <f>HYPERLINK("https://polkadot.subsquare.io/referenda/361", 361)</f>
        <v>361</v>
      </c>
      <c r="B369" s="147" t="s">
        <v>324</v>
      </c>
      <c r="C369" s="147" t="s">
        <v>2681</v>
      </c>
      <c r="D369" s="148">
        <v>500.0</v>
      </c>
      <c r="E369" s="149">
        <v>3760.547399520874</v>
      </c>
      <c r="F369" s="147" t="s">
        <v>2699</v>
      </c>
      <c r="G369" s="150">
        <v>956373.4506632377</v>
      </c>
      <c r="H369" s="150">
        <v>494514.9063194007</v>
      </c>
      <c r="I369" s="151">
        <v>45271.0</v>
      </c>
      <c r="J369" s="151">
        <v>45277.0</v>
      </c>
      <c r="K369" s="152">
        <v>3471.3475704193115</v>
      </c>
      <c r="L369" s="117" t="s">
        <v>137</v>
      </c>
      <c r="M369" s="117" t="s">
        <v>323</v>
      </c>
      <c r="N369" s="153"/>
      <c r="O369" s="153"/>
      <c r="P369" s="153"/>
      <c r="Q369" s="153"/>
      <c r="R369" s="153" t="str">
        <f t="shared" si="1"/>
        <v>2023</v>
      </c>
      <c r="S369" s="154">
        <f t="shared" si="2"/>
        <v>12</v>
      </c>
      <c r="T369" s="153" t="str">
        <f t="shared" si="3"/>
        <v>2023-Q4</v>
      </c>
      <c r="U369" s="153" t="str">
        <f t="shared" si="4"/>
        <v>2023-12</v>
      </c>
      <c r="V369" s="155" t="str">
        <f t="shared" si="5"/>
        <v>2023-H2</v>
      </c>
      <c r="W369" s="155"/>
    </row>
    <row r="370">
      <c r="A370" s="139">
        <f>HYPERLINK("https://polkadot.subsquare.io/referenda/362", 362)</f>
        <v>362</v>
      </c>
      <c r="B370" s="140" t="s">
        <v>325</v>
      </c>
      <c r="C370" s="140" t="s">
        <v>2681</v>
      </c>
      <c r="D370" s="141">
        <v>25910.7234</v>
      </c>
      <c r="E370" s="142">
        <v>194877.0070031493</v>
      </c>
      <c r="F370" s="140" t="s">
        <v>2683</v>
      </c>
      <c r="G370" s="143">
        <v>4.3493004495830566E7</v>
      </c>
      <c r="H370" s="143">
        <v>3909868.2863627267</v>
      </c>
      <c r="I370" s="144">
        <v>45271.0</v>
      </c>
      <c r="J370" s="144">
        <v>45299.0</v>
      </c>
      <c r="K370" s="145">
        <v>211695.50481233367</v>
      </c>
      <c r="L370" s="114" t="s">
        <v>81</v>
      </c>
      <c r="M370" s="114" t="s">
        <v>179</v>
      </c>
      <c r="N370" s="108"/>
      <c r="O370" s="108"/>
      <c r="P370" s="108"/>
      <c r="Q370" s="108"/>
      <c r="R370" s="108" t="str">
        <f t="shared" si="1"/>
        <v>2024</v>
      </c>
      <c r="S370" s="110">
        <f t="shared" si="2"/>
        <v>1</v>
      </c>
      <c r="T370" s="108" t="str">
        <f t="shared" si="3"/>
        <v>2024-Q1</v>
      </c>
      <c r="U370" s="108" t="str">
        <f t="shared" si="4"/>
        <v>2024-01</v>
      </c>
      <c r="V370" s="112" t="str">
        <f t="shared" si="5"/>
        <v>2024-H1</v>
      </c>
      <c r="W370" s="112"/>
    </row>
    <row r="371">
      <c r="A371" s="146">
        <f>HYPERLINK("https://polkadot.subsquare.io/referenda/363", 363)</f>
        <v>363</v>
      </c>
      <c r="B371" s="147" t="s">
        <v>2877</v>
      </c>
      <c r="C371" s="147" t="s">
        <v>2681</v>
      </c>
      <c r="D371" s="148">
        <v>0.0</v>
      </c>
      <c r="E371" s="149">
        <v>0.0</v>
      </c>
      <c r="F371" s="147" t="s">
        <v>2683</v>
      </c>
      <c r="G371" s="150">
        <v>1.276356410238278E7</v>
      </c>
      <c r="H371" s="150">
        <v>269077.8850926468</v>
      </c>
      <c r="I371" s="151">
        <v>45271.0</v>
      </c>
      <c r="J371" s="151">
        <v>45296.0</v>
      </c>
      <c r="K371" s="152">
        <v>0.0</v>
      </c>
      <c r="L371" s="117" t="s">
        <v>84</v>
      </c>
      <c r="M371" s="117" t="s">
        <v>171</v>
      </c>
      <c r="N371" s="153"/>
      <c r="O371" s="153" t="s">
        <v>2654</v>
      </c>
      <c r="P371" s="153" t="s">
        <v>2654</v>
      </c>
      <c r="Q371" s="153"/>
      <c r="R371" s="153" t="str">
        <f t="shared" si="1"/>
        <v>2024</v>
      </c>
      <c r="S371" s="154">
        <f t="shared" si="2"/>
        <v>1</v>
      </c>
      <c r="T371" s="153" t="str">
        <f t="shared" si="3"/>
        <v>2024-Q1</v>
      </c>
      <c r="U371" s="153" t="str">
        <f t="shared" si="4"/>
        <v>2024-01</v>
      </c>
      <c r="V371" s="155" t="str">
        <f t="shared" si="5"/>
        <v>2024-H1</v>
      </c>
      <c r="W371" s="155"/>
    </row>
    <row r="372">
      <c r="A372" s="139">
        <f>HYPERLINK("https://polkadot.subsquare.io/referenda/364", 364)</f>
        <v>364</v>
      </c>
      <c r="B372" s="140" t="s">
        <v>326</v>
      </c>
      <c r="C372" s="140" t="s">
        <v>2681</v>
      </c>
      <c r="D372" s="141">
        <v>2500.0</v>
      </c>
      <c r="E372" s="142">
        <v>18802.73699760437</v>
      </c>
      <c r="F372" s="140" t="s">
        <v>2678</v>
      </c>
      <c r="G372" s="143">
        <v>4.397089448350183E7</v>
      </c>
      <c r="H372" s="143">
        <v>274160.0845947794</v>
      </c>
      <c r="I372" s="144">
        <v>45272.0</v>
      </c>
      <c r="J372" s="144">
        <v>45286.0</v>
      </c>
      <c r="K372" s="145">
        <v>20731.563568115234</v>
      </c>
      <c r="L372" s="114" t="s">
        <v>82</v>
      </c>
      <c r="M372" s="114" t="s">
        <v>176</v>
      </c>
      <c r="N372" s="108"/>
      <c r="O372" s="108"/>
      <c r="P372" s="108"/>
      <c r="Q372" s="108"/>
      <c r="R372" s="108" t="str">
        <f t="shared" si="1"/>
        <v>2023</v>
      </c>
      <c r="S372" s="110">
        <f t="shared" si="2"/>
        <v>12</v>
      </c>
      <c r="T372" s="108" t="str">
        <f t="shared" si="3"/>
        <v>2023-Q4</v>
      </c>
      <c r="U372" s="108" t="str">
        <f t="shared" si="4"/>
        <v>2023-12</v>
      </c>
      <c r="V372" s="112" t="str">
        <f t="shared" si="5"/>
        <v>2023-H2</v>
      </c>
      <c r="W372" s="112"/>
    </row>
    <row r="373">
      <c r="A373" s="146">
        <f>HYPERLINK("https://polkadot.subsquare.io/referenda/365", 365)</f>
        <v>365</v>
      </c>
      <c r="B373" s="147" t="s">
        <v>327</v>
      </c>
      <c r="C373" s="147" t="s">
        <v>2681</v>
      </c>
      <c r="D373" s="148">
        <v>26058.0</v>
      </c>
      <c r="E373" s="149">
        <v>181278.80293178558</v>
      </c>
      <c r="F373" s="147" t="s">
        <v>2683</v>
      </c>
      <c r="G373" s="150">
        <v>4.395592366645032E7</v>
      </c>
      <c r="H373" s="150">
        <v>1011940.9997326778</v>
      </c>
      <c r="I373" s="151">
        <v>45272.0</v>
      </c>
      <c r="J373" s="151">
        <v>45291.0</v>
      </c>
      <c r="K373" s="152">
        <v>199130.61891174316</v>
      </c>
      <c r="L373" s="117" t="s">
        <v>137</v>
      </c>
      <c r="M373" s="117" t="s">
        <v>138</v>
      </c>
      <c r="N373" s="153"/>
      <c r="O373" s="153"/>
      <c r="P373" s="153"/>
      <c r="Q373" s="153"/>
      <c r="R373" s="153" t="str">
        <f t="shared" si="1"/>
        <v>2023</v>
      </c>
      <c r="S373" s="154">
        <f t="shared" si="2"/>
        <v>12</v>
      </c>
      <c r="T373" s="153" t="str">
        <f t="shared" si="3"/>
        <v>2023-Q4</v>
      </c>
      <c r="U373" s="153" t="str">
        <f t="shared" si="4"/>
        <v>2023-12</v>
      </c>
      <c r="V373" s="155" t="str">
        <f t="shared" si="5"/>
        <v>2023-H2</v>
      </c>
      <c r="W373" s="155"/>
    </row>
    <row r="374">
      <c r="A374" s="139">
        <f>HYPERLINK("https://polkadot.subsquare.io/referenda/366", 366)</f>
        <v>366</v>
      </c>
      <c r="B374" s="140" t="s">
        <v>328</v>
      </c>
      <c r="C374" s="140" t="s">
        <v>2681</v>
      </c>
      <c r="D374" s="141">
        <v>325000.0</v>
      </c>
      <c r="E374" s="142">
        <v>2260941.3981437683</v>
      </c>
      <c r="F374" s="140" t="s">
        <v>2676</v>
      </c>
      <c r="G374" s="143">
        <v>5.909476852444479E7</v>
      </c>
      <c r="H374" s="143">
        <v>2.5844408056053836E7</v>
      </c>
      <c r="I374" s="144">
        <v>45273.0</v>
      </c>
      <c r="J374" s="144">
        <v>45301.0</v>
      </c>
      <c r="K374" s="145">
        <v>2460014.033317566</v>
      </c>
      <c r="L374" s="114" t="s">
        <v>81</v>
      </c>
      <c r="M374" s="114" t="s">
        <v>152</v>
      </c>
      <c r="N374" s="108"/>
      <c r="O374" s="108"/>
      <c r="P374" s="108" t="s">
        <v>2654</v>
      </c>
      <c r="Q374" s="108"/>
      <c r="R374" s="108" t="str">
        <f t="shared" si="1"/>
        <v>2024</v>
      </c>
      <c r="S374" s="110">
        <f t="shared" si="2"/>
        <v>1</v>
      </c>
      <c r="T374" s="108" t="str">
        <f t="shared" si="3"/>
        <v>2024-Q1</v>
      </c>
      <c r="U374" s="108" t="str">
        <f t="shared" si="4"/>
        <v>2024-01</v>
      </c>
      <c r="V374" s="112" t="str">
        <f t="shared" si="5"/>
        <v>2024-H1</v>
      </c>
      <c r="W374" s="112"/>
    </row>
    <row r="375">
      <c r="A375" s="146">
        <f>HYPERLINK("https://polkadot.subsquare.io/referenda/367", 367)</f>
        <v>367</v>
      </c>
      <c r="B375" s="147" t="s">
        <v>2878</v>
      </c>
      <c r="C375" s="147" t="s">
        <v>2691</v>
      </c>
      <c r="D375" s="148">
        <v>176852.0</v>
      </c>
      <c r="E375" s="149">
        <v>1253156.8216552734</v>
      </c>
      <c r="F375" s="147" t="s">
        <v>2676</v>
      </c>
      <c r="G375" s="150">
        <v>6135.6418470812</v>
      </c>
      <c r="H375" s="150">
        <v>3718934.734625527</v>
      </c>
      <c r="I375" s="151">
        <v>45273.0</v>
      </c>
      <c r="J375" s="151">
        <v>45287.0</v>
      </c>
      <c r="K375" s="152">
        <v>1480403.8563461304</v>
      </c>
      <c r="L375" s="117"/>
      <c r="M375" s="117"/>
      <c r="N375" s="153"/>
      <c r="O375" s="153"/>
      <c r="P375" s="153"/>
      <c r="Q375" s="153"/>
      <c r="R375" s="153" t="str">
        <f t="shared" si="1"/>
        <v>2023</v>
      </c>
      <c r="S375" s="154">
        <f t="shared" si="2"/>
        <v>12</v>
      </c>
      <c r="T375" s="153" t="str">
        <f t="shared" si="3"/>
        <v>2023-Q4</v>
      </c>
      <c r="U375" s="153" t="str">
        <f t="shared" si="4"/>
        <v>2023-12</v>
      </c>
      <c r="V375" s="155" t="str">
        <f t="shared" si="5"/>
        <v>2023-H2</v>
      </c>
      <c r="W375" s="155"/>
    </row>
    <row r="376">
      <c r="A376" s="139">
        <f>HYPERLINK("https://polkadot.subsquare.io/referenda/368", 368)</f>
        <v>368</v>
      </c>
      <c r="B376" s="140" t="s">
        <v>329</v>
      </c>
      <c r="C376" s="140" t="s">
        <v>2681</v>
      </c>
      <c r="D376" s="141">
        <v>282.0</v>
      </c>
      <c r="E376" s="142">
        <v>1893.6917638778687</v>
      </c>
      <c r="F376" s="140" t="s">
        <v>2699</v>
      </c>
      <c r="G376" s="143">
        <v>4.0552992542348444E7</v>
      </c>
      <c r="H376" s="143">
        <v>518229.6316276019</v>
      </c>
      <c r="I376" s="144">
        <v>45276.0</v>
      </c>
      <c r="J376" s="144">
        <v>45280.0</v>
      </c>
      <c r="K376" s="145">
        <v>2352.4765434265137</v>
      </c>
      <c r="L376" s="114" t="s">
        <v>137</v>
      </c>
      <c r="M376" s="114" t="s">
        <v>323</v>
      </c>
      <c r="N376" s="108"/>
      <c r="O376" s="108"/>
      <c r="P376" s="108"/>
      <c r="Q376" s="108"/>
      <c r="R376" s="108" t="str">
        <f t="shared" si="1"/>
        <v>2023</v>
      </c>
      <c r="S376" s="110">
        <f t="shared" si="2"/>
        <v>12</v>
      </c>
      <c r="T376" s="108" t="str">
        <f t="shared" si="3"/>
        <v>2023-Q4</v>
      </c>
      <c r="U376" s="108" t="str">
        <f t="shared" si="4"/>
        <v>2023-12</v>
      </c>
      <c r="V376" s="112" t="str">
        <f t="shared" si="5"/>
        <v>2023-H2</v>
      </c>
      <c r="W376" s="112"/>
    </row>
    <row r="377">
      <c r="A377" s="146">
        <f>HYPERLINK("https://polkadot.subsquare.io/referenda/369", 369)</f>
        <v>369</v>
      </c>
      <c r="B377" s="147" t="s">
        <v>330</v>
      </c>
      <c r="C377" s="147" t="s">
        <v>2681</v>
      </c>
      <c r="D377" s="148">
        <v>1798.0</v>
      </c>
      <c r="E377" s="149">
        <v>12482.965863227844</v>
      </c>
      <c r="F377" s="147" t="s">
        <v>2678</v>
      </c>
      <c r="G377" s="150">
        <v>4.067533323733385E7</v>
      </c>
      <c r="H377" s="150">
        <v>2435626.2892413517</v>
      </c>
      <c r="I377" s="151">
        <v>45277.0</v>
      </c>
      <c r="J377" s="151">
        <v>45299.0</v>
      </c>
      <c r="K377" s="152">
        <v>14331.968091011047</v>
      </c>
      <c r="L377" s="117" t="s">
        <v>137</v>
      </c>
      <c r="M377" s="117" t="s">
        <v>138</v>
      </c>
      <c r="N377" s="153"/>
      <c r="O377" s="153"/>
      <c r="P377" s="153"/>
      <c r="Q377" s="153"/>
      <c r="R377" s="153" t="str">
        <f t="shared" si="1"/>
        <v>2024</v>
      </c>
      <c r="S377" s="154">
        <f t="shared" si="2"/>
        <v>1</v>
      </c>
      <c r="T377" s="153" t="str">
        <f t="shared" si="3"/>
        <v>2024-Q1</v>
      </c>
      <c r="U377" s="153" t="str">
        <f t="shared" si="4"/>
        <v>2024-01</v>
      </c>
      <c r="V377" s="155" t="str">
        <f t="shared" si="5"/>
        <v>2024-H1</v>
      </c>
      <c r="W377" s="155"/>
    </row>
    <row r="378">
      <c r="A378" s="139">
        <f>HYPERLINK("https://polkadot.subsquare.io/referenda/370", 370)</f>
        <v>370</v>
      </c>
      <c r="B378" s="140" t="s">
        <v>332</v>
      </c>
      <c r="C378" s="140" t="s">
        <v>2681</v>
      </c>
      <c r="D378" s="141">
        <v>44429.5</v>
      </c>
      <c r="E378" s="142">
        <v>308460.4737598896</v>
      </c>
      <c r="F378" s="140" t="s">
        <v>2683</v>
      </c>
      <c r="G378" s="143">
        <v>4.120019627424938E7</v>
      </c>
      <c r="H378" s="143">
        <v>548003.4025731898</v>
      </c>
      <c r="I378" s="144">
        <v>45277.0</v>
      </c>
      <c r="J378" s="144">
        <v>45297.0</v>
      </c>
      <c r="K378" s="145">
        <v>332241.49905347824</v>
      </c>
      <c r="L378" s="114" t="s">
        <v>81</v>
      </c>
      <c r="M378" s="114" t="s">
        <v>331</v>
      </c>
      <c r="N378" s="108"/>
      <c r="O378" s="108"/>
      <c r="P378" s="108"/>
      <c r="Q378" s="108"/>
      <c r="R378" s="108" t="str">
        <f t="shared" si="1"/>
        <v>2024</v>
      </c>
      <c r="S378" s="110">
        <f t="shared" si="2"/>
        <v>1</v>
      </c>
      <c r="T378" s="108" t="str">
        <f t="shared" si="3"/>
        <v>2024-Q1</v>
      </c>
      <c r="U378" s="108" t="str">
        <f t="shared" si="4"/>
        <v>2024-01</v>
      </c>
      <c r="V378" s="112" t="str">
        <f t="shared" si="5"/>
        <v>2024-H1</v>
      </c>
      <c r="W378" s="112"/>
    </row>
    <row r="379">
      <c r="A379" s="146">
        <f>HYPERLINK("https://polkadot.subsquare.io/referenda/371", 371)</f>
        <v>371</v>
      </c>
      <c r="B379" s="147" t="s">
        <v>333</v>
      </c>
      <c r="C379" s="147" t="s">
        <v>2681</v>
      </c>
      <c r="D379" s="148">
        <v>10356.9</v>
      </c>
      <c r="E379" s="149">
        <v>71904.79930415153</v>
      </c>
      <c r="F379" s="147" t="s">
        <v>2683</v>
      </c>
      <c r="G379" s="150">
        <v>4.261972314879799E7</v>
      </c>
      <c r="H379" s="150">
        <v>991871.0199275773</v>
      </c>
      <c r="I379" s="151">
        <v>45278.0</v>
      </c>
      <c r="J379" s="151">
        <v>45303.0</v>
      </c>
      <c r="K379" s="152">
        <v>77860.96796979904</v>
      </c>
      <c r="L379" s="117" t="s">
        <v>82</v>
      </c>
      <c r="M379" s="117" t="s">
        <v>150</v>
      </c>
      <c r="N379" s="153"/>
      <c r="O379" s="153"/>
      <c r="P379" s="153"/>
      <c r="Q379" s="153"/>
      <c r="R379" s="153" t="str">
        <f t="shared" si="1"/>
        <v>2024</v>
      </c>
      <c r="S379" s="154">
        <f t="shared" si="2"/>
        <v>1</v>
      </c>
      <c r="T379" s="153" t="str">
        <f t="shared" si="3"/>
        <v>2024-Q1</v>
      </c>
      <c r="U379" s="153" t="str">
        <f t="shared" si="4"/>
        <v>2024-01</v>
      </c>
      <c r="V379" s="155" t="str">
        <f t="shared" si="5"/>
        <v>2024-H1</v>
      </c>
      <c r="W379" s="155"/>
    </row>
    <row r="380">
      <c r="A380" s="139">
        <f>HYPERLINK("https://polkadot.subsquare.io/referenda/372", 372)</f>
        <v>372</v>
      </c>
      <c r="B380" s="140" t="s">
        <v>334</v>
      </c>
      <c r="C380" s="140" t="s">
        <v>2681</v>
      </c>
      <c r="D380" s="141">
        <v>45234.77</v>
      </c>
      <c r="E380" s="142">
        <v>378230.8648057174</v>
      </c>
      <c r="F380" s="140" t="s">
        <v>2683</v>
      </c>
      <c r="G380" s="143">
        <v>1.4931890672529168E7</v>
      </c>
      <c r="H380" s="143">
        <v>593090.0741094392</v>
      </c>
      <c r="I380" s="144">
        <v>45278.0</v>
      </c>
      <c r="J380" s="144">
        <v>45303.0</v>
      </c>
      <c r="K380" s="145">
        <v>331439.63108577725</v>
      </c>
      <c r="L380" s="114" t="s">
        <v>84</v>
      </c>
      <c r="M380" s="114" t="s">
        <v>152</v>
      </c>
      <c r="N380" s="108"/>
      <c r="O380" s="108"/>
      <c r="P380" s="108"/>
      <c r="Q380" s="108"/>
      <c r="R380" s="108" t="str">
        <f t="shared" si="1"/>
        <v>2024</v>
      </c>
      <c r="S380" s="110">
        <f t="shared" si="2"/>
        <v>1</v>
      </c>
      <c r="T380" s="108" t="str">
        <f t="shared" si="3"/>
        <v>2024-Q1</v>
      </c>
      <c r="U380" s="108" t="str">
        <f t="shared" si="4"/>
        <v>2024-01</v>
      </c>
      <c r="V380" s="112" t="str">
        <f t="shared" si="5"/>
        <v>2024-H1</v>
      </c>
      <c r="W380" s="112"/>
    </row>
    <row r="381">
      <c r="A381" s="146">
        <f>HYPERLINK("https://polkadot.subsquare.io/referenda/373", 373)</f>
        <v>373</v>
      </c>
      <c r="B381" s="147" t="s">
        <v>335</v>
      </c>
      <c r="C381" s="147" t="s">
        <v>2681</v>
      </c>
      <c r="D381" s="148">
        <v>25796.18</v>
      </c>
      <c r="E381" s="149">
        <v>215694.95036857604</v>
      </c>
      <c r="F381" s="147" t="s">
        <v>2683</v>
      </c>
      <c r="G381" s="150">
        <v>4.225674058329386E7</v>
      </c>
      <c r="H381" s="150">
        <v>148096.4512357278</v>
      </c>
      <c r="I381" s="151">
        <v>45279.0</v>
      </c>
      <c r="J381" s="151">
        <v>45298.0</v>
      </c>
      <c r="K381" s="152">
        <v>205622.93027251243</v>
      </c>
      <c r="L381" s="117" t="s">
        <v>81</v>
      </c>
      <c r="M381" s="117" t="s">
        <v>148</v>
      </c>
      <c r="N381" s="153"/>
      <c r="O381" s="153"/>
      <c r="P381" s="153"/>
      <c r="Q381" s="153"/>
      <c r="R381" s="153" t="str">
        <f t="shared" si="1"/>
        <v>2024</v>
      </c>
      <c r="S381" s="154">
        <f t="shared" si="2"/>
        <v>1</v>
      </c>
      <c r="T381" s="153" t="str">
        <f t="shared" si="3"/>
        <v>2024-Q1</v>
      </c>
      <c r="U381" s="153" t="str">
        <f t="shared" si="4"/>
        <v>2024-01</v>
      </c>
      <c r="V381" s="155" t="str">
        <f t="shared" si="5"/>
        <v>2024-H1</v>
      </c>
      <c r="W381" s="155"/>
    </row>
    <row r="382">
      <c r="A382" s="139">
        <f>HYPERLINK("https://polkadot.subsquare.io/referenda/374", 374)</f>
        <v>374</v>
      </c>
      <c r="B382" s="140" t="s">
        <v>336</v>
      </c>
      <c r="C382" s="140" t="s">
        <v>2681</v>
      </c>
      <c r="D382" s="141">
        <v>20632.0</v>
      </c>
      <c r="E382" s="142">
        <v>164419.1303215027</v>
      </c>
      <c r="F382" s="140" t="s">
        <v>2683</v>
      </c>
      <c r="G382" s="143">
        <v>8.023698548943074E7</v>
      </c>
      <c r="H382" s="143">
        <v>7.174655661314608E7</v>
      </c>
      <c r="I382" s="144">
        <v>45279.0</v>
      </c>
      <c r="J382" s="144">
        <v>45310.0</v>
      </c>
      <c r="K382" s="145">
        <v>130660.90535736084</v>
      </c>
      <c r="L382" s="114" t="s">
        <v>137</v>
      </c>
      <c r="M382" s="114" t="s">
        <v>296</v>
      </c>
      <c r="N382" s="108"/>
      <c r="O382" s="108"/>
      <c r="P382" s="108"/>
      <c r="Q382" s="108"/>
      <c r="R382" s="108" t="str">
        <f t="shared" si="1"/>
        <v>2024</v>
      </c>
      <c r="S382" s="110">
        <f t="shared" si="2"/>
        <v>1</v>
      </c>
      <c r="T382" s="108" t="str">
        <f t="shared" si="3"/>
        <v>2024-Q1</v>
      </c>
      <c r="U382" s="108" t="str">
        <f t="shared" si="4"/>
        <v>2024-01</v>
      </c>
      <c r="V382" s="112" t="str">
        <f t="shared" si="5"/>
        <v>2024-H1</v>
      </c>
      <c r="W382" s="112"/>
    </row>
    <row r="383">
      <c r="A383" s="146">
        <f>HYPERLINK("https://polkadot.subsquare.io/referenda/375", 375)</f>
        <v>375</v>
      </c>
      <c r="B383" s="147" t="s">
        <v>337</v>
      </c>
      <c r="C383" s="147" t="s">
        <v>2681</v>
      </c>
      <c r="D383" s="148">
        <v>248986.130762</v>
      </c>
      <c r="E383" s="149">
        <v>1984203.328906746</v>
      </c>
      <c r="F383" s="147" t="s">
        <v>2676</v>
      </c>
      <c r="G383" s="150">
        <v>5.584778703853539E7</v>
      </c>
      <c r="H383" s="150">
        <v>1232153.0395348016</v>
      </c>
      <c r="I383" s="151">
        <v>45279.0</v>
      </c>
      <c r="J383" s="151">
        <v>45303.0</v>
      </c>
      <c r="K383" s="152">
        <v>1871824.6919622933</v>
      </c>
      <c r="L383" s="117" t="s">
        <v>82</v>
      </c>
      <c r="M383" s="117" t="s">
        <v>150</v>
      </c>
      <c r="N383" s="153"/>
      <c r="O383" s="153"/>
      <c r="P383" s="153"/>
      <c r="Q383" s="153"/>
      <c r="R383" s="153" t="str">
        <f t="shared" si="1"/>
        <v>2024</v>
      </c>
      <c r="S383" s="154">
        <f t="shared" si="2"/>
        <v>1</v>
      </c>
      <c r="T383" s="153" t="str">
        <f t="shared" si="3"/>
        <v>2024-Q1</v>
      </c>
      <c r="U383" s="153" t="str">
        <f t="shared" si="4"/>
        <v>2024-01</v>
      </c>
      <c r="V383" s="155" t="str">
        <f t="shared" si="5"/>
        <v>2024-H1</v>
      </c>
      <c r="W383" s="155"/>
    </row>
    <row r="384">
      <c r="A384" s="139">
        <f>HYPERLINK("https://polkadot.subsquare.io/referenda/376", 376)</f>
        <v>376</v>
      </c>
      <c r="B384" s="140" t="s">
        <v>338</v>
      </c>
      <c r="C384" s="140" t="s">
        <v>2681</v>
      </c>
      <c r="D384" s="141">
        <v>57781.69</v>
      </c>
      <c r="E384" s="142">
        <v>460469.9117054415</v>
      </c>
      <c r="F384" s="140" t="s">
        <v>2683</v>
      </c>
      <c r="G384" s="143">
        <v>4.232410623543862E7</v>
      </c>
      <c r="H384" s="143">
        <v>587990.8043387294</v>
      </c>
      <c r="I384" s="144">
        <v>45279.0</v>
      </c>
      <c r="J384" s="144">
        <v>45299.0</v>
      </c>
      <c r="K384" s="145">
        <v>460581.38894587994</v>
      </c>
      <c r="L384" s="114" t="s">
        <v>137</v>
      </c>
      <c r="M384" s="114" t="s">
        <v>296</v>
      </c>
      <c r="N384" s="108"/>
      <c r="O384" s="108"/>
      <c r="P384" s="108"/>
      <c r="Q384" s="108"/>
      <c r="R384" s="108" t="str">
        <f t="shared" si="1"/>
        <v>2024</v>
      </c>
      <c r="S384" s="110">
        <f t="shared" si="2"/>
        <v>1</v>
      </c>
      <c r="T384" s="108" t="str">
        <f t="shared" si="3"/>
        <v>2024-Q1</v>
      </c>
      <c r="U384" s="108" t="str">
        <f t="shared" si="4"/>
        <v>2024-01</v>
      </c>
      <c r="V384" s="112" t="str">
        <f t="shared" si="5"/>
        <v>2024-H1</v>
      </c>
      <c r="W384" s="112"/>
    </row>
    <row r="385">
      <c r="A385" s="146">
        <f>HYPERLINK("https://polkadot.subsquare.io/referenda/377", 377)</f>
        <v>377</v>
      </c>
      <c r="B385" s="147" t="s">
        <v>339</v>
      </c>
      <c r="C385" s="147" t="s">
        <v>2681</v>
      </c>
      <c r="D385" s="148">
        <v>71842.0</v>
      </c>
      <c r="E385" s="149">
        <v>572518.3773050308</v>
      </c>
      <c r="F385" s="147" t="s">
        <v>2683</v>
      </c>
      <c r="G385" s="150">
        <v>4.106191528092714E7</v>
      </c>
      <c r="H385" s="150">
        <v>1947502.7517093113</v>
      </c>
      <c r="I385" s="151">
        <v>45280.0</v>
      </c>
      <c r="J385" s="151">
        <v>45300.0</v>
      </c>
      <c r="K385" s="152">
        <v>586962.711227417</v>
      </c>
      <c r="L385" s="117" t="s">
        <v>81</v>
      </c>
      <c r="M385" s="117" t="s">
        <v>179</v>
      </c>
      <c r="N385" s="153"/>
      <c r="O385" s="153"/>
      <c r="P385" s="153"/>
      <c r="Q385" s="153"/>
      <c r="R385" s="153" t="str">
        <f t="shared" si="1"/>
        <v>2024</v>
      </c>
      <c r="S385" s="154">
        <f t="shared" si="2"/>
        <v>1</v>
      </c>
      <c r="T385" s="153" t="str">
        <f t="shared" si="3"/>
        <v>2024-Q1</v>
      </c>
      <c r="U385" s="153" t="str">
        <f t="shared" si="4"/>
        <v>2024-01</v>
      </c>
      <c r="V385" s="155" t="str">
        <f t="shared" si="5"/>
        <v>2024-H1</v>
      </c>
      <c r="W385" s="155"/>
    </row>
    <row r="386">
      <c r="A386" s="139">
        <f>HYPERLINK("https://polkadot.subsquare.io/referenda/378", 378)</f>
        <v>378</v>
      </c>
      <c r="B386" s="140" t="s">
        <v>340</v>
      </c>
      <c r="C386" s="140" t="s">
        <v>2681</v>
      </c>
      <c r="D386" s="141">
        <v>40.0</v>
      </c>
      <c r="E386" s="142">
        <v>318.7652778625488</v>
      </c>
      <c r="F386" s="140" t="s">
        <v>186</v>
      </c>
      <c r="G386" s="143">
        <v>2449152.4135266454</v>
      </c>
      <c r="H386" s="143">
        <v>434227.0788443636</v>
      </c>
      <c r="I386" s="144">
        <v>45280.0</v>
      </c>
      <c r="J386" s="144">
        <v>45285.0</v>
      </c>
      <c r="K386" s="145">
        <v>348.12278747558594</v>
      </c>
      <c r="L386" s="114" t="s">
        <v>84</v>
      </c>
      <c r="M386" s="114" t="s">
        <v>144</v>
      </c>
      <c r="N386" s="108"/>
      <c r="O386" s="108"/>
      <c r="P386" s="108"/>
      <c r="Q386" s="108"/>
      <c r="R386" s="108" t="str">
        <f t="shared" si="1"/>
        <v>2023</v>
      </c>
      <c r="S386" s="110">
        <f t="shared" si="2"/>
        <v>12</v>
      </c>
      <c r="T386" s="108" t="str">
        <f t="shared" si="3"/>
        <v>2023-Q4</v>
      </c>
      <c r="U386" s="108" t="str">
        <f t="shared" si="4"/>
        <v>2023-12</v>
      </c>
      <c r="V386" s="112" t="str">
        <f t="shared" si="5"/>
        <v>2023-H2</v>
      </c>
      <c r="W386" s="112"/>
    </row>
    <row r="387">
      <c r="A387" s="146">
        <f>HYPERLINK("https://polkadot.subsquare.io/referenda/379", 379)</f>
        <v>379</v>
      </c>
      <c r="B387" s="147" t="s">
        <v>341</v>
      </c>
      <c r="C387" s="147" t="s">
        <v>2681</v>
      </c>
      <c r="D387" s="148">
        <v>106700.0</v>
      </c>
      <c r="E387" s="149">
        <v>850306.378698349</v>
      </c>
      <c r="F387" s="147" t="s">
        <v>2676</v>
      </c>
      <c r="G387" s="150">
        <v>1.8698599488974273E7</v>
      </c>
      <c r="H387" s="150">
        <v>1643174.5648191678</v>
      </c>
      <c r="I387" s="151">
        <v>45280.0</v>
      </c>
      <c r="J387" s="151">
        <v>45310.0</v>
      </c>
      <c r="K387" s="152">
        <v>726340.8530712128</v>
      </c>
      <c r="L387" s="117" t="s">
        <v>81</v>
      </c>
      <c r="M387" s="117" t="s">
        <v>185</v>
      </c>
      <c r="N387" s="153"/>
      <c r="O387" s="153"/>
      <c r="P387" s="153"/>
      <c r="Q387" s="153"/>
      <c r="R387" s="153" t="str">
        <f t="shared" si="1"/>
        <v>2024</v>
      </c>
      <c r="S387" s="154">
        <f t="shared" si="2"/>
        <v>1</v>
      </c>
      <c r="T387" s="153" t="str">
        <f t="shared" si="3"/>
        <v>2024-Q1</v>
      </c>
      <c r="U387" s="153" t="str">
        <f t="shared" si="4"/>
        <v>2024-01</v>
      </c>
      <c r="V387" s="155" t="str">
        <f t="shared" si="5"/>
        <v>2024-H1</v>
      </c>
      <c r="W387" s="155"/>
    </row>
    <row r="388">
      <c r="A388" s="139">
        <f>HYPERLINK("https://polkadot.subsquare.io/referenda/380", 380)</f>
        <v>380</v>
      </c>
      <c r="B388" s="140" t="s">
        <v>2879</v>
      </c>
      <c r="C388" s="140" t="s">
        <v>2681</v>
      </c>
      <c r="D388" s="141">
        <v>0.0</v>
      </c>
      <c r="E388" s="142">
        <v>0.0</v>
      </c>
      <c r="F388" s="140" t="s">
        <v>2682</v>
      </c>
      <c r="G388" s="143">
        <v>1.1339551889382637E8</v>
      </c>
      <c r="H388" s="143">
        <v>199727.5300445778</v>
      </c>
      <c r="I388" s="144">
        <v>45280.0</v>
      </c>
      <c r="J388" s="144">
        <v>45292.0</v>
      </c>
      <c r="K388" s="145">
        <v>0.0</v>
      </c>
      <c r="L388" s="114"/>
      <c r="M388" s="114"/>
      <c r="N388" s="108"/>
      <c r="O388" s="108"/>
      <c r="P388" s="108"/>
      <c r="Q388" s="108"/>
      <c r="R388" s="108" t="str">
        <f t="shared" si="1"/>
        <v>2024</v>
      </c>
      <c r="S388" s="110">
        <f t="shared" si="2"/>
        <v>1</v>
      </c>
      <c r="T388" s="108" t="str">
        <f t="shared" si="3"/>
        <v>2024-Q1</v>
      </c>
      <c r="U388" s="108" t="str">
        <f t="shared" si="4"/>
        <v>2024-01</v>
      </c>
      <c r="V388" s="112" t="str">
        <f t="shared" si="5"/>
        <v>2024-H1</v>
      </c>
      <c r="W388" s="112"/>
    </row>
    <row r="389">
      <c r="A389" s="146">
        <f>HYPERLINK("https://polkadot.subsquare.io/referenda/381", 381)</f>
        <v>381</v>
      </c>
      <c r="B389" s="147" t="s">
        <v>2880</v>
      </c>
      <c r="C389" s="147" t="s">
        <v>2672</v>
      </c>
      <c r="D389" s="148">
        <v>55858.31</v>
      </c>
      <c r="E389" s="149">
        <v>465976.46819307323</v>
      </c>
      <c r="F389" s="147" t="s">
        <v>2683</v>
      </c>
      <c r="G389" s="150">
        <v>265094.6151087827</v>
      </c>
      <c r="H389" s="150">
        <v>9.037487260104667E7</v>
      </c>
      <c r="I389" s="151">
        <v>45280.0</v>
      </c>
      <c r="J389" s="151">
        <v>45309.0</v>
      </c>
      <c r="K389" s="152">
        <v>385360.6036603975</v>
      </c>
      <c r="L389" s="117"/>
      <c r="M389" s="117"/>
      <c r="N389" s="153"/>
      <c r="O389" s="153"/>
      <c r="P389" s="153"/>
      <c r="Q389" s="153"/>
      <c r="R389" s="153" t="str">
        <f t="shared" si="1"/>
        <v>2024</v>
      </c>
      <c r="S389" s="154">
        <f t="shared" si="2"/>
        <v>1</v>
      </c>
      <c r="T389" s="153" t="str">
        <f t="shared" si="3"/>
        <v>2024-Q1</v>
      </c>
      <c r="U389" s="153" t="str">
        <f t="shared" si="4"/>
        <v>2024-01</v>
      </c>
      <c r="V389" s="155" t="str">
        <f t="shared" si="5"/>
        <v>2024-H1</v>
      </c>
      <c r="W389" s="155"/>
    </row>
    <row r="390">
      <c r="A390" s="139">
        <f>HYPERLINK("https://polkadot.subsquare.io/referenda/382", 382)</f>
        <v>382</v>
      </c>
      <c r="B390" s="140" t="s">
        <v>342</v>
      </c>
      <c r="C390" s="140" t="s">
        <v>2681</v>
      </c>
      <c r="D390" s="141">
        <v>24000.0</v>
      </c>
      <c r="E390" s="142">
        <v>221487.83111572266</v>
      </c>
      <c r="F390" s="140" t="s">
        <v>2683</v>
      </c>
      <c r="G390" s="143">
        <v>4.072271855255669E7</v>
      </c>
      <c r="H390" s="143">
        <v>2268266.183544674</v>
      </c>
      <c r="I390" s="144">
        <v>45282.0</v>
      </c>
      <c r="J390" s="144">
        <v>45301.0</v>
      </c>
      <c r="K390" s="145">
        <v>181662.5747680664</v>
      </c>
      <c r="L390" s="114" t="s">
        <v>137</v>
      </c>
      <c r="M390" s="114" t="s">
        <v>138</v>
      </c>
      <c r="N390" s="108"/>
      <c r="O390" s="108"/>
      <c r="P390" s="108"/>
      <c r="Q390" s="108"/>
      <c r="R390" s="108" t="str">
        <f t="shared" si="1"/>
        <v>2024</v>
      </c>
      <c r="S390" s="110">
        <f t="shared" si="2"/>
        <v>1</v>
      </c>
      <c r="T390" s="108" t="str">
        <f t="shared" si="3"/>
        <v>2024-Q1</v>
      </c>
      <c r="U390" s="108" t="str">
        <f t="shared" si="4"/>
        <v>2024-01</v>
      </c>
      <c r="V390" s="112" t="str">
        <f t="shared" si="5"/>
        <v>2024-H1</v>
      </c>
      <c r="W390" s="112"/>
    </row>
    <row r="391">
      <c r="A391" s="146">
        <f>HYPERLINK("https://polkadot.subsquare.io/referenda/383", 383)</f>
        <v>383</v>
      </c>
      <c r="B391" s="147" t="s">
        <v>2881</v>
      </c>
      <c r="C391" s="147" t="s">
        <v>2672</v>
      </c>
      <c r="D391" s="148">
        <v>2750.0</v>
      </c>
      <c r="E391" s="149">
        <v>23933.441638946533</v>
      </c>
      <c r="F391" s="147" t="s">
        <v>2678</v>
      </c>
      <c r="G391" s="150">
        <v>4.006224401349976E7</v>
      </c>
      <c r="H391" s="150">
        <v>6.879207631270073E7</v>
      </c>
      <c r="I391" s="151">
        <v>45284.0</v>
      </c>
      <c r="J391" s="151">
        <v>45321.0</v>
      </c>
      <c r="K391" s="152">
        <v>19074.618577957153</v>
      </c>
      <c r="L391" s="117"/>
      <c r="M391" s="117"/>
      <c r="N391" s="153"/>
      <c r="O391" s="153"/>
      <c r="P391" s="153"/>
      <c r="Q391" s="153"/>
      <c r="R391" s="153" t="str">
        <f t="shared" si="1"/>
        <v>2024</v>
      </c>
      <c r="S391" s="154">
        <f t="shared" si="2"/>
        <v>1</v>
      </c>
      <c r="T391" s="153" t="str">
        <f t="shared" si="3"/>
        <v>2024-Q1</v>
      </c>
      <c r="U391" s="153" t="str">
        <f t="shared" si="4"/>
        <v>2024-01</v>
      </c>
      <c r="V391" s="155" t="str">
        <f t="shared" si="5"/>
        <v>2024-H1</v>
      </c>
      <c r="W391" s="155"/>
    </row>
    <row r="392">
      <c r="A392" s="139">
        <f>HYPERLINK("https://polkadot.subsquare.io/referenda/384", 384)</f>
        <v>384</v>
      </c>
      <c r="B392" s="140" t="s">
        <v>2882</v>
      </c>
      <c r="C392" s="140" t="s">
        <v>2672</v>
      </c>
      <c r="D392" s="141">
        <v>4267.0</v>
      </c>
      <c r="E392" s="142">
        <v>37135.99835395813</v>
      </c>
      <c r="F392" s="140" t="s">
        <v>2678</v>
      </c>
      <c r="G392" s="143">
        <v>20972.75511</v>
      </c>
      <c r="H392" s="143">
        <v>1.5959565909464313E7</v>
      </c>
      <c r="I392" s="144">
        <v>45284.0</v>
      </c>
      <c r="J392" s="144">
        <v>45313.0</v>
      </c>
      <c r="K392" s="145">
        <v>27564.14668893814</v>
      </c>
      <c r="L392" s="114"/>
      <c r="M392" s="114"/>
      <c r="N392" s="108"/>
      <c r="O392" s="108"/>
      <c r="P392" s="108"/>
      <c r="Q392" s="108"/>
      <c r="R392" s="108" t="str">
        <f t="shared" si="1"/>
        <v>2024</v>
      </c>
      <c r="S392" s="110">
        <f t="shared" si="2"/>
        <v>1</v>
      </c>
      <c r="T392" s="108" t="str">
        <f t="shared" si="3"/>
        <v>2024-Q1</v>
      </c>
      <c r="U392" s="108" t="str">
        <f t="shared" si="4"/>
        <v>2024-01</v>
      </c>
      <c r="V392" s="112" t="str">
        <f t="shared" si="5"/>
        <v>2024-H1</v>
      </c>
      <c r="W392" s="112"/>
    </row>
    <row r="393">
      <c r="A393" s="146">
        <f>HYPERLINK("https://polkadot.subsquare.io/referenda/385", 385)</f>
        <v>385</v>
      </c>
      <c r="B393" s="147" t="s">
        <v>343</v>
      </c>
      <c r="C393" s="147" t="s">
        <v>2681</v>
      </c>
      <c r="D393" s="148">
        <v>91557.0</v>
      </c>
      <c r="E393" s="149">
        <v>796826.9513225555</v>
      </c>
      <c r="F393" s="147" t="s">
        <v>2683</v>
      </c>
      <c r="G393" s="150">
        <v>8.823238309167229E7</v>
      </c>
      <c r="H393" s="150">
        <v>5.64248126469003E7</v>
      </c>
      <c r="I393" s="151">
        <v>45285.0</v>
      </c>
      <c r="J393" s="151">
        <v>45306.0</v>
      </c>
      <c r="K393" s="152">
        <v>671383.8305110931</v>
      </c>
      <c r="L393" s="117" t="s">
        <v>137</v>
      </c>
      <c r="M393" s="117" t="s">
        <v>254</v>
      </c>
      <c r="N393" s="153"/>
      <c r="O393" s="153"/>
      <c r="P393" s="153"/>
      <c r="Q393" s="153"/>
      <c r="R393" s="153" t="str">
        <f t="shared" si="1"/>
        <v>2024</v>
      </c>
      <c r="S393" s="154">
        <f t="shared" si="2"/>
        <v>1</v>
      </c>
      <c r="T393" s="153" t="str">
        <f t="shared" si="3"/>
        <v>2024-Q1</v>
      </c>
      <c r="U393" s="153" t="str">
        <f t="shared" si="4"/>
        <v>2024-01</v>
      </c>
      <c r="V393" s="155" t="str">
        <f t="shared" si="5"/>
        <v>2024-H1</v>
      </c>
      <c r="W393" s="155"/>
    </row>
    <row r="394">
      <c r="A394" s="139">
        <f>HYPERLINK("https://polkadot.subsquare.io/referenda/386", 386)</f>
        <v>386</v>
      </c>
      <c r="B394" s="140" t="s">
        <v>509</v>
      </c>
      <c r="C394" s="140" t="s">
        <v>2691</v>
      </c>
      <c r="D394" s="141">
        <v>9900.0</v>
      </c>
      <c r="E394" s="142">
        <v>83656.13107681274</v>
      </c>
      <c r="F394" s="140" t="s">
        <v>2678</v>
      </c>
      <c r="G394" s="143">
        <v>0.0</v>
      </c>
      <c r="H394" s="143">
        <v>3060994.6768448106</v>
      </c>
      <c r="I394" s="144">
        <v>45286.0</v>
      </c>
      <c r="J394" s="144">
        <v>45300.0</v>
      </c>
      <c r="K394" s="145">
        <v>74935.81209182739</v>
      </c>
      <c r="L394" s="114"/>
      <c r="M394" s="114"/>
      <c r="N394" s="108"/>
      <c r="O394" s="108"/>
      <c r="P394" s="108"/>
      <c r="Q394" s="108"/>
      <c r="R394" s="108" t="str">
        <f t="shared" si="1"/>
        <v>2024</v>
      </c>
      <c r="S394" s="110">
        <f t="shared" si="2"/>
        <v>1</v>
      </c>
      <c r="T394" s="108" t="str">
        <f t="shared" si="3"/>
        <v>2024-Q1</v>
      </c>
      <c r="U394" s="108" t="str">
        <f t="shared" si="4"/>
        <v>2024-01</v>
      </c>
      <c r="V394" s="112" t="str">
        <f t="shared" si="5"/>
        <v>2024-H1</v>
      </c>
      <c r="W394" s="112"/>
    </row>
    <row r="395">
      <c r="A395" s="146">
        <f>HYPERLINK("https://polkadot.subsquare.io/referenda/387", 387)</f>
        <v>387</v>
      </c>
      <c r="B395" s="147" t="s">
        <v>344</v>
      </c>
      <c r="C395" s="147" t="s">
        <v>2681</v>
      </c>
      <c r="D395" s="148">
        <v>64658.0</v>
      </c>
      <c r="E395" s="149">
        <v>536184.5748748779</v>
      </c>
      <c r="F395" s="147" t="s">
        <v>2683</v>
      </c>
      <c r="G395" s="150">
        <v>5.4305843981351405E7</v>
      </c>
      <c r="H395" s="150">
        <v>990415.0810611297</v>
      </c>
      <c r="I395" s="151">
        <v>45286.0</v>
      </c>
      <c r="J395" s="151">
        <v>45304.0</v>
      </c>
      <c r="K395" s="152">
        <v>486085.0705318451</v>
      </c>
      <c r="L395" s="117" t="s">
        <v>137</v>
      </c>
      <c r="M395" s="117" t="s">
        <v>315</v>
      </c>
      <c r="N395" s="153"/>
      <c r="O395" s="153"/>
      <c r="P395" s="153"/>
      <c r="Q395" s="153"/>
      <c r="R395" s="153" t="str">
        <f t="shared" si="1"/>
        <v>2024</v>
      </c>
      <c r="S395" s="154">
        <f t="shared" si="2"/>
        <v>1</v>
      </c>
      <c r="T395" s="153" t="str">
        <f t="shared" si="3"/>
        <v>2024-Q1</v>
      </c>
      <c r="U395" s="153" t="str">
        <f t="shared" si="4"/>
        <v>2024-01</v>
      </c>
      <c r="V395" s="155" t="str">
        <f t="shared" si="5"/>
        <v>2024-H1</v>
      </c>
      <c r="W395" s="155"/>
    </row>
    <row r="396">
      <c r="A396" s="139">
        <f>HYPERLINK("https://polkadot.subsquare.io/referenda/388", 388)</f>
        <v>388</v>
      </c>
      <c r="B396" s="140" t="s">
        <v>2883</v>
      </c>
      <c r="C396" s="140" t="s">
        <v>2672</v>
      </c>
      <c r="D396" s="141">
        <v>21969.0</v>
      </c>
      <c r="E396" s="142">
        <v>182180.68801116943</v>
      </c>
      <c r="F396" s="140" t="s">
        <v>2683</v>
      </c>
      <c r="G396" s="143">
        <v>1.5053993907782946E7</v>
      </c>
      <c r="H396" s="143">
        <v>4.104284651147102E7</v>
      </c>
      <c r="I396" s="144">
        <v>45286.0</v>
      </c>
      <c r="J396" s="144">
        <v>45315.0</v>
      </c>
      <c r="K396" s="145">
        <v>146587.23357725143</v>
      </c>
      <c r="L396" s="114"/>
      <c r="M396" s="114"/>
      <c r="N396" s="108"/>
      <c r="O396" s="108"/>
      <c r="P396" s="108"/>
      <c r="Q396" s="108"/>
      <c r="R396" s="108" t="str">
        <f t="shared" si="1"/>
        <v>2024</v>
      </c>
      <c r="S396" s="110">
        <f t="shared" si="2"/>
        <v>1</v>
      </c>
      <c r="T396" s="108" t="str">
        <f t="shared" si="3"/>
        <v>2024-Q1</v>
      </c>
      <c r="U396" s="108" t="str">
        <f t="shared" si="4"/>
        <v>2024-01</v>
      </c>
      <c r="V396" s="112" t="str">
        <f t="shared" si="5"/>
        <v>2024-H1</v>
      </c>
      <c r="W396" s="112"/>
    </row>
    <row r="397">
      <c r="A397" s="146">
        <f>HYPERLINK("https://polkadot.subsquare.io/referenda/389", 389)</f>
        <v>389</v>
      </c>
      <c r="B397" s="147" t="s">
        <v>345</v>
      </c>
      <c r="C397" s="147" t="s">
        <v>2681</v>
      </c>
      <c r="D397" s="148">
        <v>8250.0</v>
      </c>
      <c r="E397" s="149">
        <v>68414.15977478027</v>
      </c>
      <c r="F397" s="147" t="s">
        <v>2678</v>
      </c>
      <c r="G397" s="150">
        <v>4.205530829556923E7</v>
      </c>
      <c r="H397" s="150">
        <v>2004005.13282276</v>
      </c>
      <c r="I397" s="151">
        <v>45286.0</v>
      </c>
      <c r="J397" s="151">
        <v>45301.0</v>
      </c>
      <c r="K397" s="152">
        <v>62807.127356529236</v>
      </c>
      <c r="L397" s="117" t="s">
        <v>137</v>
      </c>
      <c r="M397" s="117" t="s">
        <v>138</v>
      </c>
      <c r="N397" s="153"/>
      <c r="O397" s="153"/>
      <c r="P397" s="153"/>
      <c r="Q397" s="153"/>
      <c r="R397" s="153" t="str">
        <f t="shared" si="1"/>
        <v>2024</v>
      </c>
      <c r="S397" s="154">
        <f t="shared" si="2"/>
        <v>1</v>
      </c>
      <c r="T397" s="153" t="str">
        <f t="shared" si="3"/>
        <v>2024-Q1</v>
      </c>
      <c r="U397" s="153" t="str">
        <f t="shared" si="4"/>
        <v>2024-01</v>
      </c>
      <c r="V397" s="155" t="str">
        <f t="shared" si="5"/>
        <v>2024-H1</v>
      </c>
      <c r="W397" s="155"/>
    </row>
    <row r="398">
      <c r="A398" s="139">
        <f>HYPERLINK("https://polkadot.subsquare.io/referenda/390", 390)</f>
        <v>390</v>
      </c>
      <c r="B398" s="140" t="s">
        <v>2884</v>
      </c>
      <c r="C398" s="140" t="s">
        <v>2672</v>
      </c>
      <c r="D398" s="141">
        <v>4417012.0</v>
      </c>
      <c r="E398" s="142">
        <v>3.662862602365112E7</v>
      </c>
      <c r="F398" s="140" t="s">
        <v>2683</v>
      </c>
      <c r="G398" s="143">
        <v>25251.0</v>
      </c>
      <c r="H398" s="143">
        <v>1.5925742100863248E7</v>
      </c>
      <c r="I398" s="144">
        <v>45287.0</v>
      </c>
      <c r="J398" s="144">
        <v>45315.0</v>
      </c>
      <c r="K398" s="145">
        <v>2.9462561386234283E7</v>
      </c>
      <c r="L398" s="114"/>
      <c r="M398" s="114"/>
      <c r="N398" s="108"/>
      <c r="O398" s="108"/>
      <c r="P398" s="108"/>
      <c r="Q398" s="108"/>
      <c r="R398" s="108" t="str">
        <f t="shared" si="1"/>
        <v>2024</v>
      </c>
      <c r="S398" s="110">
        <f t="shared" si="2"/>
        <v>1</v>
      </c>
      <c r="T398" s="108" t="str">
        <f t="shared" si="3"/>
        <v>2024-Q1</v>
      </c>
      <c r="U398" s="108" t="str">
        <f t="shared" si="4"/>
        <v>2024-01</v>
      </c>
      <c r="V398" s="112" t="str">
        <f t="shared" si="5"/>
        <v>2024-H1</v>
      </c>
      <c r="W398" s="156" t="s">
        <v>2654</v>
      </c>
    </row>
    <row r="399">
      <c r="A399" s="146">
        <f>HYPERLINK("https://polkadot.subsquare.io/referenda/391", 391)</f>
        <v>391</v>
      </c>
      <c r="B399" s="147" t="s">
        <v>346</v>
      </c>
      <c r="C399" s="147" t="s">
        <v>2681</v>
      </c>
      <c r="D399" s="148">
        <v>540.0</v>
      </c>
      <c r="E399" s="149">
        <v>4520.265998840332</v>
      </c>
      <c r="F399" s="147" t="s">
        <v>2699</v>
      </c>
      <c r="G399" s="150">
        <v>4.616974755489394E7</v>
      </c>
      <c r="H399" s="150">
        <v>1785995.2537505461</v>
      </c>
      <c r="I399" s="151">
        <v>45287.0</v>
      </c>
      <c r="J399" s="151">
        <v>45292.0</v>
      </c>
      <c r="K399" s="152">
        <v>4255.996999740601</v>
      </c>
      <c r="L399" s="117" t="s">
        <v>137</v>
      </c>
      <c r="M399" s="117" t="s">
        <v>254</v>
      </c>
      <c r="N399" s="153"/>
      <c r="O399" s="153"/>
      <c r="P399" s="153"/>
      <c r="Q399" s="153"/>
      <c r="R399" s="153" t="str">
        <f t="shared" si="1"/>
        <v>2024</v>
      </c>
      <c r="S399" s="154">
        <f t="shared" si="2"/>
        <v>1</v>
      </c>
      <c r="T399" s="153" t="str">
        <f t="shared" si="3"/>
        <v>2024-Q1</v>
      </c>
      <c r="U399" s="153" t="str">
        <f t="shared" si="4"/>
        <v>2024-01</v>
      </c>
      <c r="V399" s="155" t="str">
        <f t="shared" si="5"/>
        <v>2024-H1</v>
      </c>
      <c r="W399" s="155"/>
    </row>
    <row r="400">
      <c r="A400" s="139">
        <f>HYPERLINK("https://polkadot.subsquare.io/referenda/392", 392)</f>
        <v>392</v>
      </c>
      <c r="B400" s="140" t="s">
        <v>2885</v>
      </c>
      <c r="C400" s="140" t="s">
        <v>2672</v>
      </c>
      <c r="D400" s="141">
        <v>44170.12</v>
      </c>
      <c r="E400" s="142">
        <v>369742.02148277283</v>
      </c>
      <c r="F400" s="140" t="s">
        <v>2683</v>
      </c>
      <c r="G400" s="143">
        <v>96537.7063194007</v>
      </c>
      <c r="H400" s="143">
        <v>5.601820622872928E7</v>
      </c>
      <c r="I400" s="144">
        <v>45287.0</v>
      </c>
      <c r="J400" s="144">
        <v>45316.0</v>
      </c>
      <c r="K400" s="145">
        <v>294625.61386234284</v>
      </c>
      <c r="L400" s="114"/>
      <c r="M400" s="114"/>
      <c r="N400" s="108"/>
      <c r="O400" s="108"/>
      <c r="P400" s="108"/>
      <c r="Q400" s="108"/>
      <c r="R400" s="108" t="str">
        <f t="shared" si="1"/>
        <v>2024</v>
      </c>
      <c r="S400" s="110">
        <f t="shared" si="2"/>
        <v>1</v>
      </c>
      <c r="T400" s="108" t="str">
        <f t="shared" si="3"/>
        <v>2024-Q1</v>
      </c>
      <c r="U400" s="108" t="str">
        <f t="shared" si="4"/>
        <v>2024-01</v>
      </c>
      <c r="V400" s="112" t="str">
        <f t="shared" si="5"/>
        <v>2024-H1</v>
      </c>
      <c r="W400" s="112"/>
    </row>
    <row r="401">
      <c r="A401" s="146">
        <f>HYPERLINK("https://polkadot.subsquare.io/referenda/393", 393)</f>
        <v>393</v>
      </c>
      <c r="B401" s="147" t="s">
        <v>347</v>
      </c>
      <c r="C401" s="147" t="s">
        <v>2681</v>
      </c>
      <c r="D401" s="148">
        <v>100.0</v>
      </c>
      <c r="E401" s="149">
        <v>837.086296081543</v>
      </c>
      <c r="F401" s="147" t="s">
        <v>186</v>
      </c>
      <c r="G401" s="150">
        <v>2822333.194635843</v>
      </c>
      <c r="H401" s="150">
        <v>198463.5944890484</v>
      </c>
      <c r="I401" s="151">
        <v>45288.0</v>
      </c>
      <c r="J401" s="151">
        <v>45292.0</v>
      </c>
      <c r="K401" s="152">
        <v>788.1475925445557</v>
      </c>
      <c r="L401" s="117" t="s">
        <v>81</v>
      </c>
      <c r="M401" s="117" t="s">
        <v>185</v>
      </c>
      <c r="N401" s="153"/>
      <c r="O401" s="153"/>
      <c r="P401" s="153"/>
      <c r="Q401" s="153"/>
      <c r="R401" s="153" t="str">
        <f t="shared" si="1"/>
        <v>2024</v>
      </c>
      <c r="S401" s="154">
        <f t="shared" si="2"/>
        <v>1</v>
      </c>
      <c r="T401" s="153" t="str">
        <f t="shared" si="3"/>
        <v>2024-Q1</v>
      </c>
      <c r="U401" s="153" t="str">
        <f t="shared" si="4"/>
        <v>2024-01</v>
      </c>
      <c r="V401" s="155" t="str">
        <f t="shared" si="5"/>
        <v>2024-H1</v>
      </c>
      <c r="W401" s="155"/>
    </row>
    <row r="402">
      <c r="A402" s="139">
        <f>HYPERLINK("https://polkadot.subsquare.io/referenda/394", 394)</f>
        <v>394</v>
      </c>
      <c r="B402" s="140" t="s">
        <v>2886</v>
      </c>
      <c r="C402" s="140" t="s">
        <v>2681</v>
      </c>
      <c r="D402" s="141">
        <v>0.0</v>
      </c>
      <c r="E402" s="142">
        <v>0.0</v>
      </c>
      <c r="F402" s="140" t="s">
        <v>2696</v>
      </c>
      <c r="G402" s="143">
        <v>1.6431166850760797E7</v>
      </c>
      <c r="H402" s="143">
        <v>2237044.38390566</v>
      </c>
      <c r="I402" s="144">
        <v>45290.0</v>
      </c>
      <c r="J402" s="144">
        <v>45320.0</v>
      </c>
      <c r="K402" s="145">
        <v>0.0</v>
      </c>
      <c r="L402" s="114"/>
      <c r="M402" s="114"/>
      <c r="N402" s="108"/>
      <c r="O402" s="108"/>
      <c r="P402" s="108"/>
      <c r="Q402" s="108"/>
      <c r="R402" s="108" t="str">
        <f t="shared" si="1"/>
        <v>2024</v>
      </c>
      <c r="S402" s="110">
        <f t="shared" si="2"/>
        <v>1</v>
      </c>
      <c r="T402" s="108" t="str">
        <f t="shared" si="3"/>
        <v>2024-Q1</v>
      </c>
      <c r="U402" s="108" t="str">
        <f t="shared" si="4"/>
        <v>2024-01</v>
      </c>
      <c r="V402" s="112" t="str">
        <f t="shared" si="5"/>
        <v>2024-H1</v>
      </c>
      <c r="W402" s="112"/>
    </row>
    <row r="403">
      <c r="A403" s="146">
        <f>HYPERLINK("https://polkadot.subsquare.io/referenda/395", 395)</f>
        <v>395</v>
      </c>
      <c r="B403" s="147" t="s">
        <v>2887</v>
      </c>
      <c r="C403" s="147" t="s">
        <v>2691</v>
      </c>
      <c r="D403" s="148">
        <v>700.0</v>
      </c>
      <c r="E403" s="149">
        <v>5517.03314781189</v>
      </c>
      <c r="F403" s="147" t="s">
        <v>2699</v>
      </c>
      <c r="G403" s="150">
        <v>12262.1531</v>
      </c>
      <c r="H403" s="150">
        <v>1.4102289690303368E7</v>
      </c>
      <c r="I403" s="151">
        <v>45293.0</v>
      </c>
      <c r="J403" s="151">
        <v>45307.0</v>
      </c>
      <c r="K403" s="152">
        <v>4905.345916748047</v>
      </c>
      <c r="L403" s="117"/>
      <c r="M403" s="117"/>
      <c r="N403" s="153"/>
      <c r="O403" s="153"/>
      <c r="P403" s="153"/>
      <c r="Q403" s="153"/>
      <c r="R403" s="153" t="str">
        <f t="shared" si="1"/>
        <v>2024</v>
      </c>
      <c r="S403" s="154">
        <f t="shared" si="2"/>
        <v>1</v>
      </c>
      <c r="T403" s="153" t="str">
        <f t="shared" si="3"/>
        <v>2024-Q1</v>
      </c>
      <c r="U403" s="153" t="str">
        <f t="shared" si="4"/>
        <v>2024-01</v>
      </c>
      <c r="V403" s="155" t="str">
        <f t="shared" si="5"/>
        <v>2024-H1</v>
      </c>
      <c r="W403" s="155"/>
    </row>
    <row r="404">
      <c r="A404" s="139">
        <f>HYPERLINK("https://polkadot.subsquare.io/referenda/396", 396)</f>
        <v>396</v>
      </c>
      <c r="B404" s="140" t="s">
        <v>348</v>
      </c>
      <c r="C404" s="140" t="s">
        <v>2681</v>
      </c>
      <c r="D404" s="141">
        <v>2000.0</v>
      </c>
      <c r="E404" s="142">
        <v>15762.951850891113</v>
      </c>
      <c r="F404" s="140" t="s">
        <v>2678</v>
      </c>
      <c r="G404" s="143">
        <v>1.6188858585702918E7</v>
      </c>
      <c r="H404" s="143">
        <v>8487.6229564742</v>
      </c>
      <c r="I404" s="144">
        <v>45293.0</v>
      </c>
      <c r="J404" s="144">
        <v>45311.0</v>
      </c>
      <c r="K404" s="145">
        <v>12665.849685668945</v>
      </c>
      <c r="L404" s="114" t="s">
        <v>81</v>
      </c>
      <c r="M404" s="114" t="s">
        <v>179</v>
      </c>
      <c r="N404" s="108"/>
      <c r="O404" s="108"/>
      <c r="P404" s="108"/>
      <c r="Q404" s="108"/>
      <c r="R404" s="108" t="str">
        <f t="shared" si="1"/>
        <v>2024</v>
      </c>
      <c r="S404" s="110">
        <f t="shared" si="2"/>
        <v>1</v>
      </c>
      <c r="T404" s="108" t="str">
        <f t="shared" si="3"/>
        <v>2024-Q1</v>
      </c>
      <c r="U404" s="108" t="str">
        <f t="shared" si="4"/>
        <v>2024-01</v>
      </c>
      <c r="V404" s="112" t="str">
        <f t="shared" si="5"/>
        <v>2024-H1</v>
      </c>
      <c r="W404" s="112"/>
    </row>
    <row r="405">
      <c r="A405" s="146">
        <f>HYPERLINK("https://polkadot.subsquare.io/referenda/397", 397)</f>
        <v>397</v>
      </c>
      <c r="B405" s="147" t="s">
        <v>349</v>
      </c>
      <c r="C405" s="147" t="s">
        <v>2681</v>
      </c>
      <c r="D405" s="148">
        <v>2744.11</v>
      </c>
      <c r="E405" s="149">
        <v>21627.636901774407</v>
      </c>
      <c r="F405" s="147" t="s">
        <v>2678</v>
      </c>
      <c r="G405" s="150">
        <v>3868657.0971086035</v>
      </c>
      <c r="H405" s="150">
        <v>13720.3229564742</v>
      </c>
      <c r="I405" s="151">
        <v>45293.0</v>
      </c>
      <c r="J405" s="151">
        <v>45315.0</v>
      </c>
      <c r="K405" s="152">
        <v>18309.959193940165</v>
      </c>
      <c r="L405" s="117" t="s">
        <v>84</v>
      </c>
      <c r="M405" s="117" t="s">
        <v>202</v>
      </c>
      <c r="N405" s="153"/>
      <c r="O405" s="153"/>
      <c r="P405" s="153" t="s">
        <v>2654</v>
      </c>
      <c r="Q405" s="153"/>
      <c r="R405" s="153" t="str">
        <f t="shared" si="1"/>
        <v>2024</v>
      </c>
      <c r="S405" s="154">
        <f t="shared" si="2"/>
        <v>1</v>
      </c>
      <c r="T405" s="153" t="str">
        <f t="shared" si="3"/>
        <v>2024-Q1</v>
      </c>
      <c r="U405" s="153" t="str">
        <f t="shared" si="4"/>
        <v>2024-01</v>
      </c>
      <c r="V405" s="155" t="str">
        <f t="shared" si="5"/>
        <v>2024-H1</v>
      </c>
      <c r="W405" s="155"/>
    </row>
    <row r="406">
      <c r="A406" s="139">
        <f>HYPERLINK("https://polkadot.subsquare.io/referenda/398", 398)</f>
        <v>398</v>
      </c>
      <c r="B406" s="140" t="s">
        <v>2888</v>
      </c>
      <c r="C406" s="140" t="s">
        <v>2672</v>
      </c>
      <c r="D406" s="141">
        <v>225.0</v>
      </c>
      <c r="E406" s="142">
        <v>1675.2514243125916</v>
      </c>
      <c r="F406" s="140" t="s">
        <v>186</v>
      </c>
      <c r="G406" s="143">
        <v>25142.16037</v>
      </c>
      <c r="H406" s="143">
        <v>3922237.799207042</v>
      </c>
      <c r="I406" s="144">
        <v>45293.0</v>
      </c>
      <c r="J406" s="144">
        <v>45300.0</v>
      </c>
      <c r="K406" s="145">
        <v>1703.0866384506226</v>
      </c>
      <c r="L406" s="114"/>
      <c r="M406" s="114"/>
      <c r="N406" s="108"/>
      <c r="O406" s="108"/>
      <c r="P406" s="108"/>
      <c r="Q406" s="108"/>
      <c r="R406" s="108" t="str">
        <f t="shared" si="1"/>
        <v>2024</v>
      </c>
      <c r="S406" s="110">
        <f t="shared" si="2"/>
        <v>1</v>
      </c>
      <c r="T406" s="108" t="str">
        <f t="shared" si="3"/>
        <v>2024-Q1</v>
      </c>
      <c r="U406" s="108" t="str">
        <f t="shared" si="4"/>
        <v>2024-01</v>
      </c>
      <c r="V406" s="112" t="str">
        <f t="shared" si="5"/>
        <v>2024-H1</v>
      </c>
      <c r="W406" s="156" t="s">
        <v>2654</v>
      </c>
    </row>
    <row r="407">
      <c r="A407" s="146">
        <f>HYPERLINK("https://polkadot.subsquare.io/referenda/399", 399)</f>
        <v>399</v>
      </c>
      <c r="B407" s="147" t="s">
        <v>2889</v>
      </c>
      <c r="C407" s="147" t="s">
        <v>2672</v>
      </c>
      <c r="D407" s="148">
        <v>50.0</v>
      </c>
      <c r="E407" s="149">
        <v>372.278094291687</v>
      </c>
      <c r="F407" s="147" t="s">
        <v>186</v>
      </c>
      <c r="G407" s="150">
        <v>206693.3777962458</v>
      </c>
      <c r="H407" s="150">
        <v>3255968.584409249</v>
      </c>
      <c r="I407" s="151">
        <v>45294.0</v>
      </c>
      <c r="J407" s="151">
        <v>45301.0</v>
      </c>
      <c r="K407" s="152">
        <v>378.4636974334717</v>
      </c>
      <c r="L407" s="117"/>
      <c r="M407" s="117"/>
      <c r="N407" s="153"/>
      <c r="O407" s="153"/>
      <c r="P407" s="153"/>
      <c r="Q407" s="153"/>
      <c r="R407" s="153" t="str">
        <f t="shared" si="1"/>
        <v>2024</v>
      </c>
      <c r="S407" s="154">
        <f t="shared" si="2"/>
        <v>1</v>
      </c>
      <c r="T407" s="153" t="str">
        <f t="shared" si="3"/>
        <v>2024-Q1</v>
      </c>
      <c r="U407" s="153" t="str">
        <f t="shared" si="4"/>
        <v>2024-01</v>
      </c>
      <c r="V407" s="155" t="str">
        <f t="shared" si="5"/>
        <v>2024-H1</v>
      </c>
      <c r="W407" s="155"/>
    </row>
    <row r="408">
      <c r="A408" s="139">
        <f>HYPERLINK("https://polkadot.subsquare.io/referenda/400", 400)</f>
        <v>400</v>
      </c>
      <c r="B408" s="140" t="s">
        <v>2890</v>
      </c>
      <c r="C408" s="140" t="s">
        <v>2681</v>
      </c>
      <c r="D408" s="141">
        <v>0.0</v>
      </c>
      <c r="E408" s="142">
        <v>0.0</v>
      </c>
      <c r="F408" s="140" t="s">
        <v>2891</v>
      </c>
      <c r="G408" s="143">
        <v>1.3950343378647817E7</v>
      </c>
      <c r="H408" s="143">
        <v>51230.7783225472</v>
      </c>
      <c r="I408" s="144">
        <v>45294.0</v>
      </c>
      <c r="J408" s="144">
        <v>45325.0</v>
      </c>
      <c r="K408" s="145">
        <v>0.0</v>
      </c>
      <c r="L408" s="114"/>
      <c r="M408" s="114"/>
      <c r="N408" s="108"/>
      <c r="O408" s="108"/>
      <c r="P408" s="108"/>
      <c r="Q408" s="108"/>
      <c r="R408" s="108" t="str">
        <f t="shared" si="1"/>
        <v>2024</v>
      </c>
      <c r="S408" s="110">
        <f t="shared" si="2"/>
        <v>2</v>
      </c>
      <c r="T408" s="108" t="str">
        <f t="shared" si="3"/>
        <v>2024-Q1</v>
      </c>
      <c r="U408" s="108" t="str">
        <f t="shared" si="4"/>
        <v>2024-02</v>
      </c>
      <c r="V408" s="112" t="str">
        <f t="shared" si="5"/>
        <v>2024-H1</v>
      </c>
      <c r="W408" s="112"/>
    </row>
    <row r="409">
      <c r="A409" s="146">
        <f>HYPERLINK("https://polkadot.subsquare.io/referenda/401", 401)</f>
        <v>401</v>
      </c>
      <c r="B409" s="147" t="s">
        <v>2892</v>
      </c>
      <c r="C409" s="147" t="s">
        <v>2672</v>
      </c>
      <c r="D409" s="148">
        <v>38684.0</v>
      </c>
      <c r="E409" s="149">
        <v>288024.1159915924</v>
      </c>
      <c r="F409" s="147" t="s">
        <v>2683</v>
      </c>
      <c r="G409" s="150">
        <v>1.6332373649223462E7</v>
      </c>
      <c r="H409" s="150">
        <v>1.067607787113054E8</v>
      </c>
      <c r="I409" s="151">
        <v>45294.0</v>
      </c>
      <c r="J409" s="151">
        <v>45322.0</v>
      </c>
      <c r="K409" s="152">
        <v>264269.3607006073</v>
      </c>
      <c r="L409" s="117"/>
      <c r="M409" s="117"/>
      <c r="N409" s="153"/>
      <c r="O409" s="153"/>
      <c r="P409" s="153"/>
      <c r="Q409" s="153"/>
      <c r="R409" s="153" t="str">
        <f t="shared" si="1"/>
        <v>2024</v>
      </c>
      <c r="S409" s="154">
        <f t="shared" si="2"/>
        <v>1</v>
      </c>
      <c r="T409" s="153" t="str">
        <f t="shared" si="3"/>
        <v>2024-Q1</v>
      </c>
      <c r="U409" s="153" t="str">
        <f t="shared" si="4"/>
        <v>2024-01</v>
      </c>
      <c r="V409" s="155" t="str">
        <f t="shared" si="5"/>
        <v>2024-H1</v>
      </c>
      <c r="W409" s="158" t="s">
        <v>2654</v>
      </c>
    </row>
    <row r="410">
      <c r="A410" s="139">
        <f>HYPERLINK("https://polkadot.subsquare.io/referenda/402", 402)</f>
        <v>402</v>
      </c>
      <c r="B410" s="140" t="s">
        <v>2605</v>
      </c>
      <c r="C410" s="140" t="s">
        <v>2681</v>
      </c>
      <c r="D410" s="141">
        <v>0.0</v>
      </c>
      <c r="E410" s="142">
        <v>0.0</v>
      </c>
      <c r="F410" s="140" t="s">
        <v>2683</v>
      </c>
      <c r="G410" s="143">
        <v>5.536930947291529E7</v>
      </c>
      <c r="H410" s="143">
        <v>1056821.963673672</v>
      </c>
      <c r="I410" s="144">
        <v>45294.0</v>
      </c>
      <c r="J410" s="144">
        <v>45311.0</v>
      </c>
      <c r="K410" s="145">
        <v>0.0</v>
      </c>
      <c r="L410" s="114"/>
      <c r="M410" s="114"/>
      <c r="N410" s="108"/>
      <c r="O410" s="108" t="s">
        <v>2654</v>
      </c>
      <c r="P410" s="108" t="s">
        <v>2654</v>
      </c>
      <c r="Q410" s="108"/>
      <c r="R410" s="108" t="str">
        <f t="shared" si="1"/>
        <v>2024</v>
      </c>
      <c r="S410" s="110">
        <f t="shared" si="2"/>
        <v>1</v>
      </c>
      <c r="T410" s="108" t="str">
        <f t="shared" si="3"/>
        <v>2024-Q1</v>
      </c>
      <c r="U410" s="108" t="str">
        <f t="shared" si="4"/>
        <v>2024-01</v>
      </c>
      <c r="V410" s="112" t="str">
        <f t="shared" si="5"/>
        <v>2024-H1</v>
      </c>
      <c r="W410" s="112"/>
    </row>
    <row r="411">
      <c r="A411" s="146">
        <f>HYPERLINK("https://polkadot.subsquare.io/referenda/403", 403)</f>
        <v>403</v>
      </c>
      <c r="B411" s="147" t="s">
        <v>2893</v>
      </c>
      <c r="C411" s="147" t="s">
        <v>2681</v>
      </c>
      <c r="D411" s="148">
        <v>0.0</v>
      </c>
      <c r="E411" s="149">
        <v>0.0</v>
      </c>
      <c r="F411" s="147" t="s">
        <v>2698</v>
      </c>
      <c r="G411" s="150">
        <v>3.305601927908205E7</v>
      </c>
      <c r="H411" s="150">
        <v>6106.795392146</v>
      </c>
      <c r="I411" s="151">
        <v>45296.0</v>
      </c>
      <c r="J411" s="151">
        <v>45319.0</v>
      </c>
      <c r="K411" s="152">
        <v>0.0</v>
      </c>
      <c r="L411" s="117"/>
      <c r="M411" s="117"/>
      <c r="N411" s="153"/>
      <c r="O411" s="153"/>
      <c r="P411" s="153"/>
      <c r="Q411" s="153"/>
      <c r="R411" s="153" t="str">
        <f t="shared" si="1"/>
        <v>2024</v>
      </c>
      <c r="S411" s="154">
        <f t="shared" si="2"/>
        <v>1</v>
      </c>
      <c r="T411" s="153" t="str">
        <f t="shared" si="3"/>
        <v>2024-Q1</v>
      </c>
      <c r="U411" s="153" t="str">
        <f t="shared" si="4"/>
        <v>2024-01</v>
      </c>
      <c r="V411" s="155" t="str">
        <f t="shared" si="5"/>
        <v>2024-H1</v>
      </c>
      <c r="W411" s="155"/>
    </row>
    <row r="412">
      <c r="A412" s="139">
        <f>HYPERLINK("https://polkadot.subsquare.io/referenda/404", 404)</f>
        <v>404</v>
      </c>
      <c r="B412" s="140" t="s">
        <v>2894</v>
      </c>
      <c r="C412" s="140" t="s">
        <v>2672</v>
      </c>
      <c r="D412" s="141">
        <v>1658.0</v>
      </c>
      <c r="E412" s="142">
        <v>12398.438097000122</v>
      </c>
      <c r="F412" s="140" t="s">
        <v>2678</v>
      </c>
      <c r="G412" s="143">
        <v>22474.1362587345</v>
      </c>
      <c r="H412" s="143">
        <v>1.4878924183481764E7</v>
      </c>
      <c r="I412" s="144">
        <v>45296.0</v>
      </c>
      <c r="J412" s="144">
        <v>45325.0</v>
      </c>
      <c r="K412" s="145">
        <v>11153.223294258118</v>
      </c>
      <c r="L412" s="114"/>
      <c r="M412" s="114"/>
      <c r="N412" s="108"/>
      <c r="O412" s="108"/>
      <c r="P412" s="108"/>
      <c r="Q412" s="108"/>
      <c r="R412" s="108" t="str">
        <f t="shared" si="1"/>
        <v>2024</v>
      </c>
      <c r="S412" s="110">
        <f t="shared" si="2"/>
        <v>2</v>
      </c>
      <c r="T412" s="108" t="str">
        <f t="shared" si="3"/>
        <v>2024-Q1</v>
      </c>
      <c r="U412" s="108" t="str">
        <f t="shared" si="4"/>
        <v>2024-02</v>
      </c>
      <c r="V412" s="112" t="str">
        <f t="shared" si="5"/>
        <v>2024-H1</v>
      </c>
      <c r="W412" s="112"/>
    </row>
    <row r="413">
      <c r="A413" s="146">
        <f>HYPERLINK("https://polkadot.subsquare.io/referenda/405", 405)</f>
        <v>405</v>
      </c>
      <c r="B413" s="147" t="s">
        <v>2895</v>
      </c>
      <c r="C413" s="147" t="s">
        <v>2691</v>
      </c>
      <c r="D413" s="148">
        <v>160.0</v>
      </c>
      <c r="E413" s="149">
        <v>1196.4717102050781</v>
      </c>
      <c r="F413" s="147" t="s">
        <v>2687</v>
      </c>
      <c r="G413" s="150">
        <v>82271.5289358169</v>
      </c>
      <c r="H413" s="150">
        <v>1.5928880587928142E7</v>
      </c>
      <c r="I413" s="151">
        <v>45297.0</v>
      </c>
      <c r="J413" s="151">
        <v>45311.0</v>
      </c>
      <c r="K413" s="152">
        <v>1016.708984375</v>
      </c>
      <c r="L413" s="117"/>
      <c r="M413" s="117"/>
      <c r="N413" s="153"/>
      <c r="O413" s="153"/>
      <c r="P413" s="153"/>
      <c r="Q413" s="153"/>
      <c r="R413" s="153" t="str">
        <f t="shared" si="1"/>
        <v>2024</v>
      </c>
      <c r="S413" s="154">
        <f t="shared" si="2"/>
        <v>1</v>
      </c>
      <c r="T413" s="153" t="str">
        <f t="shared" si="3"/>
        <v>2024-Q1</v>
      </c>
      <c r="U413" s="153" t="str">
        <f t="shared" si="4"/>
        <v>2024-01</v>
      </c>
      <c r="V413" s="155" t="str">
        <f t="shared" si="5"/>
        <v>2024-H1</v>
      </c>
      <c r="W413" s="158" t="s">
        <v>2654</v>
      </c>
    </row>
    <row r="414">
      <c r="A414" s="139">
        <f>HYPERLINK("https://polkadot.subsquare.io/referenda/406", 406)</f>
        <v>406</v>
      </c>
      <c r="B414" s="140" t="s">
        <v>350</v>
      </c>
      <c r="C414" s="140" t="s">
        <v>2681</v>
      </c>
      <c r="D414" s="141">
        <v>160.0</v>
      </c>
      <c r="E414" s="142">
        <v>1196.4717102050781</v>
      </c>
      <c r="F414" s="140" t="s">
        <v>186</v>
      </c>
      <c r="G414" s="143">
        <v>3221218.82419314</v>
      </c>
      <c r="H414" s="143">
        <v>115340.1235388797</v>
      </c>
      <c r="I414" s="144">
        <v>45297.0</v>
      </c>
      <c r="J414" s="144">
        <v>45300.0</v>
      </c>
      <c r="K414" s="145">
        <v>1307.230224609375</v>
      </c>
      <c r="L414" s="114" t="s">
        <v>137</v>
      </c>
      <c r="M414" s="114" t="s">
        <v>266</v>
      </c>
      <c r="N414" s="108"/>
      <c r="O414" s="108"/>
      <c r="P414" s="108"/>
      <c r="Q414" s="108"/>
      <c r="R414" s="108" t="str">
        <f t="shared" si="1"/>
        <v>2024</v>
      </c>
      <c r="S414" s="110">
        <f t="shared" si="2"/>
        <v>1</v>
      </c>
      <c r="T414" s="108" t="str">
        <f t="shared" si="3"/>
        <v>2024-Q1</v>
      </c>
      <c r="U414" s="108" t="str">
        <f t="shared" si="4"/>
        <v>2024-01</v>
      </c>
      <c r="V414" s="112" t="str">
        <f t="shared" si="5"/>
        <v>2024-H1</v>
      </c>
      <c r="W414" s="112"/>
    </row>
    <row r="415">
      <c r="A415" s="146">
        <f>HYPERLINK("https://polkadot.subsquare.io/referenda/407", 407)</f>
        <v>407</v>
      </c>
      <c r="B415" s="147" t="s">
        <v>2896</v>
      </c>
      <c r="C415" s="147" t="s">
        <v>2672</v>
      </c>
      <c r="D415" s="148">
        <v>12489.0</v>
      </c>
      <c r="E415" s="149">
        <v>99550.58369779587</v>
      </c>
      <c r="F415" s="147" t="s">
        <v>2683</v>
      </c>
      <c r="G415" s="150">
        <v>406265.0568534576</v>
      </c>
      <c r="H415" s="150">
        <v>1457685.9115545189</v>
      </c>
      <c r="I415" s="151">
        <v>45299.0</v>
      </c>
      <c r="J415" s="151">
        <v>45327.0</v>
      </c>
      <c r="K415" s="152">
        <v>87606.16467905045</v>
      </c>
      <c r="L415" s="117"/>
      <c r="M415" s="117"/>
      <c r="N415" s="153"/>
      <c r="O415" s="153"/>
      <c r="P415" s="153"/>
      <c r="Q415" s="153"/>
      <c r="R415" s="153" t="str">
        <f t="shared" si="1"/>
        <v>2024</v>
      </c>
      <c r="S415" s="154">
        <f t="shared" si="2"/>
        <v>2</v>
      </c>
      <c r="T415" s="153" t="str">
        <f t="shared" si="3"/>
        <v>2024-Q1</v>
      </c>
      <c r="U415" s="153" t="str">
        <f t="shared" si="4"/>
        <v>2024-02</v>
      </c>
      <c r="V415" s="155" t="str">
        <f t="shared" si="5"/>
        <v>2024-H1</v>
      </c>
      <c r="W415" s="155"/>
    </row>
    <row r="416">
      <c r="A416" s="139">
        <f>HYPERLINK("https://polkadot.subsquare.io/referenda/408", 408)</f>
        <v>408</v>
      </c>
      <c r="B416" s="140" t="s">
        <v>351</v>
      </c>
      <c r="C416" s="140" t="s">
        <v>2681</v>
      </c>
      <c r="D416" s="141">
        <v>9975.0</v>
      </c>
      <c r="E416" s="142">
        <v>81497.63431549072</v>
      </c>
      <c r="F416" s="140" t="s">
        <v>2678</v>
      </c>
      <c r="G416" s="143">
        <v>1.570805249379172E7</v>
      </c>
      <c r="H416" s="143">
        <v>129349.1</v>
      </c>
      <c r="I416" s="144">
        <v>45299.0</v>
      </c>
      <c r="J416" s="144">
        <v>45317.0</v>
      </c>
      <c r="K416" s="145">
        <v>70133.04677009583</v>
      </c>
      <c r="L416" s="114" t="s">
        <v>81</v>
      </c>
      <c r="M416" s="114" t="s">
        <v>158</v>
      </c>
      <c r="N416" s="108"/>
      <c r="O416" s="108"/>
      <c r="P416" s="108"/>
      <c r="Q416" s="108"/>
      <c r="R416" s="108" t="str">
        <f t="shared" si="1"/>
        <v>2024</v>
      </c>
      <c r="S416" s="110">
        <f t="shared" si="2"/>
        <v>1</v>
      </c>
      <c r="T416" s="108" t="str">
        <f t="shared" si="3"/>
        <v>2024-Q1</v>
      </c>
      <c r="U416" s="108" t="str">
        <f t="shared" si="4"/>
        <v>2024-01</v>
      </c>
      <c r="V416" s="112" t="str">
        <f t="shared" si="5"/>
        <v>2024-H1</v>
      </c>
      <c r="W416" s="112"/>
    </row>
    <row r="417">
      <c r="A417" s="146">
        <f>HYPERLINK("https://polkadot.subsquare.io/referenda/409", 409)</f>
        <v>409</v>
      </c>
      <c r="B417" s="147" t="s">
        <v>352</v>
      </c>
      <c r="C417" s="147" t="s">
        <v>2681</v>
      </c>
      <c r="D417" s="148">
        <v>56600.0</v>
      </c>
      <c r="E417" s="149">
        <v>462432.6919555664</v>
      </c>
      <c r="F417" s="147" t="s">
        <v>2683</v>
      </c>
      <c r="G417" s="150">
        <v>5.347126750729976E7</v>
      </c>
      <c r="H417" s="150">
        <v>1.5796416238974106E7</v>
      </c>
      <c r="I417" s="151">
        <v>45299.0</v>
      </c>
      <c r="J417" s="151">
        <v>45319.0</v>
      </c>
      <c r="K417" s="152">
        <v>376714.65587615967</v>
      </c>
      <c r="L417" s="117" t="s">
        <v>137</v>
      </c>
      <c r="M417" s="117" t="s">
        <v>191</v>
      </c>
      <c r="N417" s="153"/>
      <c r="O417" s="153"/>
      <c r="P417" s="153" t="s">
        <v>2654</v>
      </c>
      <c r="Q417" s="153"/>
      <c r="R417" s="153" t="str">
        <f t="shared" si="1"/>
        <v>2024</v>
      </c>
      <c r="S417" s="154">
        <f t="shared" si="2"/>
        <v>1</v>
      </c>
      <c r="T417" s="153" t="str">
        <f t="shared" si="3"/>
        <v>2024-Q1</v>
      </c>
      <c r="U417" s="153" t="str">
        <f t="shared" si="4"/>
        <v>2024-01</v>
      </c>
      <c r="V417" s="155" t="str">
        <f t="shared" si="5"/>
        <v>2024-H1</v>
      </c>
      <c r="W417" s="155"/>
    </row>
    <row r="418">
      <c r="A418" s="139">
        <f>HYPERLINK("https://polkadot.subsquare.io/referenda/410", 410)</f>
        <v>410</v>
      </c>
      <c r="B418" s="140" t="s">
        <v>2897</v>
      </c>
      <c r="C418" s="140" t="s">
        <v>2681</v>
      </c>
      <c r="D418" s="141">
        <v>0.0</v>
      </c>
      <c r="E418" s="142">
        <v>0.0</v>
      </c>
      <c r="F418" s="140" t="s">
        <v>2683</v>
      </c>
      <c r="G418" s="143">
        <v>5.484933424733982E7</v>
      </c>
      <c r="H418" s="143">
        <v>1581750.949735282</v>
      </c>
      <c r="I418" s="144">
        <v>45299.0</v>
      </c>
      <c r="J418" s="144">
        <v>45317.0</v>
      </c>
      <c r="K418" s="145">
        <v>0.0</v>
      </c>
      <c r="L418" s="114"/>
      <c r="M418" s="114"/>
      <c r="N418" s="108"/>
      <c r="O418" s="108"/>
      <c r="P418" s="108"/>
      <c r="Q418" s="108"/>
      <c r="R418" s="108" t="str">
        <f t="shared" si="1"/>
        <v>2024</v>
      </c>
      <c r="S418" s="110">
        <f t="shared" si="2"/>
        <v>1</v>
      </c>
      <c r="T418" s="108" t="str">
        <f t="shared" si="3"/>
        <v>2024-Q1</v>
      </c>
      <c r="U418" s="108" t="str">
        <f t="shared" si="4"/>
        <v>2024-01</v>
      </c>
      <c r="V418" s="112" t="str">
        <f t="shared" si="5"/>
        <v>2024-H1</v>
      </c>
      <c r="W418" s="112"/>
    </row>
    <row r="419">
      <c r="A419" s="146">
        <f>HYPERLINK("https://polkadot.subsquare.io/referenda/411", 411)</f>
        <v>411</v>
      </c>
      <c r="B419" s="147" t="s">
        <v>353</v>
      </c>
      <c r="C419" s="147" t="s">
        <v>2681</v>
      </c>
      <c r="D419" s="148">
        <v>65050.0</v>
      </c>
      <c r="E419" s="149">
        <v>531470.788192749</v>
      </c>
      <c r="F419" s="147" t="s">
        <v>2683</v>
      </c>
      <c r="G419" s="150">
        <v>1.650780816486209E7</v>
      </c>
      <c r="H419" s="150">
        <v>180610.4</v>
      </c>
      <c r="I419" s="151">
        <v>45300.0</v>
      </c>
      <c r="J419" s="151">
        <v>45322.0</v>
      </c>
      <c r="K419" s="152">
        <v>451201.43218040466</v>
      </c>
      <c r="L419" s="117" t="s">
        <v>137</v>
      </c>
      <c r="M419" s="117" t="s">
        <v>315</v>
      </c>
      <c r="N419" s="153"/>
      <c r="O419" s="153"/>
      <c r="P419" s="153"/>
      <c r="Q419" s="153"/>
      <c r="R419" s="153" t="str">
        <f t="shared" si="1"/>
        <v>2024</v>
      </c>
      <c r="S419" s="154">
        <f t="shared" si="2"/>
        <v>1</v>
      </c>
      <c r="T419" s="153" t="str">
        <f t="shared" si="3"/>
        <v>2024-Q1</v>
      </c>
      <c r="U419" s="153" t="str">
        <f t="shared" si="4"/>
        <v>2024-01</v>
      </c>
      <c r="V419" s="155" t="str">
        <f t="shared" si="5"/>
        <v>2024-H1</v>
      </c>
      <c r="W419" s="155"/>
    </row>
    <row r="420">
      <c r="A420" s="139">
        <f>HYPERLINK("https://polkadot.subsquare.io/referenda/412", 412)</f>
        <v>412</v>
      </c>
      <c r="B420" s="140" t="s">
        <v>354</v>
      </c>
      <c r="C420" s="140" t="s">
        <v>2681</v>
      </c>
      <c r="D420" s="141">
        <v>3157.89</v>
      </c>
      <c r="E420" s="142">
        <v>23902.934509763716</v>
      </c>
      <c r="F420" s="140" t="s">
        <v>2678</v>
      </c>
      <c r="G420" s="143">
        <v>4.920106429207879E7</v>
      </c>
      <c r="H420" s="143">
        <v>1.7424925035762724E7</v>
      </c>
      <c r="I420" s="144">
        <v>45300.0</v>
      </c>
      <c r="J420" s="144">
        <v>45317.0</v>
      </c>
      <c r="K420" s="145">
        <v>21597.210963349342</v>
      </c>
      <c r="L420" s="114" t="s">
        <v>137</v>
      </c>
      <c r="M420" s="114" t="s">
        <v>243</v>
      </c>
      <c r="N420" s="108"/>
      <c r="O420" s="108"/>
      <c r="P420" s="108"/>
      <c r="Q420" s="108"/>
      <c r="R420" s="108" t="str">
        <f t="shared" si="1"/>
        <v>2024</v>
      </c>
      <c r="S420" s="110">
        <f t="shared" si="2"/>
        <v>1</v>
      </c>
      <c r="T420" s="108" t="str">
        <f t="shared" si="3"/>
        <v>2024-Q1</v>
      </c>
      <c r="U420" s="108" t="str">
        <f t="shared" si="4"/>
        <v>2024-01</v>
      </c>
      <c r="V420" s="112" t="str">
        <f t="shared" si="5"/>
        <v>2024-H1</v>
      </c>
      <c r="W420" s="112"/>
    </row>
    <row r="421">
      <c r="A421" s="146">
        <f>HYPERLINK("https://polkadot.subsquare.io/referenda/413", 413)</f>
        <v>413</v>
      </c>
      <c r="B421" s="147" t="s">
        <v>2898</v>
      </c>
      <c r="C421" s="147" t="s">
        <v>2672</v>
      </c>
      <c r="D421" s="148">
        <v>55000.0</v>
      </c>
      <c r="E421" s="149">
        <v>418714.1823768616</v>
      </c>
      <c r="F421" s="147" t="s">
        <v>2683</v>
      </c>
      <c r="G421" s="150">
        <v>18546.501</v>
      </c>
      <c r="H421" s="150">
        <v>3280325.521998466</v>
      </c>
      <c r="I421" s="151">
        <v>45301.0</v>
      </c>
      <c r="J421" s="151">
        <v>45330.0</v>
      </c>
      <c r="K421" s="152">
        <v>396487.4529838562</v>
      </c>
      <c r="L421" s="117"/>
      <c r="M421" s="117"/>
      <c r="N421" s="153"/>
      <c r="O421" s="153"/>
      <c r="P421" s="153"/>
      <c r="Q421" s="153"/>
      <c r="R421" s="153" t="str">
        <f t="shared" si="1"/>
        <v>2024</v>
      </c>
      <c r="S421" s="154">
        <f t="shared" si="2"/>
        <v>2</v>
      </c>
      <c r="T421" s="153" t="str">
        <f t="shared" si="3"/>
        <v>2024-Q1</v>
      </c>
      <c r="U421" s="153" t="str">
        <f t="shared" si="4"/>
        <v>2024-02</v>
      </c>
      <c r="V421" s="155" t="str">
        <f t="shared" si="5"/>
        <v>2024-H1</v>
      </c>
      <c r="W421" s="155"/>
    </row>
    <row r="422">
      <c r="A422" s="139">
        <f>HYPERLINK("https://polkadot.subsquare.io/referenda/414", 414)</f>
        <v>414</v>
      </c>
      <c r="B422" s="140" t="s">
        <v>2899</v>
      </c>
      <c r="C422" s="140" t="s">
        <v>2681</v>
      </c>
      <c r="D422" s="141">
        <v>0.0</v>
      </c>
      <c r="E422" s="142">
        <v>0.0</v>
      </c>
      <c r="F422" s="140" t="s">
        <v>2698</v>
      </c>
      <c r="G422" s="143">
        <v>1.6200841224434428E7</v>
      </c>
      <c r="H422" s="143">
        <v>48542.1172469272</v>
      </c>
      <c r="I422" s="144">
        <v>45301.0</v>
      </c>
      <c r="J422" s="144">
        <v>45334.0</v>
      </c>
      <c r="K422" s="145">
        <v>0.0</v>
      </c>
      <c r="L422" s="114"/>
      <c r="M422" s="114"/>
      <c r="N422" s="108"/>
      <c r="O422" s="108"/>
      <c r="P422" s="108"/>
      <c r="Q422" s="108"/>
      <c r="R422" s="108" t="str">
        <f t="shared" si="1"/>
        <v>2024</v>
      </c>
      <c r="S422" s="110">
        <f t="shared" si="2"/>
        <v>2</v>
      </c>
      <c r="T422" s="108" t="str">
        <f t="shared" si="3"/>
        <v>2024-Q1</v>
      </c>
      <c r="U422" s="108" t="str">
        <f t="shared" si="4"/>
        <v>2024-02</v>
      </c>
      <c r="V422" s="112" t="str">
        <f t="shared" si="5"/>
        <v>2024-H1</v>
      </c>
      <c r="W422" s="112"/>
    </row>
    <row r="423">
      <c r="A423" s="146">
        <f>HYPERLINK("https://polkadot.subsquare.io/referenda/415", 415)</f>
        <v>415</v>
      </c>
      <c r="B423" s="161" t="s">
        <v>355</v>
      </c>
      <c r="C423" s="147" t="s">
        <v>2681</v>
      </c>
      <c r="D423" s="148">
        <v>51574.0</v>
      </c>
      <c r="E423" s="149">
        <v>387722.34568977356</v>
      </c>
      <c r="F423" s="147" t="s">
        <v>2683</v>
      </c>
      <c r="G423" s="150">
        <v>7.054771671067053E7</v>
      </c>
      <c r="H423" s="150">
        <v>502942.2226682906</v>
      </c>
      <c r="I423" s="151">
        <v>45303.0</v>
      </c>
      <c r="J423" s="151">
        <v>45319.0</v>
      </c>
      <c r="K423" s="152">
        <v>352867.6115179062</v>
      </c>
      <c r="L423" s="117" t="s">
        <v>137</v>
      </c>
      <c r="M423" s="117" t="s">
        <v>138</v>
      </c>
      <c r="N423" s="153"/>
      <c r="O423" s="153"/>
      <c r="P423" s="153"/>
      <c r="Q423" s="153"/>
      <c r="R423" s="153" t="str">
        <f t="shared" si="1"/>
        <v>2024</v>
      </c>
      <c r="S423" s="154">
        <f t="shared" si="2"/>
        <v>1</v>
      </c>
      <c r="T423" s="153" t="str">
        <f t="shared" si="3"/>
        <v>2024-Q1</v>
      </c>
      <c r="U423" s="153" t="str">
        <f t="shared" si="4"/>
        <v>2024-01</v>
      </c>
      <c r="V423" s="155" t="str">
        <f t="shared" si="5"/>
        <v>2024-H1</v>
      </c>
      <c r="W423" s="155"/>
    </row>
    <row r="424">
      <c r="A424" s="139">
        <f>HYPERLINK("https://polkadot.subsquare.io/referenda/416", 416)</f>
        <v>416</v>
      </c>
      <c r="B424" s="140" t="s">
        <v>2900</v>
      </c>
      <c r="C424" s="140" t="s">
        <v>2800</v>
      </c>
      <c r="D424" s="141">
        <v>0.0</v>
      </c>
      <c r="E424" s="142">
        <v>0.0</v>
      </c>
      <c r="F424" s="140" t="s">
        <v>2682</v>
      </c>
      <c r="G424" s="143">
        <v>7.94505155868593E7</v>
      </c>
      <c r="H424" s="143">
        <v>3.386080812082049E7</v>
      </c>
      <c r="I424" s="144">
        <v>45303.0</v>
      </c>
      <c r="J424" s="144">
        <v>45316.0</v>
      </c>
      <c r="K424" s="145">
        <v>0.0</v>
      </c>
      <c r="L424" s="114"/>
      <c r="M424" s="114"/>
      <c r="N424" s="108"/>
      <c r="O424" s="108"/>
      <c r="P424" s="108"/>
      <c r="Q424" s="108"/>
      <c r="R424" s="108" t="str">
        <f t="shared" si="1"/>
        <v>2024</v>
      </c>
      <c r="S424" s="110">
        <f t="shared" si="2"/>
        <v>1</v>
      </c>
      <c r="T424" s="108" t="str">
        <f t="shared" si="3"/>
        <v>2024-Q1</v>
      </c>
      <c r="U424" s="108" t="str">
        <f t="shared" si="4"/>
        <v>2024-01</v>
      </c>
      <c r="V424" s="112" t="str">
        <f t="shared" si="5"/>
        <v>2024-H1</v>
      </c>
      <c r="W424" s="112"/>
    </row>
    <row r="425">
      <c r="A425" s="146">
        <f>HYPERLINK("https://polkadot.subsquare.io/referenda/417", 417)</f>
        <v>417</v>
      </c>
      <c r="B425" s="147" t="s">
        <v>356</v>
      </c>
      <c r="C425" s="147" t="s">
        <v>2681</v>
      </c>
      <c r="D425" s="148">
        <v>1000.0</v>
      </c>
      <c r="E425" s="149">
        <v>7517.786979675293</v>
      </c>
      <c r="F425" s="147" t="s">
        <v>2699</v>
      </c>
      <c r="G425" s="150">
        <v>6623982.139878463</v>
      </c>
      <c r="H425" s="150">
        <v>843143.4086192299</v>
      </c>
      <c r="I425" s="151">
        <v>45304.0</v>
      </c>
      <c r="J425" s="151">
        <v>45307.0</v>
      </c>
      <c r="K425" s="152">
        <v>6874.605178833008</v>
      </c>
      <c r="L425" s="117" t="s">
        <v>137</v>
      </c>
      <c r="M425" s="117" t="s">
        <v>254</v>
      </c>
      <c r="N425" s="153"/>
      <c r="O425" s="153"/>
      <c r="P425" s="153"/>
      <c r="Q425" s="153"/>
      <c r="R425" s="153" t="str">
        <f t="shared" si="1"/>
        <v>2024</v>
      </c>
      <c r="S425" s="154">
        <f t="shared" si="2"/>
        <v>1</v>
      </c>
      <c r="T425" s="153" t="str">
        <f t="shared" si="3"/>
        <v>2024-Q1</v>
      </c>
      <c r="U425" s="153" t="str">
        <f t="shared" si="4"/>
        <v>2024-01</v>
      </c>
      <c r="V425" s="155" t="str">
        <f t="shared" si="5"/>
        <v>2024-H1</v>
      </c>
      <c r="W425" s="155"/>
    </row>
    <row r="426">
      <c r="A426" s="139">
        <f>HYPERLINK("https://polkadot.subsquare.io/referenda/418", 418)</f>
        <v>418</v>
      </c>
      <c r="B426" s="140" t="s">
        <v>357</v>
      </c>
      <c r="C426" s="140" t="s">
        <v>2681</v>
      </c>
      <c r="D426" s="141">
        <v>9900.0</v>
      </c>
      <c r="E426" s="142">
        <v>74426.0910987854</v>
      </c>
      <c r="F426" s="140" t="s">
        <v>2678</v>
      </c>
      <c r="G426" s="143">
        <v>4.922644423606378E7</v>
      </c>
      <c r="H426" s="143">
        <v>2016021.4524074956</v>
      </c>
      <c r="I426" s="144">
        <v>45304.0</v>
      </c>
      <c r="J426" s="144">
        <v>45327.0</v>
      </c>
      <c r="K426" s="145">
        <v>68705.30662536621</v>
      </c>
      <c r="L426" s="114" t="s">
        <v>137</v>
      </c>
      <c r="M426" s="114" t="s">
        <v>191</v>
      </c>
      <c r="N426" s="108"/>
      <c r="O426" s="108"/>
      <c r="P426" s="108"/>
      <c r="Q426" s="108"/>
      <c r="R426" s="108" t="str">
        <f t="shared" si="1"/>
        <v>2024</v>
      </c>
      <c r="S426" s="110">
        <f t="shared" si="2"/>
        <v>2</v>
      </c>
      <c r="T426" s="108" t="str">
        <f t="shared" si="3"/>
        <v>2024-Q1</v>
      </c>
      <c r="U426" s="108" t="str">
        <f t="shared" si="4"/>
        <v>2024-02</v>
      </c>
      <c r="V426" s="112" t="str">
        <f t="shared" si="5"/>
        <v>2024-H1</v>
      </c>
      <c r="W426" s="112"/>
    </row>
    <row r="427">
      <c r="A427" s="146">
        <f>HYPERLINK("https://polkadot.subsquare.io/referenda/419", 419)</f>
        <v>419</v>
      </c>
      <c r="B427" s="147" t="s">
        <v>2901</v>
      </c>
      <c r="C427" s="147" t="s">
        <v>2672</v>
      </c>
      <c r="D427" s="148">
        <v>250.0</v>
      </c>
      <c r="E427" s="149">
        <v>1872.5149631500244</v>
      </c>
      <c r="F427" s="147" t="s">
        <v>186</v>
      </c>
      <c r="G427" s="150">
        <v>435659.7318281898</v>
      </c>
      <c r="H427" s="150">
        <v>1.3886662886210982E7</v>
      </c>
      <c r="I427" s="151">
        <v>45304.0</v>
      </c>
      <c r="J427" s="151">
        <v>45312.0</v>
      </c>
      <c r="K427" s="152">
        <v>1588.6077880859375</v>
      </c>
      <c r="L427" s="117"/>
      <c r="M427" s="117"/>
      <c r="N427" s="153"/>
      <c r="O427" s="153"/>
      <c r="P427" s="153"/>
      <c r="Q427" s="153"/>
      <c r="R427" s="153" t="str">
        <f t="shared" si="1"/>
        <v>2024</v>
      </c>
      <c r="S427" s="154">
        <f t="shared" si="2"/>
        <v>1</v>
      </c>
      <c r="T427" s="153" t="str">
        <f t="shared" si="3"/>
        <v>2024-Q1</v>
      </c>
      <c r="U427" s="153" t="str">
        <f t="shared" si="4"/>
        <v>2024-01</v>
      </c>
      <c r="V427" s="155" t="str">
        <f t="shared" si="5"/>
        <v>2024-H1</v>
      </c>
      <c r="W427" s="155"/>
    </row>
    <row r="428">
      <c r="A428" s="139">
        <f>HYPERLINK("https://polkadot.subsquare.io/referenda/420", 420)</f>
        <v>420</v>
      </c>
      <c r="B428" s="140" t="s">
        <v>358</v>
      </c>
      <c r="C428" s="140" t="s">
        <v>2681</v>
      </c>
      <c r="D428" s="141">
        <v>673.0</v>
      </c>
      <c r="E428" s="142">
        <v>4935.082166671753</v>
      </c>
      <c r="F428" s="140" t="s">
        <v>2699</v>
      </c>
      <c r="G428" s="143">
        <v>2951739.321320447</v>
      </c>
      <c r="H428" s="143">
        <v>835780.8037159987</v>
      </c>
      <c r="I428" s="144">
        <v>45305.0</v>
      </c>
      <c r="J428" s="144">
        <v>45310.0</v>
      </c>
      <c r="K428" s="145">
        <v>4581.325155735016</v>
      </c>
      <c r="L428" s="114" t="s">
        <v>137</v>
      </c>
      <c r="M428" s="114" t="s">
        <v>138</v>
      </c>
      <c r="N428" s="108"/>
      <c r="O428" s="108"/>
      <c r="P428" s="108"/>
      <c r="Q428" s="108"/>
      <c r="R428" s="108" t="str">
        <f t="shared" si="1"/>
        <v>2024</v>
      </c>
      <c r="S428" s="110">
        <f t="shared" si="2"/>
        <v>1</v>
      </c>
      <c r="T428" s="108" t="str">
        <f t="shared" si="3"/>
        <v>2024-Q1</v>
      </c>
      <c r="U428" s="108" t="str">
        <f t="shared" si="4"/>
        <v>2024-01</v>
      </c>
      <c r="V428" s="112" t="str">
        <f t="shared" si="5"/>
        <v>2024-H1</v>
      </c>
      <c r="W428" s="112"/>
    </row>
    <row r="429">
      <c r="A429" s="146">
        <f>HYPERLINK("https://polkadot.subsquare.io/referenda/421", 421)</f>
        <v>421</v>
      </c>
      <c r="B429" s="147" t="s">
        <v>359</v>
      </c>
      <c r="C429" s="147" t="s">
        <v>2681</v>
      </c>
      <c r="D429" s="148">
        <v>226.0</v>
      </c>
      <c r="E429" s="149">
        <v>1657.2489891052246</v>
      </c>
      <c r="F429" s="147" t="s">
        <v>186</v>
      </c>
      <c r="G429" s="150">
        <v>2682637.447763442</v>
      </c>
      <c r="H429" s="150">
        <v>71721.4</v>
      </c>
      <c r="I429" s="151">
        <v>45306.0</v>
      </c>
      <c r="J429" s="151">
        <v>45308.0</v>
      </c>
      <c r="K429" s="152">
        <v>1559.150221824646</v>
      </c>
      <c r="L429" s="117" t="s">
        <v>82</v>
      </c>
      <c r="M429" s="117" t="s">
        <v>150</v>
      </c>
      <c r="N429" s="153"/>
      <c r="O429" s="153"/>
      <c r="P429" s="153"/>
      <c r="Q429" s="153"/>
      <c r="R429" s="153" t="str">
        <f t="shared" si="1"/>
        <v>2024</v>
      </c>
      <c r="S429" s="154">
        <f t="shared" si="2"/>
        <v>1</v>
      </c>
      <c r="T429" s="153" t="str">
        <f t="shared" si="3"/>
        <v>2024-Q1</v>
      </c>
      <c r="U429" s="153" t="str">
        <f t="shared" si="4"/>
        <v>2024-01</v>
      </c>
      <c r="V429" s="155" t="str">
        <f t="shared" si="5"/>
        <v>2024-H1</v>
      </c>
      <c r="W429" s="155"/>
    </row>
    <row r="430">
      <c r="A430" s="139">
        <f>HYPERLINK("https://polkadot.subsquare.io/referenda/422", 422)</f>
        <v>422</v>
      </c>
      <c r="B430" s="140" t="s">
        <v>360</v>
      </c>
      <c r="C430" s="140" t="s">
        <v>2681</v>
      </c>
      <c r="D430" s="141">
        <v>999.0</v>
      </c>
      <c r="E430" s="142">
        <v>7000.6293869018555</v>
      </c>
      <c r="F430" s="140" t="s">
        <v>2699</v>
      </c>
      <c r="G430" s="143">
        <v>5.929524864911567E7</v>
      </c>
      <c r="H430" s="143">
        <v>1.2976897522523204E7</v>
      </c>
      <c r="I430" s="144">
        <v>45306.0</v>
      </c>
      <c r="J430" s="144">
        <v>45312.0</v>
      </c>
      <c r="K430" s="145">
        <v>6453.38236284256</v>
      </c>
      <c r="L430" s="114" t="s">
        <v>85</v>
      </c>
      <c r="M430" s="114" t="s">
        <v>148</v>
      </c>
      <c r="N430" s="108"/>
      <c r="O430" s="108"/>
      <c r="P430" s="108"/>
      <c r="Q430" s="108"/>
      <c r="R430" s="108" t="str">
        <f t="shared" si="1"/>
        <v>2024</v>
      </c>
      <c r="S430" s="110">
        <f t="shared" si="2"/>
        <v>1</v>
      </c>
      <c r="T430" s="108" t="str">
        <f t="shared" si="3"/>
        <v>2024-Q1</v>
      </c>
      <c r="U430" s="108" t="str">
        <f t="shared" si="4"/>
        <v>2024-01</v>
      </c>
      <c r="V430" s="112" t="str">
        <f t="shared" si="5"/>
        <v>2024-H1</v>
      </c>
      <c r="W430" s="112"/>
    </row>
    <row r="431">
      <c r="A431" s="146">
        <f>HYPERLINK("https://polkadot.subsquare.io/referenda/423", 423)</f>
        <v>423</v>
      </c>
      <c r="B431" s="147" t="s">
        <v>2902</v>
      </c>
      <c r="C431" s="147" t="s">
        <v>2681</v>
      </c>
      <c r="D431" s="148">
        <v>0.0</v>
      </c>
      <c r="E431" s="149">
        <v>0.0</v>
      </c>
      <c r="F431" s="147" t="s">
        <v>2683</v>
      </c>
      <c r="G431" s="150">
        <v>1.646791793183994E7</v>
      </c>
      <c r="H431" s="150">
        <v>2325729.3055831124</v>
      </c>
      <c r="I431" s="151">
        <v>45306.0</v>
      </c>
      <c r="J431" s="151">
        <v>45328.0</v>
      </c>
      <c r="K431" s="152">
        <v>0.0</v>
      </c>
      <c r="L431" s="117"/>
      <c r="M431" s="117"/>
      <c r="N431" s="153"/>
      <c r="O431" s="153"/>
      <c r="P431" s="153"/>
      <c r="Q431" s="153"/>
      <c r="R431" s="153" t="str">
        <f t="shared" si="1"/>
        <v>2024</v>
      </c>
      <c r="S431" s="154">
        <f t="shared" si="2"/>
        <v>2</v>
      </c>
      <c r="T431" s="153" t="str">
        <f t="shared" si="3"/>
        <v>2024-Q1</v>
      </c>
      <c r="U431" s="153" t="str">
        <f t="shared" si="4"/>
        <v>2024-02</v>
      </c>
      <c r="V431" s="155" t="str">
        <f t="shared" si="5"/>
        <v>2024-H1</v>
      </c>
      <c r="W431" s="155"/>
    </row>
    <row r="432">
      <c r="A432" s="139">
        <f>HYPERLINK("https://polkadot.subsquare.io/referenda/424", 424)</f>
        <v>424</v>
      </c>
      <c r="B432" s="140" t="s">
        <v>2903</v>
      </c>
      <c r="C432" s="140" t="s">
        <v>2672</v>
      </c>
      <c r="D432" s="141">
        <v>1678.37</v>
      </c>
      <c r="E432" s="142">
        <v>11761.407751846313</v>
      </c>
      <c r="F432" s="140" t="s">
        <v>2678</v>
      </c>
      <c r="G432" s="143">
        <v>2438772.265202299</v>
      </c>
      <c r="H432" s="143">
        <v>3295541.098719417</v>
      </c>
      <c r="I432" s="144">
        <v>45306.0</v>
      </c>
      <c r="J432" s="144">
        <v>45335.0</v>
      </c>
      <c r="K432" s="145">
        <v>13054.452890367507</v>
      </c>
      <c r="L432" s="114"/>
      <c r="M432" s="114"/>
      <c r="N432" s="108"/>
      <c r="O432" s="108"/>
      <c r="P432" s="108"/>
      <c r="Q432" s="108"/>
      <c r="R432" s="108" t="str">
        <f t="shared" si="1"/>
        <v>2024</v>
      </c>
      <c r="S432" s="110">
        <f t="shared" si="2"/>
        <v>2</v>
      </c>
      <c r="T432" s="108" t="str">
        <f t="shared" si="3"/>
        <v>2024-Q1</v>
      </c>
      <c r="U432" s="108" t="str">
        <f t="shared" si="4"/>
        <v>2024-02</v>
      </c>
      <c r="V432" s="112" t="str">
        <f t="shared" si="5"/>
        <v>2024-H1</v>
      </c>
      <c r="W432" s="112"/>
    </row>
    <row r="433">
      <c r="A433" s="146">
        <f>HYPERLINK("https://polkadot.subsquare.io/referenda/425", 425)</f>
        <v>425</v>
      </c>
      <c r="B433" s="147" t="s">
        <v>361</v>
      </c>
      <c r="C433" s="147" t="s">
        <v>2681</v>
      </c>
      <c r="D433" s="148">
        <v>8208.0</v>
      </c>
      <c r="E433" s="149">
        <v>57518.68469238281</v>
      </c>
      <c r="F433" s="147" t="s">
        <v>2678</v>
      </c>
      <c r="G433" s="150">
        <v>5.0703275599762715E7</v>
      </c>
      <c r="H433" s="150">
        <v>4221080.091829964</v>
      </c>
      <c r="I433" s="151">
        <v>45307.0</v>
      </c>
      <c r="J433" s="151">
        <v>45327.0</v>
      </c>
      <c r="K433" s="152">
        <v>56962.94512939453</v>
      </c>
      <c r="L433" s="117" t="s">
        <v>137</v>
      </c>
      <c r="M433" s="117" t="s">
        <v>138</v>
      </c>
      <c r="N433" s="153"/>
      <c r="O433" s="153"/>
      <c r="P433" s="153"/>
      <c r="Q433" s="153"/>
      <c r="R433" s="153" t="str">
        <f t="shared" si="1"/>
        <v>2024</v>
      </c>
      <c r="S433" s="154">
        <f t="shared" si="2"/>
        <v>2</v>
      </c>
      <c r="T433" s="153" t="str">
        <f t="shared" si="3"/>
        <v>2024-Q1</v>
      </c>
      <c r="U433" s="153" t="str">
        <f t="shared" si="4"/>
        <v>2024-02</v>
      </c>
      <c r="V433" s="155" t="str">
        <f t="shared" si="5"/>
        <v>2024-H1</v>
      </c>
      <c r="W433" s="155"/>
    </row>
    <row r="434">
      <c r="A434" s="139">
        <f>HYPERLINK("https://polkadot.subsquare.io/referenda/426", 426)</f>
        <v>426</v>
      </c>
      <c r="B434" s="140" t="s">
        <v>363</v>
      </c>
      <c r="C434" s="140" t="s">
        <v>2681</v>
      </c>
      <c r="D434" s="141">
        <v>11655.0</v>
      </c>
      <c r="E434" s="142">
        <v>81674.00951385498</v>
      </c>
      <c r="F434" s="140" t="s">
        <v>2683</v>
      </c>
      <c r="G434" s="143">
        <v>6233430.81305844</v>
      </c>
      <c r="H434" s="143">
        <v>2607401.555342589</v>
      </c>
      <c r="I434" s="144">
        <v>45307.0</v>
      </c>
      <c r="J434" s="144">
        <v>45331.0</v>
      </c>
      <c r="K434" s="145">
        <v>85618.36586236954</v>
      </c>
      <c r="L434" s="114" t="s">
        <v>81</v>
      </c>
      <c r="M434" s="114" t="s">
        <v>362</v>
      </c>
      <c r="N434" s="108"/>
      <c r="O434" s="108"/>
      <c r="P434" s="108"/>
      <c r="Q434" s="108"/>
      <c r="R434" s="108" t="str">
        <f t="shared" si="1"/>
        <v>2024</v>
      </c>
      <c r="S434" s="110">
        <f t="shared" si="2"/>
        <v>2</v>
      </c>
      <c r="T434" s="108" t="str">
        <f t="shared" si="3"/>
        <v>2024-Q1</v>
      </c>
      <c r="U434" s="108" t="str">
        <f t="shared" si="4"/>
        <v>2024-02</v>
      </c>
      <c r="V434" s="112" t="str">
        <f t="shared" si="5"/>
        <v>2024-H1</v>
      </c>
      <c r="W434" s="112"/>
    </row>
    <row r="435">
      <c r="A435" s="146">
        <f>HYPERLINK("https://polkadot.subsquare.io/referenda/427", 427)</f>
        <v>427</v>
      </c>
      <c r="B435" s="147" t="s">
        <v>2904</v>
      </c>
      <c r="C435" s="147" t="s">
        <v>2672</v>
      </c>
      <c r="D435" s="148">
        <v>17038.37</v>
      </c>
      <c r="E435" s="149">
        <v>119398.7124393463</v>
      </c>
      <c r="F435" s="147" t="s">
        <v>2683</v>
      </c>
      <c r="G435" s="150">
        <v>17022.8</v>
      </c>
      <c r="H435" s="150">
        <v>3103851.1033711517</v>
      </c>
      <c r="I435" s="151">
        <v>45307.0</v>
      </c>
      <c r="J435" s="151">
        <v>45335.0</v>
      </c>
      <c r="K435" s="152">
        <v>130472.71211901188</v>
      </c>
      <c r="L435" s="117"/>
      <c r="M435" s="117"/>
      <c r="N435" s="153"/>
      <c r="O435" s="153"/>
      <c r="P435" s="153"/>
      <c r="Q435" s="153"/>
      <c r="R435" s="153" t="str">
        <f t="shared" si="1"/>
        <v>2024</v>
      </c>
      <c r="S435" s="154">
        <f t="shared" si="2"/>
        <v>2</v>
      </c>
      <c r="T435" s="153" t="str">
        <f t="shared" si="3"/>
        <v>2024-Q1</v>
      </c>
      <c r="U435" s="153" t="str">
        <f t="shared" si="4"/>
        <v>2024-02</v>
      </c>
      <c r="V435" s="155" t="str">
        <f t="shared" si="5"/>
        <v>2024-H1</v>
      </c>
      <c r="W435" s="155"/>
    </row>
    <row r="436">
      <c r="A436" s="139">
        <f>HYPERLINK("https://polkadot.subsquare.io/referenda/428", 428)</f>
        <v>428</v>
      </c>
      <c r="B436" s="140" t="s">
        <v>2905</v>
      </c>
      <c r="C436" s="140" t="s">
        <v>2800</v>
      </c>
      <c r="D436" s="141">
        <v>0.0</v>
      </c>
      <c r="E436" s="142">
        <v>0.0</v>
      </c>
      <c r="F436" s="140" t="s">
        <v>2682</v>
      </c>
      <c r="G436" s="143">
        <v>1.5429450623665174E7</v>
      </c>
      <c r="H436" s="143">
        <v>7.366352226072095E7</v>
      </c>
      <c r="I436" s="144">
        <v>45307.0</v>
      </c>
      <c r="J436" s="144">
        <v>45316.0</v>
      </c>
      <c r="K436" s="145">
        <v>0.0</v>
      </c>
      <c r="L436" s="114"/>
      <c r="M436" s="114"/>
      <c r="N436" s="108"/>
      <c r="O436" s="108"/>
      <c r="P436" s="108"/>
      <c r="Q436" s="108"/>
      <c r="R436" s="108" t="str">
        <f t="shared" si="1"/>
        <v>2024</v>
      </c>
      <c r="S436" s="110">
        <f t="shared" si="2"/>
        <v>1</v>
      </c>
      <c r="T436" s="108" t="str">
        <f t="shared" si="3"/>
        <v>2024-Q1</v>
      </c>
      <c r="U436" s="108" t="str">
        <f t="shared" si="4"/>
        <v>2024-01</v>
      </c>
      <c r="V436" s="112" t="str">
        <f t="shared" si="5"/>
        <v>2024-H1</v>
      </c>
      <c r="W436" s="112"/>
    </row>
    <row r="437">
      <c r="A437" s="146">
        <f>HYPERLINK("https://polkadot.subsquare.io/referenda/429", 429)</f>
        <v>429</v>
      </c>
      <c r="B437" s="159"/>
      <c r="C437" s="147" t="s">
        <v>2681</v>
      </c>
      <c r="D437" s="148">
        <v>20.0</v>
      </c>
      <c r="E437" s="149">
        <v>137.49210357666016</v>
      </c>
      <c r="F437" s="147" t="s">
        <v>186</v>
      </c>
      <c r="G437" s="150">
        <v>3056926.415414998</v>
      </c>
      <c r="H437" s="150">
        <v>445563.0303651397</v>
      </c>
      <c r="I437" s="151">
        <v>45307.0</v>
      </c>
      <c r="J437" s="151">
        <v>45311.0</v>
      </c>
      <c r="K437" s="152">
        <v>126.65849685668945</v>
      </c>
      <c r="L437" s="117" t="s">
        <v>81</v>
      </c>
      <c r="M437" s="117" t="s">
        <v>185</v>
      </c>
      <c r="N437" s="153"/>
      <c r="O437" s="153"/>
      <c r="P437" s="153"/>
      <c r="Q437" s="153"/>
      <c r="R437" s="153" t="str">
        <f t="shared" si="1"/>
        <v>2024</v>
      </c>
      <c r="S437" s="154">
        <f t="shared" si="2"/>
        <v>1</v>
      </c>
      <c r="T437" s="153" t="str">
        <f t="shared" si="3"/>
        <v>2024-Q1</v>
      </c>
      <c r="U437" s="153" t="str">
        <f t="shared" si="4"/>
        <v>2024-01</v>
      </c>
      <c r="V437" s="155" t="str">
        <f t="shared" si="5"/>
        <v>2024-H1</v>
      </c>
      <c r="W437" s="155"/>
    </row>
    <row r="438">
      <c r="A438" s="139">
        <f>HYPERLINK("https://polkadot.subsquare.io/referenda/430", 430)</f>
        <v>430</v>
      </c>
      <c r="B438" s="140" t="s">
        <v>2906</v>
      </c>
      <c r="C438" s="140" t="s">
        <v>2691</v>
      </c>
      <c r="D438" s="141">
        <v>0.0</v>
      </c>
      <c r="E438" s="142">
        <v>0.0</v>
      </c>
      <c r="F438" s="140" t="s">
        <v>2698</v>
      </c>
      <c r="G438" s="143">
        <v>4011045.8533452693</v>
      </c>
      <c r="H438" s="143">
        <v>299701.5466367117</v>
      </c>
      <c r="I438" s="144">
        <v>45307.0</v>
      </c>
      <c r="J438" s="144">
        <v>45321.0</v>
      </c>
      <c r="K438" s="145">
        <v>0.0</v>
      </c>
      <c r="L438" s="114"/>
      <c r="M438" s="114"/>
      <c r="N438" s="108"/>
      <c r="O438" s="108"/>
      <c r="P438" s="108"/>
      <c r="Q438" s="108"/>
      <c r="R438" s="108" t="str">
        <f t="shared" si="1"/>
        <v>2024</v>
      </c>
      <c r="S438" s="110">
        <f t="shared" si="2"/>
        <v>1</v>
      </c>
      <c r="T438" s="108" t="str">
        <f t="shared" si="3"/>
        <v>2024-Q1</v>
      </c>
      <c r="U438" s="108" t="str">
        <f t="shared" si="4"/>
        <v>2024-01</v>
      </c>
      <c r="V438" s="112" t="str">
        <f t="shared" si="5"/>
        <v>2024-H1</v>
      </c>
      <c r="W438" s="112"/>
    </row>
    <row r="439">
      <c r="A439" s="146">
        <f>HYPERLINK("https://polkadot.subsquare.io/referenda/431", 431)</f>
        <v>431</v>
      </c>
      <c r="B439" s="147" t="s">
        <v>2907</v>
      </c>
      <c r="C439" s="147" t="s">
        <v>2672</v>
      </c>
      <c r="D439" s="148">
        <v>100000.0</v>
      </c>
      <c r="E439" s="149">
        <v>687460.5178833008</v>
      </c>
      <c r="F439" s="147" t="s">
        <v>2676</v>
      </c>
      <c r="G439" s="150">
        <v>996528.6622540269</v>
      </c>
      <c r="H439" s="150">
        <v>1.759836962362653E7</v>
      </c>
      <c r="I439" s="151">
        <v>45307.0</v>
      </c>
      <c r="J439" s="151">
        <v>45336.0</v>
      </c>
      <c r="K439" s="152">
        <v>765758.1806182861</v>
      </c>
      <c r="L439" s="117"/>
      <c r="M439" s="117"/>
      <c r="N439" s="153"/>
      <c r="O439" s="117"/>
      <c r="P439" s="117"/>
      <c r="Q439" s="117"/>
      <c r="R439" s="153" t="str">
        <f t="shared" si="1"/>
        <v>2024</v>
      </c>
      <c r="S439" s="154">
        <f t="shared" si="2"/>
        <v>2</v>
      </c>
      <c r="T439" s="153" t="str">
        <f t="shared" si="3"/>
        <v>2024-Q1</v>
      </c>
      <c r="U439" s="153" t="str">
        <f t="shared" si="4"/>
        <v>2024-02</v>
      </c>
      <c r="V439" s="155" t="str">
        <f t="shared" si="5"/>
        <v>2024-H1</v>
      </c>
      <c r="W439" s="158" t="s">
        <v>2654</v>
      </c>
    </row>
    <row r="440">
      <c r="A440" s="139">
        <f>HYPERLINK("https://polkadot.subsquare.io/referenda/432", 432)</f>
        <v>432</v>
      </c>
      <c r="B440" s="140" t="s">
        <v>2908</v>
      </c>
      <c r="C440" s="140" t="s">
        <v>2681</v>
      </c>
      <c r="D440" s="141">
        <v>500000.0</v>
      </c>
      <c r="E440" s="142">
        <v>3437302.589416504</v>
      </c>
      <c r="F440" s="140" t="s">
        <v>2676</v>
      </c>
      <c r="G440" s="143">
        <v>6.924945406874073E7</v>
      </c>
      <c r="H440" s="143">
        <v>748126.5197692729</v>
      </c>
      <c r="I440" s="144">
        <v>45308.0</v>
      </c>
      <c r="J440" s="144">
        <v>45329.0</v>
      </c>
      <c r="K440" s="145">
        <v>3595745.56350708</v>
      </c>
      <c r="L440" s="114" t="s">
        <v>83</v>
      </c>
      <c r="M440" s="114" t="s">
        <v>2909</v>
      </c>
      <c r="N440" s="108" t="s">
        <v>2654</v>
      </c>
      <c r="O440" s="108"/>
      <c r="P440" s="108"/>
      <c r="Q440" s="108"/>
      <c r="R440" s="108" t="str">
        <f t="shared" si="1"/>
        <v>2024</v>
      </c>
      <c r="S440" s="110">
        <f t="shared" si="2"/>
        <v>2</v>
      </c>
      <c r="T440" s="108" t="str">
        <f t="shared" si="3"/>
        <v>2024-Q1</v>
      </c>
      <c r="U440" s="108" t="str">
        <f t="shared" si="4"/>
        <v>2024-02</v>
      </c>
      <c r="V440" s="112" t="str">
        <f t="shared" si="5"/>
        <v>2024-H1</v>
      </c>
      <c r="W440" s="112"/>
    </row>
    <row r="441">
      <c r="A441" s="146">
        <f>HYPERLINK("https://polkadot.subsquare.io/referenda/433", 433)</f>
        <v>433</v>
      </c>
      <c r="B441" s="159"/>
      <c r="C441" s="147" t="s">
        <v>2681</v>
      </c>
      <c r="D441" s="148">
        <v>80.0</v>
      </c>
      <c r="E441" s="149">
        <v>551.9115829467773</v>
      </c>
      <c r="F441" s="147" t="s">
        <v>186</v>
      </c>
      <c r="G441" s="150">
        <v>3519457.6617520647</v>
      </c>
      <c r="H441" s="150">
        <v>30924.1224320845</v>
      </c>
      <c r="I441" s="151">
        <v>45308.0</v>
      </c>
      <c r="J441" s="151">
        <v>45312.0</v>
      </c>
      <c r="K441" s="152">
        <v>516.7873764038086</v>
      </c>
      <c r="L441" s="117" t="s">
        <v>81</v>
      </c>
      <c r="M441" s="117" t="s">
        <v>185</v>
      </c>
      <c r="N441" s="153"/>
      <c r="O441" s="153"/>
      <c r="P441" s="153"/>
      <c r="Q441" s="153"/>
      <c r="R441" s="153" t="str">
        <f t="shared" si="1"/>
        <v>2024</v>
      </c>
      <c r="S441" s="154">
        <f t="shared" si="2"/>
        <v>1</v>
      </c>
      <c r="T441" s="153" t="str">
        <f t="shared" si="3"/>
        <v>2024-Q1</v>
      </c>
      <c r="U441" s="153" t="str">
        <f t="shared" si="4"/>
        <v>2024-01</v>
      </c>
      <c r="V441" s="155" t="str">
        <f t="shared" si="5"/>
        <v>2024-H1</v>
      </c>
      <c r="W441" s="155"/>
    </row>
    <row r="442">
      <c r="A442" s="139">
        <f>HYPERLINK("https://polkadot.subsquare.io/referenda/434", 434)</f>
        <v>434</v>
      </c>
      <c r="B442" s="140" t="s">
        <v>2910</v>
      </c>
      <c r="C442" s="140" t="s">
        <v>2672</v>
      </c>
      <c r="D442" s="141">
        <v>13333.0</v>
      </c>
      <c r="E442" s="142">
        <v>84436.88692951202</v>
      </c>
      <c r="F442" s="140" t="s">
        <v>2683</v>
      </c>
      <c r="G442" s="143">
        <v>357610.8190186394</v>
      </c>
      <c r="H442" s="143">
        <v>3.2422313720116742E7</v>
      </c>
      <c r="I442" s="144">
        <v>45311.0</v>
      </c>
      <c r="J442" s="144">
        <v>45341.0</v>
      </c>
      <c r="K442" s="145">
        <v>99574.88661336899</v>
      </c>
      <c r="L442" s="114"/>
      <c r="M442" s="114"/>
      <c r="N442" s="108"/>
      <c r="O442" s="108"/>
      <c r="P442" s="108"/>
      <c r="Q442" s="108"/>
      <c r="R442" s="108" t="str">
        <f t="shared" si="1"/>
        <v>2024</v>
      </c>
      <c r="S442" s="110">
        <f t="shared" si="2"/>
        <v>2</v>
      </c>
      <c r="T442" s="108" t="str">
        <f t="shared" si="3"/>
        <v>2024-Q1</v>
      </c>
      <c r="U442" s="108" t="str">
        <f t="shared" si="4"/>
        <v>2024-02</v>
      </c>
      <c r="V442" s="112" t="str">
        <f t="shared" si="5"/>
        <v>2024-H1</v>
      </c>
      <c r="W442" s="112"/>
    </row>
    <row r="443">
      <c r="A443" s="146">
        <f>HYPERLINK("https://polkadot.subsquare.io/referenda/435", 435)</f>
        <v>435</v>
      </c>
      <c r="B443" s="147" t="s">
        <v>2911</v>
      </c>
      <c r="C443" s="147" t="s">
        <v>2681</v>
      </c>
      <c r="D443" s="148">
        <v>0.0</v>
      </c>
      <c r="E443" s="149">
        <v>0.0</v>
      </c>
      <c r="F443" s="147" t="s">
        <v>2683</v>
      </c>
      <c r="G443" s="150">
        <v>6.277156721532117E7</v>
      </c>
      <c r="H443" s="150">
        <v>2893180.59315726</v>
      </c>
      <c r="I443" s="151">
        <v>45311.0</v>
      </c>
      <c r="J443" s="151">
        <v>45327.0</v>
      </c>
      <c r="K443" s="152">
        <v>0.0</v>
      </c>
      <c r="L443" s="117"/>
      <c r="M443" s="117"/>
      <c r="N443" s="153"/>
      <c r="O443" s="153"/>
      <c r="P443" s="153"/>
      <c r="Q443" s="153"/>
      <c r="R443" s="153" t="str">
        <f t="shared" si="1"/>
        <v>2024</v>
      </c>
      <c r="S443" s="154">
        <f t="shared" si="2"/>
        <v>2</v>
      </c>
      <c r="T443" s="153" t="str">
        <f t="shared" si="3"/>
        <v>2024-Q1</v>
      </c>
      <c r="U443" s="153" t="str">
        <f t="shared" si="4"/>
        <v>2024-02</v>
      </c>
      <c r="V443" s="155" t="str">
        <f t="shared" si="5"/>
        <v>2024-H1</v>
      </c>
      <c r="W443" s="155"/>
    </row>
    <row r="444">
      <c r="A444" s="139">
        <f>HYPERLINK("https://polkadot.subsquare.io/referenda/436", 436)</f>
        <v>436</v>
      </c>
      <c r="B444" s="140" t="s">
        <v>364</v>
      </c>
      <c r="C444" s="140" t="s">
        <v>2681</v>
      </c>
      <c r="D444" s="141">
        <v>550.0</v>
      </c>
      <c r="E444" s="142">
        <v>3494.9371337890625</v>
      </c>
      <c r="F444" s="140" t="s">
        <v>2699</v>
      </c>
      <c r="G444" s="143">
        <v>1.5656937631619591E7</v>
      </c>
      <c r="H444" s="143">
        <v>39288.6491327239</v>
      </c>
      <c r="I444" s="144">
        <v>45311.0</v>
      </c>
      <c r="J444" s="144">
        <v>45315.0</v>
      </c>
      <c r="K444" s="145">
        <v>3668.635892868042</v>
      </c>
      <c r="L444" s="114" t="s">
        <v>81</v>
      </c>
      <c r="M444" s="114" t="s">
        <v>185</v>
      </c>
      <c r="N444" s="108"/>
      <c r="O444" s="108"/>
      <c r="P444" s="108"/>
      <c r="Q444" s="108"/>
      <c r="R444" s="108" t="str">
        <f t="shared" si="1"/>
        <v>2024</v>
      </c>
      <c r="S444" s="110">
        <f t="shared" si="2"/>
        <v>1</v>
      </c>
      <c r="T444" s="108" t="str">
        <f t="shared" si="3"/>
        <v>2024-Q1</v>
      </c>
      <c r="U444" s="108" t="str">
        <f t="shared" si="4"/>
        <v>2024-01</v>
      </c>
      <c r="V444" s="112" t="str">
        <f t="shared" si="5"/>
        <v>2024-H1</v>
      </c>
      <c r="W444" s="112"/>
    </row>
    <row r="445">
      <c r="A445" s="146">
        <f>HYPERLINK("https://polkadot.subsquare.io/referenda/437", 437)</f>
        <v>437</v>
      </c>
      <c r="B445" s="147" t="s">
        <v>2912</v>
      </c>
      <c r="C445" s="147" t="s">
        <v>2672</v>
      </c>
      <c r="D445" s="148">
        <v>38460.0</v>
      </c>
      <c r="E445" s="149">
        <v>244391.42211914062</v>
      </c>
      <c r="F445" s="147" t="s">
        <v>2683</v>
      </c>
      <c r="G445" s="150">
        <v>277908.3436185267</v>
      </c>
      <c r="H445" s="150">
        <v>3026891.7074693493</v>
      </c>
      <c r="I445" s="151">
        <v>45311.0</v>
      </c>
      <c r="J445" s="151">
        <v>45341.0</v>
      </c>
      <c r="K445" s="152">
        <v>287230.9412097931</v>
      </c>
      <c r="L445" s="117"/>
      <c r="M445" s="117"/>
      <c r="N445" s="153"/>
      <c r="O445" s="153"/>
      <c r="P445" s="153"/>
      <c r="Q445" s="153"/>
      <c r="R445" s="153" t="str">
        <f t="shared" si="1"/>
        <v>2024</v>
      </c>
      <c r="S445" s="154">
        <f t="shared" si="2"/>
        <v>2</v>
      </c>
      <c r="T445" s="153" t="str">
        <f t="shared" si="3"/>
        <v>2024-Q1</v>
      </c>
      <c r="U445" s="153" t="str">
        <f t="shared" si="4"/>
        <v>2024-02</v>
      </c>
      <c r="V445" s="155" t="str">
        <f t="shared" si="5"/>
        <v>2024-H1</v>
      </c>
      <c r="W445" s="155"/>
    </row>
    <row r="446">
      <c r="A446" s="139">
        <f>HYPERLINK("https://polkadot.subsquare.io/referenda/438", 438)</f>
        <v>438</v>
      </c>
      <c r="B446" s="140" t="s">
        <v>2913</v>
      </c>
      <c r="C446" s="140" t="s">
        <v>2681</v>
      </c>
      <c r="D446" s="141">
        <v>0.0</v>
      </c>
      <c r="E446" s="142">
        <v>0.0</v>
      </c>
      <c r="F446" s="140" t="s">
        <v>2698</v>
      </c>
      <c r="G446" s="143">
        <v>1.5747458876525125E7</v>
      </c>
      <c r="H446" s="143">
        <v>46698.1328023861</v>
      </c>
      <c r="I446" s="144">
        <v>45311.0</v>
      </c>
      <c r="J446" s="144">
        <v>45340.0</v>
      </c>
      <c r="K446" s="145">
        <v>0.0</v>
      </c>
      <c r="L446" s="114"/>
      <c r="M446" s="114"/>
      <c r="N446" s="108"/>
      <c r="O446" s="108"/>
      <c r="P446" s="108"/>
      <c r="Q446" s="108"/>
      <c r="R446" s="108" t="str">
        <f t="shared" si="1"/>
        <v>2024</v>
      </c>
      <c r="S446" s="110">
        <f t="shared" si="2"/>
        <v>2</v>
      </c>
      <c r="T446" s="108" t="str">
        <f t="shared" si="3"/>
        <v>2024-Q1</v>
      </c>
      <c r="U446" s="108" t="str">
        <f t="shared" si="4"/>
        <v>2024-02</v>
      </c>
      <c r="V446" s="112" t="str">
        <f t="shared" si="5"/>
        <v>2024-H1</v>
      </c>
      <c r="W446" s="112"/>
    </row>
    <row r="447">
      <c r="A447" s="146">
        <f>HYPERLINK("https://polkadot.subsquare.io/referenda/439", 439)</f>
        <v>439</v>
      </c>
      <c r="B447" s="147" t="s">
        <v>365</v>
      </c>
      <c r="C447" s="147" t="s">
        <v>2681</v>
      </c>
      <c r="D447" s="148">
        <v>100000.0</v>
      </c>
      <c r="E447" s="149">
        <v>635443.115234375</v>
      </c>
      <c r="F447" s="147" t="s">
        <v>2683</v>
      </c>
      <c r="G447" s="150">
        <v>5.4020773505315796E7</v>
      </c>
      <c r="H447" s="150">
        <v>1810277.8976467736</v>
      </c>
      <c r="I447" s="151">
        <v>45312.0</v>
      </c>
      <c r="J447" s="151">
        <v>45329.0</v>
      </c>
      <c r="K447" s="152">
        <v>719149.112701416</v>
      </c>
      <c r="L447" s="117" t="s">
        <v>81</v>
      </c>
      <c r="M447" s="117" t="s">
        <v>202</v>
      </c>
      <c r="N447" s="153"/>
      <c r="O447" s="153"/>
      <c r="P447" s="153"/>
      <c r="Q447" s="153"/>
      <c r="R447" s="153" t="str">
        <f t="shared" si="1"/>
        <v>2024</v>
      </c>
      <c r="S447" s="154">
        <f t="shared" si="2"/>
        <v>2</v>
      </c>
      <c r="T447" s="153" t="str">
        <f t="shared" si="3"/>
        <v>2024-Q1</v>
      </c>
      <c r="U447" s="153" t="str">
        <f t="shared" si="4"/>
        <v>2024-02</v>
      </c>
      <c r="V447" s="155" t="str">
        <f t="shared" si="5"/>
        <v>2024-H1</v>
      </c>
      <c r="W447" s="155"/>
    </row>
    <row r="448">
      <c r="A448" s="139">
        <f>HYPERLINK("https://polkadot.subsquare.io/referenda/440", 440)</f>
        <v>440</v>
      </c>
      <c r="B448" s="140" t="s">
        <v>2914</v>
      </c>
      <c r="C448" s="140" t="s">
        <v>2681</v>
      </c>
      <c r="D448" s="141">
        <v>0.0</v>
      </c>
      <c r="E448" s="142">
        <v>0.0</v>
      </c>
      <c r="F448" s="140" t="s">
        <v>2682</v>
      </c>
      <c r="G448" s="143">
        <v>1.0709022656888427E8</v>
      </c>
      <c r="H448" s="143">
        <v>220303.7503110687</v>
      </c>
      <c r="I448" s="144">
        <v>45312.0</v>
      </c>
      <c r="J448" s="144">
        <v>45324.0</v>
      </c>
      <c r="K448" s="145">
        <v>0.0</v>
      </c>
      <c r="L448" s="114"/>
      <c r="M448" s="114"/>
      <c r="N448" s="108"/>
      <c r="O448" s="108"/>
      <c r="P448" s="108"/>
      <c r="Q448" s="108"/>
      <c r="R448" s="108" t="str">
        <f t="shared" si="1"/>
        <v>2024</v>
      </c>
      <c r="S448" s="110">
        <f t="shared" si="2"/>
        <v>2</v>
      </c>
      <c r="T448" s="108" t="str">
        <f t="shared" si="3"/>
        <v>2024-Q1</v>
      </c>
      <c r="U448" s="108" t="str">
        <f t="shared" si="4"/>
        <v>2024-02</v>
      </c>
      <c r="V448" s="112" t="str">
        <f t="shared" si="5"/>
        <v>2024-H1</v>
      </c>
      <c r="W448" s="112"/>
    </row>
    <row r="449">
      <c r="A449" s="146">
        <f>HYPERLINK("https://polkadot.subsquare.io/referenda/441", 441)</f>
        <v>441</v>
      </c>
      <c r="B449" s="147" t="s">
        <v>366</v>
      </c>
      <c r="C449" s="147" t="s">
        <v>2681</v>
      </c>
      <c r="D449" s="148">
        <v>150.0</v>
      </c>
      <c r="E449" s="149">
        <v>968.9763307571411</v>
      </c>
      <c r="F449" s="147" t="s">
        <v>186</v>
      </c>
      <c r="G449" s="150">
        <v>5876880.270488367</v>
      </c>
      <c r="H449" s="150">
        <v>75668.3</v>
      </c>
      <c r="I449" s="151">
        <v>45312.0</v>
      </c>
      <c r="J449" s="151">
        <v>45315.0</v>
      </c>
      <c r="K449" s="152">
        <v>1000.8687257766724</v>
      </c>
      <c r="L449" s="117" t="s">
        <v>85</v>
      </c>
      <c r="M449" s="117" t="s">
        <v>148</v>
      </c>
      <c r="N449" s="153"/>
      <c r="O449" s="153"/>
      <c r="P449" s="153"/>
      <c r="Q449" s="153"/>
      <c r="R449" s="153" t="str">
        <f t="shared" si="1"/>
        <v>2024</v>
      </c>
      <c r="S449" s="154">
        <f t="shared" si="2"/>
        <v>1</v>
      </c>
      <c r="T449" s="153" t="str">
        <f t="shared" si="3"/>
        <v>2024-Q1</v>
      </c>
      <c r="U449" s="153" t="str">
        <f t="shared" si="4"/>
        <v>2024-01</v>
      </c>
      <c r="V449" s="155" t="str">
        <f t="shared" si="5"/>
        <v>2024-H1</v>
      </c>
      <c r="W449" s="155"/>
    </row>
    <row r="450">
      <c r="A450" s="139">
        <f>HYPERLINK("https://polkadot.subsquare.io/referenda/442", 442)</f>
        <v>442</v>
      </c>
      <c r="B450" s="140" t="s">
        <v>367</v>
      </c>
      <c r="C450" s="140" t="s">
        <v>2681</v>
      </c>
      <c r="D450" s="141">
        <v>34315.574377</v>
      </c>
      <c r="E450" s="142">
        <v>220802.29448091207</v>
      </c>
      <c r="F450" s="140" t="s">
        <v>2683</v>
      </c>
      <c r="G450" s="143">
        <v>5.2014640126166955E7</v>
      </c>
      <c r="H450" s="143">
        <v>2535293.1090263296</v>
      </c>
      <c r="I450" s="144">
        <v>45313.0</v>
      </c>
      <c r="J450" s="144">
        <v>45336.0</v>
      </c>
      <c r="K450" s="145">
        <v>262774.31801802997</v>
      </c>
      <c r="L450" s="114" t="s">
        <v>81</v>
      </c>
      <c r="M450" s="114" t="s">
        <v>185</v>
      </c>
      <c r="N450" s="108"/>
      <c r="O450" s="108"/>
      <c r="P450" s="108"/>
      <c r="Q450" s="108"/>
      <c r="R450" s="108" t="str">
        <f t="shared" si="1"/>
        <v>2024</v>
      </c>
      <c r="S450" s="110">
        <f t="shared" si="2"/>
        <v>2</v>
      </c>
      <c r="T450" s="108" t="str">
        <f t="shared" si="3"/>
        <v>2024-Q1</v>
      </c>
      <c r="U450" s="108" t="str">
        <f t="shared" si="4"/>
        <v>2024-02</v>
      </c>
      <c r="V450" s="112" t="str">
        <f t="shared" si="5"/>
        <v>2024-H1</v>
      </c>
      <c r="W450" s="112"/>
    </row>
    <row r="451">
      <c r="A451" s="146">
        <f>HYPERLINK("https://polkadot.subsquare.io/referenda/443", 443)</f>
        <v>443</v>
      </c>
      <c r="B451" s="147" t="s">
        <v>2915</v>
      </c>
      <c r="C451" s="147" t="s">
        <v>2800</v>
      </c>
      <c r="D451" s="148">
        <v>0.0</v>
      </c>
      <c r="E451" s="149">
        <v>0.0</v>
      </c>
      <c r="F451" s="147" t="s">
        <v>2682</v>
      </c>
      <c r="G451" s="150">
        <v>521453.4074852575</v>
      </c>
      <c r="H451" s="150">
        <v>1.61828016965831E7</v>
      </c>
      <c r="I451" s="151">
        <v>45314.0</v>
      </c>
      <c r="J451" s="151">
        <v>45316.0</v>
      </c>
      <c r="K451" s="152">
        <v>0.0</v>
      </c>
      <c r="L451" s="117"/>
      <c r="M451" s="117"/>
      <c r="N451" s="153"/>
      <c r="O451" s="153"/>
      <c r="P451" s="153"/>
      <c r="Q451" s="153"/>
      <c r="R451" s="153" t="str">
        <f t="shared" si="1"/>
        <v>2024</v>
      </c>
      <c r="S451" s="154">
        <f t="shared" si="2"/>
        <v>1</v>
      </c>
      <c r="T451" s="153" t="str">
        <f t="shared" si="3"/>
        <v>2024-Q1</v>
      </c>
      <c r="U451" s="153" t="str">
        <f t="shared" si="4"/>
        <v>2024-01</v>
      </c>
      <c r="V451" s="155" t="str">
        <f t="shared" si="5"/>
        <v>2024-H1</v>
      </c>
      <c r="W451" s="155"/>
    </row>
    <row r="452">
      <c r="A452" s="139">
        <f>HYPERLINK("https://polkadot.subsquare.io/referenda/444", 444)</f>
        <v>444</v>
      </c>
      <c r="B452" s="140" t="s">
        <v>2916</v>
      </c>
      <c r="C452" s="140" t="s">
        <v>2681</v>
      </c>
      <c r="D452" s="141">
        <v>0.0</v>
      </c>
      <c r="E452" s="142">
        <v>0.0</v>
      </c>
      <c r="F452" s="140" t="s">
        <v>2802</v>
      </c>
      <c r="G452" s="143">
        <v>8.9287631441525E7</v>
      </c>
      <c r="H452" s="143">
        <v>92787.0</v>
      </c>
      <c r="I452" s="144">
        <v>45315.0</v>
      </c>
      <c r="J452" s="144">
        <v>45316.0</v>
      </c>
      <c r="K452" s="145">
        <v>0.0</v>
      </c>
      <c r="L452" s="114"/>
      <c r="M452" s="114"/>
      <c r="N452" s="108"/>
      <c r="O452" s="108"/>
      <c r="P452" s="108"/>
      <c r="Q452" s="108"/>
      <c r="R452" s="108" t="str">
        <f t="shared" si="1"/>
        <v>2024</v>
      </c>
      <c r="S452" s="110">
        <f t="shared" si="2"/>
        <v>1</v>
      </c>
      <c r="T452" s="108" t="str">
        <f t="shared" si="3"/>
        <v>2024-Q1</v>
      </c>
      <c r="U452" s="108" t="str">
        <f t="shared" si="4"/>
        <v>2024-01</v>
      </c>
      <c r="V452" s="112" t="str">
        <f t="shared" si="5"/>
        <v>2024-H1</v>
      </c>
      <c r="W452" s="112"/>
    </row>
    <row r="453">
      <c r="A453" s="146">
        <f>HYPERLINK("https://polkadot.subsquare.io/referenda/445", 445)</f>
        <v>445</v>
      </c>
      <c r="B453" s="147" t="s">
        <v>2917</v>
      </c>
      <c r="C453" s="147" t="s">
        <v>2672</v>
      </c>
      <c r="D453" s="148">
        <v>25555.0</v>
      </c>
      <c r="E453" s="149">
        <v>170458.16407680511</v>
      </c>
      <c r="F453" s="147" t="s">
        <v>2683</v>
      </c>
      <c r="G453" s="150">
        <v>390214.7004691655</v>
      </c>
      <c r="H453" s="150">
        <v>2282563.854972243</v>
      </c>
      <c r="I453" s="151">
        <v>45315.0</v>
      </c>
      <c r="J453" s="151">
        <v>45343.0</v>
      </c>
      <c r="K453" s="152">
        <v>199569.17034387589</v>
      </c>
      <c r="L453" s="117"/>
      <c r="M453" s="117"/>
      <c r="N453" s="153"/>
      <c r="O453" s="153"/>
      <c r="P453" s="153"/>
      <c r="Q453" s="153"/>
      <c r="R453" s="153" t="str">
        <f t="shared" si="1"/>
        <v>2024</v>
      </c>
      <c r="S453" s="154">
        <f t="shared" si="2"/>
        <v>2</v>
      </c>
      <c r="T453" s="153" t="str">
        <f t="shared" si="3"/>
        <v>2024-Q1</v>
      </c>
      <c r="U453" s="153" t="str">
        <f t="shared" si="4"/>
        <v>2024-02</v>
      </c>
      <c r="V453" s="155" t="str">
        <f t="shared" si="5"/>
        <v>2024-H1</v>
      </c>
      <c r="W453" s="158" t="s">
        <v>2654</v>
      </c>
    </row>
    <row r="454">
      <c r="A454" s="139">
        <f>HYPERLINK("https://polkadot.subsquare.io/referenda/446", 446)</f>
        <v>446</v>
      </c>
      <c r="B454" s="140" t="s">
        <v>369</v>
      </c>
      <c r="C454" s="140" t="s">
        <v>2681</v>
      </c>
      <c r="D454" s="141">
        <v>11250.0</v>
      </c>
      <c r="E454" s="142">
        <v>75040.27962684631</v>
      </c>
      <c r="F454" s="140" t="s">
        <v>2683</v>
      </c>
      <c r="G454" s="143">
        <v>5.1388946833150886E7</v>
      </c>
      <c r="H454" s="143">
        <v>1640175.6834143007</v>
      </c>
      <c r="I454" s="144">
        <v>45315.0</v>
      </c>
      <c r="J454" s="144">
        <v>45334.0</v>
      </c>
      <c r="K454" s="145">
        <v>86155.50398826599</v>
      </c>
      <c r="L454" s="114" t="s">
        <v>137</v>
      </c>
      <c r="M454" s="114" t="s">
        <v>368</v>
      </c>
      <c r="N454" s="108"/>
      <c r="O454" s="108"/>
      <c r="P454" s="108"/>
      <c r="Q454" s="108"/>
      <c r="R454" s="108" t="str">
        <f t="shared" si="1"/>
        <v>2024</v>
      </c>
      <c r="S454" s="110">
        <f t="shared" si="2"/>
        <v>2</v>
      </c>
      <c r="T454" s="108" t="str">
        <f t="shared" si="3"/>
        <v>2024-Q1</v>
      </c>
      <c r="U454" s="108" t="str">
        <f t="shared" si="4"/>
        <v>2024-02</v>
      </c>
      <c r="V454" s="112" t="str">
        <f t="shared" si="5"/>
        <v>2024-H1</v>
      </c>
      <c r="W454" s="112"/>
    </row>
    <row r="455">
      <c r="A455" s="146">
        <f>HYPERLINK("https://polkadot.subsquare.io/referenda/447", 447)</f>
        <v>447</v>
      </c>
      <c r="B455" s="147" t="s">
        <v>370</v>
      </c>
      <c r="C455" s="147" t="s">
        <v>2681</v>
      </c>
      <c r="D455" s="148">
        <v>43946.0</v>
      </c>
      <c r="E455" s="149">
        <v>293130.6780872345</v>
      </c>
      <c r="F455" s="147" t="s">
        <v>2683</v>
      </c>
      <c r="G455" s="150">
        <v>5.3714025922557965E7</v>
      </c>
      <c r="H455" s="150">
        <v>1333409.4200803079</v>
      </c>
      <c r="I455" s="151">
        <v>45315.0</v>
      </c>
      <c r="J455" s="151">
        <v>45333.0</v>
      </c>
      <c r="K455" s="152">
        <v>323571.4605998993</v>
      </c>
      <c r="L455" s="117" t="s">
        <v>137</v>
      </c>
      <c r="M455" s="117" t="s">
        <v>138</v>
      </c>
      <c r="N455" s="153"/>
      <c r="O455" s="153"/>
      <c r="P455" s="153"/>
      <c r="Q455" s="153"/>
      <c r="R455" s="153" t="str">
        <f t="shared" si="1"/>
        <v>2024</v>
      </c>
      <c r="S455" s="154">
        <f t="shared" si="2"/>
        <v>2</v>
      </c>
      <c r="T455" s="153" t="str">
        <f t="shared" si="3"/>
        <v>2024-Q1</v>
      </c>
      <c r="U455" s="153" t="str">
        <f t="shared" si="4"/>
        <v>2024-02</v>
      </c>
      <c r="V455" s="155" t="str">
        <f t="shared" si="5"/>
        <v>2024-H1</v>
      </c>
      <c r="W455" s="155"/>
    </row>
    <row r="456">
      <c r="A456" s="139">
        <f>HYPERLINK("https://polkadot.subsquare.io/referenda/448", 448)</f>
        <v>448</v>
      </c>
      <c r="B456" s="140" t="s">
        <v>371</v>
      </c>
      <c r="C456" s="140" t="s">
        <v>2681</v>
      </c>
      <c r="D456" s="141">
        <v>209250.0</v>
      </c>
      <c r="E456" s="142">
        <v>1431681.6169023514</v>
      </c>
      <c r="F456" s="140" t="s">
        <v>2676</v>
      </c>
      <c r="G456" s="143">
        <v>5.313423483003441E7</v>
      </c>
      <c r="H456" s="143">
        <v>7241277.350319758</v>
      </c>
      <c r="I456" s="144">
        <v>45318.0</v>
      </c>
      <c r="J456" s="144">
        <v>45348.0</v>
      </c>
      <c r="K456" s="145">
        <v>1727363.9624118805</v>
      </c>
      <c r="L456" s="114" t="s">
        <v>81</v>
      </c>
      <c r="M456" s="114" t="s">
        <v>146</v>
      </c>
      <c r="N456" s="108"/>
      <c r="O456" s="108"/>
      <c r="P456" s="108"/>
      <c r="Q456" s="108"/>
      <c r="R456" s="108" t="str">
        <f t="shared" si="1"/>
        <v>2024</v>
      </c>
      <c r="S456" s="110">
        <f t="shared" si="2"/>
        <v>2</v>
      </c>
      <c r="T456" s="108" t="str">
        <f t="shared" si="3"/>
        <v>2024-Q1</v>
      </c>
      <c r="U456" s="108" t="str">
        <f t="shared" si="4"/>
        <v>2024-02</v>
      </c>
      <c r="V456" s="112" t="str">
        <f t="shared" si="5"/>
        <v>2024-H1</v>
      </c>
      <c r="W456" s="112"/>
    </row>
    <row r="457">
      <c r="A457" s="146">
        <f>HYPERLINK("https://polkadot.subsquare.io/referenda/449", 449)</f>
        <v>449</v>
      </c>
      <c r="B457" s="147" t="s">
        <v>2918</v>
      </c>
      <c r="C457" s="147" t="s">
        <v>2691</v>
      </c>
      <c r="D457" s="148">
        <v>818361.0</v>
      </c>
      <c r="E457" s="149">
        <v>5446794.743771553</v>
      </c>
      <c r="F457" s="147" t="s">
        <v>2683</v>
      </c>
      <c r="G457" s="150">
        <v>550.0</v>
      </c>
      <c r="H457" s="150">
        <v>3519793.666109272</v>
      </c>
      <c r="I457" s="151">
        <v>45319.0</v>
      </c>
      <c r="J457" s="151">
        <v>45333.0</v>
      </c>
      <c r="K457" s="152">
        <v>6267227.057719231</v>
      </c>
      <c r="L457" s="117"/>
      <c r="M457" s="117"/>
      <c r="N457" s="153"/>
      <c r="O457" s="153"/>
      <c r="P457" s="153"/>
      <c r="Q457" s="153"/>
      <c r="R457" s="153" t="str">
        <f t="shared" si="1"/>
        <v>2024</v>
      </c>
      <c r="S457" s="154">
        <f t="shared" si="2"/>
        <v>2</v>
      </c>
      <c r="T457" s="153" t="str">
        <f t="shared" si="3"/>
        <v>2024-Q1</v>
      </c>
      <c r="U457" s="153" t="str">
        <f t="shared" si="4"/>
        <v>2024-02</v>
      </c>
      <c r="V457" s="155" t="str">
        <f t="shared" si="5"/>
        <v>2024-H1</v>
      </c>
      <c r="W457" s="158" t="s">
        <v>2654</v>
      </c>
    </row>
    <row r="458">
      <c r="A458" s="139">
        <f>HYPERLINK("https://polkadot.subsquare.io/referenda/450", 450)</f>
        <v>450</v>
      </c>
      <c r="B458" s="140" t="s">
        <v>372</v>
      </c>
      <c r="C458" s="140" t="s">
        <v>2681</v>
      </c>
      <c r="D458" s="141">
        <v>81836.0</v>
      </c>
      <c r="E458" s="142">
        <v>544678.8088035583</v>
      </c>
      <c r="F458" s="140" t="s">
        <v>2683</v>
      </c>
      <c r="G458" s="143">
        <v>5.8051105417226255E7</v>
      </c>
      <c r="H458" s="143">
        <v>3.45893611948087E7</v>
      </c>
      <c r="I458" s="144">
        <v>45319.0</v>
      </c>
      <c r="J458" s="144">
        <v>45352.0</v>
      </c>
      <c r="K458" s="145">
        <v>811090.5866394043</v>
      </c>
      <c r="L458" s="114" t="s">
        <v>81</v>
      </c>
      <c r="M458" s="114" t="s">
        <v>148</v>
      </c>
      <c r="N458" s="108"/>
      <c r="O458" s="108"/>
      <c r="P458" s="108"/>
      <c r="Q458" s="108"/>
      <c r="R458" s="108" t="str">
        <f t="shared" si="1"/>
        <v>2024</v>
      </c>
      <c r="S458" s="110">
        <f t="shared" si="2"/>
        <v>3</v>
      </c>
      <c r="T458" s="108" t="str">
        <f t="shared" si="3"/>
        <v>2024-Q1</v>
      </c>
      <c r="U458" s="108" t="str">
        <f t="shared" si="4"/>
        <v>2024-03</v>
      </c>
      <c r="V458" s="112" t="str">
        <f t="shared" si="5"/>
        <v>2024-H1</v>
      </c>
      <c r="W458" s="112"/>
    </row>
    <row r="459">
      <c r="A459" s="146">
        <f>HYPERLINK("https://polkadot.subsquare.io/referenda/451", 451)</f>
        <v>451</v>
      </c>
      <c r="B459" s="147" t="s">
        <v>373</v>
      </c>
      <c r="C459" s="147" t="s">
        <v>2681</v>
      </c>
      <c r="D459" s="148">
        <v>6655.868</v>
      </c>
      <c r="E459" s="149">
        <v>44299.700056133275</v>
      </c>
      <c r="F459" s="147" t="s">
        <v>2678</v>
      </c>
      <c r="G459" s="150">
        <v>1.982663704532581E7</v>
      </c>
      <c r="H459" s="150">
        <v>1.6301262817844503E7</v>
      </c>
      <c r="I459" s="151">
        <v>45320.0</v>
      </c>
      <c r="J459" s="151">
        <v>45351.0</v>
      </c>
      <c r="K459" s="152">
        <v>62805.44242295456</v>
      </c>
      <c r="L459" s="117" t="s">
        <v>85</v>
      </c>
      <c r="M459" s="117" t="s">
        <v>185</v>
      </c>
      <c r="N459" s="153"/>
      <c r="O459" s="153"/>
      <c r="P459" s="153"/>
      <c r="Q459" s="153"/>
      <c r="R459" s="153" t="str">
        <f t="shared" si="1"/>
        <v>2024</v>
      </c>
      <c r="S459" s="154">
        <f t="shared" si="2"/>
        <v>2</v>
      </c>
      <c r="T459" s="153" t="str">
        <f t="shared" si="3"/>
        <v>2024-Q1</v>
      </c>
      <c r="U459" s="153" t="str">
        <f t="shared" si="4"/>
        <v>2024-02</v>
      </c>
      <c r="V459" s="155" t="str">
        <f t="shared" si="5"/>
        <v>2024-H1</v>
      </c>
      <c r="W459" s="155"/>
    </row>
    <row r="460">
      <c r="A460" s="139">
        <f>HYPERLINK("https://polkadot.subsquare.io/referenda/452", 452)</f>
        <v>452</v>
      </c>
      <c r="B460" s="140" t="s">
        <v>2919</v>
      </c>
      <c r="C460" s="140" t="s">
        <v>2672</v>
      </c>
      <c r="D460" s="141">
        <v>64516.0</v>
      </c>
      <c r="E460" s="142">
        <v>429401.4618110657</v>
      </c>
      <c r="F460" s="140" t="s">
        <v>2683</v>
      </c>
      <c r="G460" s="143">
        <v>3.0073282522088356E7</v>
      </c>
      <c r="H460" s="143">
        <v>5.832818711515067E7</v>
      </c>
      <c r="I460" s="144">
        <v>45320.0</v>
      </c>
      <c r="J460" s="144">
        <v>45348.0</v>
      </c>
      <c r="K460" s="145">
        <v>532581.1870918274</v>
      </c>
      <c r="L460" s="114"/>
      <c r="M460" s="114"/>
      <c r="N460" s="108"/>
      <c r="O460" s="108"/>
      <c r="P460" s="108"/>
      <c r="Q460" s="108"/>
      <c r="R460" s="108" t="str">
        <f t="shared" si="1"/>
        <v>2024</v>
      </c>
      <c r="S460" s="110">
        <f t="shared" si="2"/>
        <v>2</v>
      </c>
      <c r="T460" s="108" t="str">
        <f t="shared" si="3"/>
        <v>2024-Q1</v>
      </c>
      <c r="U460" s="108" t="str">
        <f t="shared" si="4"/>
        <v>2024-02</v>
      </c>
      <c r="V460" s="112" t="str">
        <f t="shared" si="5"/>
        <v>2024-H1</v>
      </c>
      <c r="W460" s="112"/>
    </row>
    <row r="461">
      <c r="A461" s="146">
        <f>HYPERLINK("https://polkadot.subsquare.io/referenda/453", 453)</f>
        <v>453</v>
      </c>
      <c r="B461" s="147" t="s">
        <v>2920</v>
      </c>
      <c r="C461" s="147" t="s">
        <v>2681</v>
      </c>
      <c r="D461" s="148">
        <v>0.0</v>
      </c>
      <c r="E461" s="149">
        <v>0.0</v>
      </c>
      <c r="F461" s="147" t="s">
        <v>2687</v>
      </c>
      <c r="G461" s="150">
        <v>2.1774369355430014E7</v>
      </c>
      <c r="H461" s="150">
        <v>142220.7314774661</v>
      </c>
      <c r="I461" s="151">
        <v>45320.0</v>
      </c>
      <c r="J461" s="151">
        <v>45409.0</v>
      </c>
      <c r="K461" s="152">
        <v>0.0</v>
      </c>
      <c r="L461" s="117"/>
      <c r="M461" s="117"/>
      <c r="N461" s="153"/>
      <c r="O461" s="153"/>
      <c r="P461" s="153"/>
      <c r="Q461" s="153"/>
      <c r="R461" s="153" t="str">
        <f t="shared" si="1"/>
        <v>2024</v>
      </c>
      <c r="S461" s="154">
        <f t="shared" si="2"/>
        <v>4</v>
      </c>
      <c r="T461" s="153" t="str">
        <f t="shared" si="3"/>
        <v>2024-Q2</v>
      </c>
      <c r="U461" s="153" t="str">
        <f t="shared" si="4"/>
        <v>2024-04</v>
      </c>
      <c r="V461" s="155" t="str">
        <f t="shared" si="5"/>
        <v>2024-H1</v>
      </c>
      <c r="W461" s="155"/>
    </row>
    <row r="462">
      <c r="A462" s="139">
        <f>HYPERLINK("https://polkadot.subsquare.io/referenda/454", 454)</f>
        <v>454</v>
      </c>
      <c r="B462" s="140" t="s">
        <v>2921</v>
      </c>
      <c r="C462" s="140" t="s">
        <v>2672</v>
      </c>
      <c r="D462" s="141">
        <v>37100.0</v>
      </c>
      <c r="E462" s="142">
        <v>251948.96178245544</v>
      </c>
      <c r="F462" s="140" t="s">
        <v>2683</v>
      </c>
      <c r="G462" s="143">
        <v>38210.7065089378</v>
      </c>
      <c r="H462" s="143">
        <v>2.6187490719611853E7</v>
      </c>
      <c r="I462" s="144">
        <v>45320.0</v>
      </c>
      <c r="J462" s="144">
        <v>45348.0</v>
      </c>
      <c r="K462" s="145">
        <v>306261.42416000366</v>
      </c>
      <c r="L462" s="114"/>
      <c r="M462" s="114"/>
      <c r="N462" s="108"/>
      <c r="O462" s="108"/>
      <c r="P462" s="108"/>
      <c r="Q462" s="108"/>
      <c r="R462" s="108" t="str">
        <f t="shared" si="1"/>
        <v>2024</v>
      </c>
      <c r="S462" s="110">
        <f t="shared" si="2"/>
        <v>2</v>
      </c>
      <c r="T462" s="108" t="str">
        <f t="shared" si="3"/>
        <v>2024-Q1</v>
      </c>
      <c r="U462" s="108" t="str">
        <f t="shared" si="4"/>
        <v>2024-02</v>
      </c>
      <c r="V462" s="112" t="str">
        <f t="shared" si="5"/>
        <v>2024-H1</v>
      </c>
      <c r="W462" s="112"/>
    </row>
    <row r="463">
      <c r="A463" s="146">
        <f>HYPERLINK("https://polkadot.subsquare.io/referenda/455", 455)</f>
        <v>455</v>
      </c>
      <c r="B463" s="147" t="s">
        <v>2922</v>
      </c>
      <c r="C463" s="147" t="s">
        <v>2672</v>
      </c>
      <c r="D463" s="148">
        <v>100000.0</v>
      </c>
      <c r="E463" s="149">
        <v>679107.7136993408</v>
      </c>
      <c r="F463" s="147" t="s">
        <v>2683</v>
      </c>
      <c r="G463" s="150">
        <v>5052.42</v>
      </c>
      <c r="H463" s="150">
        <v>6.88151676518234E7</v>
      </c>
      <c r="I463" s="151">
        <v>45320.0</v>
      </c>
      <c r="J463" s="151">
        <v>45349.0</v>
      </c>
      <c r="K463" s="152">
        <v>825502.4909973145</v>
      </c>
      <c r="L463" s="117"/>
      <c r="M463" s="117"/>
      <c r="N463" s="153"/>
      <c r="O463" s="153"/>
      <c r="P463" s="153"/>
      <c r="Q463" s="153"/>
      <c r="R463" s="153" t="str">
        <f t="shared" si="1"/>
        <v>2024</v>
      </c>
      <c r="S463" s="154">
        <f t="shared" si="2"/>
        <v>2</v>
      </c>
      <c r="T463" s="153" t="str">
        <f t="shared" si="3"/>
        <v>2024-Q1</v>
      </c>
      <c r="U463" s="153" t="str">
        <f t="shared" si="4"/>
        <v>2024-02</v>
      </c>
      <c r="V463" s="155" t="str">
        <f t="shared" si="5"/>
        <v>2024-H1</v>
      </c>
      <c r="W463" s="155"/>
    </row>
    <row r="464">
      <c r="A464" s="139">
        <f>HYPERLINK("https://polkadot.subsquare.io/referenda/456", 456)</f>
        <v>456</v>
      </c>
      <c r="B464" s="140" t="s">
        <v>2906</v>
      </c>
      <c r="C464" s="140" t="s">
        <v>2681</v>
      </c>
      <c r="D464" s="141">
        <v>0.0</v>
      </c>
      <c r="E464" s="142">
        <v>0.0</v>
      </c>
      <c r="F464" s="140" t="s">
        <v>2698</v>
      </c>
      <c r="G464" s="143">
        <v>6303042.257454891</v>
      </c>
      <c r="H464" s="143">
        <v>34229.4347398596</v>
      </c>
      <c r="I464" s="144">
        <v>45322.0</v>
      </c>
      <c r="J464" s="144">
        <v>45348.0</v>
      </c>
      <c r="K464" s="145">
        <v>0.0</v>
      </c>
      <c r="L464" s="114"/>
      <c r="M464" s="114"/>
      <c r="N464" s="108"/>
      <c r="O464" s="108"/>
      <c r="P464" s="108"/>
      <c r="Q464" s="108"/>
      <c r="R464" s="108" t="str">
        <f t="shared" si="1"/>
        <v>2024</v>
      </c>
      <c r="S464" s="110">
        <f t="shared" si="2"/>
        <v>2</v>
      </c>
      <c r="T464" s="108" t="str">
        <f t="shared" si="3"/>
        <v>2024-Q1</v>
      </c>
      <c r="U464" s="108" t="str">
        <f t="shared" si="4"/>
        <v>2024-02</v>
      </c>
      <c r="V464" s="112" t="str">
        <f t="shared" si="5"/>
        <v>2024-H1</v>
      </c>
      <c r="W464" s="112"/>
    </row>
    <row r="465">
      <c r="A465" s="146">
        <f>HYPERLINK("https://polkadot.subsquare.io/referenda/457", 457)</f>
        <v>457</v>
      </c>
      <c r="B465" s="147" t="s">
        <v>2923</v>
      </c>
      <c r="C465" s="147" t="s">
        <v>2681</v>
      </c>
      <c r="D465" s="148">
        <v>0.0</v>
      </c>
      <c r="E465" s="149">
        <v>0.0</v>
      </c>
      <c r="F465" s="147" t="s">
        <v>2687</v>
      </c>
      <c r="G465" s="150">
        <v>6.56381745139761E7</v>
      </c>
      <c r="H465" s="150">
        <v>42906.1828939706</v>
      </c>
      <c r="I465" s="151">
        <v>45322.0</v>
      </c>
      <c r="J465" s="151">
        <v>45351.0</v>
      </c>
      <c r="K465" s="152">
        <v>0.0</v>
      </c>
      <c r="L465" s="117" t="s">
        <v>83</v>
      </c>
      <c r="M465" s="117" t="s">
        <v>2924</v>
      </c>
      <c r="N465" s="153" t="s">
        <v>2654</v>
      </c>
      <c r="O465" s="153"/>
      <c r="P465" s="153"/>
      <c r="Q465" s="153"/>
      <c r="R465" s="153" t="str">
        <f t="shared" si="1"/>
        <v>2024</v>
      </c>
      <c r="S465" s="154">
        <f t="shared" si="2"/>
        <v>2</v>
      </c>
      <c r="T465" s="153" t="str">
        <f t="shared" si="3"/>
        <v>2024-Q1</v>
      </c>
      <c r="U465" s="153" t="str">
        <f t="shared" si="4"/>
        <v>2024-02</v>
      </c>
      <c r="V465" s="155" t="str">
        <f t="shared" si="5"/>
        <v>2024-H1</v>
      </c>
      <c r="W465" s="155"/>
    </row>
    <row r="466">
      <c r="A466" s="139">
        <f>HYPERLINK("https://polkadot.subsquare.io/referenda/458", 458)</f>
        <v>458</v>
      </c>
      <c r="B466" s="140" t="s">
        <v>2925</v>
      </c>
      <c r="C466" s="140" t="s">
        <v>2681</v>
      </c>
      <c r="D466" s="141">
        <v>0.0</v>
      </c>
      <c r="E466" s="142">
        <v>0.0</v>
      </c>
      <c r="F466" s="140" t="s">
        <v>2682</v>
      </c>
      <c r="G466" s="143">
        <v>1.219522559384857E8</v>
      </c>
      <c r="H466" s="143">
        <v>10.0</v>
      </c>
      <c r="I466" s="144">
        <v>45322.0</v>
      </c>
      <c r="J466" s="144">
        <v>45339.0</v>
      </c>
      <c r="K466" s="145">
        <v>0.0</v>
      </c>
      <c r="L466" s="114"/>
      <c r="M466" s="114"/>
      <c r="N466" s="108"/>
      <c r="O466" s="108"/>
      <c r="P466" s="108"/>
      <c r="Q466" s="108"/>
      <c r="R466" s="108" t="str">
        <f t="shared" si="1"/>
        <v>2024</v>
      </c>
      <c r="S466" s="110">
        <f t="shared" si="2"/>
        <v>2</v>
      </c>
      <c r="T466" s="108" t="str">
        <f t="shared" si="3"/>
        <v>2024-Q1</v>
      </c>
      <c r="U466" s="108" t="str">
        <f t="shared" si="4"/>
        <v>2024-02</v>
      </c>
      <c r="V466" s="112" t="str">
        <f t="shared" si="5"/>
        <v>2024-H1</v>
      </c>
      <c r="W466" s="112"/>
    </row>
    <row r="467">
      <c r="A467" s="146">
        <f>HYPERLINK("https://polkadot.subsquare.io/referenda/459", 459)</f>
        <v>459</v>
      </c>
      <c r="B467" s="147" t="s">
        <v>374</v>
      </c>
      <c r="C467" s="147" t="s">
        <v>2681</v>
      </c>
      <c r="D467" s="148">
        <v>952.0</v>
      </c>
      <c r="E467" s="149">
        <v>6347.201267242432</v>
      </c>
      <c r="F467" s="147" t="s">
        <v>2699</v>
      </c>
      <c r="G467" s="150">
        <v>3170874.660111985</v>
      </c>
      <c r="H467" s="150">
        <v>5025.0</v>
      </c>
      <c r="I467" s="151">
        <v>45323.0</v>
      </c>
      <c r="J467" s="151">
        <v>45328.0</v>
      </c>
      <c r="K467" s="152">
        <v>6677.962108612061</v>
      </c>
      <c r="L467" s="117" t="s">
        <v>85</v>
      </c>
      <c r="M467" s="117" t="s">
        <v>148</v>
      </c>
      <c r="N467" s="153"/>
      <c r="O467" s="153"/>
      <c r="P467" s="153"/>
      <c r="Q467" s="153"/>
      <c r="R467" s="153" t="str">
        <f t="shared" si="1"/>
        <v>2024</v>
      </c>
      <c r="S467" s="154">
        <f t="shared" si="2"/>
        <v>2</v>
      </c>
      <c r="T467" s="153" t="str">
        <f t="shared" si="3"/>
        <v>2024-Q1</v>
      </c>
      <c r="U467" s="153" t="str">
        <f t="shared" si="4"/>
        <v>2024-02</v>
      </c>
      <c r="V467" s="155" t="str">
        <f t="shared" si="5"/>
        <v>2024-H1</v>
      </c>
      <c r="W467" s="155"/>
    </row>
    <row r="468">
      <c r="A468" s="139">
        <f>HYPERLINK("https://polkadot.subsquare.io/referenda/460", 460)</f>
        <v>460</v>
      </c>
      <c r="B468" s="140" t="s">
        <v>375</v>
      </c>
      <c r="C468" s="140" t="s">
        <v>2681</v>
      </c>
      <c r="D468" s="141">
        <v>952.0</v>
      </c>
      <c r="E468" s="142">
        <v>6347.201267242432</v>
      </c>
      <c r="F468" s="140" t="s">
        <v>2699</v>
      </c>
      <c r="G468" s="143">
        <v>5692593.665392343</v>
      </c>
      <c r="H468" s="143">
        <v>15191.5197692729</v>
      </c>
      <c r="I468" s="144">
        <v>45323.0</v>
      </c>
      <c r="J468" s="144">
        <v>45327.0</v>
      </c>
      <c r="K468" s="145">
        <v>6677.962108612061</v>
      </c>
      <c r="L468" s="114" t="s">
        <v>85</v>
      </c>
      <c r="M468" s="114" t="s">
        <v>148</v>
      </c>
      <c r="N468" s="108"/>
      <c r="O468" s="108"/>
      <c r="P468" s="108"/>
      <c r="Q468" s="108"/>
      <c r="R468" s="108" t="str">
        <f t="shared" si="1"/>
        <v>2024</v>
      </c>
      <c r="S468" s="110">
        <f t="shared" si="2"/>
        <v>2</v>
      </c>
      <c r="T468" s="108" t="str">
        <f t="shared" si="3"/>
        <v>2024-Q1</v>
      </c>
      <c r="U468" s="108" t="str">
        <f t="shared" si="4"/>
        <v>2024-02</v>
      </c>
      <c r="V468" s="112" t="str">
        <f t="shared" si="5"/>
        <v>2024-H1</v>
      </c>
      <c r="W468" s="112"/>
    </row>
    <row r="469">
      <c r="A469" s="146">
        <f>HYPERLINK("https://polkadot.subsquare.io/referenda/461", 461)</f>
        <v>461</v>
      </c>
      <c r="B469" s="147" t="s">
        <v>376</v>
      </c>
      <c r="C469" s="147" t="s">
        <v>2681</v>
      </c>
      <c r="D469" s="148">
        <v>1655.0</v>
      </c>
      <c r="E469" s="149">
        <v>11133.04255247116</v>
      </c>
      <c r="F469" s="147" t="s">
        <v>2678</v>
      </c>
      <c r="G469" s="150">
        <v>1.914115084021847E7</v>
      </c>
      <c r="H469" s="150">
        <v>1729945.4192483507</v>
      </c>
      <c r="I469" s="151">
        <v>45324.0</v>
      </c>
      <c r="J469" s="151">
        <v>45345.0</v>
      </c>
      <c r="K469" s="152">
        <v>13112.6673579216</v>
      </c>
      <c r="L469" s="117" t="s">
        <v>137</v>
      </c>
      <c r="M469" s="117" t="s">
        <v>138</v>
      </c>
      <c r="N469" s="153"/>
      <c r="O469" s="153"/>
      <c r="P469" s="153"/>
      <c r="Q469" s="153"/>
      <c r="R469" s="153" t="str">
        <f t="shared" si="1"/>
        <v>2024</v>
      </c>
      <c r="S469" s="154">
        <f t="shared" si="2"/>
        <v>2</v>
      </c>
      <c r="T469" s="153" t="str">
        <f t="shared" si="3"/>
        <v>2024-Q1</v>
      </c>
      <c r="U469" s="153" t="str">
        <f t="shared" si="4"/>
        <v>2024-02</v>
      </c>
      <c r="V469" s="155" t="str">
        <f t="shared" si="5"/>
        <v>2024-H1</v>
      </c>
      <c r="W469" s="155"/>
    </row>
    <row r="470">
      <c r="A470" s="139">
        <f>HYPERLINK("https://polkadot.subsquare.io/referenda/462", 462)</f>
        <v>462</v>
      </c>
      <c r="B470" s="140" t="s">
        <v>377</v>
      </c>
      <c r="C470" s="140" t="s">
        <v>2681</v>
      </c>
      <c r="D470" s="141">
        <v>21670.0</v>
      </c>
      <c r="E470" s="142">
        <v>145772.22484111786</v>
      </c>
      <c r="F470" s="140" t="s">
        <v>2683</v>
      </c>
      <c r="G470" s="143">
        <v>2.5536990760058828E7</v>
      </c>
      <c r="H470" s="143">
        <v>6723545.399670586</v>
      </c>
      <c r="I470" s="144">
        <v>45325.0</v>
      </c>
      <c r="J470" s="144">
        <v>45352.0</v>
      </c>
      <c r="K470" s="145">
        <v>214775.07469177246</v>
      </c>
      <c r="L470" s="114" t="s">
        <v>81</v>
      </c>
      <c r="M470" s="114" t="s">
        <v>142</v>
      </c>
      <c r="N470" s="108"/>
      <c r="O470" s="108"/>
      <c r="P470" s="108"/>
      <c r="Q470" s="108"/>
      <c r="R470" s="108" t="str">
        <f t="shared" si="1"/>
        <v>2024</v>
      </c>
      <c r="S470" s="110">
        <f t="shared" si="2"/>
        <v>3</v>
      </c>
      <c r="T470" s="108" t="str">
        <f t="shared" si="3"/>
        <v>2024-Q1</v>
      </c>
      <c r="U470" s="108" t="str">
        <f t="shared" si="4"/>
        <v>2024-03</v>
      </c>
      <c r="V470" s="112" t="str">
        <f t="shared" si="5"/>
        <v>2024-H1</v>
      </c>
      <c r="W470" s="112"/>
    </row>
    <row r="471">
      <c r="A471" s="146">
        <f>HYPERLINK("https://polkadot.subsquare.io/referenda/463", 463)</f>
        <v>463</v>
      </c>
      <c r="B471" s="147" t="s">
        <v>378</v>
      </c>
      <c r="C471" s="147" t="s">
        <v>2681</v>
      </c>
      <c r="D471" s="148">
        <v>51034.0</v>
      </c>
      <c r="E471" s="149">
        <v>343301.3254518509</v>
      </c>
      <c r="F471" s="147" t="s">
        <v>2683</v>
      </c>
      <c r="G471" s="150">
        <v>3.682739521376238E7</v>
      </c>
      <c r="H471" s="150">
        <v>2838954.4808483417</v>
      </c>
      <c r="I471" s="151">
        <v>45325.0</v>
      </c>
      <c r="J471" s="151">
        <v>45346.0</v>
      </c>
      <c r="K471" s="152">
        <v>413597.0618057251</v>
      </c>
      <c r="L471" s="117" t="s">
        <v>82</v>
      </c>
      <c r="M471" s="117" t="s">
        <v>150</v>
      </c>
      <c r="N471" s="153"/>
      <c r="O471" s="153"/>
      <c r="P471" s="153"/>
      <c r="Q471" s="153"/>
      <c r="R471" s="153" t="str">
        <f t="shared" si="1"/>
        <v>2024</v>
      </c>
      <c r="S471" s="154">
        <f t="shared" si="2"/>
        <v>2</v>
      </c>
      <c r="T471" s="153" t="str">
        <f t="shared" si="3"/>
        <v>2024-Q1</v>
      </c>
      <c r="U471" s="153" t="str">
        <f t="shared" si="4"/>
        <v>2024-02</v>
      </c>
      <c r="V471" s="155" t="str">
        <f t="shared" si="5"/>
        <v>2024-H1</v>
      </c>
      <c r="W471" s="155"/>
    </row>
    <row r="472">
      <c r="A472" s="139">
        <f>HYPERLINK("https://polkadot.subsquare.io/referenda/464", 464)</f>
        <v>464</v>
      </c>
      <c r="B472" s="140" t="s">
        <v>2926</v>
      </c>
      <c r="C472" s="140" t="s">
        <v>2681</v>
      </c>
      <c r="D472" s="141">
        <v>0.0</v>
      </c>
      <c r="E472" s="142">
        <v>0.0</v>
      </c>
      <c r="F472" s="140" t="s">
        <v>2676</v>
      </c>
      <c r="G472" s="143">
        <v>7.629591859518103E7</v>
      </c>
      <c r="H472" s="143">
        <v>53504.831794545</v>
      </c>
      <c r="I472" s="144">
        <v>45325.0</v>
      </c>
      <c r="J472" s="144">
        <v>45352.0</v>
      </c>
      <c r="K472" s="145">
        <v>0.0</v>
      </c>
      <c r="L472" s="114" t="s">
        <v>84</v>
      </c>
      <c r="M472" s="114" t="s">
        <v>1554</v>
      </c>
      <c r="N472" s="108"/>
      <c r="O472" s="108"/>
      <c r="P472" s="108"/>
      <c r="Q472" s="108"/>
      <c r="R472" s="108" t="str">
        <f t="shared" si="1"/>
        <v>2024</v>
      </c>
      <c r="S472" s="110">
        <f t="shared" si="2"/>
        <v>3</v>
      </c>
      <c r="T472" s="108" t="str">
        <f t="shared" si="3"/>
        <v>2024-Q1</v>
      </c>
      <c r="U472" s="108" t="str">
        <f t="shared" si="4"/>
        <v>2024-03</v>
      </c>
      <c r="V472" s="112" t="str">
        <f t="shared" si="5"/>
        <v>2024-H1</v>
      </c>
      <c r="W472" s="112"/>
    </row>
    <row r="473">
      <c r="A473" s="146">
        <f>HYPERLINK("https://polkadot.subsquare.io/referenda/465", 465)</f>
        <v>465</v>
      </c>
      <c r="B473" s="147" t="s">
        <v>186</v>
      </c>
      <c r="C473" s="147" t="s">
        <v>2681</v>
      </c>
      <c r="D473" s="148">
        <v>80.0</v>
      </c>
      <c r="E473" s="149">
        <v>544.4565582275391</v>
      </c>
      <c r="F473" s="147" t="s">
        <v>186</v>
      </c>
      <c r="G473" s="150">
        <v>2961619.968297197</v>
      </c>
      <c r="H473" s="150">
        <v>51196.0379381906</v>
      </c>
      <c r="I473" s="151">
        <v>45325.0</v>
      </c>
      <c r="J473" s="151">
        <v>45328.0</v>
      </c>
      <c r="K473" s="152">
        <v>575.3192901611328</v>
      </c>
      <c r="L473" s="117" t="s">
        <v>81</v>
      </c>
      <c r="M473" s="117" t="s">
        <v>185</v>
      </c>
      <c r="N473" s="153"/>
      <c r="O473" s="153"/>
      <c r="P473" s="153"/>
      <c r="Q473" s="153"/>
      <c r="R473" s="153" t="str">
        <f t="shared" si="1"/>
        <v>2024</v>
      </c>
      <c r="S473" s="154">
        <f t="shared" si="2"/>
        <v>2</v>
      </c>
      <c r="T473" s="153" t="str">
        <f t="shared" si="3"/>
        <v>2024-Q1</v>
      </c>
      <c r="U473" s="153" t="str">
        <f t="shared" si="4"/>
        <v>2024-02</v>
      </c>
      <c r="V473" s="155" t="str">
        <f t="shared" si="5"/>
        <v>2024-H1</v>
      </c>
      <c r="W473" s="155"/>
    </row>
    <row r="474">
      <c r="A474" s="139">
        <f>HYPERLINK("https://polkadot.subsquare.io/referenda/466", 466)</f>
        <v>466</v>
      </c>
      <c r="B474" s="140" t="s">
        <v>2927</v>
      </c>
      <c r="C474" s="140" t="s">
        <v>2691</v>
      </c>
      <c r="D474" s="141">
        <v>200.0</v>
      </c>
      <c r="E474" s="142">
        <v>1361.1413955688477</v>
      </c>
      <c r="F474" s="140" t="s">
        <v>186</v>
      </c>
      <c r="G474" s="143">
        <v>305211.4276028223</v>
      </c>
      <c r="H474" s="143">
        <v>3014018.8719343133</v>
      </c>
      <c r="I474" s="144">
        <v>45325.0</v>
      </c>
      <c r="J474" s="144">
        <v>45340.0</v>
      </c>
      <c r="K474" s="145">
        <v>1546.6411590576172</v>
      </c>
      <c r="L474" s="114"/>
      <c r="M474" s="114"/>
      <c r="N474" s="108"/>
      <c r="O474" s="108"/>
      <c r="P474" s="108"/>
      <c r="Q474" s="108"/>
      <c r="R474" s="108" t="str">
        <f t="shared" si="1"/>
        <v>2024</v>
      </c>
      <c r="S474" s="110">
        <f t="shared" si="2"/>
        <v>2</v>
      </c>
      <c r="T474" s="108" t="str">
        <f t="shared" si="3"/>
        <v>2024-Q1</v>
      </c>
      <c r="U474" s="108" t="str">
        <f t="shared" si="4"/>
        <v>2024-02</v>
      </c>
      <c r="V474" s="112" t="str">
        <f t="shared" si="5"/>
        <v>2024-H1</v>
      </c>
      <c r="W474" s="112"/>
    </row>
    <row r="475">
      <c r="A475" s="146">
        <f>HYPERLINK("https://polkadot.subsquare.io/referenda/467", 467)</f>
        <v>467</v>
      </c>
      <c r="B475" s="147" t="s">
        <v>379</v>
      </c>
      <c r="C475" s="147" t="s">
        <v>2681</v>
      </c>
      <c r="D475" s="148">
        <v>13509.0</v>
      </c>
      <c r="E475" s="149">
        <v>91938.29556369781</v>
      </c>
      <c r="F475" s="147" t="s">
        <v>2683</v>
      </c>
      <c r="G475" s="150">
        <v>4.97698949781311E7</v>
      </c>
      <c r="H475" s="150">
        <v>38609.2946822493</v>
      </c>
      <c r="I475" s="151">
        <v>45326.0</v>
      </c>
      <c r="J475" s="151">
        <v>45351.0</v>
      </c>
      <c r="K475" s="152">
        <v>132353.61122131348</v>
      </c>
      <c r="L475" s="117" t="s">
        <v>81</v>
      </c>
      <c r="M475" s="117" t="s">
        <v>202</v>
      </c>
      <c r="N475" s="153"/>
      <c r="O475" s="153"/>
      <c r="P475" s="153"/>
      <c r="Q475" s="153"/>
      <c r="R475" s="153" t="str">
        <f t="shared" si="1"/>
        <v>2024</v>
      </c>
      <c r="S475" s="154">
        <f t="shared" si="2"/>
        <v>2</v>
      </c>
      <c r="T475" s="153" t="str">
        <f t="shared" si="3"/>
        <v>2024-Q1</v>
      </c>
      <c r="U475" s="153" t="str">
        <f t="shared" si="4"/>
        <v>2024-02</v>
      </c>
      <c r="V475" s="155" t="str">
        <f t="shared" si="5"/>
        <v>2024-H1</v>
      </c>
      <c r="W475" s="155"/>
    </row>
    <row r="476">
      <c r="A476" s="139">
        <f>HYPERLINK("https://polkadot.subsquare.io/referenda/468", 468)</f>
        <v>468</v>
      </c>
      <c r="B476" s="140" t="s">
        <v>380</v>
      </c>
      <c r="C476" s="140" t="s">
        <v>2681</v>
      </c>
      <c r="D476" s="141">
        <v>31500.0</v>
      </c>
      <c r="E476" s="142">
        <v>218607.7938079834</v>
      </c>
      <c r="F476" s="140" t="s">
        <v>2683</v>
      </c>
      <c r="G476" s="143">
        <v>4.005788845602789E7</v>
      </c>
      <c r="H476" s="143">
        <v>684682.0307211586</v>
      </c>
      <c r="I476" s="144">
        <v>45326.0</v>
      </c>
      <c r="J476" s="144">
        <v>45346.0</v>
      </c>
      <c r="K476" s="145">
        <v>263702.100276947</v>
      </c>
      <c r="L476" s="114" t="s">
        <v>81</v>
      </c>
      <c r="M476" s="114" t="s">
        <v>140</v>
      </c>
      <c r="N476" s="108"/>
      <c r="O476" s="108"/>
      <c r="P476" s="108"/>
      <c r="Q476" s="108"/>
      <c r="R476" s="108" t="str">
        <f t="shared" si="1"/>
        <v>2024</v>
      </c>
      <c r="S476" s="110">
        <f t="shared" si="2"/>
        <v>2</v>
      </c>
      <c r="T476" s="108" t="str">
        <f t="shared" si="3"/>
        <v>2024-Q1</v>
      </c>
      <c r="U476" s="108" t="str">
        <f t="shared" si="4"/>
        <v>2024-02</v>
      </c>
      <c r="V476" s="112" t="str">
        <f t="shared" si="5"/>
        <v>2024-H1</v>
      </c>
      <c r="W476" s="112"/>
    </row>
    <row r="477">
      <c r="A477" s="146">
        <f>HYPERLINK("https://polkadot.subsquare.io/referenda/469", 469)</f>
        <v>469</v>
      </c>
      <c r="B477" s="147" t="s">
        <v>381</v>
      </c>
      <c r="C477" s="147" t="s">
        <v>2681</v>
      </c>
      <c r="D477" s="148">
        <v>32000.0</v>
      </c>
      <c r="E477" s="149">
        <v>222077.7587890625</v>
      </c>
      <c r="F477" s="147" t="s">
        <v>2683</v>
      </c>
      <c r="G477" s="150">
        <v>5.783022838123502E7</v>
      </c>
      <c r="H477" s="150">
        <v>2.603368014115487E7</v>
      </c>
      <c r="I477" s="151">
        <v>45326.0</v>
      </c>
      <c r="J477" s="151">
        <v>45347.0</v>
      </c>
      <c r="K477" s="152">
        <v>266963.80615234375</v>
      </c>
      <c r="L477" s="117" t="s">
        <v>137</v>
      </c>
      <c r="M477" s="117" t="s">
        <v>243</v>
      </c>
      <c r="N477" s="153"/>
      <c r="O477" s="153"/>
      <c r="P477" s="153"/>
      <c r="Q477" s="153"/>
      <c r="R477" s="153" t="str">
        <f t="shared" si="1"/>
        <v>2024</v>
      </c>
      <c r="S477" s="154">
        <f t="shared" si="2"/>
        <v>2</v>
      </c>
      <c r="T477" s="153" t="str">
        <f t="shared" si="3"/>
        <v>2024-Q1</v>
      </c>
      <c r="U477" s="153" t="str">
        <f t="shared" si="4"/>
        <v>2024-02</v>
      </c>
      <c r="V477" s="155" t="str">
        <f t="shared" si="5"/>
        <v>2024-H1</v>
      </c>
      <c r="W477" s="155"/>
    </row>
    <row r="478">
      <c r="A478" s="139">
        <f>HYPERLINK("https://polkadot.subsquare.io/referenda/470", 470)</f>
        <v>470</v>
      </c>
      <c r="B478" s="140" t="s">
        <v>2928</v>
      </c>
      <c r="C478" s="140" t="s">
        <v>2681</v>
      </c>
      <c r="D478" s="141">
        <v>0.0</v>
      </c>
      <c r="E478" s="142">
        <v>0.0</v>
      </c>
      <c r="F478" s="140" t="s">
        <v>2683</v>
      </c>
      <c r="G478" s="143">
        <v>4.52831669928855E7</v>
      </c>
      <c r="H478" s="143">
        <v>1.3498337564439615E7</v>
      </c>
      <c r="I478" s="144">
        <v>45326.0</v>
      </c>
      <c r="J478" s="144">
        <v>45348.0</v>
      </c>
      <c r="K478" s="145">
        <v>0.0</v>
      </c>
      <c r="L478" s="114" t="s">
        <v>81</v>
      </c>
      <c r="M478" s="114" t="s">
        <v>231</v>
      </c>
      <c r="N478" s="108"/>
      <c r="O478" s="108" t="s">
        <v>2654</v>
      </c>
      <c r="P478" s="108" t="s">
        <v>2654</v>
      </c>
      <c r="Q478" s="108"/>
      <c r="R478" s="108" t="str">
        <f t="shared" si="1"/>
        <v>2024</v>
      </c>
      <c r="S478" s="110">
        <f t="shared" si="2"/>
        <v>2</v>
      </c>
      <c r="T478" s="108" t="str">
        <f t="shared" si="3"/>
        <v>2024-Q1</v>
      </c>
      <c r="U478" s="108" t="str">
        <f t="shared" si="4"/>
        <v>2024-02</v>
      </c>
      <c r="V478" s="112" t="str">
        <f t="shared" si="5"/>
        <v>2024-H1</v>
      </c>
      <c r="W478" s="112"/>
    </row>
    <row r="479">
      <c r="A479" s="146">
        <f>HYPERLINK("https://polkadot.subsquare.io/referenda/471", 471)</f>
        <v>471</v>
      </c>
      <c r="B479" s="147" t="s">
        <v>2929</v>
      </c>
      <c r="C479" s="147" t="s">
        <v>2681</v>
      </c>
      <c r="D479" s="148">
        <v>0.0</v>
      </c>
      <c r="E479" s="149">
        <v>0.0</v>
      </c>
      <c r="F479" s="147" t="s">
        <v>2683</v>
      </c>
      <c r="G479" s="150">
        <v>4.475472834893425E7</v>
      </c>
      <c r="H479" s="150">
        <v>2.593014909355072E7</v>
      </c>
      <c r="I479" s="151">
        <v>45326.0</v>
      </c>
      <c r="J479" s="151">
        <v>45348.0</v>
      </c>
      <c r="K479" s="152">
        <v>0.0</v>
      </c>
      <c r="L479" s="117" t="s">
        <v>137</v>
      </c>
      <c r="M479" s="117" t="s">
        <v>243</v>
      </c>
      <c r="N479" s="153"/>
      <c r="O479" s="153" t="s">
        <v>2654</v>
      </c>
      <c r="P479" s="153" t="s">
        <v>2654</v>
      </c>
      <c r="Q479" s="153"/>
      <c r="R479" s="153" t="str">
        <f t="shared" si="1"/>
        <v>2024</v>
      </c>
      <c r="S479" s="154">
        <f t="shared" si="2"/>
        <v>2</v>
      </c>
      <c r="T479" s="153" t="str">
        <f t="shared" si="3"/>
        <v>2024-Q1</v>
      </c>
      <c r="U479" s="153" t="str">
        <f t="shared" si="4"/>
        <v>2024-02</v>
      </c>
      <c r="V479" s="155" t="str">
        <f t="shared" si="5"/>
        <v>2024-H1</v>
      </c>
      <c r="W479" s="155"/>
    </row>
    <row r="480">
      <c r="A480" s="139">
        <f>HYPERLINK("https://polkadot.subsquare.io/referenda/472", 472)</f>
        <v>472</v>
      </c>
      <c r="B480" s="140" t="s">
        <v>382</v>
      </c>
      <c r="C480" s="140" t="s">
        <v>2681</v>
      </c>
      <c r="D480" s="141">
        <v>900.0</v>
      </c>
      <c r="E480" s="142">
        <v>6245.936965942383</v>
      </c>
      <c r="F480" s="140" t="s">
        <v>2699</v>
      </c>
      <c r="G480" s="143">
        <v>3256261.08794438</v>
      </c>
      <c r="H480" s="143">
        <v>28004.5813519607</v>
      </c>
      <c r="I480" s="144">
        <v>45327.0</v>
      </c>
      <c r="J480" s="144">
        <v>45331.0</v>
      </c>
      <c r="K480" s="145">
        <v>6611.456823348999</v>
      </c>
      <c r="L480" s="114" t="s">
        <v>137</v>
      </c>
      <c r="M480" s="114" t="s">
        <v>138</v>
      </c>
      <c r="N480" s="108"/>
      <c r="O480" s="108"/>
      <c r="P480" s="108"/>
      <c r="Q480" s="108"/>
      <c r="R480" s="108" t="str">
        <f t="shared" si="1"/>
        <v>2024</v>
      </c>
      <c r="S480" s="110">
        <f t="shared" si="2"/>
        <v>2</v>
      </c>
      <c r="T480" s="108" t="str">
        <f t="shared" si="3"/>
        <v>2024-Q1</v>
      </c>
      <c r="U480" s="108" t="str">
        <f t="shared" si="4"/>
        <v>2024-02</v>
      </c>
      <c r="V480" s="112" t="str">
        <f t="shared" si="5"/>
        <v>2024-H1</v>
      </c>
      <c r="W480" s="112"/>
    </row>
    <row r="481">
      <c r="A481" s="146">
        <f>HYPERLINK("https://polkadot.subsquare.io/referenda/473", 473)</f>
        <v>473</v>
      </c>
      <c r="B481" s="147" t="s">
        <v>383</v>
      </c>
      <c r="C481" s="147" t="s">
        <v>2681</v>
      </c>
      <c r="D481" s="148">
        <v>1000.0</v>
      </c>
      <c r="E481" s="149">
        <v>6939.929962158203</v>
      </c>
      <c r="F481" s="147" t="s">
        <v>2699</v>
      </c>
      <c r="G481" s="150">
        <v>7030776.94725024</v>
      </c>
      <c r="H481" s="150">
        <v>206887.8437225482</v>
      </c>
      <c r="I481" s="151">
        <v>45327.0</v>
      </c>
      <c r="J481" s="151">
        <v>45331.0</v>
      </c>
      <c r="K481" s="152">
        <v>7096.012115478516</v>
      </c>
      <c r="L481" s="117" t="s">
        <v>137</v>
      </c>
      <c r="M481" s="117" t="s">
        <v>138</v>
      </c>
      <c r="N481" s="153"/>
      <c r="O481" s="153"/>
      <c r="P481" s="153"/>
      <c r="Q481" s="153"/>
      <c r="R481" s="153" t="str">
        <f t="shared" si="1"/>
        <v>2024</v>
      </c>
      <c r="S481" s="154">
        <f t="shared" si="2"/>
        <v>2</v>
      </c>
      <c r="T481" s="153" t="str">
        <f t="shared" si="3"/>
        <v>2024-Q1</v>
      </c>
      <c r="U481" s="153" t="str">
        <f t="shared" si="4"/>
        <v>2024-02</v>
      </c>
      <c r="V481" s="155" t="str">
        <f t="shared" si="5"/>
        <v>2024-H1</v>
      </c>
      <c r="W481" s="155"/>
    </row>
    <row r="482">
      <c r="A482" s="139">
        <f>HYPERLINK("https://polkadot.subsquare.io/referenda/474", 474)</f>
        <v>474</v>
      </c>
      <c r="B482" s="140" t="s">
        <v>2930</v>
      </c>
      <c r="C482" s="140" t="s">
        <v>2681</v>
      </c>
      <c r="D482" s="141">
        <v>0.0</v>
      </c>
      <c r="E482" s="142">
        <v>0.0</v>
      </c>
      <c r="F482" s="140" t="s">
        <v>2682</v>
      </c>
      <c r="G482" s="143">
        <v>1.1111518046745734E8</v>
      </c>
      <c r="H482" s="143">
        <v>10.0</v>
      </c>
      <c r="I482" s="144">
        <v>45327.0</v>
      </c>
      <c r="J482" s="144">
        <v>45339.0</v>
      </c>
      <c r="K482" s="145">
        <v>0.0</v>
      </c>
      <c r="L482" s="114"/>
      <c r="M482" s="114"/>
      <c r="N482" s="108"/>
      <c r="O482" s="108"/>
      <c r="P482" s="108"/>
      <c r="Q482" s="108"/>
      <c r="R482" s="108" t="str">
        <f t="shared" si="1"/>
        <v>2024</v>
      </c>
      <c r="S482" s="110">
        <f t="shared" si="2"/>
        <v>2</v>
      </c>
      <c r="T482" s="108" t="str">
        <f t="shared" si="3"/>
        <v>2024-Q1</v>
      </c>
      <c r="U482" s="108" t="str">
        <f t="shared" si="4"/>
        <v>2024-02</v>
      </c>
      <c r="V482" s="112" t="str">
        <f t="shared" si="5"/>
        <v>2024-H1</v>
      </c>
      <c r="W482" s="112"/>
    </row>
    <row r="483">
      <c r="A483" s="146">
        <f>HYPERLINK("https://polkadot.subsquare.io/referenda/475", 475)</f>
        <v>475</v>
      </c>
      <c r="B483" s="147" t="s">
        <v>2931</v>
      </c>
      <c r="C483" s="147" t="s">
        <v>2672</v>
      </c>
      <c r="D483" s="148">
        <v>712.17</v>
      </c>
      <c r="E483" s="149">
        <v>4995.634742531776</v>
      </c>
      <c r="F483" s="147" t="s">
        <v>2699</v>
      </c>
      <c r="G483" s="150">
        <v>2973029.555406196</v>
      </c>
      <c r="H483" s="150">
        <v>2.0855730529242102E7</v>
      </c>
      <c r="I483" s="151">
        <v>45327.0</v>
      </c>
      <c r="J483" s="151">
        <v>45334.0</v>
      </c>
      <c r="K483" s="152">
        <v>5539.296886224746</v>
      </c>
      <c r="L483" s="117"/>
      <c r="M483" s="117"/>
      <c r="N483" s="153"/>
      <c r="O483" s="153"/>
      <c r="P483" s="153"/>
      <c r="Q483" s="153"/>
      <c r="R483" s="153" t="str">
        <f t="shared" si="1"/>
        <v>2024</v>
      </c>
      <c r="S483" s="154">
        <f t="shared" si="2"/>
        <v>2</v>
      </c>
      <c r="T483" s="153" t="str">
        <f t="shared" si="3"/>
        <v>2024-Q1</v>
      </c>
      <c r="U483" s="153" t="str">
        <f t="shared" si="4"/>
        <v>2024-02</v>
      </c>
      <c r="V483" s="155" t="str">
        <f t="shared" si="5"/>
        <v>2024-H1</v>
      </c>
      <c r="W483" s="155"/>
    </row>
    <row r="484">
      <c r="A484" s="139">
        <f>HYPERLINK("https://polkadot.subsquare.io/referenda/476", 476)</f>
        <v>476</v>
      </c>
      <c r="B484" s="140" t="s">
        <v>384</v>
      </c>
      <c r="C484" s="140" t="s">
        <v>2681</v>
      </c>
      <c r="D484" s="141">
        <v>8666.0</v>
      </c>
      <c r="E484" s="142">
        <v>60789.09625339508</v>
      </c>
      <c r="F484" s="140" t="s">
        <v>2678</v>
      </c>
      <c r="G484" s="143">
        <v>3.990367906261194E7</v>
      </c>
      <c r="H484" s="143">
        <v>1263754.677228831</v>
      </c>
      <c r="I484" s="144">
        <v>45327.0</v>
      </c>
      <c r="J484" s="144">
        <v>45343.0</v>
      </c>
      <c r="K484" s="145">
        <v>67676.24457836151</v>
      </c>
      <c r="L484" s="114" t="s">
        <v>137</v>
      </c>
      <c r="M484" s="114" t="s">
        <v>138</v>
      </c>
      <c r="N484" s="108"/>
      <c r="O484" s="108"/>
      <c r="P484" s="108"/>
      <c r="Q484" s="108"/>
      <c r="R484" s="108" t="str">
        <f t="shared" si="1"/>
        <v>2024</v>
      </c>
      <c r="S484" s="110">
        <f t="shared" si="2"/>
        <v>2</v>
      </c>
      <c r="T484" s="108" t="str">
        <f t="shared" si="3"/>
        <v>2024-Q1</v>
      </c>
      <c r="U484" s="108" t="str">
        <f t="shared" si="4"/>
        <v>2024-02</v>
      </c>
      <c r="V484" s="112" t="str">
        <f t="shared" si="5"/>
        <v>2024-H1</v>
      </c>
      <c r="W484" s="112"/>
    </row>
    <row r="485">
      <c r="A485" s="146">
        <f>HYPERLINK("https://polkadot.subsquare.io/referenda/477", 477)</f>
        <v>477</v>
      </c>
      <c r="B485" s="147" t="s">
        <v>385</v>
      </c>
      <c r="C485" s="147" t="s">
        <v>2681</v>
      </c>
      <c r="D485" s="148">
        <v>184235.82</v>
      </c>
      <c r="E485" s="149">
        <v>1324930.264808178</v>
      </c>
      <c r="F485" s="147" t="s">
        <v>2676</v>
      </c>
      <c r="G485" s="150">
        <v>8.016832127427164E7</v>
      </c>
      <c r="H485" s="150">
        <v>372662.815051953</v>
      </c>
      <c r="I485" s="151">
        <v>45328.0</v>
      </c>
      <c r="J485" s="151">
        <v>45355.0</v>
      </c>
      <c r="K485" s="152">
        <v>1920117.8267564392</v>
      </c>
      <c r="L485" s="117" t="s">
        <v>137</v>
      </c>
      <c r="M485" s="117" t="s">
        <v>315</v>
      </c>
      <c r="N485" s="153"/>
      <c r="O485" s="153"/>
      <c r="P485" s="153"/>
      <c r="Q485" s="153"/>
      <c r="R485" s="153" t="str">
        <f t="shared" si="1"/>
        <v>2024</v>
      </c>
      <c r="S485" s="154">
        <f t="shared" si="2"/>
        <v>3</v>
      </c>
      <c r="T485" s="153" t="str">
        <f t="shared" si="3"/>
        <v>2024-Q1</v>
      </c>
      <c r="U485" s="153" t="str">
        <f t="shared" si="4"/>
        <v>2024-03</v>
      </c>
      <c r="V485" s="155" t="str">
        <f t="shared" si="5"/>
        <v>2024-H1</v>
      </c>
      <c r="W485" s="155"/>
    </row>
    <row r="486">
      <c r="A486" s="139">
        <f>HYPERLINK("https://polkadot.subsquare.io/referenda/478", 478)</f>
        <v>478</v>
      </c>
      <c r="B486" s="140" t="s">
        <v>386</v>
      </c>
      <c r="C486" s="140" t="s">
        <v>2681</v>
      </c>
      <c r="D486" s="141">
        <v>200.0</v>
      </c>
      <c r="E486" s="142">
        <v>1438.298225402832</v>
      </c>
      <c r="F486" s="140" t="s">
        <v>186</v>
      </c>
      <c r="G486" s="143">
        <v>2266670.1158870035</v>
      </c>
      <c r="H486" s="143">
        <v>292798.7519139702</v>
      </c>
      <c r="I486" s="144">
        <v>45328.0</v>
      </c>
      <c r="J486" s="144">
        <v>45331.0</v>
      </c>
      <c r="K486" s="145">
        <v>1469.2126274108887</v>
      </c>
      <c r="L486" s="114" t="s">
        <v>137</v>
      </c>
      <c r="M486" s="114" t="s">
        <v>138</v>
      </c>
      <c r="N486" s="108"/>
      <c r="O486" s="108"/>
      <c r="P486" s="108"/>
      <c r="Q486" s="108"/>
      <c r="R486" s="108" t="str">
        <f t="shared" si="1"/>
        <v>2024</v>
      </c>
      <c r="S486" s="110">
        <f t="shared" si="2"/>
        <v>2</v>
      </c>
      <c r="T486" s="108" t="str">
        <f t="shared" si="3"/>
        <v>2024-Q1</v>
      </c>
      <c r="U486" s="108" t="str">
        <f t="shared" si="4"/>
        <v>2024-02</v>
      </c>
      <c r="V486" s="112" t="str">
        <f t="shared" si="5"/>
        <v>2024-H1</v>
      </c>
      <c r="W486" s="112"/>
    </row>
    <row r="487">
      <c r="A487" s="146">
        <f>HYPERLINK("https://polkadot.subsquare.io/referenda/479", 479)</f>
        <v>479</v>
      </c>
      <c r="B487" s="147" t="s">
        <v>2932</v>
      </c>
      <c r="C487" s="147" t="s">
        <v>2672</v>
      </c>
      <c r="D487" s="148">
        <v>1000.0</v>
      </c>
      <c r="E487" s="149">
        <v>7191.49112701416</v>
      </c>
      <c r="F487" s="147" t="s">
        <v>2678</v>
      </c>
      <c r="G487" s="150">
        <v>8545920.303610448</v>
      </c>
      <c r="H487" s="150">
        <v>2.655225122037826E7</v>
      </c>
      <c r="I487" s="151">
        <v>45329.0</v>
      </c>
      <c r="J487" s="151">
        <v>45358.0</v>
      </c>
      <c r="K487" s="152">
        <v>10278.813362121582</v>
      </c>
      <c r="L487" s="117"/>
      <c r="M487" s="117"/>
      <c r="N487" s="153"/>
      <c r="O487" s="153"/>
      <c r="P487" s="153"/>
      <c r="Q487" s="153"/>
      <c r="R487" s="153" t="str">
        <f t="shared" si="1"/>
        <v>2024</v>
      </c>
      <c r="S487" s="154">
        <f t="shared" si="2"/>
        <v>3</v>
      </c>
      <c r="T487" s="153" t="str">
        <f t="shared" si="3"/>
        <v>2024-Q1</v>
      </c>
      <c r="U487" s="153" t="str">
        <f t="shared" si="4"/>
        <v>2024-03</v>
      </c>
      <c r="V487" s="155" t="str">
        <f t="shared" si="5"/>
        <v>2024-H1</v>
      </c>
      <c r="W487" s="155"/>
    </row>
    <row r="488">
      <c r="A488" s="139">
        <f>HYPERLINK("https://polkadot.subsquare.io/referenda/480", 480)</f>
        <v>480</v>
      </c>
      <c r="B488" s="140" t="s">
        <v>387</v>
      </c>
      <c r="C488" s="140" t="s">
        <v>2681</v>
      </c>
      <c r="D488" s="141">
        <v>80.0</v>
      </c>
      <c r="E488" s="142">
        <v>575.3192901611328</v>
      </c>
      <c r="F488" s="140" t="s">
        <v>186</v>
      </c>
      <c r="G488" s="143">
        <v>2593462.4618386147</v>
      </c>
      <c r="H488" s="143">
        <v>92983.4439517354</v>
      </c>
      <c r="I488" s="144">
        <v>45329.0</v>
      </c>
      <c r="J488" s="144">
        <v>45332.0</v>
      </c>
      <c r="K488" s="145">
        <v>587.6850509643555</v>
      </c>
      <c r="L488" s="114" t="s">
        <v>81</v>
      </c>
      <c r="M488" s="114" t="s">
        <v>185</v>
      </c>
      <c r="N488" s="108"/>
      <c r="O488" s="108"/>
      <c r="P488" s="108"/>
      <c r="Q488" s="108"/>
      <c r="R488" s="108" t="str">
        <f t="shared" si="1"/>
        <v>2024</v>
      </c>
      <c r="S488" s="110">
        <f t="shared" si="2"/>
        <v>2</v>
      </c>
      <c r="T488" s="108" t="str">
        <f t="shared" si="3"/>
        <v>2024-Q1</v>
      </c>
      <c r="U488" s="108" t="str">
        <f t="shared" si="4"/>
        <v>2024-02</v>
      </c>
      <c r="V488" s="112" t="str">
        <f t="shared" si="5"/>
        <v>2024-H1</v>
      </c>
      <c r="W488" s="112"/>
    </row>
    <row r="489">
      <c r="A489" s="146">
        <f>HYPERLINK("https://polkadot.subsquare.io/referenda/481", 481)</f>
        <v>481</v>
      </c>
      <c r="B489" s="147" t="s">
        <v>2933</v>
      </c>
      <c r="C489" s="147" t="s">
        <v>2672</v>
      </c>
      <c r="D489" s="148">
        <v>200.0</v>
      </c>
      <c r="E489" s="149">
        <v>1441.7725563049316</v>
      </c>
      <c r="F489" s="147" t="s">
        <v>186</v>
      </c>
      <c r="G489" s="150">
        <v>11093.2</v>
      </c>
      <c r="H489" s="150">
        <v>3759869.0438421885</v>
      </c>
      <c r="I489" s="151">
        <v>45329.0</v>
      </c>
      <c r="J489" s="151">
        <v>45341.0</v>
      </c>
      <c r="K489" s="152">
        <v>1496.5782165527344</v>
      </c>
      <c r="L489" s="117"/>
      <c r="M489" s="117"/>
      <c r="N489" s="153"/>
      <c r="O489" s="153"/>
      <c r="P489" s="153"/>
      <c r="Q489" s="153"/>
      <c r="R489" s="153" t="str">
        <f t="shared" si="1"/>
        <v>2024</v>
      </c>
      <c r="S489" s="154">
        <f t="shared" si="2"/>
        <v>2</v>
      </c>
      <c r="T489" s="153" t="str">
        <f t="shared" si="3"/>
        <v>2024-Q1</v>
      </c>
      <c r="U489" s="153" t="str">
        <f t="shared" si="4"/>
        <v>2024-02</v>
      </c>
      <c r="V489" s="155" t="str">
        <f t="shared" si="5"/>
        <v>2024-H1</v>
      </c>
      <c r="W489" s="155"/>
    </row>
    <row r="490">
      <c r="A490" s="139">
        <f>HYPERLINK("https://polkadot.subsquare.io/referenda/482", 482)</f>
        <v>482</v>
      </c>
      <c r="B490" s="140" t="s">
        <v>2934</v>
      </c>
      <c r="C490" s="140" t="s">
        <v>2681</v>
      </c>
      <c r="D490" s="141">
        <v>0.0</v>
      </c>
      <c r="E490" s="142">
        <v>0.0</v>
      </c>
      <c r="F490" s="140" t="s">
        <v>2676</v>
      </c>
      <c r="G490" s="143">
        <v>7.209142301734157E7</v>
      </c>
      <c r="H490" s="143">
        <v>1031565.9111568365</v>
      </c>
      <c r="I490" s="144">
        <v>45329.0</v>
      </c>
      <c r="J490" s="144">
        <v>45354.0</v>
      </c>
      <c r="K490" s="145">
        <v>0.0</v>
      </c>
      <c r="L490" s="114" t="s">
        <v>81</v>
      </c>
      <c r="M490" s="114" t="s">
        <v>179</v>
      </c>
      <c r="N490" s="108"/>
      <c r="O490" s="108" t="s">
        <v>2654</v>
      </c>
      <c r="P490" s="108" t="s">
        <v>2654</v>
      </c>
      <c r="Q490" s="108"/>
      <c r="R490" s="108" t="str">
        <f t="shared" si="1"/>
        <v>2024</v>
      </c>
      <c r="S490" s="110">
        <f t="shared" si="2"/>
        <v>3</v>
      </c>
      <c r="T490" s="108" t="str">
        <f t="shared" si="3"/>
        <v>2024-Q1</v>
      </c>
      <c r="U490" s="108" t="str">
        <f t="shared" si="4"/>
        <v>2024-03</v>
      </c>
      <c r="V490" s="112" t="str">
        <f t="shared" si="5"/>
        <v>2024-H1</v>
      </c>
      <c r="W490" s="112"/>
    </row>
    <row r="491">
      <c r="A491" s="146">
        <f>HYPERLINK("https://polkadot.subsquare.io/referenda/483", 483)</f>
        <v>483</v>
      </c>
      <c r="B491" s="147" t="s">
        <v>388</v>
      </c>
      <c r="C491" s="147" t="s">
        <v>2681</v>
      </c>
      <c r="D491" s="148">
        <v>172066.93</v>
      </c>
      <c r="E491" s="149">
        <v>1240406.8876082087</v>
      </c>
      <c r="F491" s="147" t="s">
        <v>2676</v>
      </c>
      <c r="G491" s="150">
        <v>5.962496221763242E7</v>
      </c>
      <c r="H491" s="150">
        <v>1.3615108885254264E7</v>
      </c>
      <c r="I491" s="151">
        <v>45329.0</v>
      </c>
      <c r="J491" s="151">
        <v>45357.0</v>
      </c>
      <c r="K491" s="152">
        <v>1835116.447108202</v>
      </c>
      <c r="L491" s="117" t="s">
        <v>84</v>
      </c>
      <c r="M491" s="117" t="s">
        <v>148</v>
      </c>
      <c r="N491" s="153"/>
      <c r="O491" s="153"/>
      <c r="P491" s="153" t="s">
        <v>2654</v>
      </c>
      <c r="Q491" s="153"/>
      <c r="R491" s="153" t="str">
        <f t="shared" si="1"/>
        <v>2024</v>
      </c>
      <c r="S491" s="154">
        <f t="shared" si="2"/>
        <v>3</v>
      </c>
      <c r="T491" s="153" t="str">
        <f t="shared" si="3"/>
        <v>2024-Q1</v>
      </c>
      <c r="U491" s="153" t="str">
        <f t="shared" si="4"/>
        <v>2024-03</v>
      </c>
      <c r="V491" s="155" t="str">
        <f t="shared" si="5"/>
        <v>2024-H1</v>
      </c>
      <c r="W491" s="155"/>
    </row>
    <row r="492">
      <c r="A492" s="139">
        <f>HYPERLINK("https://polkadot.subsquare.io/referenda/484", 484)</f>
        <v>484</v>
      </c>
      <c r="B492" s="140" t="s">
        <v>2935</v>
      </c>
      <c r="C492" s="140" t="s">
        <v>2681</v>
      </c>
      <c r="D492" s="141">
        <v>32528.24</v>
      </c>
      <c r="E492" s="142">
        <v>234491.61868450165</v>
      </c>
      <c r="F492" s="140" t="s">
        <v>2683</v>
      </c>
      <c r="G492" s="143">
        <v>6.8575843461037E7</v>
      </c>
      <c r="H492" s="143">
        <v>957838.114828453</v>
      </c>
      <c r="I492" s="144">
        <v>45330.0</v>
      </c>
      <c r="J492" s="144">
        <v>45352.0</v>
      </c>
      <c r="K492" s="145">
        <v>322392.94765075686</v>
      </c>
      <c r="L492" s="114" t="s">
        <v>137</v>
      </c>
      <c r="M492" s="114" t="s">
        <v>191</v>
      </c>
      <c r="N492" s="108" t="s">
        <v>2654</v>
      </c>
      <c r="O492" s="108" t="s">
        <v>2654</v>
      </c>
      <c r="P492" s="108" t="s">
        <v>2654</v>
      </c>
      <c r="Q492" s="108"/>
      <c r="R492" s="108" t="str">
        <f t="shared" si="1"/>
        <v>2024</v>
      </c>
      <c r="S492" s="110">
        <f t="shared" si="2"/>
        <v>3</v>
      </c>
      <c r="T492" s="108" t="str">
        <f t="shared" si="3"/>
        <v>2024-Q1</v>
      </c>
      <c r="U492" s="108" t="str">
        <f t="shared" si="4"/>
        <v>2024-03</v>
      </c>
      <c r="V492" s="112" t="str">
        <f t="shared" si="5"/>
        <v>2024-H1</v>
      </c>
      <c r="W492" s="112"/>
    </row>
    <row r="493">
      <c r="A493" s="146">
        <f>HYPERLINK("https://polkadot.subsquare.io/referenda/485", 485)</f>
        <v>485</v>
      </c>
      <c r="B493" s="147" t="s">
        <v>389</v>
      </c>
      <c r="C493" s="147" t="s">
        <v>2681</v>
      </c>
      <c r="D493" s="148">
        <v>9507.0</v>
      </c>
      <c r="E493" s="149">
        <v>67461.78718185425</v>
      </c>
      <c r="F493" s="147" t="s">
        <v>2678</v>
      </c>
      <c r="G493" s="150">
        <v>5.4419645404911175E7</v>
      </c>
      <c r="H493" s="150">
        <v>1055756.2962547285</v>
      </c>
      <c r="I493" s="151">
        <v>45331.0</v>
      </c>
      <c r="J493" s="151">
        <v>45343.0</v>
      </c>
      <c r="K493" s="152">
        <v>74243.94844293594</v>
      </c>
      <c r="L493" s="117" t="s">
        <v>85</v>
      </c>
      <c r="M493" s="117" t="s">
        <v>191</v>
      </c>
      <c r="N493" s="153"/>
      <c r="O493" s="153"/>
      <c r="P493" s="153" t="s">
        <v>2654</v>
      </c>
      <c r="Q493" s="153"/>
      <c r="R493" s="153" t="str">
        <f t="shared" si="1"/>
        <v>2024</v>
      </c>
      <c r="S493" s="154">
        <f t="shared" si="2"/>
        <v>2</v>
      </c>
      <c r="T493" s="153" t="str">
        <f t="shared" si="3"/>
        <v>2024-Q1</v>
      </c>
      <c r="U493" s="153" t="str">
        <f t="shared" si="4"/>
        <v>2024-02</v>
      </c>
      <c r="V493" s="155" t="str">
        <f t="shared" si="5"/>
        <v>2024-H1</v>
      </c>
      <c r="W493" s="155"/>
    </row>
    <row r="494">
      <c r="A494" s="139">
        <f>HYPERLINK("https://polkadot.subsquare.io/referenda/486", 486)</f>
        <v>486</v>
      </c>
      <c r="B494" s="140" t="s">
        <v>390</v>
      </c>
      <c r="C494" s="140" t="s">
        <v>2681</v>
      </c>
      <c r="D494" s="141">
        <v>900.0</v>
      </c>
      <c r="E494" s="142">
        <v>6386.410903930664</v>
      </c>
      <c r="F494" s="140" t="s">
        <v>2699</v>
      </c>
      <c r="G494" s="143">
        <v>2.5092810810570687E7</v>
      </c>
      <c r="H494" s="143">
        <v>385658.6745208935</v>
      </c>
      <c r="I494" s="144">
        <v>45331.0</v>
      </c>
      <c r="J494" s="144">
        <v>45333.0</v>
      </c>
      <c r="K494" s="145">
        <v>6892.440319061279</v>
      </c>
      <c r="L494" s="114" t="s">
        <v>137</v>
      </c>
      <c r="M494" s="114" t="s">
        <v>138</v>
      </c>
      <c r="N494" s="108"/>
      <c r="O494" s="108"/>
      <c r="P494" s="108"/>
      <c r="Q494" s="108"/>
      <c r="R494" s="108" t="str">
        <f t="shared" si="1"/>
        <v>2024</v>
      </c>
      <c r="S494" s="110">
        <f t="shared" si="2"/>
        <v>2</v>
      </c>
      <c r="T494" s="108" t="str">
        <f t="shared" si="3"/>
        <v>2024-Q1</v>
      </c>
      <c r="U494" s="108" t="str">
        <f t="shared" si="4"/>
        <v>2024-02</v>
      </c>
      <c r="V494" s="112" t="str">
        <f t="shared" si="5"/>
        <v>2024-H1</v>
      </c>
      <c r="W494" s="112"/>
    </row>
    <row r="495">
      <c r="A495" s="146">
        <f>HYPERLINK("https://polkadot.subsquare.io/referenda/487", 487)</f>
        <v>487</v>
      </c>
      <c r="B495" s="147" t="s">
        <v>2936</v>
      </c>
      <c r="C495" s="147" t="s">
        <v>2681</v>
      </c>
      <c r="D495" s="148">
        <v>0.0</v>
      </c>
      <c r="E495" s="149">
        <v>0.0</v>
      </c>
      <c r="F495" s="147" t="s">
        <v>2687</v>
      </c>
      <c r="G495" s="150">
        <v>3.2613245069945853E7</v>
      </c>
      <c r="H495" s="150">
        <v>2013647.7668576494</v>
      </c>
      <c r="I495" s="151">
        <v>45331.0</v>
      </c>
      <c r="J495" s="151">
        <v>45380.0</v>
      </c>
      <c r="K495" s="152">
        <v>0.0</v>
      </c>
      <c r="L495" s="117"/>
      <c r="M495" s="117"/>
      <c r="N495" s="153"/>
      <c r="O495" s="153"/>
      <c r="P495" s="153"/>
      <c r="Q495" s="153"/>
      <c r="R495" s="153" t="str">
        <f t="shared" si="1"/>
        <v>2024</v>
      </c>
      <c r="S495" s="154">
        <f t="shared" si="2"/>
        <v>3</v>
      </c>
      <c r="T495" s="153" t="str">
        <f t="shared" si="3"/>
        <v>2024-Q1</v>
      </c>
      <c r="U495" s="153" t="str">
        <f t="shared" si="4"/>
        <v>2024-03</v>
      </c>
      <c r="V495" s="155" t="str">
        <f t="shared" si="5"/>
        <v>2024-H1</v>
      </c>
      <c r="W495" s="155"/>
    </row>
    <row r="496">
      <c r="A496" s="139">
        <f>HYPERLINK("https://polkadot.subsquare.io/referenda/488", 488)</f>
        <v>488</v>
      </c>
      <c r="B496" s="140" t="s">
        <v>2937</v>
      </c>
      <c r="C496" s="140" t="s">
        <v>2681</v>
      </c>
      <c r="D496" s="141">
        <v>100000.0</v>
      </c>
      <c r="E496" s="142">
        <v>734606.3137054443</v>
      </c>
      <c r="F496" s="140" t="s">
        <v>2683</v>
      </c>
      <c r="G496" s="143">
        <v>7.606264303949694E7</v>
      </c>
      <c r="H496" s="143">
        <v>1.9163197123316977E7</v>
      </c>
      <c r="I496" s="144">
        <v>45331.0</v>
      </c>
      <c r="J496" s="144">
        <v>45348.0</v>
      </c>
      <c r="K496" s="145">
        <v>825502.4909973145</v>
      </c>
      <c r="L496" s="114"/>
      <c r="M496" s="114"/>
      <c r="N496" s="108" t="s">
        <v>2654</v>
      </c>
      <c r="O496" s="108" t="s">
        <v>2654</v>
      </c>
      <c r="P496" s="108" t="s">
        <v>2654</v>
      </c>
      <c r="Q496" s="108"/>
      <c r="R496" s="108" t="str">
        <f t="shared" si="1"/>
        <v>2024</v>
      </c>
      <c r="S496" s="110">
        <f t="shared" si="2"/>
        <v>2</v>
      </c>
      <c r="T496" s="108" t="str">
        <f t="shared" si="3"/>
        <v>2024-Q1</v>
      </c>
      <c r="U496" s="108" t="str">
        <f t="shared" si="4"/>
        <v>2024-02</v>
      </c>
      <c r="V496" s="112" t="str">
        <f t="shared" si="5"/>
        <v>2024-H1</v>
      </c>
      <c r="W496" s="112"/>
    </row>
    <row r="497">
      <c r="A497" s="146">
        <f>HYPERLINK("https://polkadot.subsquare.io/referenda/489", 489)</f>
        <v>489</v>
      </c>
      <c r="B497" s="147" t="s">
        <v>2938</v>
      </c>
      <c r="C497" s="147" t="s">
        <v>2681</v>
      </c>
      <c r="D497" s="148">
        <v>0.0</v>
      </c>
      <c r="E497" s="149">
        <v>0.0</v>
      </c>
      <c r="F497" s="147" t="s">
        <v>2682</v>
      </c>
      <c r="G497" s="150">
        <v>9.644876906770921E7</v>
      </c>
      <c r="H497" s="150">
        <v>10.0</v>
      </c>
      <c r="I497" s="151">
        <v>45332.0</v>
      </c>
      <c r="J497" s="151">
        <v>45345.0</v>
      </c>
      <c r="K497" s="152">
        <v>0.0</v>
      </c>
      <c r="L497" s="117"/>
      <c r="M497" s="117"/>
      <c r="N497" s="153"/>
      <c r="O497" s="153"/>
      <c r="P497" s="153"/>
      <c r="Q497" s="153"/>
      <c r="R497" s="153" t="str">
        <f t="shared" si="1"/>
        <v>2024</v>
      </c>
      <c r="S497" s="154">
        <f t="shared" si="2"/>
        <v>2</v>
      </c>
      <c r="T497" s="153" t="str">
        <f t="shared" si="3"/>
        <v>2024-Q1</v>
      </c>
      <c r="U497" s="153" t="str">
        <f t="shared" si="4"/>
        <v>2024-02</v>
      </c>
      <c r="V497" s="155" t="str">
        <f t="shared" si="5"/>
        <v>2024-H1</v>
      </c>
      <c r="W497" s="155"/>
    </row>
    <row r="498">
      <c r="A498" s="139">
        <f>HYPERLINK("https://polkadot.subsquare.io/referenda/490", 490)</f>
        <v>490</v>
      </c>
      <c r="B498" s="140" t="s">
        <v>391</v>
      </c>
      <c r="C498" s="140" t="s">
        <v>2681</v>
      </c>
      <c r="D498" s="141">
        <v>20000.0</v>
      </c>
      <c r="E498" s="142">
        <v>146921.26274108887</v>
      </c>
      <c r="F498" s="140" t="s">
        <v>2683</v>
      </c>
      <c r="G498" s="143">
        <v>6.227270645543522E7</v>
      </c>
      <c r="H498" s="143">
        <v>6473991.74966195</v>
      </c>
      <c r="I498" s="144">
        <v>45332.0</v>
      </c>
      <c r="J498" s="144">
        <v>45352.0</v>
      </c>
      <c r="K498" s="145">
        <v>198223.41918945312</v>
      </c>
      <c r="L498" s="114" t="s">
        <v>82</v>
      </c>
      <c r="M498" s="114" t="s">
        <v>150</v>
      </c>
      <c r="N498" s="108"/>
      <c r="O498" s="108"/>
      <c r="P498" s="108"/>
      <c r="Q498" s="108"/>
      <c r="R498" s="108" t="str">
        <f t="shared" si="1"/>
        <v>2024</v>
      </c>
      <c r="S498" s="110">
        <f t="shared" si="2"/>
        <v>3</v>
      </c>
      <c r="T498" s="108" t="str">
        <f t="shared" si="3"/>
        <v>2024-Q1</v>
      </c>
      <c r="U498" s="108" t="str">
        <f t="shared" si="4"/>
        <v>2024-03</v>
      </c>
      <c r="V498" s="112" t="str">
        <f t="shared" si="5"/>
        <v>2024-H1</v>
      </c>
      <c r="W498" s="112"/>
    </row>
    <row r="499">
      <c r="A499" s="146">
        <f>HYPERLINK("https://polkadot.subsquare.io/referenda/491", 491)</f>
        <v>491</v>
      </c>
      <c r="B499" s="147" t="s">
        <v>392</v>
      </c>
      <c r="C499" s="147" t="s">
        <v>2681</v>
      </c>
      <c r="D499" s="148">
        <v>969.0</v>
      </c>
      <c r="E499" s="149">
        <v>7118.335179805756</v>
      </c>
      <c r="F499" s="147" t="s">
        <v>2699</v>
      </c>
      <c r="G499" s="150">
        <v>2590503.6868194886</v>
      </c>
      <c r="H499" s="150">
        <v>923801.0892759097</v>
      </c>
      <c r="I499" s="151">
        <v>45332.0</v>
      </c>
      <c r="J499" s="151">
        <v>45337.0</v>
      </c>
      <c r="K499" s="152">
        <v>7465.518841266632</v>
      </c>
      <c r="L499" s="117" t="s">
        <v>137</v>
      </c>
      <c r="M499" s="117" t="s">
        <v>323</v>
      </c>
      <c r="N499" s="153"/>
      <c r="O499" s="153"/>
      <c r="P499" s="153"/>
      <c r="Q499" s="153"/>
      <c r="R499" s="153" t="str">
        <f t="shared" si="1"/>
        <v>2024</v>
      </c>
      <c r="S499" s="154">
        <f t="shared" si="2"/>
        <v>2</v>
      </c>
      <c r="T499" s="153" t="str">
        <f t="shared" si="3"/>
        <v>2024-Q1</v>
      </c>
      <c r="U499" s="153" t="str">
        <f t="shared" si="4"/>
        <v>2024-02</v>
      </c>
      <c r="V499" s="155" t="str">
        <f t="shared" si="5"/>
        <v>2024-H1</v>
      </c>
      <c r="W499" s="155"/>
    </row>
    <row r="500">
      <c r="A500" s="139">
        <f>HYPERLINK("https://polkadot.subsquare.io/referenda/492", 492)</f>
        <v>492</v>
      </c>
      <c r="B500" s="140" t="s">
        <v>393</v>
      </c>
      <c r="C500" s="140" t="s">
        <v>2681</v>
      </c>
      <c r="D500" s="141">
        <v>54121.0</v>
      </c>
      <c r="E500" s="142">
        <v>398489.30549144745</v>
      </c>
      <c r="F500" s="140" t="s">
        <v>2683</v>
      </c>
      <c r="G500" s="143">
        <v>6.224676456649029E7</v>
      </c>
      <c r="H500" s="143">
        <v>1.94587240199342E7</v>
      </c>
      <c r="I500" s="144">
        <v>45332.0</v>
      </c>
      <c r="J500" s="144">
        <v>45358.0</v>
      </c>
      <c r="K500" s="145">
        <v>556299.6579713821</v>
      </c>
      <c r="L500" s="114" t="s">
        <v>137</v>
      </c>
      <c r="M500" s="114" t="s">
        <v>266</v>
      </c>
      <c r="N500" s="108"/>
      <c r="O500" s="108"/>
      <c r="P500" s="108"/>
      <c r="Q500" s="108"/>
      <c r="R500" s="108" t="str">
        <f t="shared" si="1"/>
        <v>2024</v>
      </c>
      <c r="S500" s="110">
        <f t="shared" si="2"/>
        <v>3</v>
      </c>
      <c r="T500" s="108" t="str">
        <f t="shared" si="3"/>
        <v>2024-Q1</v>
      </c>
      <c r="U500" s="108" t="str">
        <f t="shared" si="4"/>
        <v>2024-03</v>
      </c>
      <c r="V500" s="112" t="str">
        <f t="shared" si="5"/>
        <v>2024-H1</v>
      </c>
      <c r="W500" s="112"/>
    </row>
    <row r="501">
      <c r="A501" s="146">
        <f>HYPERLINK("https://polkadot.subsquare.io/referenda/493", 493)</f>
        <v>493</v>
      </c>
      <c r="B501" s="147" t="s">
        <v>394</v>
      </c>
      <c r="C501" s="147" t="s">
        <v>2681</v>
      </c>
      <c r="D501" s="148">
        <v>28761.0</v>
      </c>
      <c r="E501" s="149">
        <v>211765.32058238983</v>
      </c>
      <c r="F501" s="147" t="s">
        <v>2683</v>
      </c>
      <c r="G501" s="150">
        <v>6.2276848443343E7</v>
      </c>
      <c r="H501" s="150">
        <v>478701.3205915881</v>
      </c>
      <c r="I501" s="151">
        <v>45332.0</v>
      </c>
      <c r="J501" s="151">
        <v>45359.0</v>
      </c>
      <c r="K501" s="152">
        <v>317417.2375488281</v>
      </c>
      <c r="L501" s="117" t="s">
        <v>81</v>
      </c>
      <c r="M501" s="117" t="s">
        <v>331</v>
      </c>
      <c r="N501" s="153"/>
      <c r="O501" s="153"/>
      <c r="P501" s="153"/>
      <c r="Q501" s="153"/>
      <c r="R501" s="153" t="str">
        <f t="shared" si="1"/>
        <v>2024</v>
      </c>
      <c r="S501" s="154">
        <f t="shared" si="2"/>
        <v>3</v>
      </c>
      <c r="T501" s="153" t="str">
        <f t="shared" si="3"/>
        <v>2024-Q1</v>
      </c>
      <c r="U501" s="153" t="str">
        <f t="shared" si="4"/>
        <v>2024-03</v>
      </c>
      <c r="V501" s="155" t="str">
        <f t="shared" si="5"/>
        <v>2024-H1</v>
      </c>
      <c r="W501" s="155"/>
    </row>
    <row r="502">
      <c r="A502" s="139">
        <f>HYPERLINK("https://polkadot.subsquare.io/referenda/494", 494)</f>
        <v>494</v>
      </c>
      <c r="B502" s="140" t="s">
        <v>395</v>
      </c>
      <c r="C502" s="140" t="s">
        <v>2681</v>
      </c>
      <c r="D502" s="141">
        <v>65178.0</v>
      </c>
      <c r="E502" s="142">
        <v>479901.2574291229</v>
      </c>
      <c r="F502" s="140" t="s">
        <v>2683</v>
      </c>
      <c r="G502" s="143">
        <v>4.337411657282051E7</v>
      </c>
      <c r="H502" s="143">
        <v>6865133.212528083</v>
      </c>
      <c r="I502" s="144">
        <v>45333.0</v>
      </c>
      <c r="J502" s="144">
        <v>45354.0</v>
      </c>
      <c r="K502" s="145">
        <v>685296.2817649841</v>
      </c>
      <c r="L502" s="114" t="s">
        <v>85</v>
      </c>
      <c r="M502" s="114" t="s">
        <v>185</v>
      </c>
      <c r="N502" s="108"/>
      <c r="O502" s="108"/>
      <c r="P502" s="108"/>
      <c r="Q502" s="108"/>
      <c r="R502" s="108" t="str">
        <f t="shared" si="1"/>
        <v>2024</v>
      </c>
      <c r="S502" s="110">
        <f t="shared" si="2"/>
        <v>3</v>
      </c>
      <c r="T502" s="108" t="str">
        <f t="shared" si="3"/>
        <v>2024-Q1</v>
      </c>
      <c r="U502" s="108" t="str">
        <f t="shared" si="4"/>
        <v>2024-03</v>
      </c>
      <c r="V502" s="112" t="str">
        <f t="shared" si="5"/>
        <v>2024-H1</v>
      </c>
      <c r="W502" s="112"/>
    </row>
    <row r="503">
      <c r="A503" s="146">
        <f>HYPERLINK("https://polkadot.subsquare.io/referenda/495", 495)</f>
        <v>495</v>
      </c>
      <c r="B503" s="147" t="s">
        <v>2939</v>
      </c>
      <c r="C503" s="147" t="s">
        <v>2672</v>
      </c>
      <c r="D503" s="148">
        <v>41242.84</v>
      </c>
      <c r="E503" s="149">
        <v>315848.6814317703</v>
      </c>
      <c r="F503" s="147" t="s">
        <v>2683</v>
      </c>
      <c r="G503" s="150">
        <v>571976.729612511</v>
      </c>
      <c r="H503" s="150">
        <v>8.353008094237557E7</v>
      </c>
      <c r="I503" s="151">
        <v>45333.0</v>
      </c>
      <c r="J503" s="151">
        <v>45362.0</v>
      </c>
      <c r="K503" s="152">
        <v>466913.5783029556</v>
      </c>
      <c r="L503" s="117"/>
      <c r="M503" s="117"/>
      <c r="N503" s="153"/>
      <c r="O503" s="153"/>
      <c r="P503" s="153"/>
      <c r="Q503" s="153"/>
      <c r="R503" s="153" t="str">
        <f t="shared" si="1"/>
        <v>2024</v>
      </c>
      <c r="S503" s="154">
        <f t="shared" si="2"/>
        <v>3</v>
      </c>
      <c r="T503" s="153" t="str">
        <f t="shared" si="3"/>
        <v>2024-Q1</v>
      </c>
      <c r="U503" s="153" t="str">
        <f t="shared" si="4"/>
        <v>2024-03</v>
      </c>
      <c r="V503" s="155" t="str">
        <f t="shared" si="5"/>
        <v>2024-H1</v>
      </c>
      <c r="W503" s="155"/>
    </row>
    <row r="504">
      <c r="A504" s="139">
        <f>HYPERLINK("https://polkadot.subsquare.io/referenda/496", 496)</f>
        <v>496</v>
      </c>
      <c r="B504" s="140" t="s">
        <v>396</v>
      </c>
      <c r="C504" s="140" t="s">
        <v>2681</v>
      </c>
      <c r="D504" s="141">
        <v>5000.0</v>
      </c>
      <c r="E504" s="142">
        <v>38291.335105895996</v>
      </c>
      <c r="F504" s="140" t="s">
        <v>2678</v>
      </c>
      <c r="G504" s="143">
        <v>2.5419753158659376E7</v>
      </c>
      <c r="H504" s="143">
        <v>1.7126203405532666E7</v>
      </c>
      <c r="I504" s="144">
        <v>45333.0</v>
      </c>
      <c r="J504" s="144">
        <v>45364.0</v>
      </c>
      <c r="K504" s="145">
        <v>54191.81823730469</v>
      </c>
      <c r="L504" s="114" t="s">
        <v>81</v>
      </c>
      <c r="M504" s="114" t="s">
        <v>179</v>
      </c>
      <c r="N504" s="108"/>
      <c r="O504" s="108"/>
      <c r="P504" s="108"/>
      <c r="Q504" s="108"/>
      <c r="R504" s="108" t="str">
        <f t="shared" si="1"/>
        <v>2024</v>
      </c>
      <c r="S504" s="110">
        <f t="shared" si="2"/>
        <v>3</v>
      </c>
      <c r="T504" s="108" t="str">
        <f t="shared" si="3"/>
        <v>2024-Q1</v>
      </c>
      <c r="U504" s="108" t="str">
        <f t="shared" si="4"/>
        <v>2024-03</v>
      </c>
      <c r="V504" s="112" t="str">
        <f t="shared" si="5"/>
        <v>2024-H1</v>
      </c>
      <c r="W504" s="112"/>
    </row>
    <row r="505">
      <c r="A505" s="146">
        <f>HYPERLINK("https://polkadot.subsquare.io/referenda/497", 497)</f>
        <v>497</v>
      </c>
      <c r="B505" s="147" t="s">
        <v>2940</v>
      </c>
      <c r="C505" s="147" t="s">
        <v>2672</v>
      </c>
      <c r="D505" s="148">
        <v>0.0</v>
      </c>
      <c r="E505" s="149">
        <v>0.0</v>
      </c>
      <c r="F505" s="147" t="s">
        <v>2683</v>
      </c>
      <c r="G505" s="150">
        <v>231496.3877401491</v>
      </c>
      <c r="H505" s="150">
        <v>2.5237916481943272E7</v>
      </c>
      <c r="I505" s="151">
        <v>45333.0</v>
      </c>
      <c r="J505" s="151">
        <v>45362.0</v>
      </c>
      <c r="K505" s="152">
        <v>0.0</v>
      </c>
      <c r="L505" s="117"/>
      <c r="M505" s="117"/>
      <c r="N505" s="153"/>
      <c r="O505" s="153"/>
      <c r="P505" s="153"/>
      <c r="Q505" s="153"/>
      <c r="R505" s="153" t="str">
        <f t="shared" si="1"/>
        <v>2024</v>
      </c>
      <c r="S505" s="154">
        <f t="shared" si="2"/>
        <v>3</v>
      </c>
      <c r="T505" s="153" t="str">
        <f t="shared" si="3"/>
        <v>2024-Q1</v>
      </c>
      <c r="U505" s="153" t="str">
        <f t="shared" si="4"/>
        <v>2024-03</v>
      </c>
      <c r="V505" s="155" t="str">
        <f t="shared" si="5"/>
        <v>2024-H1</v>
      </c>
      <c r="W505" s="158" t="s">
        <v>2654</v>
      </c>
    </row>
    <row r="506">
      <c r="A506" s="139">
        <f>HYPERLINK("https://polkadot.subsquare.io/referenda/498", 498)</f>
        <v>498</v>
      </c>
      <c r="B506" s="140" t="s">
        <v>2941</v>
      </c>
      <c r="C506" s="140" t="s">
        <v>2691</v>
      </c>
      <c r="D506" s="141">
        <v>50000.0</v>
      </c>
      <c r="E506" s="142">
        <v>382913.35105895996</v>
      </c>
      <c r="F506" s="140" t="s">
        <v>2683</v>
      </c>
      <c r="G506" s="143">
        <v>6143539.839719509</v>
      </c>
      <c r="H506" s="143">
        <v>4.145631963572467E7</v>
      </c>
      <c r="I506" s="144">
        <v>45334.0</v>
      </c>
      <c r="J506" s="144">
        <v>45348.0</v>
      </c>
      <c r="K506" s="145">
        <v>417130.9471130371</v>
      </c>
      <c r="L506" s="114"/>
      <c r="M506" s="114"/>
      <c r="N506" s="108"/>
      <c r="O506" s="108"/>
      <c r="P506" s="108"/>
      <c r="Q506" s="108"/>
      <c r="R506" s="108" t="str">
        <f t="shared" si="1"/>
        <v>2024</v>
      </c>
      <c r="S506" s="110">
        <f t="shared" si="2"/>
        <v>2</v>
      </c>
      <c r="T506" s="108" t="str">
        <f t="shared" si="3"/>
        <v>2024-Q1</v>
      </c>
      <c r="U506" s="108" t="str">
        <f t="shared" si="4"/>
        <v>2024-02</v>
      </c>
      <c r="V506" s="112" t="str">
        <f t="shared" si="5"/>
        <v>2024-H1</v>
      </c>
      <c r="W506" s="112"/>
    </row>
    <row r="507">
      <c r="A507" s="146">
        <f>HYPERLINK("https://polkadot.subsquare.io/referenda/499", 499)</f>
        <v>499</v>
      </c>
      <c r="B507" s="147" t="s">
        <v>397</v>
      </c>
      <c r="C507" s="147" t="s">
        <v>2681</v>
      </c>
      <c r="D507" s="148">
        <v>30000.0</v>
      </c>
      <c r="E507" s="149">
        <v>233341.62712097168</v>
      </c>
      <c r="F507" s="147" t="s">
        <v>2683</v>
      </c>
      <c r="G507" s="150">
        <v>4.3595244972515054E7</v>
      </c>
      <c r="H507" s="150">
        <v>2.530140256368919E7</v>
      </c>
      <c r="I507" s="151">
        <v>45334.0</v>
      </c>
      <c r="J507" s="151">
        <v>45359.0</v>
      </c>
      <c r="K507" s="152">
        <v>331091.30859375</v>
      </c>
      <c r="L507" s="117" t="s">
        <v>137</v>
      </c>
      <c r="M507" s="117" t="s">
        <v>254</v>
      </c>
      <c r="N507" s="153"/>
      <c r="O507" s="153"/>
      <c r="P507" s="153"/>
      <c r="Q507" s="153"/>
      <c r="R507" s="153" t="str">
        <f t="shared" si="1"/>
        <v>2024</v>
      </c>
      <c r="S507" s="154">
        <f t="shared" si="2"/>
        <v>3</v>
      </c>
      <c r="T507" s="153" t="str">
        <f t="shared" si="3"/>
        <v>2024-Q1</v>
      </c>
      <c r="U507" s="153" t="str">
        <f t="shared" si="4"/>
        <v>2024-03</v>
      </c>
      <c r="V507" s="155" t="str">
        <f t="shared" si="5"/>
        <v>2024-H1</v>
      </c>
      <c r="W507" s="155"/>
    </row>
    <row r="508">
      <c r="A508" s="139">
        <f>HYPERLINK("https://polkadot.subsquare.io/referenda/500", 500)</f>
        <v>500</v>
      </c>
      <c r="B508" s="140" t="s">
        <v>2942</v>
      </c>
      <c r="C508" s="140" t="s">
        <v>2672</v>
      </c>
      <c r="D508" s="141">
        <v>44032.0</v>
      </c>
      <c r="E508" s="142">
        <v>342483.2841796875</v>
      </c>
      <c r="F508" s="140" t="s">
        <v>2683</v>
      </c>
      <c r="G508" s="143">
        <v>6168691.171117416</v>
      </c>
      <c r="H508" s="143">
        <v>1.9102702390154615E7</v>
      </c>
      <c r="I508" s="144">
        <v>45334.0</v>
      </c>
      <c r="J508" s="144">
        <v>45362.0</v>
      </c>
      <c r="K508" s="145">
        <v>508257.060546875</v>
      </c>
      <c r="L508" s="114"/>
      <c r="M508" s="114"/>
      <c r="N508" s="108"/>
      <c r="O508" s="108"/>
      <c r="P508" s="108"/>
      <c r="Q508" s="108"/>
      <c r="R508" s="108" t="str">
        <f t="shared" si="1"/>
        <v>2024</v>
      </c>
      <c r="S508" s="110">
        <f t="shared" si="2"/>
        <v>3</v>
      </c>
      <c r="T508" s="108" t="str">
        <f t="shared" si="3"/>
        <v>2024-Q1</v>
      </c>
      <c r="U508" s="108" t="str">
        <f t="shared" si="4"/>
        <v>2024-03</v>
      </c>
      <c r="V508" s="112" t="str">
        <f t="shared" si="5"/>
        <v>2024-H1</v>
      </c>
      <c r="W508" s="112"/>
    </row>
    <row r="509">
      <c r="A509" s="146">
        <f>HYPERLINK("https://polkadot.subsquare.io/referenda/501", 501)</f>
        <v>501</v>
      </c>
      <c r="B509" s="147" t="s">
        <v>2943</v>
      </c>
      <c r="C509" s="147" t="s">
        <v>2672</v>
      </c>
      <c r="D509" s="148">
        <v>1000.0</v>
      </c>
      <c r="E509" s="149">
        <v>7778.054237365723</v>
      </c>
      <c r="F509" s="147" t="s">
        <v>2699</v>
      </c>
      <c r="G509" s="150">
        <v>2676.5</v>
      </c>
      <c r="H509" s="150">
        <v>3179159.277383572</v>
      </c>
      <c r="I509" s="151">
        <v>45334.0</v>
      </c>
      <c r="J509" s="151">
        <v>45342.0</v>
      </c>
      <c r="K509" s="152">
        <v>7563.416004180908</v>
      </c>
      <c r="L509" s="117"/>
      <c r="M509" s="117"/>
      <c r="N509" s="153"/>
      <c r="O509" s="153"/>
      <c r="P509" s="153"/>
      <c r="Q509" s="153"/>
      <c r="R509" s="153" t="str">
        <f t="shared" si="1"/>
        <v>2024</v>
      </c>
      <c r="S509" s="154">
        <f t="shared" si="2"/>
        <v>2</v>
      </c>
      <c r="T509" s="153" t="str">
        <f t="shared" si="3"/>
        <v>2024-Q1</v>
      </c>
      <c r="U509" s="153" t="str">
        <f t="shared" si="4"/>
        <v>2024-02</v>
      </c>
      <c r="V509" s="155" t="str">
        <f t="shared" si="5"/>
        <v>2024-H1</v>
      </c>
      <c r="W509" s="155"/>
    </row>
    <row r="510">
      <c r="A510" s="139">
        <f>HYPERLINK("https://polkadot.subsquare.io/referenda/502", 502)</f>
        <v>502</v>
      </c>
      <c r="B510" s="140" t="s">
        <v>398</v>
      </c>
      <c r="C510" s="140" t="s">
        <v>2681</v>
      </c>
      <c r="D510" s="141">
        <v>93962.490651</v>
      </c>
      <c r="E510" s="142">
        <v>730845.3485614477</v>
      </c>
      <c r="F510" s="140" t="s">
        <v>2683</v>
      </c>
      <c r="G510" s="143">
        <v>3.6828302610091045E7</v>
      </c>
      <c r="H510" s="143">
        <v>1165682.6549713127</v>
      </c>
      <c r="I510" s="144">
        <v>45334.0</v>
      </c>
      <c r="J510" s="144">
        <v>45359.0</v>
      </c>
      <c r="K510" s="145">
        <v>1037005.4662789197</v>
      </c>
      <c r="L510" s="114" t="s">
        <v>81</v>
      </c>
      <c r="M510" s="114" t="s">
        <v>148</v>
      </c>
      <c r="N510" s="108"/>
      <c r="O510" s="108"/>
      <c r="P510" s="108"/>
      <c r="Q510" s="108"/>
      <c r="R510" s="108" t="str">
        <f t="shared" si="1"/>
        <v>2024</v>
      </c>
      <c r="S510" s="110">
        <f t="shared" si="2"/>
        <v>3</v>
      </c>
      <c r="T510" s="108" t="str">
        <f t="shared" si="3"/>
        <v>2024-Q1</v>
      </c>
      <c r="U510" s="108" t="str">
        <f t="shared" si="4"/>
        <v>2024-03</v>
      </c>
      <c r="V510" s="112" t="str">
        <f t="shared" si="5"/>
        <v>2024-H1</v>
      </c>
      <c r="W510" s="112"/>
    </row>
    <row r="511">
      <c r="A511" s="146">
        <f>HYPERLINK("https://polkadot.subsquare.io/referenda/503", 503)</f>
        <v>503</v>
      </c>
      <c r="B511" s="147" t="s">
        <v>399</v>
      </c>
      <c r="C511" s="147" t="s">
        <v>2681</v>
      </c>
      <c r="D511" s="148">
        <v>52090.67</v>
      </c>
      <c r="E511" s="149">
        <v>398888.56686387537</v>
      </c>
      <c r="F511" s="147" t="s">
        <v>2683</v>
      </c>
      <c r="G511" s="150">
        <v>5.031454435451154E7</v>
      </c>
      <c r="H511" s="150">
        <v>6652881.660531809</v>
      </c>
      <c r="I511" s="151">
        <v>45335.0</v>
      </c>
      <c r="J511" s="151">
        <v>45359.0</v>
      </c>
      <c r="K511" s="152">
        <v>574892.2698608398</v>
      </c>
      <c r="L511" s="117" t="s">
        <v>82</v>
      </c>
      <c r="M511" s="117" t="s">
        <v>150</v>
      </c>
      <c r="N511" s="153"/>
      <c r="O511" s="153"/>
      <c r="P511" s="153"/>
      <c r="Q511" s="153"/>
      <c r="R511" s="153" t="str">
        <f t="shared" si="1"/>
        <v>2024</v>
      </c>
      <c r="S511" s="154">
        <f t="shared" si="2"/>
        <v>3</v>
      </c>
      <c r="T511" s="153" t="str">
        <f t="shared" si="3"/>
        <v>2024-Q1</v>
      </c>
      <c r="U511" s="153" t="str">
        <f t="shared" si="4"/>
        <v>2024-03</v>
      </c>
      <c r="V511" s="155" t="str">
        <f t="shared" si="5"/>
        <v>2024-H1</v>
      </c>
      <c r="W511" s="155"/>
    </row>
    <row r="512">
      <c r="A512" s="139">
        <f>HYPERLINK("https://polkadot.subsquare.io/referenda/504", 504)</f>
        <v>504</v>
      </c>
      <c r="B512" s="140" t="s">
        <v>400</v>
      </c>
      <c r="C512" s="140" t="s">
        <v>2681</v>
      </c>
      <c r="D512" s="141">
        <v>217.2437202987</v>
      </c>
      <c r="E512" s="142">
        <v>1663.5615600668034</v>
      </c>
      <c r="F512" s="140" t="s">
        <v>186</v>
      </c>
      <c r="G512" s="143">
        <v>2741623.0037323334</v>
      </c>
      <c r="H512" s="143">
        <v>348274.9235388797</v>
      </c>
      <c r="I512" s="144">
        <v>45335.0</v>
      </c>
      <c r="J512" s="144">
        <v>45338.0</v>
      </c>
      <c r="K512" s="145">
        <v>1744.283454724015</v>
      </c>
      <c r="L512" s="114" t="s">
        <v>81</v>
      </c>
      <c r="M512" s="114" t="s">
        <v>148</v>
      </c>
      <c r="N512" s="108"/>
      <c r="O512" s="108"/>
      <c r="P512" s="108"/>
      <c r="Q512" s="108"/>
      <c r="R512" s="108" t="str">
        <f t="shared" si="1"/>
        <v>2024</v>
      </c>
      <c r="S512" s="110">
        <f t="shared" si="2"/>
        <v>2</v>
      </c>
      <c r="T512" s="108" t="str">
        <f t="shared" si="3"/>
        <v>2024-Q1</v>
      </c>
      <c r="U512" s="108" t="str">
        <f t="shared" si="4"/>
        <v>2024-02</v>
      </c>
      <c r="V512" s="112" t="str">
        <f t="shared" si="5"/>
        <v>2024-H1</v>
      </c>
      <c r="W512" s="112"/>
    </row>
    <row r="513">
      <c r="A513" s="146">
        <f>HYPERLINK("https://polkadot.subsquare.io/referenda/505", 505)</f>
        <v>505</v>
      </c>
      <c r="B513" s="147" t="s">
        <v>2944</v>
      </c>
      <c r="C513" s="147" t="s">
        <v>2681</v>
      </c>
      <c r="D513" s="148">
        <v>0.0</v>
      </c>
      <c r="E513" s="149">
        <v>0.0</v>
      </c>
      <c r="F513" s="147" t="s">
        <v>2682</v>
      </c>
      <c r="G513" s="150">
        <v>4.06685615959131E7</v>
      </c>
      <c r="H513" s="150">
        <v>10.0</v>
      </c>
      <c r="I513" s="151">
        <v>45336.0</v>
      </c>
      <c r="J513" s="151">
        <v>45355.0</v>
      </c>
      <c r="K513" s="152">
        <v>0.0</v>
      </c>
      <c r="L513" s="117"/>
      <c r="M513" s="117"/>
      <c r="N513" s="153"/>
      <c r="O513" s="153"/>
      <c r="P513" s="153"/>
      <c r="Q513" s="153"/>
      <c r="R513" s="153" t="str">
        <f t="shared" si="1"/>
        <v>2024</v>
      </c>
      <c r="S513" s="154">
        <f t="shared" si="2"/>
        <v>3</v>
      </c>
      <c r="T513" s="153" t="str">
        <f t="shared" si="3"/>
        <v>2024-Q1</v>
      </c>
      <c r="U513" s="153" t="str">
        <f t="shared" si="4"/>
        <v>2024-03</v>
      </c>
      <c r="V513" s="155" t="str">
        <f t="shared" si="5"/>
        <v>2024-H1</v>
      </c>
      <c r="W513" s="155"/>
    </row>
    <row r="514">
      <c r="A514" s="139">
        <f>HYPERLINK("https://polkadot.subsquare.io/referenda/506", 506)</f>
        <v>506</v>
      </c>
      <c r="B514" s="140" t="s">
        <v>401</v>
      </c>
      <c r="C514" s="140" t="s">
        <v>2681</v>
      </c>
      <c r="D514" s="141">
        <v>50000.0</v>
      </c>
      <c r="E514" s="142">
        <v>385217.6904678345</v>
      </c>
      <c r="F514" s="140" t="s">
        <v>2683</v>
      </c>
      <c r="G514" s="143">
        <v>6.622422831225044E7</v>
      </c>
      <c r="H514" s="143">
        <v>1.8293311336277544E7</v>
      </c>
      <c r="I514" s="144">
        <v>45336.0</v>
      </c>
      <c r="J514" s="144">
        <v>45360.0</v>
      </c>
      <c r="K514" s="145">
        <v>536331.2721252441</v>
      </c>
      <c r="L514" s="114" t="s">
        <v>137</v>
      </c>
      <c r="M514" s="114" t="s">
        <v>243</v>
      </c>
      <c r="N514" s="108"/>
      <c r="O514" s="108"/>
      <c r="P514" s="108"/>
      <c r="Q514" s="108"/>
      <c r="R514" s="108" t="str">
        <f t="shared" si="1"/>
        <v>2024</v>
      </c>
      <c r="S514" s="110">
        <f t="shared" si="2"/>
        <v>3</v>
      </c>
      <c r="T514" s="108" t="str">
        <f t="shared" si="3"/>
        <v>2024-Q1</v>
      </c>
      <c r="U514" s="108" t="str">
        <f t="shared" si="4"/>
        <v>2024-03</v>
      </c>
      <c r="V514" s="112" t="str">
        <f t="shared" si="5"/>
        <v>2024-H1</v>
      </c>
      <c r="W514" s="112"/>
    </row>
    <row r="515">
      <c r="A515" s="146">
        <f>HYPERLINK("https://polkadot.subsquare.io/referenda/507", 507)</f>
        <v>507</v>
      </c>
      <c r="B515" s="147" t="s">
        <v>2945</v>
      </c>
      <c r="C515" s="147" t="s">
        <v>2672</v>
      </c>
      <c r="D515" s="148">
        <v>310930.0</v>
      </c>
      <c r="E515" s="149">
        <v>2395514.7299432755</v>
      </c>
      <c r="F515" s="147" t="s">
        <v>2676</v>
      </c>
      <c r="G515" s="150">
        <v>1.6979236869608227E7</v>
      </c>
      <c r="H515" s="150">
        <v>3.98226767309893E7</v>
      </c>
      <c r="I515" s="151">
        <v>45336.0</v>
      </c>
      <c r="J515" s="151">
        <v>45367.0</v>
      </c>
      <c r="K515" s="152">
        <v>2725102.2913074493</v>
      </c>
      <c r="L515" s="117"/>
      <c r="M515" s="117"/>
      <c r="N515" s="153"/>
      <c r="O515" s="153"/>
      <c r="P515" s="153"/>
      <c r="Q515" s="153"/>
      <c r="R515" s="153" t="str">
        <f t="shared" si="1"/>
        <v>2024</v>
      </c>
      <c r="S515" s="154">
        <f t="shared" si="2"/>
        <v>3</v>
      </c>
      <c r="T515" s="153" t="str">
        <f t="shared" si="3"/>
        <v>2024-Q1</v>
      </c>
      <c r="U515" s="153" t="str">
        <f t="shared" si="4"/>
        <v>2024-03</v>
      </c>
      <c r="V515" s="155" t="str">
        <f t="shared" si="5"/>
        <v>2024-H1</v>
      </c>
      <c r="W515" s="155"/>
    </row>
    <row r="516">
      <c r="A516" s="139">
        <f>HYPERLINK("https://polkadot.subsquare.io/referenda/508", 508)</f>
        <v>508</v>
      </c>
      <c r="B516" s="140" t="s">
        <v>402</v>
      </c>
      <c r="C516" s="140" t="s">
        <v>2681</v>
      </c>
      <c r="D516" s="141">
        <v>11275.0</v>
      </c>
      <c r="E516" s="142">
        <v>86866.58920049667</v>
      </c>
      <c r="F516" s="140" t="s">
        <v>2683</v>
      </c>
      <c r="G516" s="143">
        <v>2.50131365889723E7</v>
      </c>
      <c r="H516" s="143">
        <v>7257809.253490025</v>
      </c>
      <c r="I516" s="144">
        <v>45336.0</v>
      </c>
      <c r="J516" s="144">
        <v>45363.0</v>
      </c>
      <c r="K516" s="145">
        <v>122202.55012512207</v>
      </c>
      <c r="L516" s="114" t="s">
        <v>137</v>
      </c>
      <c r="M516" s="114" t="s">
        <v>243</v>
      </c>
      <c r="N516" s="108"/>
      <c r="O516" s="108"/>
      <c r="P516" s="108"/>
      <c r="Q516" s="108"/>
      <c r="R516" s="108" t="str">
        <f t="shared" si="1"/>
        <v>2024</v>
      </c>
      <c r="S516" s="110">
        <f t="shared" si="2"/>
        <v>3</v>
      </c>
      <c r="T516" s="108" t="str">
        <f t="shared" si="3"/>
        <v>2024-Q1</v>
      </c>
      <c r="U516" s="108" t="str">
        <f t="shared" si="4"/>
        <v>2024-03</v>
      </c>
      <c r="V516" s="112" t="str">
        <f t="shared" si="5"/>
        <v>2024-H1</v>
      </c>
      <c r="W516" s="112"/>
    </row>
    <row r="517">
      <c r="A517" s="146">
        <f>HYPERLINK("https://polkadot.subsquare.io/referenda/509", 509)</f>
        <v>509</v>
      </c>
      <c r="B517" s="147" t="s">
        <v>2946</v>
      </c>
      <c r="C517" s="147" t="s">
        <v>2775</v>
      </c>
      <c r="D517" s="148">
        <v>0.0</v>
      </c>
      <c r="E517" s="149">
        <v>0.0</v>
      </c>
      <c r="F517" s="147" t="s">
        <v>2683</v>
      </c>
      <c r="G517" s="150">
        <v>5.327197928171667E7</v>
      </c>
      <c r="H517" s="150">
        <v>1.9611189027694996E7</v>
      </c>
      <c r="I517" s="151">
        <v>45337.0</v>
      </c>
      <c r="J517" s="151">
        <v>45356.0</v>
      </c>
      <c r="K517" s="152">
        <v>0.0</v>
      </c>
      <c r="L517" s="117"/>
      <c r="M517" s="117"/>
      <c r="N517" s="153"/>
      <c r="O517" s="153"/>
      <c r="P517" s="153"/>
      <c r="Q517" s="153"/>
      <c r="R517" s="153" t="str">
        <f t="shared" si="1"/>
        <v>2024</v>
      </c>
      <c r="S517" s="154">
        <f t="shared" si="2"/>
        <v>3</v>
      </c>
      <c r="T517" s="153" t="str">
        <f t="shared" si="3"/>
        <v>2024-Q1</v>
      </c>
      <c r="U517" s="153" t="str">
        <f t="shared" si="4"/>
        <v>2024-03</v>
      </c>
      <c r="V517" s="155" t="str">
        <f t="shared" si="5"/>
        <v>2024-H1</v>
      </c>
      <c r="W517" s="155"/>
    </row>
    <row r="518">
      <c r="A518" s="139">
        <f>HYPERLINK("https://polkadot.subsquare.io/referenda/510", 510)</f>
        <v>510</v>
      </c>
      <c r="B518" s="140" t="s">
        <v>2947</v>
      </c>
      <c r="C518" s="140" t="s">
        <v>2775</v>
      </c>
      <c r="D518" s="141">
        <v>0.0</v>
      </c>
      <c r="E518" s="142">
        <v>0.0</v>
      </c>
      <c r="F518" s="140" t="s">
        <v>2683</v>
      </c>
      <c r="G518" s="143">
        <v>5.350181199562601E7</v>
      </c>
      <c r="H518" s="143">
        <v>7427176.814073392</v>
      </c>
      <c r="I518" s="144">
        <v>45337.0</v>
      </c>
      <c r="J518" s="144">
        <v>45356.0</v>
      </c>
      <c r="K518" s="145">
        <v>0.0</v>
      </c>
      <c r="L518" s="114"/>
      <c r="M518" s="114"/>
      <c r="N518" s="108"/>
      <c r="O518" s="108"/>
      <c r="P518" s="108"/>
      <c r="Q518" s="108"/>
      <c r="R518" s="108" t="str">
        <f t="shared" si="1"/>
        <v>2024</v>
      </c>
      <c r="S518" s="110">
        <f t="shared" si="2"/>
        <v>3</v>
      </c>
      <c r="T518" s="108" t="str">
        <f t="shared" si="3"/>
        <v>2024-Q1</v>
      </c>
      <c r="U518" s="108" t="str">
        <f t="shared" si="4"/>
        <v>2024-03</v>
      </c>
      <c r="V518" s="112" t="str">
        <f t="shared" si="5"/>
        <v>2024-H1</v>
      </c>
      <c r="W518" s="112"/>
    </row>
    <row r="519">
      <c r="A519" s="146">
        <f>HYPERLINK("https://polkadot.subsquare.io/referenda/511", 511)</f>
        <v>511</v>
      </c>
      <c r="B519" s="147" t="s">
        <v>2948</v>
      </c>
      <c r="C519" s="147" t="s">
        <v>2672</v>
      </c>
      <c r="D519" s="148">
        <v>923.38</v>
      </c>
      <c r="E519" s="149">
        <v>7248.587509374618</v>
      </c>
      <c r="F519" s="147" t="s">
        <v>2699</v>
      </c>
      <c r="G519" s="150">
        <v>716434.4270274406</v>
      </c>
      <c r="H519" s="150">
        <v>2722032.897022489</v>
      </c>
      <c r="I519" s="151">
        <v>45338.0</v>
      </c>
      <c r="J519" s="151">
        <v>45345.0</v>
      </c>
      <c r="K519" s="152">
        <v>7315.996848917008</v>
      </c>
      <c r="L519" s="117"/>
      <c r="M519" s="117"/>
      <c r="N519" s="153"/>
      <c r="O519" s="153"/>
      <c r="P519" s="153"/>
      <c r="Q519" s="153"/>
      <c r="R519" s="153" t="str">
        <f t="shared" si="1"/>
        <v>2024</v>
      </c>
      <c r="S519" s="154">
        <f t="shared" si="2"/>
        <v>2</v>
      </c>
      <c r="T519" s="153" t="str">
        <f t="shared" si="3"/>
        <v>2024-Q1</v>
      </c>
      <c r="U519" s="153" t="str">
        <f t="shared" si="4"/>
        <v>2024-02</v>
      </c>
      <c r="V519" s="155" t="str">
        <f t="shared" si="5"/>
        <v>2024-H1</v>
      </c>
      <c r="W519" s="155"/>
    </row>
    <row r="520">
      <c r="A520" s="139">
        <f>HYPERLINK("https://polkadot.subsquare.io/referenda/512", 512)</f>
        <v>512</v>
      </c>
      <c r="B520" s="140" t="s">
        <v>403</v>
      </c>
      <c r="C520" s="140" t="s">
        <v>2681</v>
      </c>
      <c r="D520" s="141">
        <v>1000.0</v>
      </c>
      <c r="E520" s="142">
        <v>7850.059032440186</v>
      </c>
      <c r="F520" s="140" t="s">
        <v>2699</v>
      </c>
      <c r="G520" s="143">
        <v>3.9545297569549695E7</v>
      </c>
      <c r="H520" s="143">
        <v>343269.8584736719</v>
      </c>
      <c r="I520" s="144">
        <v>45338.0</v>
      </c>
      <c r="J520" s="144">
        <v>45340.0</v>
      </c>
      <c r="K520" s="145">
        <v>7468.303203582764</v>
      </c>
      <c r="L520" s="114" t="s">
        <v>137</v>
      </c>
      <c r="M520" s="114" t="s">
        <v>266</v>
      </c>
      <c r="N520" s="108"/>
      <c r="O520" s="108"/>
      <c r="P520" s="108"/>
      <c r="Q520" s="108"/>
      <c r="R520" s="108" t="str">
        <f t="shared" si="1"/>
        <v>2024</v>
      </c>
      <c r="S520" s="110">
        <f t="shared" si="2"/>
        <v>2</v>
      </c>
      <c r="T520" s="108" t="str">
        <f t="shared" si="3"/>
        <v>2024-Q1</v>
      </c>
      <c r="U520" s="108" t="str">
        <f t="shared" si="4"/>
        <v>2024-02</v>
      </c>
      <c r="V520" s="112" t="str">
        <f t="shared" si="5"/>
        <v>2024-H1</v>
      </c>
      <c r="W520" s="112"/>
    </row>
    <row r="521">
      <c r="A521" s="146">
        <f>HYPERLINK("https://polkadot.subsquare.io/referenda/513", 513)</f>
        <v>513</v>
      </c>
      <c r="B521" s="147" t="s">
        <v>2949</v>
      </c>
      <c r="C521" s="147" t="s">
        <v>2681</v>
      </c>
      <c r="D521" s="148">
        <v>0.0</v>
      </c>
      <c r="E521" s="149">
        <v>0.0</v>
      </c>
      <c r="F521" s="147" t="s">
        <v>2698</v>
      </c>
      <c r="G521" s="150">
        <v>5366620.89512665</v>
      </c>
      <c r="H521" s="150">
        <v>36531.8376253017</v>
      </c>
      <c r="I521" s="151">
        <v>45339.0</v>
      </c>
      <c r="J521" s="151">
        <v>45365.0</v>
      </c>
      <c r="K521" s="152">
        <v>0.0</v>
      </c>
      <c r="L521" s="117"/>
      <c r="M521" s="117"/>
      <c r="N521" s="153"/>
      <c r="O521" s="153"/>
      <c r="P521" s="153"/>
      <c r="Q521" s="153"/>
      <c r="R521" s="153" t="str">
        <f t="shared" si="1"/>
        <v>2024</v>
      </c>
      <c r="S521" s="154">
        <f t="shared" si="2"/>
        <v>3</v>
      </c>
      <c r="T521" s="153" t="str">
        <f t="shared" si="3"/>
        <v>2024-Q1</v>
      </c>
      <c r="U521" s="153" t="str">
        <f t="shared" si="4"/>
        <v>2024-03</v>
      </c>
      <c r="V521" s="155" t="str">
        <f t="shared" si="5"/>
        <v>2024-H1</v>
      </c>
      <c r="W521" s="155"/>
    </row>
    <row r="522">
      <c r="A522" s="139">
        <f>HYPERLINK("https://polkadot.subsquare.io/referenda/514", 514)</f>
        <v>514</v>
      </c>
      <c r="B522" s="140" t="s">
        <v>2950</v>
      </c>
      <c r="C522" s="140" t="s">
        <v>2951</v>
      </c>
      <c r="D522" s="141">
        <v>290000.0</v>
      </c>
      <c r="E522" s="142">
        <v>2242629.680633545</v>
      </c>
      <c r="F522" s="140" t="s">
        <v>2676</v>
      </c>
      <c r="G522" s="143">
        <v>6.822262387859622E7</v>
      </c>
      <c r="H522" s="143">
        <v>2957130.8729039244</v>
      </c>
      <c r="I522" s="144">
        <v>45339.0</v>
      </c>
      <c r="J522" s="144">
        <v>45363.0</v>
      </c>
      <c r="K522" s="145">
        <v>3347441.577911377</v>
      </c>
      <c r="L522" s="114" t="s">
        <v>137</v>
      </c>
      <c r="M522" s="114" t="s">
        <v>431</v>
      </c>
      <c r="N522" s="108" t="s">
        <v>2654</v>
      </c>
      <c r="O522" s="108"/>
      <c r="P522" s="108"/>
      <c r="Q522" s="108" t="s">
        <v>2952</v>
      </c>
      <c r="R522" s="108" t="str">
        <f t="shared" si="1"/>
        <v>2024</v>
      </c>
      <c r="S522" s="110">
        <f t="shared" si="2"/>
        <v>3</v>
      </c>
      <c r="T522" s="108" t="str">
        <f t="shared" si="3"/>
        <v>2024-Q1</v>
      </c>
      <c r="U522" s="108" t="str">
        <f t="shared" si="4"/>
        <v>2024-03</v>
      </c>
      <c r="V522" s="112" t="str">
        <f t="shared" si="5"/>
        <v>2024-H1</v>
      </c>
      <c r="W522" s="112"/>
    </row>
    <row r="523">
      <c r="A523" s="146">
        <f>HYPERLINK("https://polkadot.subsquare.io/referenda/515", 515)</f>
        <v>515</v>
      </c>
      <c r="B523" s="147" t="s">
        <v>2953</v>
      </c>
      <c r="C523" s="147" t="s">
        <v>2672</v>
      </c>
      <c r="D523" s="148">
        <v>0.0</v>
      </c>
      <c r="E523" s="149">
        <v>0.0</v>
      </c>
      <c r="F523" s="147" t="s">
        <v>2683</v>
      </c>
      <c r="G523" s="150">
        <v>12187.6238876499</v>
      </c>
      <c r="H523" s="150">
        <v>3.1551060377428513E7</v>
      </c>
      <c r="I523" s="151">
        <v>45340.0</v>
      </c>
      <c r="J523" s="151">
        <v>45369.0</v>
      </c>
      <c r="K523" s="152">
        <v>0.0</v>
      </c>
      <c r="L523" s="117"/>
      <c r="M523" s="117"/>
      <c r="N523" s="153"/>
      <c r="O523" s="153"/>
      <c r="P523" s="153"/>
      <c r="Q523" s="153"/>
      <c r="R523" s="153" t="str">
        <f t="shared" si="1"/>
        <v>2024</v>
      </c>
      <c r="S523" s="154">
        <f t="shared" si="2"/>
        <v>3</v>
      </c>
      <c r="T523" s="153" t="str">
        <f t="shared" si="3"/>
        <v>2024-Q1</v>
      </c>
      <c r="U523" s="153" t="str">
        <f t="shared" si="4"/>
        <v>2024-03</v>
      </c>
      <c r="V523" s="155" t="str">
        <f t="shared" si="5"/>
        <v>2024-H1</v>
      </c>
      <c r="W523" s="158" t="s">
        <v>2654</v>
      </c>
    </row>
    <row r="524">
      <c r="A524" s="139">
        <f>HYPERLINK("https://polkadot.subsquare.io/referenda/516", 516)</f>
        <v>516</v>
      </c>
      <c r="B524" s="140" t="s">
        <v>2954</v>
      </c>
      <c r="C524" s="140" t="s">
        <v>2681</v>
      </c>
      <c r="D524" s="141">
        <v>0.0</v>
      </c>
      <c r="E524" s="142">
        <v>0.0</v>
      </c>
      <c r="F524" s="140" t="s">
        <v>2696</v>
      </c>
      <c r="G524" s="143">
        <v>2.2788592006619725E7</v>
      </c>
      <c r="H524" s="143">
        <v>0.0</v>
      </c>
      <c r="I524" s="144">
        <v>45341.0</v>
      </c>
      <c r="J524" s="144">
        <v>45377.0</v>
      </c>
      <c r="K524" s="145">
        <v>0.0</v>
      </c>
      <c r="L524" s="114"/>
      <c r="M524" s="114"/>
      <c r="N524" s="108"/>
      <c r="O524" s="108"/>
      <c r="P524" s="108"/>
      <c r="Q524" s="108"/>
      <c r="R524" s="108" t="str">
        <f t="shared" si="1"/>
        <v>2024</v>
      </c>
      <c r="S524" s="110">
        <f t="shared" si="2"/>
        <v>3</v>
      </c>
      <c r="T524" s="108" t="str">
        <f t="shared" si="3"/>
        <v>2024-Q1</v>
      </c>
      <c r="U524" s="108" t="str">
        <f t="shared" si="4"/>
        <v>2024-03</v>
      </c>
      <c r="V524" s="112" t="str">
        <f t="shared" si="5"/>
        <v>2024-H1</v>
      </c>
      <c r="W524" s="112"/>
    </row>
    <row r="525">
      <c r="A525" s="146">
        <f>HYPERLINK("https://polkadot.subsquare.io/referenda/517", 517)</f>
        <v>517</v>
      </c>
      <c r="B525" s="147" t="s">
        <v>2955</v>
      </c>
      <c r="C525" s="147" t="s">
        <v>2672</v>
      </c>
      <c r="D525" s="148">
        <v>5986.39</v>
      </c>
      <c r="E525" s="149">
        <v>44795.50434894562</v>
      </c>
      <c r="F525" s="147" t="s">
        <v>2678</v>
      </c>
      <c r="G525" s="150">
        <v>5030.211</v>
      </c>
      <c r="H525" s="150">
        <v>7.252427399529381E7</v>
      </c>
      <c r="I525" s="151">
        <v>45341.0</v>
      </c>
      <c r="J525" s="151">
        <v>45370.0</v>
      </c>
      <c r="K525" s="152">
        <v>54912.51806415558</v>
      </c>
      <c r="L525" s="117"/>
      <c r="M525" s="117"/>
      <c r="N525" s="153"/>
      <c r="O525" s="153"/>
      <c r="P525" s="153"/>
      <c r="Q525" s="153"/>
      <c r="R525" s="153" t="str">
        <f t="shared" si="1"/>
        <v>2024</v>
      </c>
      <c r="S525" s="154">
        <f t="shared" si="2"/>
        <v>3</v>
      </c>
      <c r="T525" s="153" t="str">
        <f t="shared" si="3"/>
        <v>2024-Q1</v>
      </c>
      <c r="U525" s="153" t="str">
        <f t="shared" si="4"/>
        <v>2024-03</v>
      </c>
      <c r="V525" s="155" t="str">
        <f t="shared" si="5"/>
        <v>2024-H1</v>
      </c>
      <c r="W525" s="155"/>
    </row>
    <row r="526">
      <c r="A526" s="139">
        <f>HYPERLINK("https://polkadot.subsquare.io/referenda/518", 518)</f>
        <v>518</v>
      </c>
      <c r="B526" s="140" t="s">
        <v>404</v>
      </c>
      <c r="C526" s="140" t="s">
        <v>2681</v>
      </c>
      <c r="D526" s="141">
        <v>34540.0</v>
      </c>
      <c r="E526" s="142">
        <v>258459.05799865723</v>
      </c>
      <c r="F526" s="140" t="s">
        <v>2683</v>
      </c>
      <c r="G526" s="143">
        <v>3.6588895925391264E7</v>
      </c>
      <c r="H526" s="143">
        <v>1.2985730966137746E7</v>
      </c>
      <c r="I526" s="144">
        <v>45341.0</v>
      </c>
      <c r="J526" s="144">
        <v>45382.0</v>
      </c>
      <c r="K526" s="145">
        <v>296305.302734375</v>
      </c>
      <c r="L526" s="114" t="s">
        <v>81</v>
      </c>
      <c r="M526" s="114" t="s">
        <v>185</v>
      </c>
      <c r="N526" s="108"/>
      <c r="O526" s="108"/>
      <c r="P526" s="108"/>
      <c r="Q526" s="108"/>
      <c r="R526" s="108" t="str">
        <f t="shared" si="1"/>
        <v>2024</v>
      </c>
      <c r="S526" s="110">
        <f t="shared" si="2"/>
        <v>3</v>
      </c>
      <c r="T526" s="108" t="str">
        <f t="shared" si="3"/>
        <v>2024-Q1</v>
      </c>
      <c r="U526" s="108" t="str">
        <f t="shared" si="4"/>
        <v>2024-03</v>
      </c>
      <c r="V526" s="112" t="str">
        <f t="shared" si="5"/>
        <v>2024-H1</v>
      </c>
      <c r="W526" s="112"/>
    </row>
    <row r="527">
      <c r="A527" s="146">
        <f>HYPERLINK("https://polkadot.subsquare.io/referenda/519", 519)</f>
        <v>519</v>
      </c>
      <c r="B527" s="147" t="s">
        <v>2956</v>
      </c>
      <c r="C527" s="147" t="s">
        <v>2681</v>
      </c>
      <c r="D527" s="148">
        <v>0.0</v>
      </c>
      <c r="E527" s="149">
        <v>0.0</v>
      </c>
      <c r="F527" s="147" t="s">
        <v>186</v>
      </c>
      <c r="G527" s="150">
        <v>4965874.744405296</v>
      </c>
      <c r="H527" s="150">
        <v>0.0</v>
      </c>
      <c r="I527" s="151">
        <v>45342.0</v>
      </c>
      <c r="J527" s="151">
        <v>45344.0</v>
      </c>
      <c r="K527" s="152">
        <v>0.0</v>
      </c>
      <c r="L527" s="117" t="s">
        <v>84</v>
      </c>
      <c r="M527" s="117" t="s">
        <v>317</v>
      </c>
      <c r="N527" s="153"/>
      <c r="O527" s="153"/>
      <c r="P527" s="153"/>
      <c r="Q527" s="153"/>
      <c r="R527" s="153" t="str">
        <f t="shared" si="1"/>
        <v>2024</v>
      </c>
      <c r="S527" s="154">
        <f t="shared" si="2"/>
        <v>2</v>
      </c>
      <c r="T527" s="153" t="str">
        <f t="shared" si="3"/>
        <v>2024-Q1</v>
      </c>
      <c r="U527" s="153" t="str">
        <f t="shared" si="4"/>
        <v>2024-02</v>
      </c>
      <c r="V527" s="155" t="str">
        <f t="shared" si="5"/>
        <v>2024-H1</v>
      </c>
      <c r="W527" s="155"/>
    </row>
    <row r="528">
      <c r="A528" s="139">
        <f>HYPERLINK("https://polkadot.subsquare.io/referenda/520", 520)</f>
        <v>520</v>
      </c>
      <c r="B528" s="140" t="s">
        <v>405</v>
      </c>
      <c r="C528" s="140" t="s">
        <v>2681</v>
      </c>
      <c r="D528" s="141">
        <v>90.0</v>
      </c>
      <c r="E528" s="142">
        <v>702.84583568573</v>
      </c>
      <c r="F528" s="140" t="s">
        <v>186</v>
      </c>
      <c r="G528" s="143">
        <v>4424404.1293616155</v>
      </c>
      <c r="H528" s="143">
        <v>2426.0</v>
      </c>
      <c r="I528" s="144">
        <v>45343.0</v>
      </c>
      <c r="J528" s="144">
        <v>45346.0</v>
      </c>
      <c r="K528" s="145">
        <v>729.3909072875977</v>
      </c>
      <c r="L528" s="114" t="s">
        <v>137</v>
      </c>
      <c r="M528" s="114" t="s">
        <v>266</v>
      </c>
      <c r="N528" s="108"/>
      <c r="O528" s="108"/>
      <c r="P528" s="108"/>
      <c r="Q528" s="108"/>
      <c r="R528" s="108" t="str">
        <f t="shared" si="1"/>
        <v>2024</v>
      </c>
      <c r="S528" s="110">
        <f t="shared" si="2"/>
        <v>2</v>
      </c>
      <c r="T528" s="108" t="str">
        <f t="shared" si="3"/>
        <v>2024-Q1</v>
      </c>
      <c r="U528" s="108" t="str">
        <f t="shared" si="4"/>
        <v>2024-02</v>
      </c>
      <c r="V528" s="112" t="str">
        <f t="shared" si="5"/>
        <v>2024-H1</v>
      </c>
      <c r="W528" s="112"/>
    </row>
    <row r="529">
      <c r="A529" s="146">
        <f>HYPERLINK("https://polkadot.subsquare.io/referenda/521", 521)</f>
        <v>521</v>
      </c>
      <c r="B529" s="147" t="s">
        <v>2957</v>
      </c>
      <c r="C529" s="147" t="s">
        <v>2672</v>
      </c>
      <c r="D529" s="148">
        <v>1500.0</v>
      </c>
      <c r="E529" s="149">
        <v>11884.592771530151</v>
      </c>
      <c r="F529" s="147" t="s">
        <v>2678</v>
      </c>
      <c r="G529" s="150">
        <v>27572.1915504368</v>
      </c>
      <c r="H529" s="150">
        <v>3.5034033163067766E7</v>
      </c>
      <c r="I529" s="151">
        <v>45344.0</v>
      </c>
      <c r="J529" s="151">
        <v>45372.0</v>
      </c>
      <c r="K529" s="152">
        <v>14053.964138031006</v>
      </c>
      <c r="L529" s="117"/>
      <c r="M529" s="117"/>
      <c r="N529" s="153"/>
      <c r="O529" s="153"/>
      <c r="P529" s="153"/>
      <c r="Q529" s="153"/>
      <c r="R529" s="153" t="str">
        <f t="shared" si="1"/>
        <v>2024</v>
      </c>
      <c r="S529" s="154">
        <f t="shared" si="2"/>
        <v>3</v>
      </c>
      <c r="T529" s="153" t="str">
        <f t="shared" si="3"/>
        <v>2024-Q1</v>
      </c>
      <c r="U529" s="153" t="str">
        <f t="shared" si="4"/>
        <v>2024-03</v>
      </c>
      <c r="V529" s="155" t="str">
        <f t="shared" si="5"/>
        <v>2024-H1</v>
      </c>
      <c r="W529" s="155"/>
    </row>
    <row r="530">
      <c r="A530" s="139">
        <f>HYPERLINK("https://polkadot.subsquare.io/referenda/522", 522)</f>
        <v>522</v>
      </c>
      <c r="B530" s="140" t="s">
        <v>2958</v>
      </c>
      <c r="C530" s="140" t="s">
        <v>2672</v>
      </c>
      <c r="D530" s="141">
        <v>8.0E-8</v>
      </c>
      <c r="E530" s="142">
        <v>6.338449478149414E-7</v>
      </c>
      <c r="F530" s="140" t="s">
        <v>2699</v>
      </c>
      <c r="G530" s="143">
        <v>1536.0</v>
      </c>
      <c r="H530" s="143">
        <v>3.2649877025333583E7</v>
      </c>
      <c r="I530" s="144">
        <v>45344.0</v>
      </c>
      <c r="J530" s="144">
        <v>45351.0</v>
      </c>
      <c r="K530" s="145">
        <v>7.837951660156251E-7</v>
      </c>
      <c r="L530" s="114"/>
      <c r="M530" s="114"/>
      <c r="N530" s="108"/>
      <c r="O530" s="108"/>
      <c r="P530" s="108"/>
      <c r="Q530" s="108"/>
      <c r="R530" s="108" t="str">
        <f t="shared" si="1"/>
        <v>2024</v>
      </c>
      <c r="S530" s="110">
        <f t="shared" si="2"/>
        <v>2</v>
      </c>
      <c r="T530" s="108" t="str">
        <f t="shared" si="3"/>
        <v>2024-Q1</v>
      </c>
      <c r="U530" s="108" t="str">
        <f t="shared" si="4"/>
        <v>2024-02</v>
      </c>
      <c r="V530" s="112" t="str">
        <f t="shared" si="5"/>
        <v>2024-H1</v>
      </c>
      <c r="W530" s="156" t="s">
        <v>2654</v>
      </c>
    </row>
    <row r="531">
      <c r="A531" s="146">
        <f>HYPERLINK("https://polkadot.subsquare.io/referenda/523", 523)</f>
        <v>523</v>
      </c>
      <c r="B531" s="147" t="s">
        <v>2959</v>
      </c>
      <c r="C531" s="147" t="s">
        <v>2672</v>
      </c>
      <c r="D531" s="148">
        <v>8260.0</v>
      </c>
      <c r="E531" s="149">
        <v>65444.4908618927</v>
      </c>
      <c r="F531" s="147" t="s">
        <v>2678</v>
      </c>
      <c r="G531" s="150">
        <v>30061.7151</v>
      </c>
      <c r="H531" s="150">
        <v>4.7335480921400055E7</v>
      </c>
      <c r="I531" s="151">
        <v>45345.0</v>
      </c>
      <c r="J531" s="151">
        <v>45373.0</v>
      </c>
      <c r="K531" s="152">
        <v>80432.73624420166</v>
      </c>
      <c r="L531" s="117"/>
      <c r="M531" s="117"/>
      <c r="N531" s="153"/>
      <c r="O531" s="153"/>
      <c r="P531" s="153"/>
      <c r="Q531" s="153"/>
      <c r="R531" s="153" t="str">
        <f t="shared" si="1"/>
        <v>2024</v>
      </c>
      <c r="S531" s="154">
        <f t="shared" si="2"/>
        <v>3</v>
      </c>
      <c r="T531" s="153" t="str">
        <f t="shared" si="3"/>
        <v>2024-Q1</v>
      </c>
      <c r="U531" s="153" t="str">
        <f t="shared" si="4"/>
        <v>2024-03</v>
      </c>
      <c r="V531" s="155" t="str">
        <f t="shared" si="5"/>
        <v>2024-H1</v>
      </c>
      <c r="W531" s="155"/>
    </row>
    <row r="532">
      <c r="A532" s="139">
        <f>HYPERLINK("https://polkadot.subsquare.io/referenda/524", 524)</f>
        <v>524</v>
      </c>
      <c r="B532" s="140" t="s">
        <v>2960</v>
      </c>
      <c r="C532" s="140" t="s">
        <v>2681</v>
      </c>
      <c r="D532" s="141">
        <v>0.0</v>
      </c>
      <c r="E532" s="142">
        <v>0.0</v>
      </c>
      <c r="F532" s="140" t="s">
        <v>2961</v>
      </c>
      <c r="G532" s="143">
        <v>4610983.325563604</v>
      </c>
      <c r="H532" s="143">
        <v>22.0</v>
      </c>
      <c r="I532" s="144">
        <v>45346.0</v>
      </c>
      <c r="J532" s="144">
        <v>45367.0</v>
      </c>
      <c r="K532" s="145">
        <v>0.0</v>
      </c>
      <c r="L532" s="114"/>
      <c r="M532" s="114"/>
      <c r="N532" s="108"/>
      <c r="O532" s="108"/>
      <c r="P532" s="108"/>
      <c r="Q532" s="108"/>
      <c r="R532" s="108" t="str">
        <f t="shared" si="1"/>
        <v>2024</v>
      </c>
      <c r="S532" s="110">
        <f t="shared" si="2"/>
        <v>3</v>
      </c>
      <c r="T532" s="108" t="str">
        <f t="shared" si="3"/>
        <v>2024-Q1</v>
      </c>
      <c r="U532" s="108" t="str">
        <f t="shared" si="4"/>
        <v>2024-03</v>
      </c>
      <c r="V532" s="112" t="str">
        <f t="shared" si="5"/>
        <v>2024-H1</v>
      </c>
      <c r="W532" s="112"/>
    </row>
    <row r="533">
      <c r="A533" s="146">
        <f>HYPERLINK("https://polkadot.subsquare.io/referenda/525", 525)</f>
        <v>525</v>
      </c>
      <c r="B533" s="147" t="s">
        <v>2962</v>
      </c>
      <c r="C533" s="147" t="s">
        <v>2672</v>
      </c>
      <c r="D533" s="148">
        <v>10458.0</v>
      </c>
      <c r="E533" s="149">
        <v>87549.09729194641</v>
      </c>
      <c r="F533" s="147" t="s">
        <v>2683</v>
      </c>
      <c r="G533" s="150">
        <v>2.8277300918579224E7</v>
      </c>
      <c r="H533" s="150">
        <v>3.267506649973905E7</v>
      </c>
      <c r="I533" s="151">
        <v>45346.0</v>
      </c>
      <c r="J533" s="151">
        <v>45381.0</v>
      </c>
      <c r="K533" s="152">
        <v>95806.37893867493</v>
      </c>
      <c r="L533" s="117"/>
      <c r="M533" s="117"/>
      <c r="N533" s="153"/>
      <c r="O533" s="153"/>
      <c r="P533" s="153"/>
      <c r="Q533" s="153"/>
      <c r="R533" s="153" t="str">
        <f t="shared" si="1"/>
        <v>2024</v>
      </c>
      <c r="S533" s="154">
        <f t="shared" si="2"/>
        <v>3</v>
      </c>
      <c r="T533" s="153" t="str">
        <f t="shared" si="3"/>
        <v>2024-Q1</v>
      </c>
      <c r="U533" s="153" t="str">
        <f t="shared" si="4"/>
        <v>2024-03</v>
      </c>
      <c r="V533" s="155" t="str">
        <f t="shared" si="5"/>
        <v>2024-H1</v>
      </c>
      <c r="W533" s="155"/>
    </row>
    <row r="534">
      <c r="A534" s="139">
        <f>HYPERLINK("https://polkadot.subsquare.io/referenda/526", 526)</f>
        <v>526</v>
      </c>
      <c r="B534" s="140" t="s">
        <v>2963</v>
      </c>
      <c r="C534" s="140" t="s">
        <v>2681</v>
      </c>
      <c r="D534" s="141">
        <v>0.0</v>
      </c>
      <c r="E534" s="142">
        <v>0.0</v>
      </c>
      <c r="F534" s="140" t="s">
        <v>2683</v>
      </c>
      <c r="G534" s="143">
        <v>2.4519970660588082E7</v>
      </c>
      <c r="H534" s="143">
        <v>7601777.003720318</v>
      </c>
      <c r="I534" s="144">
        <v>45346.0</v>
      </c>
      <c r="J534" s="144">
        <v>45374.0</v>
      </c>
      <c r="K534" s="145">
        <v>0.0</v>
      </c>
      <c r="L534" s="114" t="s">
        <v>137</v>
      </c>
      <c r="M534" s="114" t="s">
        <v>243</v>
      </c>
      <c r="N534" s="108"/>
      <c r="O534" s="108" t="s">
        <v>2654</v>
      </c>
      <c r="P534" s="108" t="s">
        <v>2654</v>
      </c>
      <c r="Q534" s="108"/>
      <c r="R534" s="108" t="str">
        <f t="shared" si="1"/>
        <v>2024</v>
      </c>
      <c r="S534" s="110">
        <f t="shared" si="2"/>
        <v>3</v>
      </c>
      <c r="T534" s="108" t="str">
        <f t="shared" si="3"/>
        <v>2024-Q1</v>
      </c>
      <c r="U534" s="108" t="str">
        <f t="shared" si="4"/>
        <v>2024-03</v>
      </c>
      <c r="V534" s="112" t="str">
        <f t="shared" si="5"/>
        <v>2024-H1</v>
      </c>
      <c r="W534" s="112"/>
    </row>
    <row r="535">
      <c r="A535" s="146">
        <f>HYPERLINK("https://polkadot.subsquare.io/referenda/527", 527)</f>
        <v>527</v>
      </c>
      <c r="B535" s="147" t="s">
        <v>406</v>
      </c>
      <c r="C535" s="147" t="s">
        <v>2681</v>
      </c>
      <c r="D535" s="148">
        <v>121.8441544774</v>
      </c>
      <c r="E535" s="149">
        <v>1020.0177600685447</v>
      </c>
      <c r="F535" s="147" t="s">
        <v>186</v>
      </c>
      <c r="G535" s="150">
        <v>1.6398563393097922E7</v>
      </c>
      <c r="H535" s="150">
        <v>10.0</v>
      </c>
      <c r="I535" s="151">
        <v>45347.0</v>
      </c>
      <c r="J535" s="151">
        <v>45349.0</v>
      </c>
      <c r="K535" s="152">
        <v>1056.9041740216637</v>
      </c>
      <c r="L535" s="117" t="s">
        <v>84</v>
      </c>
      <c r="M535" s="117" t="s">
        <v>317</v>
      </c>
      <c r="N535" s="153"/>
      <c r="O535" s="153"/>
      <c r="P535" s="153"/>
      <c r="Q535" s="153"/>
      <c r="R535" s="153" t="str">
        <f t="shared" si="1"/>
        <v>2024</v>
      </c>
      <c r="S535" s="154">
        <f t="shared" si="2"/>
        <v>2</v>
      </c>
      <c r="T535" s="153" t="str">
        <f t="shared" si="3"/>
        <v>2024-Q1</v>
      </c>
      <c r="U535" s="153" t="str">
        <f t="shared" si="4"/>
        <v>2024-02</v>
      </c>
      <c r="V535" s="155" t="str">
        <f t="shared" si="5"/>
        <v>2024-H1</v>
      </c>
      <c r="W535" s="155"/>
    </row>
    <row r="536">
      <c r="A536" s="139">
        <f>HYPERLINK("https://polkadot.subsquare.io/referenda/528", 528)</f>
        <v>528</v>
      </c>
      <c r="B536" s="140" t="s">
        <v>2964</v>
      </c>
      <c r="C536" s="140" t="s">
        <v>2672</v>
      </c>
      <c r="D536" s="141">
        <v>2.5E-5</v>
      </c>
      <c r="E536" s="142">
        <v>2.0856547355651856E-4</v>
      </c>
      <c r="F536" s="140" t="s">
        <v>2676</v>
      </c>
      <c r="G536" s="143">
        <v>38.0233960344</v>
      </c>
      <c r="H536" s="143">
        <v>3.3513300727425277E7</v>
      </c>
      <c r="I536" s="144">
        <v>45347.0</v>
      </c>
      <c r="J536" s="144">
        <v>45376.0</v>
      </c>
      <c r="K536" s="145">
        <v>2.3609445095062258E-4</v>
      </c>
      <c r="L536" s="114"/>
      <c r="M536" s="114"/>
      <c r="N536" s="108"/>
      <c r="O536" s="108"/>
      <c r="P536" s="108"/>
      <c r="Q536" s="108"/>
      <c r="R536" s="108" t="str">
        <f t="shared" si="1"/>
        <v>2024</v>
      </c>
      <c r="S536" s="110">
        <f t="shared" si="2"/>
        <v>3</v>
      </c>
      <c r="T536" s="108" t="str">
        <f t="shared" si="3"/>
        <v>2024-Q1</v>
      </c>
      <c r="U536" s="108" t="str">
        <f t="shared" si="4"/>
        <v>2024-03</v>
      </c>
      <c r="V536" s="112" t="str">
        <f t="shared" si="5"/>
        <v>2024-H1</v>
      </c>
      <c r="W536" s="156" t="s">
        <v>2654</v>
      </c>
    </row>
    <row r="537">
      <c r="A537" s="146">
        <f>HYPERLINK("https://polkadot.subsquare.io/referenda/529", 529)</f>
        <v>529</v>
      </c>
      <c r="B537" s="147" t="s">
        <v>2965</v>
      </c>
      <c r="C537" s="147" t="s">
        <v>2681</v>
      </c>
      <c r="D537" s="148">
        <v>250000.0</v>
      </c>
      <c r="E537" s="149">
        <v>2085654.7355651855</v>
      </c>
      <c r="F537" s="147" t="s">
        <v>2676</v>
      </c>
      <c r="G537" s="150">
        <v>8.966078829988521E7</v>
      </c>
      <c r="H537" s="150">
        <v>1194965.752327497</v>
      </c>
      <c r="I537" s="151">
        <v>45347.0</v>
      </c>
      <c r="J537" s="151">
        <v>45370.0</v>
      </c>
      <c r="K537" s="152">
        <v>2229814.5294189453</v>
      </c>
      <c r="L537" s="117"/>
      <c r="M537" s="117"/>
      <c r="N537" s="153" t="s">
        <v>2654</v>
      </c>
      <c r="O537" s="153" t="s">
        <v>2654</v>
      </c>
      <c r="P537" s="153" t="s">
        <v>2654</v>
      </c>
      <c r="Q537" s="153"/>
      <c r="R537" s="153" t="str">
        <f t="shared" si="1"/>
        <v>2024</v>
      </c>
      <c r="S537" s="154">
        <f t="shared" si="2"/>
        <v>3</v>
      </c>
      <c r="T537" s="153" t="str">
        <f t="shared" si="3"/>
        <v>2024-Q1</v>
      </c>
      <c r="U537" s="153" t="str">
        <f t="shared" si="4"/>
        <v>2024-03</v>
      </c>
      <c r="V537" s="155" t="str">
        <f t="shared" si="5"/>
        <v>2024-H1</v>
      </c>
      <c r="W537" s="155"/>
    </row>
    <row r="538">
      <c r="A538" s="139">
        <f>HYPERLINK("https://polkadot.subsquare.io/referenda/530", 530)</f>
        <v>530</v>
      </c>
      <c r="B538" s="162"/>
      <c r="C538" s="140" t="s">
        <v>2672</v>
      </c>
      <c r="D538" s="141">
        <v>5.867E-7</v>
      </c>
      <c r="E538" s="142">
        <v>4.894614533424378E-6</v>
      </c>
      <c r="F538" s="140" t="s">
        <v>2678</v>
      </c>
      <c r="G538" s="143">
        <v>51063.3338906851</v>
      </c>
      <c r="H538" s="143">
        <v>2.2576365839067608E7</v>
      </c>
      <c r="I538" s="144">
        <v>45347.0</v>
      </c>
      <c r="J538" s="144">
        <v>45376.0</v>
      </c>
      <c r="K538" s="145">
        <v>5.540664574909211E-6</v>
      </c>
      <c r="L538" s="114"/>
      <c r="M538" s="114"/>
      <c r="N538" s="108"/>
      <c r="O538" s="108"/>
      <c r="P538" s="108"/>
      <c r="Q538" s="108"/>
      <c r="R538" s="108" t="str">
        <f t="shared" si="1"/>
        <v>2024</v>
      </c>
      <c r="S538" s="110">
        <f t="shared" si="2"/>
        <v>3</v>
      </c>
      <c r="T538" s="108" t="str">
        <f t="shared" si="3"/>
        <v>2024-Q1</v>
      </c>
      <c r="U538" s="108" t="str">
        <f t="shared" si="4"/>
        <v>2024-03</v>
      </c>
      <c r="V538" s="112" t="str">
        <f t="shared" si="5"/>
        <v>2024-H1</v>
      </c>
      <c r="W538" s="112"/>
    </row>
    <row r="539">
      <c r="A539" s="146">
        <f>HYPERLINK("https://polkadot.subsquare.io/referenda/531", 531)</f>
        <v>531</v>
      </c>
      <c r="B539" s="147" t="s">
        <v>2966</v>
      </c>
      <c r="C539" s="147" t="s">
        <v>2672</v>
      </c>
      <c r="D539" s="148">
        <v>9986.112944</v>
      </c>
      <c r="E539" s="149">
        <v>83310.3350061696</v>
      </c>
      <c r="F539" s="147" t="s">
        <v>2678</v>
      </c>
      <c r="G539" s="150">
        <v>3858268.0759964073</v>
      </c>
      <c r="H539" s="150">
        <v>3.1387811959456928E7</v>
      </c>
      <c r="I539" s="151">
        <v>45348.0</v>
      </c>
      <c r="J539" s="151">
        <v>45382.0</v>
      </c>
      <c r="K539" s="152">
        <v>85667.00112946094</v>
      </c>
      <c r="L539" s="117"/>
      <c r="M539" s="117"/>
      <c r="N539" s="153"/>
      <c r="O539" s="153"/>
      <c r="P539" s="153"/>
      <c r="Q539" s="153"/>
      <c r="R539" s="153" t="str">
        <f t="shared" si="1"/>
        <v>2024</v>
      </c>
      <c r="S539" s="154">
        <f t="shared" si="2"/>
        <v>3</v>
      </c>
      <c r="T539" s="153" t="str">
        <f t="shared" si="3"/>
        <v>2024-Q1</v>
      </c>
      <c r="U539" s="153" t="str">
        <f t="shared" si="4"/>
        <v>2024-03</v>
      </c>
      <c r="V539" s="155" t="str">
        <f t="shared" si="5"/>
        <v>2024-H1</v>
      </c>
      <c r="W539" s="155"/>
    </row>
    <row r="540">
      <c r="A540" s="139">
        <f>HYPERLINK("https://polkadot.subsquare.io/referenda/532", 532)</f>
        <v>532</v>
      </c>
      <c r="B540" s="140" t="s">
        <v>2967</v>
      </c>
      <c r="C540" s="140" t="s">
        <v>2681</v>
      </c>
      <c r="D540" s="141">
        <v>0.0</v>
      </c>
      <c r="E540" s="142">
        <v>0.0</v>
      </c>
      <c r="F540" s="140" t="s">
        <v>2683</v>
      </c>
      <c r="G540" s="143">
        <v>6.128728843590205E7</v>
      </c>
      <c r="H540" s="143">
        <v>1.3433586302915389E7</v>
      </c>
      <c r="I540" s="144">
        <v>45348.0</v>
      </c>
      <c r="J540" s="144">
        <v>45368.0</v>
      </c>
      <c r="K540" s="145">
        <v>0.0</v>
      </c>
      <c r="L540" s="114" t="s">
        <v>137</v>
      </c>
      <c r="M540" s="114" t="s">
        <v>191</v>
      </c>
      <c r="N540" s="108"/>
      <c r="O540" s="108" t="s">
        <v>2654</v>
      </c>
      <c r="P540" s="108" t="s">
        <v>2654</v>
      </c>
      <c r="Q540" s="108"/>
      <c r="R540" s="108" t="str">
        <f t="shared" si="1"/>
        <v>2024</v>
      </c>
      <c r="S540" s="110">
        <f t="shared" si="2"/>
        <v>3</v>
      </c>
      <c r="T540" s="108" t="str">
        <f t="shared" si="3"/>
        <v>2024-Q1</v>
      </c>
      <c r="U540" s="108" t="str">
        <f t="shared" si="4"/>
        <v>2024-03</v>
      </c>
      <c r="V540" s="112" t="str">
        <f t="shared" si="5"/>
        <v>2024-H1</v>
      </c>
      <c r="W540" s="112"/>
    </row>
    <row r="541">
      <c r="A541" s="146">
        <f>HYPERLINK("https://polkadot.subsquare.io/referenda/533", 533)</f>
        <v>533</v>
      </c>
      <c r="B541" s="147" t="s">
        <v>2968</v>
      </c>
      <c r="C541" s="147" t="s">
        <v>2681</v>
      </c>
      <c r="D541" s="148">
        <v>0.0</v>
      </c>
      <c r="E541" s="149">
        <v>0.0</v>
      </c>
      <c r="F541" s="147" t="s">
        <v>2678</v>
      </c>
      <c r="G541" s="150">
        <v>2.788864812668885E7</v>
      </c>
      <c r="H541" s="150">
        <v>1099041.2946260439</v>
      </c>
      <c r="I541" s="151">
        <v>45348.0</v>
      </c>
      <c r="J541" s="151">
        <v>45371.0</v>
      </c>
      <c r="K541" s="152">
        <v>0.0</v>
      </c>
      <c r="L541" s="117" t="s">
        <v>137</v>
      </c>
      <c r="M541" s="117" t="s">
        <v>323</v>
      </c>
      <c r="N541" s="153"/>
      <c r="O541" s="153" t="s">
        <v>2654</v>
      </c>
      <c r="P541" s="153" t="s">
        <v>2654</v>
      </c>
      <c r="Q541" s="153"/>
      <c r="R541" s="153" t="str">
        <f t="shared" si="1"/>
        <v>2024</v>
      </c>
      <c r="S541" s="154">
        <f t="shared" si="2"/>
        <v>3</v>
      </c>
      <c r="T541" s="153" t="str">
        <f t="shared" si="3"/>
        <v>2024-Q1</v>
      </c>
      <c r="U541" s="153" t="str">
        <f t="shared" si="4"/>
        <v>2024-03</v>
      </c>
      <c r="V541" s="155" t="str">
        <f t="shared" si="5"/>
        <v>2024-H1</v>
      </c>
      <c r="W541" s="155"/>
    </row>
    <row r="542">
      <c r="A542" s="139">
        <f>HYPERLINK("https://polkadot.subsquare.io/referenda/534", 534)</f>
        <v>534</v>
      </c>
      <c r="B542" s="140" t="s">
        <v>2969</v>
      </c>
      <c r="C542" s="140" t="s">
        <v>2672</v>
      </c>
      <c r="D542" s="141">
        <v>0.0</v>
      </c>
      <c r="E542" s="142">
        <v>0.0</v>
      </c>
      <c r="F542" s="140" t="s">
        <v>2683</v>
      </c>
      <c r="G542" s="143">
        <v>144746.2855027388</v>
      </c>
      <c r="H542" s="143">
        <v>2.6122980728841063E7</v>
      </c>
      <c r="I542" s="144">
        <v>45349.0</v>
      </c>
      <c r="J542" s="144">
        <v>45377.0</v>
      </c>
      <c r="K542" s="145">
        <v>0.0</v>
      </c>
      <c r="L542" s="114"/>
      <c r="M542" s="114"/>
      <c r="N542" s="108"/>
      <c r="O542" s="108"/>
      <c r="P542" s="108"/>
      <c r="Q542" s="108"/>
      <c r="R542" s="108" t="str">
        <f t="shared" si="1"/>
        <v>2024</v>
      </c>
      <c r="S542" s="110">
        <f t="shared" si="2"/>
        <v>3</v>
      </c>
      <c r="T542" s="108" t="str">
        <f t="shared" si="3"/>
        <v>2024-Q1</v>
      </c>
      <c r="U542" s="108" t="str">
        <f t="shared" si="4"/>
        <v>2024-03</v>
      </c>
      <c r="V542" s="112" t="str">
        <f t="shared" si="5"/>
        <v>2024-H1</v>
      </c>
      <c r="W542" s="156" t="s">
        <v>2654</v>
      </c>
    </row>
    <row r="543">
      <c r="A543" s="146">
        <f>HYPERLINK("https://polkadot.subsquare.io/referenda/535", 535)</f>
        <v>535</v>
      </c>
      <c r="B543" s="147" t="s">
        <v>2970</v>
      </c>
      <c r="C543" s="147" t="s">
        <v>2672</v>
      </c>
      <c r="D543" s="148">
        <v>100000.0</v>
      </c>
      <c r="E543" s="149">
        <v>867422.9621887207</v>
      </c>
      <c r="F543" s="147" t="s">
        <v>2683</v>
      </c>
      <c r="G543" s="150">
        <v>56434.4628020922</v>
      </c>
      <c r="H543" s="150">
        <v>3.1575514884293318E7</v>
      </c>
      <c r="I543" s="151">
        <v>45349.0</v>
      </c>
      <c r="J543" s="151">
        <v>45377.0</v>
      </c>
      <c r="K543" s="152">
        <v>959623.5275268555</v>
      </c>
      <c r="L543" s="117"/>
      <c r="M543" s="117"/>
      <c r="N543" s="153"/>
      <c r="O543" s="153"/>
      <c r="P543" s="153"/>
      <c r="Q543" s="153"/>
      <c r="R543" s="153" t="str">
        <f t="shared" si="1"/>
        <v>2024</v>
      </c>
      <c r="S543" s="154">
        <f t="shared" si="2"/>
        <v>3</v>
      </c>
      <c r="T543" s="153" t="str">
        <f t="shared" si="3"/>
        <v>2024-Q1</v>
      </c>
      <c r="U543" s="153" t="str">
        <f t="shared" si="4"/>
        <v>2024-03</v>
      </c>
      <c r="V543" s="155" t="str">
        <f t="shared" si="5"/>
        <v>2024-H1</v>
      </c>
      <c r="W543" s="155"/>
    </row>
    <row r="544">
      <c r="A544" s="139">
        <f>HYPERLINK("https://polkadot.subsquare.io/referenda/536", 536)</f>
        <v>536</v>
      </c>
      <c r="B544" s="140" t="s">
        <v>2971</v>
      </c>
      <c r="C544" s="140" t="s">
        <v>2672</v>
      </c>
      <c r="D544" s="141">
        <v>3.9326E-6</v>
      </c>
      <c r="E544" s="142">
        <v>3.4112275411033634E-5</v>
      </c>
      <c r="F544" s="140" t="s">
        <v>2683</v>
      </c>
      <c r="G544" s="143">
        <v>223662.7050747599</v>
      </c>
      <c r="H544" s="143">
        <v>2.5362440160063986E7</v>
      </c>
      <c r="I544" s="144">
        <v>45349.0</v>
      </c>
      <c r="J544" s="144">
        <v>45378.0</v>
      </c>
      <c r="K544" s="145">
        <v>3.773815484352112E-5</v>
      </c>
      <c r="L544" s="114"/>
      <c r="M544" s="114"/>
      <c r="N544" s="108"/>
      <c r="O544" s="108"/>
      <c r="P544" s="108"/>
      <c r="Q544" s="108"/>
      <c r="R544" s="108" t="str">
        <f t="shared" si="1"/>
        <v>2024</v>
      </c>
      <c r="S544" s="110">
        <f t="shared" si="2"/>
        <v>3</v>
      </c>
      <c r="T544" s="108" t="str">
        <f t="shared" si="3"/>
        <v>2024-Q1</v>
      </c>
      <c r="U544" s="108" t="str">
        <f t="shared" si="4"/>
        <v>2024-03</v>
      </c>
      <c r="V544" s="112" t="str">
        <f t="shared" si="5"/>
        <v>2024-H1</v>
      </c>
      <c r="W544" s="156" t="s">
        <v>2654</v>
      </c>
    </row>
    <row r="545">
      <c r="A545" s="146">
        <f>HYPERLINK("https://polkadot.subsquare.io/referenda/537", 537)</f>
        <v>537</v>
      </c>
      <c r="B545" s="147" t="s">
        <v>2971</v>
      </c>
      <c r="C545" s="147" t="s">
        <v>2672</v>
      </c>
      <c r="D545" s="148">
        <v>31500.0</v>
      </c>
      <c r="E545" s="149">
        <v>273238.233089447</v>
      </c>
      <c r="F545" s="147" t="s">
        <v>2683</v>
      </c>
      <c r="G545" s="150">
        <v>286690.0646839105</v>
      </c>
      <c r="H545" s="150">
        <v>2.5072181173129573E7</v>
      </c>
      <c r="I545" s="151">
        <v>45349.0</v>
      </c>
      <c r="J545" s="151">
        <v>45378.0</v>
      </c>
      <c r="K545" s="152">
        <v>302281.4111709595</v>
      </c>
      <c r="L545" s="117"/>
      <c r="M545" s="117"/>
      <c r="N545" s="153"/>
      <c r="O545" s="153"/>
      <c r="P545" s="153"/>
      <c r="Q545" s="153"/>
      <c r="R545" s="153" t="str">
        <f t="shared" si="1"/>
        <v>2024</v>
      </c>
      <c r="S545" s="154">
        <f t="shared" si="2"/>
        <v>3</v>
      </c>
      <c r="T545" s="153" t="str">
        <f t="shared" si="3"/>
        <v>2024-Q1</v>
      </c>
      <c r="U545" s="153" t="str">
        <f t="shared" si="4"/>
        <v>2024-03</v>
      </c>
      <c r="V545" s="155" t="str">
        <f t="shared" si="5"/>
        <v>2024-H1</v>
      </c>
      <c r="W545" s="158" t="s">
        <v>2654</v>
      </c>
    </row>
    <row r="546">
      <c r="A546" s="139">
        <f>HYPERLINK("https://polkadot.subsquare.io/referenda/538", 538)</f>
        <v>538</v>
      </c>
      <c r="B546" s="140" t="s">
        <v>186</v>
      </c>
      <c r="C546" s="140" t="s">
        <v>2681</v>
      </c>
      <c r="D546" s="141">
        <v>80.0</v>
      </c>
      <c r="E546" s="142">
        <v>693.9383697509766</v>
      </c>
      <c r="F546" s="140" t="s">
        <v>186</v>
      </c>
      <c r="G546" s="143">
        <v>1.957999529438962E7</v>
      </c>
      <c r="H546" s="143">
        <v>25922.3579718795</v>
      </c>
      <c r="I546" s="144">
        <v>45349.0</v>
      </c>
      <c r="J546" s="144">
        <v>45352.0</v>
      </c>
      <c r="K546" s="145">
        <v>783.795166015625</v>
      </c>
      <c r="L546" s="114" t="s">
        <v>81</v>
      </c>
      <c r="M546" s="114" t="s">
        <v>185</v>
      </c>
      <c r="N546" s="108"/>
      <c r="O546" s="108"/>
      <c r="P546" s="108"/>
      <c r="Q546" s="108"/>
      <c r="R546" s="108" t="str">
        <f t="shared" si="1"/>
        <v>2024</v>
      </c>
      <c r="S546" s="110">
        <f t="shared" si="2"/>
        <v>3</v>
      </c>
      <c r="T546" s="108" t="str">
        <f t="shared" si="3"/>
        <v>2024-Q1</v>
      </c>
      <c r="U546" s="108" t="str">
        <f t="shared" si="4"/>
        <v>2024-03</v>
      </c>
      <c r="V546" s="112" t="str">
        <f t="shared" si="5"/>
        <v>2024-H1</v>
      </c>
      <c r="W546" s="112"/>
    </row>
    <row r="547">
      <c r="A547" s="146">
        <f>HYPERLINK("https://polkadot.subsquare.io/referenda/539", 539)</f>
        <v>539</v>
      </c>
      <c r="B547" s="147" t="s">
        <v>407</v>
      </c>
      <c r="C547" s="147" t="s">
        <v>2681</v>
      </c>
      <c r="D547" s="148">
        <v>39326.0</v>
      </c>
      <c r="E547" s="149">
        <v>341122.7541103363</v>
      </c>
      <c r="F547" s="147" t="s">
        <v>2683</v>
      </c>
      <c r="G547" s="150">
        <v>3.3321280719731968E7</v>
      </c>
      <c r="H547" s="150">
        <v>3.2737453567175914E7</v>
      </c>
      <c r="I547" s="151">
        <v>45350.0</v>
      </c>
      <c r="J547" s="151">
        <v>45383.0</v>
      </c>
      <c r="K547" s="152">
        <v>331657.97014045715</v>
      </c>
      <c r="L547" s="117" t="s">
        <v>82</v>
      </c>
      <c r="M547" s="117" t="s">
        <v>150</v>
      </c>
      <c r="N547" s="153"/>
      <c r="O547" s="153"/>
      <c r="P547" s="153"/>
      <c r="Q547" s="153"/>
      <c r="R547" s="153" t="str">
        <f t="shared" si="1"/>
        <v>2024</v>
      </c>
      <c r="S547" s="154">
        <f t="shared" si="2"/>
        <v>4</v>
      </c>
      <c r="T547" s="153" t="str">
        <f t="shared" si="3"/>
        <v>2024-Q2</v>
      </c>
      <c r="U547" s="153" t="str">
        <f t="shared" si="4"/>
        <v>2024-04</v>
      </c>
      <c r="V547" s="155" t="str">
        <f t="shared" si="5"/>
        <v>2024-H1</v>
      </c>
      <c r="W547" s="155"/>
    </row>
    <row r="548">
      <c r="A548" s="139">
        <f>HYPERLINK("https://polkadot.subsquare.io/referenda/540", 540)</f>
        <v>540</v>
      </c>
      <c r="B548" s="140" t="s">
        <v>2972</v>
      </c>
      <c r="C548" s="140" t="s">
        <v>2681</v>
      </c>
      <c r="D548" s="141">
        <v>0.0</v>
      </c>
      <c r="E548" s="142">
        <v>0.0</v>
      </c>
      <c r="F548" s="140" t="s">
        <v>2683</v>
      </c>
      <c r="G548" s="143">
        <v>3.0955745308786813E7</v>
      </c>
      <c r="H548" s="143">
        <v>558210.6445514183</v>
      </c>
      <c r="I548" s="144">
        <v>45350.0</v>
      </c>
      <c r="J548" s="144">
        <v>45375.0</v>
      </c>
      <c r="K548" s="145">
        <v>0.0</v>
      </c>
      <c r="L548" s="114" t="s">
        <v>85</v>
      </c>
      <c r="M548" s="114" t="s">
        <v>1554</v>
      </c>
      <c r="N548" s="108"/>
      <c r="O548" s="108" t="s">
        <v>2654</v>
      </c>
      <c r="P548" s="108" t="s">
        <v>2654</v>
      </c>
      <c r="Q548" s="108"/>
      <c r="R548" s="108" t="str">
        <f t="shared" si="1"/>
        <v>2024</v>
      </c>
      <c r="S548" s="110">
        <f t="shared" si="2"/>
        <v>3</v>
      </c>
      <c r="T548" s="108" t="str">
        <f t="shared" si="3"/>
        <v>2024-Q1</v>
      </c>
      <c r="U548" s="108" t="str">
        <f t="shared" si="4"/>
        <v>2024-03</v>
      </c>
      <c r="V548" s="112" t="str">
        <f t="shared" si="5"/>
        <v>2024-H1</v>
      </c>
      <c r="W548" s="112"/>
    </row>
    <row r="549">
      <c r="A549" s="146">
        <f>HYPERLINK("https://polkadot.subsquare.io/referenda/541", 541)</f>
        <v>541</v>
      </c>
      <c r="B549" s="147" t="s">
        <v>408</v>
      </c>
      <c r="C549" s="147" t="s">
        <v>2681</v>
      </c>
      <c r="D549" s="148">
        <v>4471.0</v>
      </c>
      <c r="E549" s="149">
        <v>43804.35234069824</v>
      </c>
      <c r="F549" s="147" t="s">
        <v>2678</v>
      </c>
      <c r="G549" s="150">
        <v>1.0063210331016317E7</v>
      </c>
      <c r="H549" s="150">
        <v>7938129.503976608</v>
      </c>
      <c r="I549" s="151">
        <v>45351.0</v>
      </c>
      <c r="J549" s="151">
        <v>45381.0</v>
      </c>
      <c r="K549" s="152">
        <v>38354.97998046875</v>
      </c>
      <c r="L549" s="117" t="s">
        <v>81</v>
      </c>
      <c r="M549" s="117" t="s">
        <v>179</v>
      </c>
      <c r="N549" s="153"/>
      <c r="O549" s="153"/>
      <c r="P549" s="153"/>
      <c r="Q549" s="153"/>
      <c r="R549" s="153" t="str">
        <f t="shared" si="1"/>
        <v>2024</v>
      </c>
      <c r="S549" s="154">
        <f t="shared" si="2"/>
        <v>3</v>
      </c>
      <c r="T549" s="153" t="str">
        <f t="shared" si="3"/>
        <v>2024-Q1</v>
      </c>
      <c r="U549" s="153" t="str">
        <f t="shared" si="4"/>
        <v>2024-03</v>
      </c>
      <c r="V549" s="155" t="str">
        <f t="shared" si="5"/>
        <v>2024-H1</v>
      </c>
      <c r="W549" s="155"/>
    </row>
    <row r="550">
      <c r="A550" s="139">
        <f>HYPERLINK("https://polkadot.subsquare.io/referenda/542", 542)</f>
        <v>542</v>
      </c>
      <c r="B550" s="140" t="s">
        <v>409</v>
      </c>
      <c r="C550" s="140" t="s">
        <v>2681</v>
      </c>
      <c r="D550" s="141">
        <v>14737.47</v>
      </c>
      <c r="E550" s="142">
        <v>144389.47181625364</v>
      </c>
      <c r="F550" s="140" t="s">
        <v>2683</v>
      </c>
      <c r="G550" s="143">
        <v>8.085623036125809E7</v>
      </c>
      <c r="H550" s="143">
        <v>335520.1</v>
      </c>
      <c r="I550" s="144">
        <v>45351.0</v>
      </c>
      <c r="J550" s="144">
        <v>45369.0</v>
      </c>
      <c r="K550" s="145">
        <v>135185.2431256485</v>
      </c>
      <c r="L550" s="114" t="s">
        <v>81</v>
      </c>
      <c r="M550" s="114" t="s">
        <v>148</v>
      </c>
      <c r="N550" s="108"/>
      <c r="O550" s="108"/>
      <c r="P550" s="108"/>
      <c r="Q550" s="108"/>
      <c r="R550" s="108" t="str">
        <f t="shared" si="1"/>
        <v>2024</v>
      </c>
      <c r="S550" s="110">
        <f t="shared" si="2"/>
        <v>3</v>
      </c>
      <c r="T550" s="108" t="str">
        <f t="shared" si="3"/>
        <v>2024-Q1</v>
      </c>
      <c r="U550" s="108" t="str">
        <f t="shared" si="4"/>
        <v>2024-03</v>
      </c>
      <c r="V550" s="112" t="str">
        <f t="shared" si="5"/>
        <v>2024-H1</v>
      </c>
      <c r="W550" s="112"/>
    </row>
    <row r="551">
      <c r="A551" s="146">
        <f>HYPERLINK("https://polkadot.subsquare.io/referenda/543", 543)</f>
        <v>543</v>
      </c>
      <c r="B551" s="147" t="s">
        <v>2973</v>
      </c>
      <c r="C551" s="147" t="s">
        <v>2672</v>
      </c>
      <c r="D551" s="148">
        <v>2.0E-8</v>
      </c>
      <c r="E551" s="149">
        <v>1.9594879150390627E-7</v>
      </c>
      <c r="F551" s="147" t="s">
        <v>186</v>
      </c>
      <c r="G551" s="150">
        <v>2084645.057263179</v>
      </c>
      <c r="H551" s="150">
        <v>2.635230953094221E7</v>
      </c>
      <c r="I551" s="151">
        <v>45351.0</v>
      </c>
      <c r="J551" s="151">
        <v>45359.0</v>
      </c>
      <c r="K551" s="152">
        <v>2.0557626724243163E-7</v>
      </c>
      <c r="L551" s="117"/>
      <c r="M551" s="117"/>
      <c r="N551" s="153"/>
      <c r="O551" s="153"/>
      <c r="P551" s="153"/>
      <c r="Q551" s="153"/>
      <c r="R551" s="153" t="str">
        <f t="shared" si="1"/>
        <v>2024</v>
      </c>
      <c r="S551" s="154">
        <f t="shared" si="2"/>
        <v>3</v>
      </c>
      <c r="T551" s="153" t="str">
        <f t="shared" si="3"/>
        <v>2024-Q1</v>
      </c>
      <c r="U551" s="153" t="str">
        <f t="shared" si="4"/>
        <v>2024-03</v>
      </c>
      <c r="V551" s="155" t="str">
        <f t="shared" si="5"/>
        <v>2024-H1</v>
      </c>
      <c r="W551" s="155"/>
    </row>
    <row r="552">
      <c r="A552" s="139">
        <f>HYPERLINK("https://polkadot.subsquare.io/referenda/544", 544)</f>
        <v>544</v>
      </c>
      <c r="B552" s="140" t="s">
        <v>410</v>
      </c>
      <c r="C552" s="140" t="s">
        <v>2681</v>
      </c>
      <c r="D552" s="141">
        <v>98026.0</v>
      </c>
      <c r="E552" s="142">
        <v>960403.8117980957</v>
      </c>
      <c r="F552" s="140" t="s">
        <v>2683</v>
      </c>
      <c r="G552" s="143">
        <v>6.944506625600159E7</v>
      </c>
      <c r="H552" s="143">
        <v>444263.0355796187</v>
      </c>
      <c r="I552" s="144">
        <v>45352.0</v>
      </c>
      <c r="J552" s="144">
        <v>45371.0</v>
      </c>
      <c r="K552" s="145">
        <v>880478.2604961395</v>
      </c>
      <c r="L552" s="114" t="s">
        <v>81</v>
      </c>
      <c r="M552" s="114" t="s">
        <v>146</v>
      </c>
      <c r="N552" s="108"/>
      <c r="O552" s="108"/>
      <c r="P552" s="108"/>
      <c r="Q552" s="108"/>
      <c r="R552" s="108" t="str">
        <f t="shared" si="1"/>
        <v>2024</v>
      </c>
      <c r="S552" s="110">
        <f t="shared" si="2"/>
        <v>3</v>
      </c>
      <c r="T552" s="108" t="str">
        <f t="shared" si="3"/>
        <v>2024-Q1</v>
      </c>
      <c r="U552" s="108" t="str">
        <f t="shared" si="4"/>
        <v>2024-03</v>
      </c>
      <c r="V552" s="112" t="str">
        <f t="shared" si="5"/>
        <v>2024-H1</v>
      </c>
      <c r="W552" s="112"/>
    </row>
    <row r="553">
      <c r="A553" s="146">
        <f>HYPERLINK("https://polkadot.subsquare.io/referenda/545", 545)</f>
        <v>545</v>
      </c>
      <c r="B553" s="147" t="s">
        <v>2974</v>
      </c>
      <c r="C553" s="147" t="s">
        <v>2681</v>
      </c>
      <c r="D553" s="148">
        <v>0.0</v>
      </c>
      <c r="E553" s="149">
        <v>0.0</v>
      </c>
      <c r="F553" s="147" t="s">
        <v>2682</v>
      </c>
      <c r="G553" s="150">
        <v>7.711076833889154E7</v>
      </c>
      <c r="H553" s="150">
        <v>30.0</v>
      </c>
      <c r="I553" s="151">
        <v>45353.0</v>
      </c>
      <c r="J553" s="151">
        <v>45370.0</v>
      </c>
      <c r="K553" s="152">
        <v>0.0</v>
      </c>
      <c r="L553" s="117"/>
      <c r="M553" s="117"/>
      <c r="N553" s="153"/>
      <c r="O553" s="153"/>
      <c r="P553" s="153"/>
      <c r="Q553" s="153"/>
      <c r="R553" s="153" t="str">
        <f t="shared" si="1"/>
        <v>2024</v>
      </c>
      <c r="S553" s="154">
        <f t="shared" si="2"/>
        <v>3</v>
      </c>
      <c r="T553" s="153" t="str">
        <f t="shared" si="3"/>
        <v>2024-Q1</v>
      </c>
      <c r="U553" s="153" t="str">
        <f t="shared" si="4"/>
        <v>2024-03</v>
      </c>
      <c r="V553" s="155" t="str">
        <f t="shared" si="5"/>
        <v>2024-H1</v>
      </c>
      <c r="W553" s="155"/>
    </row>
    <row r="554">
      <c r="A554" s="139">
        <f>HYPERLINK("https://polkadot.subsquare.io/referenda/546", 546)</f>
        <v>546</v>
      </c>
      <c r="B554" s="140" t="s">
        <v>2975</v>
      </c>
      <c r="C554" s="140" t="s">
        <v>2691</v>
      </c>
      <c r="D554" s="141">
        <v>0.0</v>
      </c>
      <c r="E554" s="142">
        <v>0.0</v>
      </c>
      <c r="F554" s="140" t="s">
        <v>2687</v>
      </c>
      <c r="G554" s="143">
        <v>1455004.3264711692</v>
      </c>
      <c r="H554" s="143">
        <v>3320740.2697620345</v>
      </c>
      <c r="I554" s="144">
        <v>45353.0</v>
      </c>
      <c r="J554" s="144">
        <v>45367.0</v>
      </c>
      <c r="K554" s="145">
        <v>0.0</v>
      </c>
      <c r="L554" s="114"/>
      <c r="M554" s="114"/>
      <c r="N554" s="108"/>
      <c r="O554" s="108"/>
      <c r="P554" s="108"/>
      <c r="Q554" s="108"/>
      <c r="R554" s="108" t="str">
        <f t="shared" si="1"/>
        <v>2024</v>
      </c>
      <c r="S554" s="110">
        <f t="shared" si="2"/>
        <v>3</v>
      </c>
      <c r="T554" s="108" t="str">
        <f t="shared" si="3"/>
        <v>2024-Q1</v>
      </c>
      <c r="U554" s="108" t="str">
        <f t="shared" si="4"/>
        <v>2024-03</v>
      </c>
      <c r="V554" s="112" t="str">
        <f t="shared" si="5"/>
        <v>2024-H1</v>
      </c>
      <c r="W554" s="112"/>
    </row>
    <row r="555">
      <c r="A555" s="146">
        <f>HYPERLINK("https://polkadot.subsquare.io/referenda/547", 547)</f>
        <v>547</v>
      </c>
      <c r="B555" s="147" t="s">
        <v>2976</v>
      </c>
      <c r="C555" s="147" t="s">
        <v>2691</v>
      </c>
      <c r="D555" s="148">
        <v>3600.0</v>
      </c>
      <c r="E555" s="149">
        <v>37851.216888427734</v>
      </c>
      <c r="F555" s="147" t="s">
        <v>2696</v>
      </c>
      <c r="G555" s="150">
        <v>161606.7647552435</v>
      </c>
      <c r="H555" s="150">
        <v>4183795.537339843</v>
      </c>
      <c r="I555" s="151">
        <v>45354.0</v>
      </c>
      <c r="J555" s="151">
        <v>45368.0</v>
      </c>
      <c r="K555" s="152">
        <v>34170.69396972656</v>
      </c>
      <c r="L555" s="117"/>
      <c r="M555" s="117"/>
      <c r="N555" s="153"/>
      <c r="O555" s="153"/>
      <c r="P555" s="153"/>
      <c r="Q555" s="153"/>
      <c r="R555" s="153" t="str">
        <f t="shared" si="1"/>
        <v>2024</v>
      </c>
      <c r="S555" s="154">
        <f t="shared" si="2"/>
        <v>3</v>
      </c>
      <c r="T555" s="153" t="str">
        <f t="shared" si="3"/>
        <v>2024-Q1</v>
      </c>
      <c r="U555" s="153" t="str">
        <f t="shared" si="4"/>
        <v>2024-03</v>
      </c>
      <c r="V555" s="155" t="str">
        <f t="shared" si="5"/>
        <v>2024-H1</v>
      </c>
      <c r="W555" s="155"/>
    </row>
    <row r="556">
      <c r="A556" s="139">
        <f>HYPERLINK("https://polkadot.subsquare.io/referenda/548", 548)</f>
        <v>548</v>
      </c>
      <c r="B556" s="140" t="s">
        <v>2977</v>
      </c>
      <c r="C556" s="140" t="s">
        <v>2672</v>
      </c>
      <c r="D556" s="141">
        <v>31200.0</v>
      </c>
      <c r="E556" s="142">
        <v>328043.87969970703</v>
      </c>
      <c r="F556" s="140" t="s">
        <v>2683</v>
      </c>
      <c r="G556" s="143">
        <v>2970382.273284831</v>
      </c>
      <c r="H556" s="143">
        <v>3.216677391766458E7</v>
      </c>
      <c r="I556" s="144">
        <v>45354.0</v>
      </c>
      <c r="J556" s="144">
        <v>45382.0</v>
      </c>
      <c r="K556" s="145">
        <v>263126.90505981445</v>
      </c>
      <c r="L556" s="114"/>
      <c r="M556" s="114"/>
      <c r="N556" s="108"/>
      <c r="O556" s="108"/>
      <c r="P556" s="108"/>
      <c r="Q556" s="108"/>
      <c r="R556" s="108" t="str">
        <f t="shared" si="1"/>
        <v>2024</v>
      </c>
      <c r="S556" s="110">
        <f t="shared" si="2"/>
        <v>3</v>
      </c>
      <c r="T556" s="108" t="str">
        <f t="shared" si="3"/>
        <v>2024-Q1</v>
      </c>
      <c r="U556" s="108" t="str">
        <f t="shared" si="4"/>
        <v>2024-03</v>
      </c>
      <c r="V556" s="112" t="str">
        <f t="shared" si="5"/>
        <v>2024-H1</v>
      </c>
      <c r="W556" s="156" t="s">
        <v>2654</v>
      </c>
    </row>
    <row r="557">
      <c r="A557" s="146">
        <f>HYPERLINK("https://polkadot.subsquare.io/referenda/549", 549)</f>
        <v>549</v>
      </c>
      <c r="B557" s="147" t="s">
        <v>2978</v>
      </c>
      <c r="C557" s="147" t="s">
        <v>2691</v>
      </c>
      <c r="D557" s="148">
        <v>3.5E-6</v>
      </c>
      <c r="E557" s="149">
        <v>3.679979419708252E-5</v>
      </c>
      <c r="F557" s="147" t="s">
        <v>2683</v>
      </c>
      <c r="G557" s="150">
        <v>0.0</v>
      </c>
      <c r="H557" s="150">
        <v>2.491657567396045E7</v>
      </c>
      <c r="I557" s="151">
        <v>45354.0</v>
      </c>
      <c r="J557" s="151">
        <v>45369.0</v>
      </c>
      <c r="K557" s="152">
        <v>3.322150802612305E-5</v>
      </c>
      <c r="L557" s="117"/>
      <c r="M557" s="117"/>
      <c r="N557" s="153"/>
      <c r="O557" s="153"/>
      <c r="P557" s="153"/>
      <c r="Q557" s="153"/>
      <c r="R557" s="153" t="str">
        <f t="shared" si="1"/>
        <v>2024</v>
      </c>
      <c r="S557" s="154">
        <f t="shared" si="2"/>
        <v>3</v>
      </c>
      <c r="T557" s="153" t="str">
        <f t="shared" si="3"/>
        <v>2024-Q1</v>
      </c>
      <c r="U557" s="153" t="str">
        <f t="shared" si="4"/>
        <v>2024-03</v>
      </c>
      <c r="V557" s="155" t="str">
        <f t="shared" si="5"/>
        <v>2024-H1</v>
      </c>
      <c r="W557" s="155"/>
    </row>
    <row r="558">
      <c r="A558" s="139">
        <f>HYPERLINK("https://polkadot.subsquare.io/referenda/550", 550)</f>
        <v>550</v>
      </c>
      <c r="B558" s="140" t="s">
        <v>2979</v>
      </c>
      <c r="C558" s="140" t="s">
        <v>2672</v>
      </c>
      <c r="D558" s="141">
        <v>35100.0</v>
      </c>
      <c r="E558" s="142">
        <v>369049.3646621704</v>
      </c>
      <c r="F558" s="140" t="s">
        <v>2683</v>
      </c>
      <c r="G558" s="143">
        <v>52422.31</v>
      </c>
      <c r="H558" s="143">
        <v>3.1417885871800378E7</v>
      </c>
      <c r="I558" s="144">
        <v>45355.0</v>
      </c>
      <c r="J558" s="144">
        <v>45383.0</v>
      </c>
      <c r="K558" s="145">
        <v>296017.76819229126</v>
      </c>
      <c r="L558" s="114"/>
      <c r="M558" s="114"/>
      <c r="N558" s="108"/>
      <c r="O558" s="108"/>
      <c r="P558" s="108"/>
      <c r="Q558" s="108"/>
      <c r="R558" s="108" t="str">
        <f t="shared" si="1"/>
        <v>2024</v>
      </c>
      <c r="S558" s="110">
        <f t="shared" si="2"/>
        <v>4</v>
      </c>
      <c r="T558" s="108" t="str">
        <f t="shared" si="3"/>
        <v>2024-Q2</v>
      </c>
      <c r="U558" s="108" t="str">
        <f t="shared" si="4"/>
        <v>2024-04</v>
      </c>
      <c r="V558" s="112" t="str">
        <f t="shared" si="5"/>
        <v>2024-H1</v>
      </c>
      <c r="W558" s="112"/>
    </row>
    <row r="559">
      <c r="A559" s="146">
        <f>HYPERLINK("https://polkadot.subsquare.io/referenda/551", 551)</f>
        <v>551</v>
      </c>
      <c r="B559" s="147" t="s">
        <v>2980</v>
      </c>
      <c r="C559" s="147" t="s">
        <v>2691</v>
      </c>
      <c r="D559" s="148">
        <v>3600.0</v>
      </c>
      <c r="E559" s="149">
        <v>37851.216888427734</v>
      </c>
      <c r="F559" s="147" t="s">
        <v>2678</v>
      </c>
      <c r="G559" s="150">
        <v>0.1</v>
      </c>
      <c r="H559" s="150">
        <v>3.0985409985731587E7</v>
      </c>
      <c r="I559" s="151">
        <v>45355.0</v>
      </c>
      <c r="J559" s="151">
        <v>45369.0</v>
      </c>
      <c r="K559" s="152">
        <v>34170.69396972656</v>
      </c>
      <c r="L559" s="117"/>
      <c r="M559" s="117"/>
      <c r="N559" s="153"/>
      <c r="O559" s="153"/>
      <c r="P559" s="153"/>
      <c r="Q559" s="153"/>
      <c r="R559" s="153" t="str">
        <f t="shared" si="1"/>
        <v>2024</v>
      </c>
      <c r="S559" s="154">
        <f t="shared" si="2"/>
        <v>3</v>
      </c>
      <c r="T559" s="153" t="str">
        <f t="shared" si="3"/>
        <v>2024-Q1</v>
      </c>
      <c r="U559" s="153" t="str">
        <f t="shared" si="4"/>
        <v>2024-03</v>
      </c>
      <c r="V559" s="155" t="str">
        <f t="shared" si="5"/>
        <v>2024-H1</v>
      </c>
      <c r="W559" s="155"/>
    </row>
    <row r="560">
      <c r="A560" s="139">
        <f>HYPERLINK("https://polkadot.subsquare.io/referenda/552", 552)</f>
        <v>552</v>
      </c>
      <c r="B560" s="140" t="s">
        <v>411</v>
      </c>
      <c r="C560" s="140" t="s">
        <v>2681</v>
      </c>
      <c r="D560" s="141">
        <v>171827.0</v>
      </c>
      <c r="E560" s="142">
        <v>1806628.0678577423</v>
      </c>
      <c r="F560" s="140" t="s">
        <v>2676</v>
      </c>
      <c r="G560" s="143">
        <v>6.139930534382708E7</v>
      </c>
      <c r="H560" s="143">
        <v>320201.1</v>
      </c>
      <c r="I560" s="144">
        <v>45355.0</v>
      </c>
      <c r="J560" s="144">
        <v>45383.0</v>
      </c>
      <c r="K560" s="145">
        <v>1449112.3947343826</v>
      </c>
      <c r="L560" s="114" t="s">
        <v>81</v>
      </c>
      <c r="M560" s="114" t="s">
        <v>152</v>
      </c>
      <c r="N560" s="108"/>
      <c r="O560" s="108"/>
      <c r="P560" s="108"/>
      <c r="Q560" s="108"/>
      <c r="R560" s="108" t="str">
        <f t="shared" si="1"/>
        <v>2024</v>
      </c>
      <c r="S560" s="110">
        <f t="shared" si="2"/>
        <v>4</v>
      </c>
      <c r="T560" s="108" t="str">
        <f t="shared" si="3"/>
        <v>2024-Q2</v>
      </c>
      <c r="U560" s="108" t="str">
        <f t="shared" si="4"/>
        <v>2024-04</v>
      </c>
      <c r="V560" s="112" t="str">
        <f t="shared" si="5"/>
        <v>2024-H1</v>
      </c>
      <c r="W560" s="112"/>
    </row>
    <row r="561">
      <c r="A561" s="146">
        <f>HYPERLINK("https://polkadot.subsquare.io/referenda/553", 553)</f>
        <v>553</v>
      </c>
      <c r="B561" s="147" t="s">
        <v>2981</v>
      </c>
      <c r="C561" s="147" t="s">
        <v>2681</v>
      </c>
      <c r="D561" s="148">
        <v>0.0</v>
      </c>
      <c r="E561" s="149">
        <v>0.0</v>
      </c>
      <c r="F561" s="147" t="s">
        <v>2676</v>
      </c>
      <c r="G561" s="150">
        <v>2.2586316265388865E7</v>
      </c>
      <c r="H561" s="150">
        <v>17865.4</v>
      </c>
      <c r="I561" s="151">
        <v>45355.0</v>
      </c>
      <c r="J561" s="151">
        <v>45389.0</v>
      </c>
      <c r="K561" s="152">
        <v>0.0</v>
      </c>
      <c r="L561" s="117"/>
      <c r="M561" s="117"/>
      <c r="N561" s="153"/>
      <c r="O561" s="153"/>
      <c r="P561" s="153"/>
      <c r="Q561" s="153"/>
      <c r="R561" s="153" t="str">
        <f t="shared" si="1"/>
        <v>2024</v>
      </c>
      <c r="S561" s="154">
        <f t="shared" si="2"/>
        <v>4</v>
      </c>
      <c r="T561" s="153" t="str">
        <f t="shared" si="3"/>
        <v>2024-Q2</v>
      </c>
      <c r="U561" s="153" t="str">
        <f t="shared" si="4"/>
        <v>2024-04</v>
      </c>
      <c r="V561" s="155" t="str">
        <f t="shared" si="5"/>
        <v>2024-H1</v>
      </c>
      <c r="W561" s="155"/>
    </row>
    <row r="562">
      <c r="A562" s="139">
        <f>HYPERLINK("https://polkadot.subsquare.io/referenda/554", 554)</f>
        <v>554</v>
      </c>
      <c r="B562" s="140" t="s">
        <v>412</v>
      </c>
      <c r="C562" s="140" t="s">
        <v>2681</v>
      </c>
      <c r="D562" s="141">
        <v>32393.2</v>
      </c>
      <c r="E562" s="142">
        <v>345477.73993797303</v>
      </c>
      <c r="F562" s="140" t="s">
        <v>2683</v>
      </c>
      <c r="G562" s="143">
        <v>5.1964057789723456E7</v>
      </c>
      <c r="H562" s="143">
        <v>6409463.002484963</v>
      </c>
      <c r="I562" s="144">
        <v>45356.0</v>
      </c>
      <c r="J562" s="144">
        <v>45378.0</v>
      </c>
      <c r="K562" s="145">
        <v>310852.76851882937</v>
      </c>
      <c r="L562" s="114" t="s">
        <v>137</v>
      </c>
      <c r="M562" s="114" t="s">
        <v>266</v>
      </c>
      <c r="N562" s="108"/>
      <c r="O562" s="108"/>
      <c r="P562" s="108"/>
      <c r="Q562" s="108"/>
      <c r="R562" s="108" t="str">
        <f t="shared" si="1"/>
        <v>2024</v>
      </c>
      <c r="S562" s="110">
        <f t="shared" si="2"/>
        <v>3</v>
      </c>
      <c r="T562" s="108" t="str">
        <f t="shared" si="3"/>
        <v>2024-Q1</v>
      </c>
      <c r="U562" s="108" t="str">
        <f t="shared" si="4"/>
        <v>2024-03</v>
      </c>
      <c r="V562" s="112" t="str">
        <f t="shared" si="5"/>
        <v>2024-H1</v>
      </c>
      <c r="W562" s="112"/>
    </row>
    <row r="563">
      <c r="A563" s="146">
        <f>HYPERLINK("https://polkadot.subsquare.io/referenda/555", 555)</f>
        <v>555</v>
      </c>
      <c r="B563" s="147" t="s">
        <v>413</v>
      </c>
      <c r="C563" s="147" t="s">
        <v>2681</v>
      </c>
      <c r="D563" s="148">
        <v>64329.0</v>
      </c>
      <c r="E563" s="149">
        <v>686077.2486963272</v>
      </c>
      <c r="F563" s="147" t="s">
        <v>2683</v>
      </c>
      <c r="G563" s="150">
        <v>2.8993230107458778E7</v>
      </c>
      <c r="H563" s="150">
        <v>1.2726872899917431E7</v>
      </c>
      <c r="I563" s="151">
        <v>45357.0</v>
      </c>
      <c r="J563" s="151">
        <v>45389.0</v>
      </c>
      <c r="K563" s="152">
        <v>541579.5109577179</v>
      </c>
      <c r="L563" s="117" t="s">
        <v>137</v>
      </c>
      <c r="M563" s="117" t="s">
        <v>266</v>
      </c>
      <c r="N563" s="153"/>
      <c r="O563" s="153"/>
      <c r="P563" s="153"/>
      <c r="Q563" s="153"/>
      <c r="R563" s="153" t="str">
        <f t="shared" si="1"/>
        <v>2024</v>
      </c>
      <c r="S563" s="154">
        <f t="shared" si="2"/>
        <v>4</v>
      </c>
      <c r="T563" s="153" t="str">
        <f t="shared" si="3"/>
        <v>2024-Q2</v>
      </c>
      <c r="U563" s="153" t="str">
        <f t="shared" si="4"/>
        <v>2024-04</v>
      </c>
      <c r="V563" s="155" t="str">
        <f t="shared" si="5"/>
        <v>2024-H1</v>
      </c>
      <c r="W563" s="155"/>
    </row>
    <row r="564">
      <c r="A564" s="139">
        <f>HYPERLINK("https://polkadot.subsquare.io/referenda/556", 556)</f>
        <v>556</v>
      </c>
      <c r="B564" s="140" t="s">
        <v>2982</v>
      </c>
      <c r="C564" s="140" t="s">
        <v>2672</v>
      </c>
      <c r="D564" s="141">
        <v>0.0</v>
      </c>
      <c r="E564" s="142">
        <v>0.0</v>
      </c>
      <c r="F564" s="140" t="s">
        <v>2676</v>
      </c>
      <c r="G564" s="143">
        <v>6378737.315504522</v>
      </c>
      <c r="H564" s="143">
        <v>5.2604431923161075E7</v>
      </c>
      <c r="I564" s="144">
        <v>45357.0</v>
      </c>
      <c r="J564" s="144">
        <v>45385.0</v>
      </c>
      <c r="K564" s="145">
        <v>0.0</v>
      </c>
      <c r="L564" s="114"/>
      <c r="M564" s="114"/>
      <c r="N564" s="108"/>
      <c r="O564" s="108"/>
      <c r="P564" s="108"/>
      <c r="Q564" s="108"/>
      <c r="R564" s="108" t="str">
        <f t="shared" si="1"/>
        <v>2024</v>
      </c>
      <c r="S564" s="110">
        <f t="shared" si="2"/>
        <v>4</v>
      </c>
      <c r="T564" s="108" t="str">
        <f t="shared" si="3"/>
        <v>2024-Q2</v>
      </c>
      <c r="U564" s="108" t="str">
        <f t="shared" si="4"/>
        <v>2024-04</v>
      </c>
      <c r="V564" s="112" t="str">
        <f t="shared" si="5"/>
        <v>2024-H1</v>
      </c>
      <c r="W564" s="156" t="s">
        <v>2654</v>
      </c>
    </row>
    <row r="565">
      <c r="A565" s="146">
        <f>HYPERLINK("https://polkadot.subsquare.io/referenda/557", 557)</f>
        <v>557</v>
      </c>
      <c r="B565" s="147" t="s">
        <v>2983</v>
      </c>
      <c r="C565" s="147" t="s">
        <v>2681</v>
      </c>
      <c r="D565" s="148">
        <v>0.0</v>
      </c>
      <c r="E565" s="149">
        <v>0.0</v>
      </c>
      <c r="F565" s="147" t="s">
        <v>2683</v>
      </c>
      <c r="G565" s="150">
        <v>4.114682858828724E7</v>
      </c>
      <c r="H565" s="150">
        <v>3656734.4859848544</v>
      </c>
      <c r="I565" s="151">
        <v>45357.0</v>
      </c>
      <c r="J565" s="151">
        <v>45380.0</v>
      </c>
      <c r="K565" s="152">
        <v>0.0</v>
      </c>
      <c r="L565" s="117" t="s">
        <v>137</v>
      </c>
      <c r="M565" s="117" t="s">
        <v>243</v>
      </c>
      <c r="N565" s="153"/>
      <c r="O565" s="153" t="s">
        <v>2654</v>
      </c>
      <c r="P565" s="153" t="s">
        <v>2654</v>
      </c>
      <c r="Q565" s="153"/>
      <c r="R565" s="153" t="str">
        <f t="shared" si="1"/>
        <v>2024</v>
      </c>
      <c r="S565" s="154">
        <f t="shared" si="2"/>
        <v>3</v>
      </c>
      <c r="T565" s="153" t="str">
        <f t="shared" si="3"/>
        <v>2024-Q1</v>
      </c>
      <c r="U565" s="153" t="str">
        <f t="shared" si="4"/>
        <v>2024-03</v>
      </c>
      <c r="V565" s="155" t="str">
        <f t="shared" si="5"/>
        <v>2024-H1</v>
      </c>
      <c r="W565" s="155"/>
    </row>
    <row r="566">
      <c r="A566" s="139">
        <f>HYPERLINK("https://polkadot.subsquare.io/referenda/558", 558)</f>
        <v>558</v>
      </c>
      <c r="B566" s="140" t="s">
        <v>2984</v>
      </c>
      <c r="C566" s="140" t="s">
        <v>2681</v>
      </c>
      <c r="D566" s="141">
        <v>0.0</v>
      </c>
      <c r="E566" s="142">
        <v>0.0</v>
      </c>
      <c r="F566" s="140" t="s">
        <v>2683</v>
      </c>
      <c r="G566" s="143">
        <v>5.3068844008963026E7</v>
      </c>
      <c r="H566" s="143">
        <v>3660220.937915298</v>
      </c>
      <c r="I566" s="144">
        <v>45357.0</v>
      </c>
      <c r="J566" s="144">
        <v>45378.0</v>
      </c>
      <c r="K566" s="145">
        <v>0.0</v>
      </c>
      <c r="L566" s="114" t="s">
        <v>81</v>
      </c>
      <c r="M566" s="114" t="s">
        <v>231</v>
      </c>
      <c r="N566" s="108"/>
      <c r="O566" s="108" t="s">
        <v>2654</v>
      </c>
      <c r="P566" s="108" t="s">
        <v>2654</v>
      </c>
      <c r="Q566" s="108"/>
      <c r="R566" s="108" t="str">
        <f t="shared" si="1"/>
        <v>2024</v>
      </c>
      <c r="S566" s="110">
        <f t="shared" si="2"/>
        <v>3</v>
      </c>
      <c r="T566" s="108" t="str">
        <f t="shared" si="3"/>
        <v>2024-Q1</v>
      </c>
      <c r="U566" s="108" t="str">
        <f t="shared" si="4"/>
        <v>2024-03</v>
      </c>
      <c r="V566" s="112" t="str">
        <f t="shared" si="5"/>
        <v>2024-H1</v>
      </c>
      <c r="W566" s="112"/>
    </row>
    <row r="567">
      <c r="A567" s="146">
        <f>HYPERLINK("https://polkadot.subsquare.io/referenda/559", 559)</f>
        <v>559</v>
      </c>
      <c r="B567" s="147" t="s">
        <v>414</v>
      </c>
      <c r="C567" s="147" t="s">
        <v>2681</v>
      </c>
      <c r="D567" s="148">
        <v>1000.0</v>
      </c>
      <c r="E567" s="149">
        <v>10522.542953491211</v>
      </c>
      <c r="F567" s="147" t="s">
        <v>2699</v>
      </c>
      <c r="G567" s="150">
        <v>2.260301831403366E7</v>
      </c>
      <c r="H567" s="150">
        <v>23028.0</v>
      </c>
      <c r="I567" s="151">
        <v>45357.0</v>
      </c>
      <c r="J567" s="151">
        <v>45360.0</v>
      </c>
      <c r="K567" s="152">
        <v>10726.625442504883</v>
      </c>
      <c r="L567" s="117" t="s">
        <v>81</v>
      </c>
      <c r="M567" s="117" t="s">
        <v>179</v>
      </c>
      <c r="N567" s="153"/>
      <c r="O567" s="153"/>
      <c r="P567" s="153"/>
      <c r="Q567" s="153"/>
      <c r="R567" s="153" t="str">
        <f t="shared" si="1"/>
        <v>2024</v>
      </c>
      <c r="S567" s="154">
        <f t="shared" si="2"/>
        <v>3</v>
      </c>
      <c r="T567" s="153" t="str">
        <f t="shared" si="3"/>
        <v>2024-Q1</v>
      </c>
      <c r="U567" s="153" t="str">
        <f t="shared" si="4"/>
        <v>2024-03</v>
      </c>
      <c r="V567" s="155" t="str">
        <f t="shared" si="5"/>
        <v>2024-H1</v>
      </c>
      <c r="W567" s="155"/>
    </row>
    <row r="568">
      <c r="A568" s="139">
        <f>HYPERLINK("https://polkadot.subsquare.io/referenda/560", 560)</f>
        <v>560</v>
      </c>
      <c r="B568" s="140" t="s">
        <v>2985</v>
      </c>
      <c r="C568" s="140" t="s">
        <v>2681</v>
      </c>
      <c r="D568" s="141">
        <v>1000000.0</v>
      </c>
      <c r="E568" s="142">
        <v>1.0522542953491211E7</v>
      </c>
      <c r="F568" s="140" t="s">
        <v>2676</v>
      </c>
      <c r="G568" s="143">
        <v>5.649735380051413E7</v>
      </c>
      <c r="H568" s="143">
        <v>9316324.400581703</v>
      </c>
      <c r="I568" s="144">
        <v>45357.0</v>
      </c>
      <c r="J568" s="144">
        <v>45385.0</v>
      </c>
      <c r="K568" s="145">
        <v>8389035.22491455</v>
      </c>
      <c r="L568" s="114" t="s">
        <v>83</v>
      </c>
      <c r="M568" s="114" t="s">
        <v>2986</v>
      </c>
      <c r="N568" s="108" t="s">
        <v>2654</v>
      </c>
      <c r="O568" s="108"/>
      <c r="P568" s="108"/>
      <c r="Q568" s="108"/>
      <c r="R568" s="108" t="str">
        <f t="shared" si="1"/>
        <v>2024</v>
      </c>
      <c r="S568" s="110">
        <f t="shared" si="2"/>
        <v>4</v>
      </c>
      <c r="T568" s="108" t="str">
        <f t="shared" si="3"/>
        <v>2024-Q2</v>
      </c>
      <c r="U568" s="108" t="str">
        <f t="shared" si="4"/>
        <v>2024-04</v>
      </c>
      <c r="V568" s="112" t="str">
        <f t="shared" si="5"/>
        <v>2024-H1</v>
      </c>
      <c r="W568" s="112"/>
    </row>
    <row r="569">
      <c r="A569" s="146">
        <f>HYPERLINK("https://polkadot.subsquare.io/referenda/561", 561)</f>
        <v>561</v>
      </c>
      <c r="B569" s="147" t="s">
        <v>415</v>
      </c>
      <c r="C569" s="147" t="s">
        <v>2681</v>
      </c>
      <c r="D569" s="148">
        <v>999999.9999999999</v>
      </c>
      <c r="E569" s="149">
        <v>1.052254295349121E7</v>
      </c>
      <c r="F569" s="147" t="s">
        <v>2676</v>
      </c>
      <c r="G569" s="150">
        <v>5.663275906343913E7</v>
      </c>
      <c r="H569" s="150">
        <v>9315169.344027791</v>
      </c>
      <c r="I569" s="151">
        <v>45357.0</v>
      </c>
      <c r="J569" s="151">
        <v>45385.0</v>
      </c>
      <c r="K569" s="152">
        <v>8389035.224914549</v>
      </c>
      <c r="L569" s="117" t="s">
        <v>83</v>
      </c>
      <c r="M569" s="117" t="s">
        <v>140</v>
      </c>
      <c r="N569" s="153"/>
      <c r="O569" s="153"/>
      <c r="P569" s="153"/>
      <c r="Q569" s="153"/>
      <c r="R569" s="153" t="str">
        <f t="shared" si="1"/>
        <v>2024</v>
      </c>
      <c r="S569" s="154">
        <f t="shared" si="2"/>
        <v>4</v>
      </c>
      <c r="T569" s="153" t="str">
        <f t="shared" si="3"/>
        <v>2024-Q2</v>
      </c>
      <c r="U569" s="153" t="str">
        <f t="shared" si="4"/>
        <v>2024-04</v>
      </c>
      <c r="V569" s="155" t="str">
        <f t="shared" si="5"/>
        <v>2024-H1</v>
      </c>
      <c r="W569" s="155"/>
    </row>
    <row r="570">
      <c r="A570" s="139">
        <f>HYPERLINK("https://polkadot.subsquare.io/referenda/562", 562)</f>
        <v>562</v>
      </c>
      <c r="B570" s="140" t="s">
        <v>2628</v>
      </c>
      <c r="C570" s="140" t="s">
        <v>2681</v>
      </c>
      <c r="D570" s="141">
        <v>0.0</v>
      </c>
      <c r="E570" s="142">
        <v>0.0</v>
      </c>
      <c r="F570" s="140" t="s">
        <v>2696</v>
      </c>
      <c r="G570" s="143">
        <v>6656004.024445286</v>
      </c>
      <c r="H570" s="143">
        <v>5886091.329236806</v>
      </c>
      <c r="I570" s="144">
        <v>45358.0</v>
      </c>
      <c r="J570" s="144">
        <v>45395.0</v>
      </c>
      <c r="K570" s="145">
        <v>0.0</v>
      </c>
      <c r="L570" s="114"/>
      <c r="M570" s="114"/>
      <c r="N570" s="108"/>
      <c r="O570" s="108" t="s">
        <v>2654</v>
      </c>
      <c r="P570" s="108" t="s">
        <v>2654</v>
      </c>
      <c r="Q570" s="108"/>
      <c r="R570" s="108" t="str">
        <f t="shared" si="1"/>
        <v>2024</v>
      </c>
      <c r="S570" s="110">
        <f t="shared" si="2"/>
        <v>4</v>
      </c>
      <c r="T570" s="108" t="str">
        <f t="shared" si="3"/>
        <v>2024-Q2</v>
      </c>
      <c r="U570" s="108" t="str">
        <f t="shared" si="4"/>
        <v>2024-04</v>
      </c>
      <c r="V570" s="112" t="str">
        <f t="shared" si="5"/>
        <v>2024-H1</v>
      </c>
      <c r="W570" s="112"/>
    </row>
    <row r="571">
      <c r="A571" s="146">
        <f>HYPERLINK("https://polkadot.subsquare.io/referenda/563", 563)</f>
        <v>563</v>
      </c>
      <c r="B571" s="159"/>
      <c r="C571" s="147" t="s">
        <v>2691</v>
      </c>
      <c r="D571" s="148">
        <v>0.0</v>
      </c>
      <c r="E571" s="149">
        <v>0.0</v>
      </c>
      <c r="F571" s="147" t="s">
        <v>2802</v>
      </c>
      <c r="G571" s="150">
        <v>351354.5467962191</v>
      </c>
      <c r="H571" s="150">
        <v>2798853.017290459</v>
      </c>
      <c r="I571" s="151">
        <v>45359.0</v>
      </c>
      <c r="J571" s="151">
        <v>45373.0</v>
      </c>
      <c r="K571" s="152">
        <v>0.0</v>
      </c>
      <c r="L571" s="117"/>
      <c r="M571" s="117"/>
      <c r="N571" s="153"/>
      <c r="O571" s="153"/>
      <c r="P571" s="153"/>
      <c r="Q571" s="153"/>
      <c r="R571" s="153" t="str">
        <f t="shared" si="1"/>
        <v>2024</v>
      </c>
      <c r="S571" s="154">
        <f t="shared" si="2"/>
        <v>3</v>
      </c>
      <c r="T571" s="153" t="str">
        <f t="shared" si="3"/>
        <v>2024-Q1</v>
      </c>
      <c r="U571" s="153" t="str">
        <f t="shared" si="4"/>
        <v>2024-03</v>
      </c>
      <c r="V571" s="155" t="str">
        <f t="shared" si="5"/>
        <v>2024-H1</v>
      </c>
      <c r="W571" s="155"/>
    </row>
    <row r="572">
      <c r="A572" s="139">
        <f>HYPERLINK("https://polkadot.subsquare.io/referenda/564", 564)</f>
        <v>564</v>
      </c>
      <c r="B572" s="140" t="s">
        <v>2987</v>
      </c>
      <c r="C572" s="140" t="s">
        <v>2691</v>
      </c>
      <c r="D572" s="141">
        <v>31200.0</v>
      </c>
      <c r="E572" s="142">
        <v>320698.97689819336</v>
      </c>
      <c r="F572" s="140" t="s">
        <v>2802</v>
      </c>
      <c r="G572" s="143">
        <v>4080227.2882983503</v>
      </c>
      <c r="H572" s="143">
        <v>594274.4879075688</v>
      </c>
      <c r="I572" s="144">
        <v>45359.0</v>
      </c>
      <c r="J572" s="144">
        <v>45373.0</v>
      </c>
      <c r="K572" s="145">
        <v>292322.4540710449</v>
      </c>
      <c r="L572" s="114"/>
      <c r="M572" s="114"/>
      <c r="N572" s="108"/>
      <c r="O572" s="108"/>
      <c r="P572" s="108"/>
      <c r="Q572" s="108"/>
      <c r="R572" s="108" t="str">
        <f t="shared" si="1"/>
        <v>2024</v>
      </c>
      <c r="S572" s="110">
        <f t="shared" si="2"/>
        <v>3</v>
      </c>
      <c r="T572" s="108" t="str">
        <f t="shared" si="3"/>
        <v>2024-Q1</v>
      </c>
      <c r="U572" s="108" t="str">
        <f t="shared" si="4"/>
        <v>2024-03</v>
      </c>
      <c r="V572" s="112" t="str">
        <f t="shared" si="5"/>
        <v>2024-H1</v>
      </c>
      <c r="W572" s="112"/>
    </row>
    <row r="573">
      <c r="A573" s="146">
        <f>HYPERLINK("https://polkadot.subsquare.io/referenda/565", 565)</f>
        <v>565</v>
      </c>
      <c r="B573" s="147" t="s">
        <v>2988</v>
      </c>
      <c r="C573" s="147" t="s">
        <v>2672</v>
      </c>
      <c r="D573" s="148">
        <v>0.0</v>
      </c>
      <c r="E573" s="149">
        <v>0.0</v>
      </c>
      <c r="F573" s="147" t="s">
        <v>2683</v>
      </c>
      <c r="G573" s="150">
        <v>2.2019297241739362E7</v>
      </c>
      <c r="H573" s="150">
        <v>3.182076156662488E7</v>
      </c>
      <c r="I573" s="151">
        <v>45360.0</v>
      </c>
      <c r="J573" s="151">
        <v>45388.0</v>
      </c>
      <c r="K573" s="152">
        <v>0.0</v>
      </c>
      <c r="L573" s="117"/>
      <c r="M573" s="117"/>
      <c r="N573" s="153"/>
      <c r="O573" s="153"/>
      <c r="P573" s="153"/>
      <c r="Q573" s="153"/>
      <c r="R573" s="153" t="str">
        <f t="shared" si="1"/>
        <v>2024</v>
      </c>
      <c r="S573" s="154">
        <f t="shared" si="2"/>
        <v>4</v>
      </c>
      <c r="T573" s="153" t="str">
        <f t="shared" si="3"/>
        <v>2024-Q2</v>
      </c>
      <c r="U573" s="153" t="str">
        <f t="shared" si="4"/>
        <v>2024-04</v>
      </c>
      <c r="V573" s="155" t="str">
        <f t="shared" si="5"/>
        <v>2024-H1</v>
      </c>
      <c r="W573" s="158" t="s">
        <v>2654</v>
      </c>
    </row>
    <row r="574">
      <c r="A574" s="139">
        <f>HYPERLINK("https://polkadot.subsquare.io/referenda/566", 566)</f>
        <v>566</v>
      </c>
      <c r="B574" s="162"/>
      <c r="C574" s="140" t="s">
        <v>2691</v>
      </c>
      <c r="D574" s="141">
        <v>6.621E-7</v>
      </c>
      <c r="E574" s="142">
        <v>7.102098705482483E-6</v>
      </c>
      <c r="F574" s="140" t="s">
        <v>2678</v>
      </c>
      <c r="G574" s="143">
        <v>0.0</v>
      </c>
      <c r="H574" s="143">
        <v>2.1916057864740487E7</v>
      </c>
      <c r="I574" s="144">
        <v>45360.0</v>
      </c>
      <c r="J574" s="144">
        <v>45374.0</v>
      </c>
      <c r="K574" s="145">
        <v>6.416129473114013E-6</v>
      </c>
      <c r="L574" s="114"/>
      <c r="M574" s="114"/>
      <c r="N574" s="108"/>
      <c r="O574" s="108"/>
      <c r="P574" s="108"/>
      <c r="Q574" s="108"/>
      <c r="R574" s="108" t="str">
        <f t="shared" si="1"/>
        <v>2024</v>
      </c>
      <c r="S574" s="110">
        <f t="shared" si="2"/>
        <v>3</v>
      </c>
      <c r="T574" s="108" t="str">
        <f t="shared" si="3"/>
        <v>2024-Q1</v>
      </c>
      <c r="U574" s="108" t="str">
        <f t="shared" si="4"/>
        <v>2024-03</v>
      </c>
      <c r="V574" s="112" t="str">
        <f t="shared" si="5"/>
        <v>2024-H1</v>
      </c>
      <c r="W574" s="112"/>
    </row>
    <row r="575">
      <c r="A575" s="146">
        <f>HYPERLINK("https://polkadot.subsquare.io/referenda/567", 567)</f>
        <v>567</v>
      </c>
      <c r="B575" s="147" t="s">
        <v>416</v>
      </c>
      <c r="C575" s="147" t="s">
        <v>2681</v>
      </c>
      <c r="D575" s="148">
        <v>7215.0</v>
      </c>
      <c r="E575" s="149">
        <v>77392.60256767273</v>
      </c>
      <c r="F575" s="147" t="s">
        <v>2678</v>
      </c>
      <c r="G575" s="150">
        <v>5.5976035508463316E7</v>
      </c>
      <c r="H575" s="150">
        <v>392707.2075987436</v>
      </c>
      <c r="I575" s="151">
        <v>45360.0</v>
      </c>
      <c r="J575" s="151">
        <v>45374.0</v>
      </c>
      <c r="K575" s="152">
        <v>69917.49607086182</v>
      </c>
      <c r="L575" s="117" t="s">
        <v>81</v>
      </c>
      <c r="M575" s="117" t="s">
        <v>231</v>
      </c>
      <c r="N575" s="153"/>
      <c r="O575" s="153"/>
      <c r="P575" s="153"/>
      <c r="Q575" s="153"/>
      <c r="R575" s="153" t="str">
        <f t="shared" si="1"/>
        <v>2024</v>
      </c>
      <c r="S575" s="154">
        <f t="shared" si="2"/>
        <v>3</v>
      </c>
      <c r="T575" s="153" t="str">
        <f t="shared" si="3"/>
        <v>2024-Q1</v>
      </c>
      <c r="U575" s="153" t="str">
        <f t="shared" si="4"/>
        <v>2024-03</v>
      </c>
      <c r="V575" s="155" t="str">
        <f t="shared" si="5"/>
        <v>2024-H1</v>
      </c>
      <c r="W575" s="155"/>
    </row>
    <row r="576">
      <c r="A576" s="139">
        <f>HYPERLINK("https://polkadot.subsquare.io/referenda/568", 568)</f>
        <v>568</v>
      </c>
      <c r="B576" s="140" t="s">
        <v>417</v>
      </c>
      <c r="C576" s="140" t="s">
        <v>2681</v>
      </c>
      <c r="D576" s="141">
        <v>9500.0</v>
      </c>
      <c r="E576" s="142">
        <v>101902.94170379639</v>
      </c>
      <c r="F576" s="140" t="s">
        <v>2678</v>
      </c>
      <c r="G576" s="143">
        <v>2.055178827516754E7</v>
      </c>
      <c r="H576" s="143">
        <v>6521571.552653668</v>
      </c>
      <c r="I576" s="144">
        <v>45360.0</v>
      </c>
      <c r="J576" s="144">
        <v>45384.0</v>
      </c>
      <c r="K576" s="145">
        <v>79695.83463668823</v>
      </c>
      <c r="L576" s="114" t="s">
        <v>82</v>
      </c>
      <c r="M576" s="114" t="s">
        <v>150</v>
      </c>
      <c r="N576" s="108"/>
      <c r="O576" s="108"/>
      <c r="P576" s="108"/>
      <c r="Q576" s="108"/>
      <c r="R576" s="108" t="str">
        <f t="shared" si="1"/>
        <v>2024</v>
      </c>
      <c r="S576" s="110">
        <f t="shared" si="2"/>
        <v>4</v>
      </c>
      <c r="T576" s="108" t="str">
        <f t="shared" si="3"/>
        <v>2024-Q2</v>
      </c>
      <c r="U576" s="108" t="str">
        <f t="shared" si="4"/>
        <v>2024-04</v>
      </c>
      <c r="V576" s="112" t="str">
        <f t="shared" si="5"/>
        <v>2024-H1</v>
      </c>
      <c r="W576" s="112"/>
    </row>
    <row r="577">
      <c r="A577" s="146">
        <f>HYPERLINK("https://polkadot.subsquare.io/referenda/569", 569)</f>
        <v>569</v>
      </c>
      <c r="B577" s="147" t="s">
        <v>418</v>
      </c>
      <c r="C577" s="147" t="s">
        <v>2681</v>
      </c>
      <c r="D577" s="148">
        <v>900.0</v>
      </c>
      <c r="E577" s="149">
        <v>9653.962898254395</v>
      </c>
      <c r="F577" s="147" t="s">
        <v>2699</v>
      </c>
      <c r="G577" s="150">
        <v>2.1772603304757383E7</v>
      </c>
      <c r="H577" s="150">
        <v>38053.2</v>
      </c>
      <c r="I577" s="151">
        <v>45361.0</v>
      </c>
      <c r="J577" s="151">
        <v>45364.0</v>
      </c>
      <c r="K577" s="152">
        <v>8727.157974243164</v>
      </c>
      <c r="L577" s="117" t="s">
        <v>137</v>
      </c>
      <c r="M577" s="117" t="s">
        <v>138</v>
      </c>
      <c r="N577" s="153"/>
      <c r="O577" s="153"/>
      <c r="P577" s="153"/>
      <c r="Q577" s="153"/>
      <c r="R577" s="153" t="str">
        <f t="shared" si="1"/>
        <v>2024</v>
      </c>
      <c r="S577" s="154">
        <f t="shared" si="2"/>
        <v>3</v>
      </c>
      <c r="T577" s="153" t="str">
        <f t="shared" si="3"/>
        <v>2024-Q1</v>
      </c>
      <c r="U577" s="153" t="str">
        <f t="shared" si="4"/>
        <v>2024-03</v>
      </c>
      <c r="V577" s="155" t="str">
        <f t="shared" si="5"/>
        <v>2024-H1</v>
      </c>
      <c r="W577" s="155"/>
    </row>
    <row r="578">
      <c r="A578" s="139">
        <f>HYPERLINK("https://polkadot.subsquare.io/referenda/570", 570)</f>
        <v>570</v>
      </c>
      <c r="B578" s="140" t="s">
        <v>2989</v>
      </c>
      <c r="C578" s="140" t="s">
        <v>2691</v>
      </c>
      <c r="D578" s="141">
        <v>0.0</v>
      </c>
      <c r="E578" s="142">
        <v>0.0</v>
      </c>
      <c r="F578" s="140" t="s">
        <v>2682</v>
      </c>
      <c r="G578" s="143">
        <v>159023.2204742318</v>
      </c>
      <c r="H578" s="143">
        <v>3724517.3345806785</v>
      </c>
      <c r="I578" s="144">
        <v>45361.0</v>
      </c>
      <c r="J578" s="144">
        <v>45375.0</v>
      </c>
      <c r="K578" s="145">
        <v>0.0</v>
      </c>
      <c r="L578" s="114"/>
      <c r="M578" s="114"/>
      <c r="N578" s="108"/>
      <c r="O578" s="108"/>
      <c r="P578" s="108"/>
      <c r="Q578" s="108"/>
      <c r="R578" s="108" t="str">
        <f t="shared" si="1"/>
        <v>2024</v>
      </c>
      <c r="S578" s="110">
        <f t="shared" si="2"/>
        <v>3</v>
      </c>
      <c r="T578" s="108" t="str">
        <f t="shared" si="3"/>
        <v>2024-Q1</v>
      </c>
      <c r="U578" s="108" t="str">
        <f t="shared" si="4"/>
        <v>2024-03</v>
      </c>
      <c r="V578" s="112" t="str">
        <f t="shared" si="5"/>
        <v>2024-H1</v>
      </c>
      <c r="W578" s="156" t="s">
        <v>2654</v>
      </c>
    </row>
    <row r="579">
      <c r="A579" s="146">
        <f>HYPERLINK("https://polkadot.subsquare.io/referenda/571", 571)</f>
        <v>571</v>
      </c>
      <c r="B579" s="159"/>
      <c r="C579" s="147" t="s">
        <v>2681</v>
      </c>
      <c r="D579" s="148">
        <v>20.0</v>
      </c>
      <c r="E579" s="149">
        <v>214.53250885009766</v>
      </c>
      <c r="F579" s="147" t="s">
        <v>186</v>
      </c>
      <c r="G579" s="150">
        <v>1.5509676192860667E7</v>
      </c>
      <c r="H579" s="150">
        <v>23.1</v>
      </c>
      <c r="I579" s="151">
        <v>45361.0</v>
      </c>
      <c r="J579" s="151">
        <v>45363.0</v>
      </c>
      <c r="K579" s="152">
        <v>216.76727294921875</v>
      </c>
      <c r="L579" s="117" t="s">
        <v>81</v>
      </c>
      <c r="M579" s="117" t="s">
        <v>185</v>
      </c>
      <c r="N579" s="153"/>
      <c r="O579" s="153"/>
      <c r="P579" s="153"/>
      <c r="Q579" s="153"/>
      <c r="R579" s="153" t="str">
        <f t="shared" si="1"/>
        <v>2024</v>
      </c>
      <c r="S579" s="154">
        <f t="shared" si="2"/>
        <v>3</v>
      </c>
      <c r="T579" s="153" t="str">
        <f t="shared" si="3"/>
        <v>2024-Q1</v>
      </c>
      <c r="U579" s="153" t="str">
        <f t="shared" si="4"/>
        <v>2024-03</v>
      </c>
      <c r="V579" s="155" t="str">
        <f t="shared" si="5"/>
        <v>2024-H1</v>
      </c>
      <c r="W579" s="155"/>
    </row>
    <row r="580">
      <c r="A580" s="139">
        <f>HYPERLINK("https://polkadot.subsquare.io/referenda/572", 572)</f>
        <v>572</v>
      </c>
      <c r="B580" s="140" t="s">
        <v>2990</v>
      </c>
      <c r="C580" s="140" t="s">
        <v>2672</v>
      </c>
      <c r="D580" s="141">
        <v>3.1474E-6</v>
      </c>
      <c r="E580" s="142">
        <v>3.563197384929657E-5</v>
      </c>
      <c r="F580" s="140" t="s">
        <v>2683</v>
      </c>
      <c r="G580" s="143">
        <v>5272.33429015</v>
      </c>
      <c r="H580" s="143">
        <v>3.1452291738306064E7</v>
      </c>
      <c r="I580" s="144">
        <v>45361.0</v>
      </c>
      <c r="J580" s="144">
        <v>45389.0</v>
      </c>
      <c r="K580" s="145">
        <v>2.6497650403213502E-5</v>
      </c>
      <c r="L580" s="114"/>
      <c r="M580" s="114"/>
      <c r="N580" s="108"/>
      <c r="O580" s="108"/>
      <c r="P580" s="108"/>
      <c r="Q580" s="108"/>
      <c r="R580" s="108" t="str">
        <f t="shared" si="1"/>
        <v>2024</v>
      </c>
      <c r="S580" s="110">
        <f t="shared" si="2"/>
        <v>4</v>
      </c>
      <c r="T580" s="108" t="str">
        <f t="shared" si="3"/>
        <v>2024-Q2</v>
      </c>
      <c r="U580" s="108" t="str">
        <f t="shared" si="4"/>
        <v>2024-04</v>
      </c>
      <c r="V580" s="112" t="str">
        <f t="shared" si="5"/>
        <v>2024-H1</v>
      </c>
      <c r="W580" s="156" t="s">
        <v>2654</v>
      </c>
    </row>
    <row r="581">
      <c r="A581" s="146">
        <f>HYPERLINK("https://polkadot.subsquare.io/referenda/573", 573)</f>
        <v>573</v>
      </c>
      <c r="B581" s="147" t="s">
        <v>419</v>
      </c>
      <c r="C581" s="147" t="s">
        <v>2681</v>
      </c>
      <c r="D581" s="148">
        <v>31474.0</v>
      </c>
      <c r="E581" s="149">
        <v>356319.7384929657</v>
      </c>
      <c r="F581" s="147" t="s">
        <v>2683</v>
      </c>
      <c r="G581" s="150">
        <v>2.668803964254866E7</v>
      </c>
      <c r="H581" s="150">
        <v>178421.2</v>
      </c>
      <c r="I581" s="151">
        <v>45361.0</v>
      </c>
      <c r="J581" s="151">
        <v>45388.0</v>
      </c>
      <c r="K581" s="152">
        <v>272566.48607444763</v>
      </c>
      <c r="L581" s="117" t="s">
        <v>137</v>
      </c>
      <c r="M581" s="117" t="s">
        <v>138</v>
      </c>
      <c r="N581" s="153"/>
      <c r="O581" s="153"/>
      <c r="P581" s="153"/>
      <c r="Q581" s="153"/>
      <c r="R581" s="153" t="str">
        <f t="shared" si="1"/>
        <v>2024</v>
      </c>
      <c r="S581" s="154">
        <f t="shared" si="2"/>
        <v>4</v>
      </c>
      <c r="T581" s="153" t="str">
        <f t="shared" si="3"/>
        <v>2024-Q2</v>
      </c>
      <c r="U581" s="153" t="str">
        <f t="shared" si="4"/>
        <v>2024-04</v>
      </c>
      <c r="V581" s="155" t="str">
        <f t="shared" si="5"/>
        <v>2024-H1</v>
      </c>
      <c r="W581" s="155"/>
    </row>
    <row r="582">
      <c r="A582" s="139">
        <f>HYPERLINK("https://polkadot.subsquare.io/referenda/574", 574)</f>
        <v>574</v>
      </c>
      <c r="B582" s="140" t="s">
        <v>2991</v>
      </c>
      <c r="C582" s="140" t="s">
        <v>2681</v>
      </c>
      <c r="D582" s="141">
        <v>84476.0</v>
      </c>
      <c r="E582" s="142">
        <v>975098.1887435913</v>
      </c>
      <c r="F582" s="140" t="s">
        <v>2683</v>
      </c>
      <c r="G582" s="143">
        <v>2.7123074765413158E7</v>
      </c>
      <c r="H582" s="143">
        <v>5540634.367341298</v>
      </c>
      <c r="I582" s="144">
        <v>45362.0</v>
      </c>
      <c r="J582" s="144">
        <v>45392.0</v>
      </c>
      <c r="K582" s="145">
        <v>611698.2231445312</v>
      </c>
      <c r="L582" s="114" t="s">
        <v>84</v>
      </c>
      <c r="M582" s="114" t="s">
        <v>191</v>
      </c>
      <c r="N582" s="108" t="s">
        <v>2654</v>
      </c>
      <c r="O582" s="108" t="s">
        <v>2654</v>
      </c>
      <c r="P582" s="108" t="s">
        <v>2654</v>
      </c>
      <c r="Q582" s="108"/>
      <c r="R582" s="108" t="str">
        <f t="shared" si="1"/>
        <v>2024</v>
      </c>
      <c r="S582" s="110">
        <f t="shared" si="2"/>
        <v>4</v>
      </c>
      <c r="T582" s="108" t="str">
        <f t="shared" si="3"/>
        <v>2024-Q2</v>
      </c>
      <c r="U582" s="108" t="str">
        <f t="shared" si="4"/>
        <v>2024-04</v>
      </c>
      <c r="V582" s="112" t="str">
        <f t="shared" si="5"/>
        <v>2024-H1</v>
      </c>
      <c r="W582" s="112"/>
    </row>
    <row r="583">
      <c r="A583" s="146">
        <f>HYPERLINK("https://polkadot.subsquare.io/referenda/575", 575)</f>
        <v>575</v>
      </c>
      <c r="B583" s="147" t="s">
        <v>2992</v>
      </c>
      <c r="C583" s="147" t="s">
        <v>2672</v>
      </c>
      <c r="D583" s="148">
        <v>620.0</v>
      </c>
      <c r="E583" s="149">
        <v>7156.599235534668</v>
      </c>
      <c r="F583" s="147" t="s">
        <v>2699</v>
      </c>
      <c r="G583" s="150">
        <v>6301797.348995305</v>
      </c>
      <c r="H583" s="150">
        <v>1.3916645983815167E7</v>
      </c>
      <c r="I583" s="151">
        <v>45362.0</v>
      </c>
      <c r="J583" s="151">
        <v>45369.0</v>
      </c>
      <c r="K583" s="152">
        <v>5687.193984985352</v>
      </c>
      <c r="L583" s="117"/>
      <c r="M583" s="117"/>
      <c r="N583" s="153"/>
      <c r="O583" s="153"/>
      <c r="P583" s="153"/>
      <c r="Q583" s="153"/>
      <c r="R583" s="153" t="str">
        <f t="shared" si="1"/>
        <v>2024</v>
      </c>
      <c r="S583" s="154">
        <f t="shared" si="2"/>
        <v>3</v>
      </c>
      <c r="T583" s="153" t="str">
        <f t="shared" si="3"/>
        <v>2024-Q1</v>
      </c>
      <c r="U583" s="153" t="str">
        <f t="shared" si="4"/>
        <v>2024-03</v>
      </c>
      <c r="V583" s="155" t="str">
        <f t="shared" si="5"/>
        <v>2024-H1</v>
      </c>
      <c r="W583" s="155"/>
    </row>
    <row r="584">
      <c r="A584" s="139">
        <f>HYPERLINK("https://polkadot.subsquare.io/referenda/576", 576)</f>
        <v>576</v>
      </c>
      <c r="B584" s="140" t="s">
        <v>420</v>
      </c>
      <c r="C584" s="140" t="s">
        <v>2681</v>
      </c>
      <c r="D584" s="141">
        <v>11121.0</v>
      </c>
      <c r="E584" s="142">
        <v>120533.44212341309</v>
      </c>
      <c r="F584" s="140" t="s">
        <v>2683</v>
      </c>
      <c r="G584" s="143">
        <v>3.858853669086745E7</v>
      </c>
      <c r="H584" s="143">
        <v>372833.5199173186</v>
      </c>
      <c r="I584" s="144">
        <v>45363.0</v>
      </c>
      <c r="J584" s="144">
        <v>45388.0</v>
      </c>
      <c r="K584" s="145">
        <v>100585.54290962219</v>
      </c>
      <c r="L584" s="114" t="s">
        <v>85</v>
      </c>
      <c r="M584" s="114" t="s">
        <v>85</v>
      </c>
      <c r="N584" s="108"/>
      <c r="O584" s="108"/>
      <c r="P584" s="108" t="s">
        <v>2654</v>
      </c>
      <c r="Q584" s="108"/>
      <c r="R584" s="108" t="str">
        <f t="shared" si="1"/>
        <v>2024</v>
      </c>
      <c r="S584" s="110">
        <f t="shared" si="2"/>
        <v>4</v>
      </c>
      <c r="T584" s="108" t="str">
        <f t="shared" si="3"/>
        <v>2024-Q2</v>
      </c>
      <c r="U584" s="108" t="str">
        <f t="shared" si="4"/>
        <v>2024-04</v>
      </c>
      <c r="V584" s="112" t="str">
        <f t="shared" si="5"/>
        <v>2024-H1</v>
      </c>
      <c r="W584" s="112"/>
    </row>
    <row r="585">
      <c r="A585" s="146">
        <f>HYPERLINK("https://polkadot.subsquare.io/referenda/577", 577)</f>
        <v>577</v>
      </c>
      <c r="B585" s="147" t="s">
        <v>2993</v>
      </c>
      <c r="C585" s="147" t="s">
        <v>2672</v>
      </c>
      <c r="D585" s="148">
        <v>97747.61</v>
      </c>
      <c r="E585" s="149">
        <v>1059424.1428501892</v>
      </c>
      <c r="F585" s="147" t="s">
        <v>2683</v>
      </c>
      <c r="G585" s="150">
        <v>2.6266859183600828E7</v>
      </c>
      <c r="H585" s="150">
        <v>3.1948772835707758E7</v>
      </c>
      <c r="I585" s="151">
        <v>45363.0</v>
      </c>
      <c r="J585" s="151">
        <v>45392.0</v>
      </c>
      <c r="K585" s="152">
        <v>707799.1305651856</v>
      </c>
      <c r="L585" s="117"/>
      <c r="M585" s="117"/>
      <c r="N585" s="153"/>
      <c r="O585" s="153"/>
      <c r="P585" s="153"/>
      <c r="Q585" s="153"/>
      <c r="R585" s="153" t="str">
        <f t="shared" si="1"/>
        <v>2024</v>
      </c>
      <c r="S585" s="154">
        <f t="shared" si="2"/>
        <v>4</v>
      </c>
      <c r="T585" s="153" t="str">
        <f t="shared" si="3"/>
        <v>2024-Q2</v>
      </c>
      <c r="U585" s="153" t="str">
        <f t="shared" si="4"/>
        <v>2024-04</v>
      </c>
      <c r="V585" s="155" t="str">
        <f t="shared" si="5"/>
        <v>2024-H1</v>
      </c>
      <c r="W585" s="155"/>
    </row>
    <row r="586">
      <c r="A586" s="139">
        <f>HYPERLINK("https://polkadot.subsquare.io/referenda/578", 578)</f>
        <v>578</v>
      </c>
      <c r="B586" s="140" t="s">
        <v>186</v>
      </c>
      <c r="C586" s="140" t="s">
        <v>2681</v>
      </c>
      <c r="D586" s="141">
        <v>20.0</v>
      </c>
      <c r="E586" s="142">
        <v>216.76727294921875</v>
      </c>
      <c r="F586" s="140" t="s">
        <v>186</v>
      </c>
      <c r="G586" s="143">
        <v>1.983412784100694E7</v>
      </c>
      <c r="H586" s="143">
        <v>5023.1</v>
      </c>
      <c r="I586" s="144">
        <v>45364.0</v>
      </c>
      <c r="J586" s="144">
        <v>45366.0</v>
      </c>
      <c r="K586" s="145">
        <v>198.14796447753906</v>
      </c>
      <c r="L586" s="114" t="s">
        <v>81</v>
      </c>
      <c r="M586" s="114" t="s">
        <v>185</v>
      </c>
      <c r="N586" s="108"/>
      <c r="O586" s="108"/>
      <c r="P586" s="108"/>
      <c r="Q586" s="108"/>
      <c r="R586" s="108" t="str">
        <f t="shared" si="1"/>
        <v>2024</v>
      </c>
      <c r="S586" s="110">
        <f t="shared" si="2"/>
        <v>3</v>
      </c>
      <c r="T586" s="108" t="str">
        <f t="shared" si="3"/>
        <v>2024-Q1</v>
      </c>
      <c r="U586" s="108" t="str">
        <f t="shared" si="4"/>
        <v>2024-03</v>
      </c>
      <c r="V586" s="112" t="str">
        <f t="shared" si="5"/>
        <v>2024-H1</v>
      </c>
      <c r="W586" s="112"/>
    </row>
    <row r="587">
      <c r="A587" s="146">
        <f>HYPERLINK("https://polkadot.subsquare.io/referenda/579", 579)</f>
        <v>579</v>
      </c>
      <c r="B587" s="147" t="s">
        <v>186</v>
      </c>
      <c r="C587" s="147" t="s">
        <v>2681</v>
      </c>
      <c r="D587" s="148">
        <v>20.0</v>
      </c>
      <c r="E587" s="149">
        <v>216.76727294921875</v>
      </c>
      <c r="F587" s="147" t="s">
        <v>186</v>
      </c>
      <c r="G587" s="150">
        <v>1.982902712300694E7</v>
      </c>
      <c r="H587" s="150">
        <v>5005.0</v>
      </c>
      <c r="I587" s="151">
        <v>45364.0</v>
      </c>
      <c r="J587" s="151">
        <v>45366.0</v>
      </c>
      <c r="K587" s="152">
        <v>198.14796447753906</v>
      </c>
      <c r="L587" s="117" t="s">
        <v>81</v>
      </c>
      <c r="M587" s="117" t="s">
        <v>185</v>
      </c>
      <c r="N587" s="153"/>
      <c r="O587" s="153"/>
      <c r="P587" s="153"/>
      <c r="Q587" s="153"/>
      <c r="R587" s="153" t="str">
        <f t="shared" si="1"/>
        <v>2024</v>
      </c>
      <c r="S587" s="154">
        <f t="shared" si="2"/>
        <v>3</v>
      </c>
      <c r="T587" s="153" t="str">
        <f t="shared" si="3"/>
        <v>2024-Q1</v>
      </c>
      <c r="U587" s="153" t="str">
        <f t="shared" si="4"/>
        <v>2024-03</v>
      </c>
      <c r="V587" s="155" t="str">
        <f t="shared" si="5"/>
        <v>2024-H1</v>
      </c>
      <c r="W587" s="155"/>
    </row>
    <row r="588">
      <c r="A588" s="139">
        <f>HYPERLINK("https://polkadot.subsquare.io/referenda/580", 580)</f>
        <v>580</v>
      </c>
      <c r="B588" s="140" t="s">
        <v>421</v>
      </c>
      <c r="C588" s="140" t="s">
        <v>2681</v>
      </c>
      <c r="D588" s="141">
        <v>1000000.0</v>
      </c>
      <c r="E588" s="142">
        <v>1.0838363647460938E7</v>
      </c>
      <c r="F588" s="140" t="s">
        <v>2676</v>
      </c>
      <c r="G588" s="143">
        <v>4.3585097631919436E7</v>
      </c>
      <c r="H588" s="143">
        <v>1.3476547122945933E7</v>
      </c>
      <c r="I588" s="144">
        <v>45364.0</v>
      </c>
      <c r="J588" s="144">
        <v>45393.0</v>
      </c>
      <c r="K588" s="145">
        <v>6869346.141815186</v>
      </c>
      <c r="L588" s="114" t="s">
        <v>83</v>
      </c>
      <c r="M588" s="114" t="s">
        <v>140</v>
      </c>
      <c r="N588" s="108"/>
      <c r="O588" s="108"/>
      <c r="P588" s="108"/>
      <c r="Q588" s="108"/>
      <c r="R588" s="108" t="str">
        <f t="shared" si="1"/>
        <v>2024</v>
      </c>
      <c r="S588" s="110">
        <f t="shared" si="2"/>
        <v>4</v>
      </c>
      <c r="T588" s="108" t="str">
        <f t="shared" si="3"/>
        <v>2024-Q2</v>
      </c>
      <c r="U588" s="108" t="str">
        <f t="shared" si="4"/>
        <v>2024-04</v>
      </c>
      <c r="V588" s="112" t="str">
        <f t="shared" si="5"/>
        <v>2024-H1</v>
      </c>
      <c r="W588" s="112"/>
    </row>
    <row r="589">
      <c r="A589" s="146">
        <f>HYPERLINK("https://polkadot.subsquare.io/referenda/581", 581)</f>
        <v>581</v>
      </c>
      <c r="B589" s="147" t="s">
        <v>2994</v>
      </c>
      <c r="C589" s="147" t="s">
        <v>2681</v>
      </c>
      <c r="D589" s="148">
        <v>0.0</v>
      </c>
      <c r="E589" s="149">
        <v>0.0</v>
      </c>
      <c r="F589" s="147" t="s">
        <v>2682</v>
      </c>
      <c r="G589" s="150">
        <v>9.584684971349336E7</v>
      </c>
      <c r="H589" s="150">
        <v>33.3</v>
      </c>
      <c r="I589" s="151">
        <v>45366.0</v>
      </c>
      <c r="J589" s="151">
        <v>45383.0</v>
      </c>
      <c r="K589" s="152">
        <v>0.0</v>
      </c>
      <c r="L589" s="117"/>
      <c r="M589" s="117"/>
      <c r="N589" s="153"/>
      <c r="O589" s="153"/>
      <c r="P589" s="153"/>
      <c r="Q589" s="153"/>
      <c r="R589" s="153" t="str">
        <f t="shared" si="1"/>
        <v>2024</v>
      </c>
      <c r="S589" s="154">
        <f t="shared" si="2"/>
        <v>4</v>
      </c>
      <c r="T589" s="153" t="str">
        <f t="shared" si="3"/>
        <v>2024-Q2</v>
      </c>
      <c r="U589" s="153" t="str">
        <f t="shared" si="4"/>
        <v>2024-04</v>
      </c>
      <c r="V589" s="155" t="str">
        <f t="shared" si="5"/>
        <v>2024-H1</v>
      </c>
      <c r="W589" s="155"/>
    </row>
    <row r="590">
      <c r="A590" s="139">
        <f>HYPERLINK("https://polkadot.subsquare.io/referenda/582", 582)</f>
        <v>582</v>
      </c>
      <c r="B590" s="140" t="s">
        <v>422</v>
      </c>
      <c r="C590" s="140" t="s">
        <v>2681</v>
      </c>
      <c r="D590" s="141">
        <v>17406.0</v>
      </c>
      <c r="E590" s="142">
        <v>172448.17348480225</v>
      </c>
      <c r="F590" s="140" t="s">
        <v>2683</v>
      </c>
      <c r="G590" s="143">
        <v>4.06707686570151E7</v>
      </c>
      <c r="H590" s="143">
        <v>2.216339798449999E7</v>
      </c>
      <c r="I590" s="144">
        <v>45367.0</v>
      </c>
      <c r="J590" s="144">
        <v>45392.0</v>
      </c>
      <c r="K590" s="145">
        <v>111711.32175922394</v>
      </c>
      <c r="L590" s="114" t="s">
        <v>81</v>
      </c>
      <c r="M590" s="114" t="s">
        <v>179</v>
      </c>
      <c r="N590" s="108"/>
      <c r="O590" s="108"/>
      <c r="P590" s="108"/>
      <c r="Q590" s="108"/>
      <c r="R590" s="108" t="str">
        <f t="shared" si="1"/>
        <v>2024</v>
      </c>
      <c r="S590" s="110">
        <f t="shared" si="2"/>
        <v>4</v>
      </c>
      <c r="T590" s="108" t="str">
        <f t="shared" si="3"/>
        <v>2024-Q2</v>
      </c>
      <c r="U590" s="108" t="str">
        <f t="shared" si="4"/>
        <v>2024-04</v>
      </c>
      <c r="V590" s="112" t="str">
        <f t="shared" si="5"/>
        <v>2024-H1</v>
      </c>
      <c r="W590" s="112"/>
    </row>
    <row r="591">
      <c r="A591" s="146">
        <f>HYPERLINK("https://polkadot.subsquare.io/referenda/583", 583)</f>
        <v>583</v>
      </c>
      <c r="B591" s="147" t="s">
        <v>2995</v>
      </c>
      <c r="C591" s="147" t="s">
        <v>2672</v>
      </c>
      <c r="D591" s="148">
        <v>248929.562796</v>
      </c>
      <c r="E591" s="149">
        <v>2181708.172095138</v>
      </c>
      <c r="F591" s="147" t="s">
        <v>2676</v>
      </c>
      <c r="G591" s="150">
        <v>58275.5709033567</v>
      </c>
      <c r="H591" s="150">
        <v>3.921767729863275E7</v>
      </c>
      <c r="I591" s="151">
        <v>45367.0</v>
      </c>
      <c r="J591" s="151">
        <v>45396.0</v>
      </c>
      <c r="K591" s="152">
        <v>1667839.7744413202</v>
      </c>
      <c r="L591" s="117"/>
      <c r="M591" s="117"/>
      <c r="N591" s="153"/>
      <c r="O591" s="153"/>
      <c r="P591" s="153"/>
      <c r="Q591" s="153"/>
      <c r="R591" s="153" t="str">
        <f t="shared" si="1"/>
        <v>2024</v>
      </c>
      <c r="S591" s="154">
        <f t="shared" si="2"/>
        <v>4</v>
      </c>
      <c r="T591" s="153" t="str">
        <f t="shared" si="3"/>
        <v>2024-Q2</v>
      </c>
      <c r="U591" s="153" t="str">
        <f t="shared" si="4"/>
        <v>2024-04</v>
      </c>
      <c r="V591" s="155" t="str">
        <f t="shared" si="5"/>
        <v>2024-H1</v>
      </c>
      <c r="W591" s="158" t="s">
        <v>2654</v>
      </c>
    </row>
    <row r="592">
      <c r="A592" s="139">
        <f>HYPERLINK("https://polkadot.subsquare.io/referenda/584", 584)</f>
        <v>584</v>
      </c>
      <c r="B592" s="140" t="s">
        <v>423</v>
      </c>
      <c r="C592" s="140" t="s">
        <v>2681</v>
      </c>
      <c r="D592" s="141">
        <v>167214.563518</v>
      </c>
      <c r="E592" s="142">
        <v>1465528.5439902127</v>
      </c>
      <c r="F592" s="140" t="s">
        <v>2676</v>
      </c>
      <c r="G592" s="143">
        <v>4.811509113231536E7</v>
      </c>
      <c r="H592" s="143">
        <v>608418.2545786501</v>
      </c>
      <c r="I592" s="144">
        <v>45367.0</v>
      </c>
      <c r="J592" s="144">
        <v>45399.0</v>
      </c>
      <c r="K592" s="145">
        <v>1209674.120432971</v>
      </c>
      <c r="L592" s="114" t="s">
        <v>82</v>
      </c>
      <c r="M592" s="114" t="s">
        <v>150</v>
      </c>
      <c r="N592" s="108"/>
      <c r="O592" s="108"/>
      <c r="P592" s="108"/>
      <c r="Q592" s="108"/>
      <c r="R592" s="108" t="str">
        <f t="shared" si="1"/>
        <v>2024</v>
      </c>
      <c r="S592" s="110">
        <f t="shared" si="2"/>
        <v>4</v>
      </c>
      <c r="T592" s="108" t="str">
        <f t="shared" si="3"/>
        <v>2024-Q2</v>
      </c>
      <c r="U592" s="108" t="str">
        <f t="shared" si="4"/>
        <v>2024-04</v>
      </c>
      <c r="V592" s="112" t="str">
        <f t="shared" si="5"/>
        <v>2024-H1</v>
      </c>
      <c r="W592" s="112"/>
    </row>
    <row r="593">
      <c r="A593" s="146">
        <f>HYPERLINK("https://polkadot.subsquare.io/referenda/585", 585)</f>
        <v>585</v>
      </c>
      <c r="B593" s="147" t="s">
        <v>186</v>
      </c>
      <c r="C593" s="147" t="s">
        <v>2681</v>
      </c>
      <c r="D593" s="148">
        <v>80.0</v>
      </c>
      <c r="E593" s="149">
        <v>701.1487579345703</v>
      </c>
      <c r="F593" s="147" t="s">
        <v>186</v>
      </c>
      <c r="G593" s="150">
        <v>9840638.10170878</v>
      </c>
      <c r="H593" s="150">
        <v>47.0</v>
      </c>
      <c r="I593" s="151">
        <v>45367.0</v>
      </c>
      <c r="J593" s="151">
        <v>45370.0</v>
      </c>
      <c r="K593" s="152">
        <v>713.5406494140625</v>
      </c>
      <c r="L593" s="117" t="s">
        <v>81</v>
      </c>
      <c r="M593" s="117" t="s">
        <v>185</v>
      </c>
      <c r="N593" s="153"/>
      <c r="O593" s="153"/>
      <c r="P593" s="153"/>
      <c r="Q593" s="153"/>
      <c r="R593" s="153" t="str">
        <f t="shared" si="1"/>
        <v>2024</v>
      </c>
      <c r="S593" s="154">
        <f t="shared" si="2"/>
        <v>3</v>
      </c>
      <c r="T593" s="153" t="str">
        <f t="shared" si="3"/>
        <v>2024-Q1</v>
      </c>
      <c r="U593" s="153" t="str">
        <f t="shared" si="4"/>
        <v>2024-03</v>
      </c>
      <c r="V593" s="155" t="str">
        <f t="shared" si="5"/>
        <v>2024-H1</v>
      </c>
      <c r="W593" s="155"/>
    </row>
    <row r="594">
      <c r="A594" s="139">
        <f>HYPERLINK("https://polkadot.subsquare.io/referenda/586", 586)</f>
        <v>586</v>
      </c>
      <c r="B594" s="140" t="s">
        <v>2996</v>
      </c>
      <c r="C594" s="140" t="s">
        <v>2691</v>
      </c>
      <c r="D594" s="141">
        <v>10000.0</v>
      </c>
      <c r="E594" s="142">
        <v>94918.59436035156</v>
      </c>
      <c r="F594" s="140" t="s">
        <v>2678</v>
      </c>
      <c r="G594" s="143">
        <v>9637007.806086784</v>
      </c>
      <c r="H594" s="143">
        <v>1.2966387487334192E7</v>
      </c>
      <c r="I594" s="144">
        <v>45368.0</v>
      </c>
      <c r="J594" s="144">
        <v>45382.0</v>
      </c>
      <c r="K594" s="145">
        <v>84335.54649353027</v>
      </c>
      <c r="L594" s="114"/>
      <c r="M594" s="114"/>
      <c r="N594" s="108"/>
      <c r="O594" s="108"/>
      <c r="P594" s="108"/>
      <c r="Q594" s="108"/>
      <c r="R594" s="108" t="str">
        <f t="shared" si="1"/>
        <v>2024</v>
      </c>
      <c r="S594" s="110">
        <f t="shared" si="2"/>
        <v>3</v>
      </c>
      <c r="T594" s="108" t="str">
        <f t="shared" si="3"/>
        <v>2024-Q1</v>
      </c>
      <c r="U594" s="108" t="str">
        <f t="shared" si="4"/>
        <v>2024-03</v>
      </c>
      <c r="V594" s="112" t="str">
        <f t="shared" si="5"/>
        <v>2024-H1</v>
      </c>
      <c r="W594" s="112"/>
    </row>
    <row r="595">
      <c r="A595" s="146">
        <f>HYPERLINK("https://polkadot.subsquare.io/referenda/587", 587)</f>
        <v>587</v>
      </c>
      <c r="B595" s="147" t="s">
        <v>2997</v>
      </c>
      <c r="C595" s="147" t="s">
        <v>2672</v>
      </c>
      <c r="D595" s="148">
        <v>3.7865E-6</v>
      </c>
      <c r="E595" s="149">
        <v>3.594092575454712E-5</v>
      </c>
      <c r="F595" s="147" t="s">
        <v>2683</v>
      </c>
      <c r="G595" s="150">
        <v>13.1</v>
      </c>
      <c r="H595" s="150">
        <v>3.116944949232355E7</v>
      </c>
      <c r="I595" s="151">
        <v>45368.0</v>
      </c>
      <c r="J595" s="151">
        <v>45397.0</v>
      </c>
      <c r="K595" s="152">
        <v>2.491375777578354E-5</v>
      </c>
      <c r="L595" s="117"/>
      <c r="M595" s="117"/>
      <c r="N595" s="153"/>
      <c r="O595" s="153"/>
      <c r="P595" s="153"/>
      <c r="Q595" s="153"/>
      <c r="R595" s="153" t="str">
        <f t="shared" si="1"/>
        <v>2024</v>
      </c>
      <c r="S595" s="154">
        <f t="shared" si="2"/>
        <v>4</v>
      </c>
      <c r="T595" s="153" t="str">
        <f t="shared" si="3"/>
        <v>2024-Q2</v>
      </c>
      <c r="U595" s="153" t="str">
        <f t="shared" si="4"/>
        <v>2024-04</v>
      </c>
      <c r="V595" s="155" t="str">
        <f t="shared" si="5"/>
        <v>2024-H1</v>
      </c>
      <c r="W595" s="158" t="s">
        <v>2654</v>
      </c>
    </row>
    <row r="596">
      <c r="A596" s="139">
        <f>HYPERLINK("https://polkadot.subsquare.io/referenda/588", 588)</f>
        <v>588</v>
      </c>
      <c r="B596" s="140" t="s">
        <v>186</v>
      </c>
      <c r="C596" s="140" t="s">
        <v>2681</v>
      </c>
      <c r="D596" s="141">
        <v>20.0</v>
      </c>
      <c r="E596" s="142">
        <v>189.83718872070312</v>
      </c>
      <c r="F596" s="140" t="s">
        <v>186</v>
      </c>
      <c r="G596" s="143">
        <v>9528497.355784496</v>
      </c>
      <c r="H596" s="143">
        <v>13389.0</v>
      </c>
      <c r="I596" s="144">
        <v>45369.0</v>
      </c>
      <c r="J596" s="144">
        <v>45371.0</v>
      </c>
      <c r="K596" s="145">
        <v>179.64178085327148</v>
      </c>
      <c r="L596" s="114" t="s">
        <v>81</v>
      </c>
      <c r="M596" s="114" t="s">
        <v>185</v>
      </c>
      <c r="N596" s="108"/>
      <c r="O596" s="108"/>
      <c r="P596" s="108"/>
      <c r="Q596" s="108"/>
      <c r="R596" s="108" t="str">
        <f t="shared" si="1"/>
        <v>2024</v>
      </c>
      <c r="S596" s="110">
        <f t="shared" si="2"/>
        <v>3</v>
      </c>
      <c r="T596" s="108" t="str">
        <f t="shared" si="3"/>
        <v>2024-Q1</v>
      </c>
      <c r="U596" s="108" t="str">
        <f t="shared" si="4"/>
        <v>2024-03</v>
      </c>
      <c r="V596" s="112" t="str">
        <f t="shared" si="5"/>
        <v>2024-H1</v>
      </c>
      <c r="W596" s="112"/>
    </row>
    <row r="597">
      <c r="A597" s="146">
        <f>HYPERLINK("https://polkadot.subsquare.io/referenda/589", 589)</f>
        <v>589</v>
      </c>
      <c r="B597" s="147" t="s">
        <v>186</v>
      </c>
      <c r="C597" s="147" t="s">
        <v>2681</v>
      </c>
      <c r="D597" s="148">
        <v>20.0</v>
      </c>
      <c r="E597" s="149">
        <v>189.83718872070312</v>
      </c>
      <c r="F597" s="147" t="s">
        <v>186</v>
      </c>
      <c r="G597" s="150">
        <v>1.5540508163125664E7</v>
      </c>
      <c r="H597" s="150">
        <v>411.0</v>
      </c>
      <c r="I597" s="151">
        <v>45369.0</v>
      </c>
      <c r="J597" s="151">
        <v>45372.0</v>
      </c>
      <c r="K597" s="152">
        <v>187.38618850708008</v>
      </c>
      <c r="L597" s="117" t="s">
        <v>81</v>
      </c>
      <c r="M597" s="117" t="s">
        <v>185</v>
      </c>
      <c r="N597" s="153"/>
      <c r="O597" s="153"/>
      <c r="P597" s="153"/>
      <c r="Q597" s="153"/>
      <c r="R597" s="153" t="str">
        <f t="shared" si="1"/>
        <v>2024</v>
      </c>
      <c r="S597" s="154">
        <f t="shared" si="2"/>
        <v>3</v>
      </c>
      <c r="T597" s="153" t="str">
        <f t="shared" si="3"/>
        <v>2024-Q1</v>
      </c>
      <c r="U597" s="153" t="str">
        <f t="shared" si="4"/>
        <v>2024-03</v>
      </c>
      <c r="V597" s="155" t="str">
        <f t="shared" si="5"/>
        <v>2024-H1</v>
      </c>
      <c r="W597" s="155"/>
    </row>
    <row r="598">
      <c r="A598" s="139">
        <f>HYPERLINK("https://polkadot.subsquare.io/referenda/590", 590)</f>
        <v>590</v>
      </c>
      <c r="B598" s="140" t="s">
        <v>2998</v>
      </c>
      <c r="C598" s="140" t="s">
        <v>2775</v>
      </c>
      <c r="D598" s="141">
        <v>0.0</v>
      </c>
      <c r="E598" s="142">
        <v>0.0</v>
      </c>
      <c r="F598" s="140" t="s">
        <v>2736</v>
      </c>
      <c r="G598" s="143">
        <v>9.649316618004514E7</v>
      </c>
      <c r="H598" s="143">
        <v>28.0</v>
      </c>
      <c r="I598" s="144">
        <v>45369.0</v>
      </c>
      <c r="J598" s="144">
        <v>45377.0</v>
      </c>
      <c r="K598" s="145">
        <v>0.0</v>
      </c>
      <c r="L598" s="114"/>
      <c r="M598" s="114"/>
      <c r="N598" s="108"/>
      <c r="O598" s="108"/>
      <c r="P598" s="108"/>
      <c r="Q598" s="108"/>
      <c r="R598" s="108" t="str">
        <f t="shared" si="1"/>
        <v>2024</v>
      </c>
      <c r="S598" s="110">
        <f t="shared" si="2"/>
        <v>3</v>
      </c>
      <c r="T598" s="108" t="str">
        <f t="shared" si="3"/>
        <v>2024-Q1</v>
      </c>
      <c r="U598" s="108" t="str">
        <f t="shared" si="4"/>
        <v>2024-03</v>
      </c>
      <c r="V598" s="112" t="str">
        <f t="shared" si="5"/>
        <v>2024-H1</v>
      </c>
      <c r="W598" s="112"/>
    </row>
    <row r="599">
      <c r="A599" s="146">
        <f>HYPERLINK("https://polkadot.subsquare.io/referenda/591", 591)</f>
        <v>591</v>
      </c>
      <c r="B599" s="147" t="s">
        <v>424</v>
      </c>
      <c r="C599" s="147" t="s">
        <v>2681</v>
      </c>
      <c r="D599" s="148">
        <v>38921.48979</v>
      </c>
      <c r="E599" s="149">
        <v>357022.68164573674</v>
      </c>
      <c r="F599" s="147" t="s">
        <v>2683</v>
      </c>
      <c r="G599" s="150">
        <v>6.045112892136628E7</v>
      </c>
      <c r="H599" s="150">
        <v>4245045.4</v>
      </c>
      <c r="I599" s="151">
        <v>45369.0</v>
      </c>
      <c r="J599" s="151">
        <v>45390.0</v>
      </c>
      <c r="K599" s="152">
        <v>327676.18657547934</v>
      </c>
      <c r="L599" s="117" t="s">
        <v>137</v>
      </c>
      <c r="M599" s="117" t="s">
        <v>266</v>
      </c>
      <c r="N599" s="153"/>
      <c r="O599" s="153"/>
      <c r="P599" s="153"/>
      <c r="Q599" s="153"/>
      <c r="R599" s="153" t="str">
        <f t="shared" si="1"/>
        <v>2024</v>
      </c>
      <c r="S599" s="154">
        <f t="shared" si="2"/>
        <v>4</v>
      </c>
      <c r="T599" s="153" t="str">
        <f t="shared" si="3"/>
        <v>2024-Q2</v>
      </c>
      <c r="U599" s="153" t="str">
        <f t="shared" si="4"/>
        <v>2024-04</v>
      </c>
      <c r="V599" s="155" t="str">
        <f t="shared" si="5"/>
        <v>2024-H1</v>
      </c>
      <c r="W599" s="155"/>
    </row>
    <row r="600">
      <c r="A600" s="139">
        <f>HYPERLINK("https://polkadot.subsquare.io/referenda/592", 592)</f>
        <v>592</v>
      </c>
      <c r="B600" s="140" t="s">
        <v>2999</v>
      </c>
      <c r="C600" s="140" t="s">
        <v>2672</v>
      </c>
      <c r="D600" s="141">
        <v>0.0</v>
      </c>
      <c r="E600" s="142">
        <v>0.0</v>
      </c>
      <c r="F600" s="140" t="s">
        <v>2683</v>
      </c>
      <c r="G600" s="143">
        <v>1.4070614507029708E7</v>
      </c>
      <c r="H600" s="143">
        <v>3.0659264254604824E7</v>
      </c>
      <c r="I600" s="144">
        <v>45369.0</v>
      </c>
      <c r="J600" s="144">
        <v>45397.0</v>
      </c>
      <c r="K600" s="145">
        <v>0.0</v>
      </c>
      <c r="L600" s="114"/>
      <c r="M600" s="114"/>
      <c r="N600" s="108"/>
      <c r="O600" s="108"/>
      <c r="P600" s="108"/>
      <c r="Q600" s="108"/>
      <c r="R600" s="108" t="str">
        <f t="shared" si="1"/>
        <v>2024</v>
      </c>
      <c r="S600" s="110">
        <f t="shared" si="2"/>
        <v>4</v>
      </c>
      <c r="T600" s="108" t="str">
        <f t="shared" si="3"/>
        <v>2024-Q2</v>
      </c>
      <c r="U600" s="108" t="str">
        <f t="shared" si="4"/>
        <v>2024-04</v>
      </c>
      <c r="V600" s="112" t="str">
        <f t="shared" si="5"/>
        <v>2024-H1</v>
      </c>
      <c r="W600" s="156" t="s">
        <v>2654</v>
      </c>
    </row>
    <row r="601">
      <c r="A601" s="146">
        <f>HYPERLINK("https://polkadot.subsquare.io/referenda/593", 593)</f>
        <v>593</v>
      </c>
      <c r="B601" s="147" t="s">
        <v>3000</v>
      </c>
      <c r="C601" s="147" t="s">
        <v>2681</v>
      </c>
      <c r="D601" s="148">
        <v>0.0</v>
      </c>
      <c r="E601" s="149">
        <v>0.0</v>
      </c>
      <c r="F601" s="147" t="s">
        <v>2682</v>
      </c>
      <c r="G601" s="150">
        <v>1.1710285727579564E7</v>
      </c>
      <c r="H601" s="150">
        <v>10.0</v>
      </c>
      <c r="I601" s="151">
        <v>45369.0</v>
      </c>
      <c r="J601" s="151">
        <v>45387.0</v>
      </c>
      <c r="K601" s="152">
        <v>0.0</v>
      </c>
      <c r="L601" s="117"/>
      <c r="M601" s="117"/>
      <c r="N601" s="153" t="s">
        <v>2654</v>
      </c>
      <c r="O601" s="153"/>
      <c r="P601" s="153"/>
      <c r="Q601" s="153"/>
      <c r="R601" s="153" t="str">
        <f t="shared" si="1"/>
        <v>2024</v>
      </c>
      <c r="S601" s="154">
        <f t="shared" si="2"/>
        <v>4</v>
      </c>
      <c r="T601" s="153" t="str">
        <f t="shared" si="3"/>
        <v>2024-Q2</v>
      </c>
      <c r="U601" s="153" t="str">
        <f t="shared" si="4"/>
        <v>2024-04</v>
      </c>
      <c r="V601" s="155" t="str">
        <f t="shared" si="5"/>
        <v>2024-H1</v>
      </c>
      <c r="W601" s="155"/>
    </row>
    <row r="602">
      <c r="A602" s="139">
        <f>HYPERLINK("https://polkadot.subsquare.io/referenda/594", 594)</f>
        <v>594</v>
      </c>
      <c r="B602" s="140" t="s">
        <v>3001</v>
      </c>
      <c r="C602" s="140" t="s">
        <v>2681</v>
      </c>
      <c r="D602" s="141">
        <v>0.0</v>
      </c>
      <c r="E602" s="142">
        <v>0.0</v>
      </c>
      <c r="F602" s="140" t="s">
        <v>2698</v>
      </c>
      <c r="G602" s="143">
        <v>3.028339744175481E7</v>
      </c>
      <c r="H602" s="143">
        <v>9122.3</v>
      </c>
      <c r="I602" s="144">
        <v>45369.0</v>
      </c>
      <c r="J602" s="144">
        <v>45393.0</v>
      </c>
      <c r="K602" s="145">
        <v>0.0</v>
      </c>
      <c r="L602" s="114"/>
      <c r="M602" s="114"/>
      <c r="N602" s="108"/>
      <c r="O602" s="108"/>
      <c r="P602" s="108"/>
      <c r="Q602" s="108"/>
      <c r="R602" s="108" t="str">
        <f t="shared" si="1"/>
        <v>2024</v>
      </c>
      <c r="S602" s="110">
        <f t="shared" si="2"/>
        <v>4</v>
      </c>
      <c r="T602" s="108" t="str">
        <f t="shared" si="3"/>
        <v>2024-Q2</v>
      </c>
      <c r="U602" s="108" t="str">
        <f t="shared" si="4"/>
        <v>2024-04</v>
      </c>
      <c r="V602" s="112" t="str">
        <f t="shared" si="5"/>
        <v>2024-H1</v>
      </c>
      <c r="W602" s="112"/>
    </row>
    <row r="603">
      <c r="A603" s="146">
        <f>HYPERLINK("https://polkadot.subsquare.io/referenda/595", 595)</f>
        <v>595</v>
      </c>
      <c r="B603" s="147" t="s">
        <v>3002</v>
      </c>
      <c r="C603" s="147" t="s">
        <v>2672</v>
      </c>
      <c r="D603" s="148">
        <v>500.0</v>
      </c>
      <c r="E603" s="149">
        <v>4459.629058837891</v>
      </c>
      <c r="F603" s="147" t="s">
        <v>2676</v>
      </c>
      <c r="G603" s="150">
        <v>0.0</v>
      </c>
      <c r="H603" s="150">
        <v>3.9103013579815164E7</v>
      </c>
      <c r="I603" s="151">
        <v>45370.0</v>
      </c>
      <c r="J603" s="151">
        <v>45398.0</v>
      </c>
      <c r="K603" s="152">
        <v>3343.8289165496826</v>
      </c>
      <c r="L603" s="117"/>
      <c r="M603" s="117"/>
      <c r="N603" s="153"/>
      <c r="O603" s="153"/>
      <c r="P603" s="153"/>
      <c r="Q603" s="153"/>
      <c r="R603" s="153" t="str">
        <f t="shared" si="1"/>
        <v>2024</v>
      </c>
      <c r="S603" s="154">
        <f t="shared" si="2"/>
        <v>4</v>
      </c>
      <c r="T603" s="153" t="str">
        <f t="shared" si="3"/>
        <v>2024-Q2</v>
      </c>
      <c r="U603" s="153" t="str">
        <f t="shared" si="4"/>
        <v>2024-04</v>
      </c>
      <c r="V603" s="155" t="str">
        <f t="shared" si="5"/>
        <v>2024-H1</v>
      </c>
      <c r="W603" s="158" t="s">
        <v>2654</v>
      </c>
    </row>
    <row r="604">
      <c r="A604" s="139">
        <f>HYPERLINK("https://polkadot.subsquare.io/referenda/596", 596)</f>
        <v>596</v>
      </c>
      <c r="B604" s="140" t="s">
        <v>3003</v>
      </c>
      <c r="C604" s="140" t="s">
        <v>2681</v>
      </c>
      <c r="D604" s="141">
        <v>500000.0</v>
      </c>
      <c r="E604" s="142">
        <v>4459629.058837891</v>
      </c>
      <c r="F604" s="140" t="s">
        <v>2676</v>
      </c>
      <c r="G604" s="143">
        <v>6.6444242702947125E7</v>
      </c>
      <c r="H604" s="143">
        <v>3.2257257196865514E7</v>
      </c>
      <c r="I604" s="144">
        <v>45370.0</v>
      </c>
      <c r="J604" s="144">
        <v>45400.0</v>
      </c>
      <c r="K604" s="145">
        <v>3567514.419555664</v>
      </c>
      <c r="L604" s="114"/>
      <c r="M604" s="114"/>
      <c r="N604" s="108" t="s">
        <v>2654</v>
      </c>
      <c r="O604" s="108" t="s">
        <v>2654</v>
      </c>
      <c r="P604" s="108" t="s">
        <v>2654</v>
      </c>
      <c r="Q604" s="108"/>
      <c r="R604" s="108" t="str">
        <f t="shared" si="1"/>
        <v>2024</v>
      </c>
      <c r="S604" s="110">
        <f t="shared" si="2"/>
        <v>4</v>
      </c>
      <c r="T604" s="108" t="str">
        <f t="shared" si="3"/>
        <v>2024-Q2</v>
      </c>
      <c r="U604" s="108" t="str">
        <f t="shared" si="4"/>
        <v>2024-04</v>
      </c>
      <c r="V604" s="112" t="str">
        <f t="shared" si="5"/>
        <v>2024-H1</v>
      </c>
      <c r="W604" s="112"/>
    </row>
    <row r="605">
      <c r="A605" s="146">
        <f>HYPERLINK("https://polkadot.subsquare.io/referenda/597", 597)</f>
        <v>597</v>
      </c>
      <c r="B605" s="147" t="s">
        <v>425</v>
      </c>
      <c r="C605" s="147" t="s">
        <v>2681</v>
      </c>
      <c r="D605" s="148">
        <v>58902.0</v>
      </c>
      <c r="E605" s="149">
        <v>525362.1416473389</v>
      </c>
      <c r="F605" s="147" t="s">
        <v>2683</v>
      </c>
      <c r="G605" s="150">
        <v>6.408688965207504E7</v>
      </c>
      <c r="H605" s="150">
        <v>1571541.7769787938</v>
      </c>
      <c r="I605" s="151">
        <v>45370.0</v>
      </c>
      <c r="J605" s="151">
        <v>45396.0</v>
      </c>
      <c r="K605" s="152">
        <v>387553.1917362213</v>
      </c>
      <c r="L605" s="117" t="s">
        <v>137</v>
      </c>
      <c r="M605" s="117" t="s">
        <v>254</v>
      </c>
      <c r="N605" s="153"/>
      <c r="O605" s="153"/>
      <c r="P605" s="153"/>
      <c r="Q605" s="153"/>
      <c r="R605" s="153" t="str">
        <f t="shared" si="1"/>
        <v>2024</v>
      </c>
      <c r="S605" s="154">
        <f t="shared" si="2"/>
        <v>4</v>
      </c>
      <c r="T605" s="153" t="str">
        <f t="shared" si="3"/>
        <v>2024-Q2</v>
      </c>
      <c r="U605" s="153" t="str">
        <f t="shared" si="4"/>
        <v>2024-04</v>
      </c>
      <c r="V605" s="155" t="str">
        <f t="shared" si="5"/>
        <v>2024-H1</v>
      </c>
      <c r="W605" s="155"/>
    </row>
    <row r="606">
      <c r="A606" s="139">
        <f>HYPERLINK("https://polkadot.subsquare.io/referenda/598", 598)</f>
        <v>598</v>
      </c>
      <c r="B606" s="140" t="s">
        <v>3004</v>
      </c>
      <c r="C606" s="140" t="s">
        <v>2681</v>
      </c>
      <c r="D606" s="141">
        <v>0.0</v>
      </c>
      <c r="E606" s="142">
        <v>0.0</v>
      </c>
      <c r="F606" s="140" t="s">
        <v>2676</v>
      </c>
      <c r="G606" s="143">
        <v>4.0595759980480224E7</v>
      </c>
      <c r="H606" s="143">
        <v>1263435.791906932</v>
      </c>
      <c r="I606" s="144">
        <v>45370.0</v>
      </c>
      <c r="J606" s="144">
        <v>45401.0</v>
      </c>
      <c r="K606" s="145">
        <v>0.0</v>
      </c>
      <c r="L606" s="114"/>
      <c r="M606" s="114"/>
      <c r="N606" s="108"/>
      <c r="O606" s="108"/>
      <c r="P606" s="108"/>
      <c r="Q606" s="108"/>
      <c r="R606" s="108" t="str">
        <f t="shared" si="1"/>
        <v>2024</v>
      </c>
      <c r="S606" s="110">
        <f t="shared" si="2"/>
        <v>4</v>
      </c>
      <c r="T606" s="108" t="str">
        <f t="shared" si="3"/>
        <v>2024-Q2</v>
      </c>
      <c r="U606" s="108" t="str">
        <f t="shared" si="4"/>
        <v>2024-04</v>
      </c>
      <c r="V606" s="112" t="str">
        <f t="shared" si="5"/>
        <v>2024-H1</v>
      </c>
      <c r="W606" s="112"/>
    </row>
    <row r="607">
      <c r="A607" s="146">
        <f>HYPERLINK("https://polkadot.subsquare.io/referenda/599", 599)</f>
        <v>599</v>
      </c>
      <c r="B607" s="147" t="s">
        <v>426</v>
      </c>
      <c r="C607" s="147" t="s">
        <v>2681</v>
      </c>
      <c r="D607" s="148">
        <v>5600.0</v>
      </c>
      <c r="E607" s="149">
        <v>50299.698638916016</v>
      </c>
      <c r="F607" s="147" t="s">
        <v>2678</v>
      </c>
      <c r="G607" s="150">
        <v>2.4138423605158653E7</v>
      </c>
      <c r="H607" s="150">
        <v>1.6356422065604853E7</v>
      </c>
      <c r="I607" s="151">
        <v>45371.0</v>
      </c>
      <c r="J607" s="151">
        <v>45407.0</v>
      </c>
      <c r="K607" s="152">
        <v>37652.19421386719</v>
      </c>
      <c r="L607" s="117" t="s">
        <v>85</v>
      </c>
      <c r="M607" s="117" t="s">
        <v>331</v>
      </c>
      <c r="N607" s="153"/>
      <c r="O607" s="153"/>
      <c r="P607" s="153"/>
      <c r="Q607" s="153"/>
      <c r="R607" s="153" t="str">
        <f t="shared" si="1"/>
        <v>2024</v>
      </c>
      <c r="S607" s="154">
        <f t="shared" si="2"/>
        <v>4</v>
      </c>
      <c r="T607" s="153" t="str">
        <f t="shared" si="3"/>
        <v>2024-Q2</v>
      </c>
      <c r="U607" s="153" t="str">
        <f t="shared" si="4"/>
        <v>2024-04</v>
      </c>
      <c r="V607" s="155" t="str">
        <f t="shared" si="5"/>
        <v>2024-H1</v>
      </c>
      <c r="W607" s="155"/>
    </row>
    <row r="608">
      <c r="A608" s="139">
        <f>HYPERLINK("https://polkadot.subsquare.io/referenda/600", 600)</f>
        <v>600</v>
      </c>
      <c r="B608" s="140" t="s">
        <v>427</v>
      </c>
      <c r="C608" s="140" t="s">
        <v>2681</v>
      </c>
      <c r="D608" s="141">
        <v>9468.0</v>
      </c>
      <c r="E608" s="142">
        <v>85042.41905593872</v>
      </c>
      <c r="F608" s="140" t="s">
        <v>2678</v>
      </c>
      <c r="G608" s="143">
        <v>4.212462315131025E7</v>
      </c>
      <c r="H608" s="143">
        <v>984680.2204936058</v>
      </c>
      <c r="I608" s="144">
        <v>45371.0</v>
      </c>
      <c r="J608" s="144">
        <v>45390.0</v>
      </c>
      <c r="K608" s="145">
        <v>79710.15886688232</v>
      </c>
      <c r="L608" s="114" t="s">
        <v>137</v>
      </c>
      <c r="M608" s="114" t="s">
        <v>191</v>
      </c>
      <c r="N608" s="108"/>
      <c r="O608" s="108"/>
      <c r="P608" s="108" t="s">
        <v>2654</v>
      </c>
      <c r="Q608" s="108"/>
      <c r="R608" s="108" t="str">
        <f t="shared" si="1"/>
        <v>2024</v>
      </c>
      <c r="S608" s="110">
        <f t="shared" si="2"/>
        <v>4</v>
      </c>
      <c r="T608" s="108" t="str">
        <f t="shared" si="3"/>
        <v>2024-Q2</v>
      </c>
      <c r="U608" s="108" t="str">
        <f t="shared" si="4"/>
        <v>2024-04</v>
      </c>
      <c r="V608" s="112" t="str">
        <f t="shared" si="5"/>
        <v>2024-H1</v>
      </c>
      <c r="W608" s="112"/>
    </row>
    <row r="609">
      <c r="A609" s="146">
        <f>HYPERLINK("https://polkadot.subsquare.io/referenda/601", 601)</f>
        <v>601</v>
      </c>
      <c r="B609" s="147" t="s">
        <v>428</v>
      </c>
      <c r="C609" s="147" t="s">
        <v>2681</v>
      </c>
      <c r="D609" s="148">
        <v>50817.27</v>
      </c>
      <c r="E609" s="149">
        <v>456445.24404507637</v>
      </c>
      <c r="F609" s="147" t="s">
        <v>2683</v>
      </c>
      <c r="G609" s="150">
        <v>3.308373006945709E7</v>
      </c>
      <c r="H609" s="150">
        <v>1.4113955204292133E7</v>
      </c>
      <c r="I609" s="151">
        <v>45371.0</v>
      </c>
      <c r="J609" s="151">
        <v>45401.0</v>
      </c>
      <c r="K609" s="152">
        <v>362582.6869749069</v>
      </c>
      <c r="L609" s="117" t="s">
        <v>82</v>
      </c>
      <c r="M609" s="117" t="s">
        <v>179</v>
      </c>
      <c r="N609" s="153"/>
      <c r="O609" s="153"/>
      <c r="P609" s="153" t="s">
        <v>2654</v>
      </c>
      <c r="Q609" s="153"/>
      <c r="R609" s="153" t="str">
        <f t="shared" si="1"/>
        <v>2024</v>
      </c>
      <c r="S609" s="154">
        <f t="shared" si="2"/>
        <v>4</v>
      </c>
      <c r="T609" s="153" t="str">
        <f t="shared" si="3"/>
        <v>2024-Q2</v>
      </c>
      <c r="U609" s="153" t="str">
        <f t="shared" si="4"/>
        <v>2024-04</v>
      </c>
      <c r="V609" s="155" t="str">
        <f t="shared" si="5"/>
        <v>2024-H1</v>
      </c>
      <c r="W609" s="155"/>
    </row>
    <row r="610">
      <c r="A610" s="139">
        <f>HYPERLINK("https://polkadot.subsquare.io/referenda/602", 602)</f>
        <v>602</v>
      </c>
      <c r="B610" s="140" t="s">
        <v>3005</v>
      </c>
      <c r="C610" s="140" t="s">
        <v>2672</v>
      </c>
      <c r="D610" s="141">
        <v>4267.0</v>
      </c>
      <c r="E610" s="142">
        <v>38326.57394504547</v>
      </c>
      <c r="F610" s="140" t="s">
        <v>2699</v>
      </c>
      <c r="G610" s="143">
        <v>72002.4497526022</v>
      </c>
      <c r="H610" s="143">
        <v>3.2099806812853113E7</v>
      </c>
      <c r="I610" s="144">
        <v>45371.0</v>
      </c>
      <c r="J610" s="144">
        <v>45378.0</v>
      </c>
      <c r="K610" s="145">
        <v>40253.754930496216</v>
      </c>
      <c r="L610" s="114"/>
      <c r="M610" s="114"/>
      <c r="N610" s="108"/>
      <c r="O610" s="108"/>
      <c r="P610" s="108"/>
      <c r="Q610" s="108"/>
      <c r="R610" s="108" t="str">
        <f t="shared" si="1"/>
        <v>2024</v>
      </c>
      <c r="S610" s="110">
        <f t="shared" si="2"/>
        <v>3</v>
      </c>
      <c r="T610" s="108" t="str">
        <f t="shared" si="3"/>
        <v>2024-Q1</v>
      </c>
      <c r="U610" s="108" t="str">
        <f t="shared" si="4"/>
        <v>2024-03</v>
      </c>
      <c r="V610" s="112" t="str">
        <f t="shared" si="5"/>
        <v>2024-H1</v>
      </c>
      <c r="W610" s="156" t="s">
        <v>2654</v>
      </c>
    </row>
    <row r="611">
      <c r="A611" s="146">
        <f>HYPERLINK("https://polkadot.subsquare.io/referenda/603", 603)</f>
        <v>603</v>
      </c>
      <c r="B611" s="147" t="s">
        <v>3006</v>
      </c>
      <c r="C611" s="147" t="s">
        <v>2691</v>
      </c>
      <c r="D611" s="148">
        <v>0.0</v>
      </c>
      <c r="E611" s="149">
        <v>0.0</v>
      </c>
      <c r="F611" s="147" t="s">
        <v>2683</v>
      </c>
      <c r="G611" s="150">
        <v>278396.3914973283</v>
      </c>
      <c r="H611" s="150">
        <v>5.145359330163232E7</v>
      </c>
      <c r="I611" s="151">
        <v>45371.0</v>
      </c>
      <c r="J611" s="151">
        <v>45386.0</v>
      </c>
      <c r="K611" s="152">
        <v>0.0</v>
      </c>
      <c r="L611" s="117"/>
      <c r="M611" s="117"/>
      <c r="N611" s="153"/>
      <c r="O611" s="153"/>
      <c r="P611" s="153"/>
      <c r="Q611" s="153"/>
      <c r="R611" s="153" t="str">
        <f t="shared" si="1"/>
        <v>2024</v>
      </c>
      <c r="S611" s="154">
        <f t="shared" si="2"/>
        <v>4</v>
      </c>
      <c r="T611" s="153" t="str">
        <f t="shared" si="3"/>
        <v>2024-Q2</v>
      </c>
      <c r="U611" s="153" t="str">
        <f t="shared" si="4"/>
        <v>2024-04</v>
      </c>
      <c r="V611" s="155" t="str">
        <f t="shared" si="5"/>
        <v>2024-H1</v>
      </c>
      <c r="W611" s="155"/>
    </row>
    <row r="612">
      <c r="A612" s="139">
        <f>HYPERLINK("https://polkadot.subsquare.io/referenda/604", 604)</f>
        <v>604</v>
      </c>
      <c r="B612" s="140" t="s">
        <v>3007</v>
      </c>
      <c r="C612" s="140" t="s">
        <v>2672</v>
      </c>
      <c r="D612" s="141">
        <v>1.0E-7</v>
      </c>
      <c r="E612" s="142">
        <v>9.369309425354003E-7</v>
      </c>
      <c r="F612" s="140" t="s">
        <v>2699</v>
      </c>
      <c r="G612" s="143">
        <v>21144.9235388797</v>
      </c>
      <c r="H612" s="143">
        <v>2.0111914626308676E7</v>
      </c>
      <c r="I612" s="144">
        <v>45372.0</v>
      </c>
      <c r="J612" s="144">
        <v>45379.0</v>
      </c>
      <c r="K612" s="145">
        <v>9.642625808715819E-7</v>
      </c>
      <c r="L612" s="114"/>
      <c r="M612" s="114"/>
      <c r="N612" s="108"/>
      <c r="O612" s="108"/>
      <c r="P612" s="108"/>
      <c r="Q612" s="108"/>
      <c r="R612" s="108" t="str">
        <f t="shared" si="1"/>
        <v>2024</v>
      </c>
      <c r="S612" s="110">
        <f t="shared" si="2"/>
        <v>3</v>
      </c>
      <c r="T612" s="108" t="str">
        <f t="shared" si="3"/>
        <v>2024-Q1</v>
      </c>
      <c r="U612" s="108" t="str">
        <f t="shared" si="4"/>
        <v>2024-03</v>
      </c>
      <c r="V612" s="112" t="str">
        <f t="shared" si="5"/>
        <v>2024-H1</v>
      </c>
      <c r="W612" s="156" t="s">
        <v>2654</v>
      </c>
    </row>
    <row r="613">
      <c r="A613" s="146">
        <f>HYPERLINK("https://polkadot.subsquare.io/referenda/605", 605)</f>
        <v>605</v>
      </c>
      <c r="B613" s="147" t="s">
        <v>3007</v>
      </c>
      <c r="C613" s="147" t="s">
        <v>2691</v>
      </c>
      <c r="D613" s="148">
        <v>1.0E-7</v>
      </c>
      <c r="E613" s="149">
        <v>9.369309425354003E-7</v>
      </c>
      <c r="F613" s="147" t="s">
        <v>2699</v>
      </c>
      <c r="G613" s="150">
        <v>5042.5</v>
      </c>
      <c r="H613" s="150">
        <v>3.8499633468227275E7</v>
      </c>
      <c r="I613" s="151">
        <v>45372.0</v>
      </c>
      <c r="J613" s="151">
        <v>45386.0</v>
      </c>
      <c r="K613" s="152">
        <v>8.70672607421875E-7</v>
      </c>
      <c r="L613" s="117"/>
      <c r="M613" s="117"/>
      <c r="N613" s="153"/>
      <c r="O613" s="153"/>
      <c r="P613" s="153"/>
      <c r="Q613" s="153"/>
      <c r="R613" s="153" t="str">
        <f t="shared" si="1"/>
        <v>2024</v>
      </c>
      <c r="S613" s="154">
        <f t="shared" si="2"/>
        <v>4</v>
      </c>
      <c r="T613" s="153" t="str">
        <f t="shared" si="3"/>
        <v>2024-Q2</v>
      </c>
      <c r="U613" s="153" t="str">
        <f t="shared" si="4"/>
        <v>2024-04</v>
      </c>
      <c r="V613" s="155" t="str">
        <f t="shared" si="5"/>
        <v>2024-H1</v>
      </c>
      <c r="W613" s="158" t="s">
        <v>2654</v>
      </c>
    </row>
    <row r="614">
      <c r="A614" s="139">
        <f>HYPERLINK("https://polkadot.subsquare.io/referenda/606", 606)</f>
        <v>606</v>
      </c>
      <c r="B614" s="140" t="s">
        <v>3005</v>
      </c>
      <c r="C614" s="140" t="s">
        <v>2691</v>
      </c>
      <c r="D614" s="141">
        <v>1000.0</v>
      </c>
      <c r="E614" s="142">
        <v>9369.309425354004</v>
      </c>
      <c r="F614" s="140" t="s">
        <v>2699</v>
      </c>
      <c r="G614" s="143">
        <v>0.0</v>
      </c>
      <c r="H614" s="143">
        <v>3.848989180822728E7</v>
      </c>
      <c r="I614" s="144">
        <v>45372.0</v>
      </c>
      <c r="J614" s="144">
        <v>45386.0</v>
      </c>
      <c r="K614" s="145">
        <v>8706.72607421875</v>
      </c>
      <c r="L614" s="114"/>
      <c r="M614" s="114"/>
      <c r="N614" s="108"/>
      <c r="O614" s="108"/>
      <c r="P614" s="108"/>
      <c r="Q614" s="108"/>
      <c r="R614" s="108" t="str">
        <f t="shared" si="1"/>
        <v>2024</v>
      </c>
      <c r="S614" s="110">
        <f t="shared" si="2"/>
        <v>4</v>
      </c>
      <c r="T614" s="108" t="str">
        <f t="shared" si="3"/>
        <v>2024-Q2</v>
      </c>
      <c r="U614" s="108" t="str">
        <f t="shared" si="4"/>
        <v>2024-04</v>
      </c>
      <c r="V614" s="112" t="str">
        <f t="shared" si="5"/>
        <v>2024-H1</v>
      </c>
      <c r="W614" s="156" t="s">
        <v>2654</v>
      </c>
    </row>
    <row r="615">
      <c r="A615" s="146">
        <f>HYPERLINK("https://polkadot.subsquare.io/referenda/607", 607)</f>
        <v>607</v>
      </c>
      <c r="B615" s="147" t="s">
        <v>3008</v>
      </c>
      <c r="C615" s="147" t="s">
        <v>2672</v>
      </c>
      <c r="D615" s="148">
        <v>1000.0</v>
      </c>
      <c r="E615" s="149">
        <v>9369.309425354004</v>
      </c>
      <c r="F615" s="147" t="s">
        <v>2699</v>
      </c>
      <c r="G615" s="150">
        <v>174943.3292221152</v>
      </c>
      <c r="H615" s="150">
        <v>8402369.607681954</v>
      </c>
      <c r="I615" s="151">
        <v>45372.0</v>
      </c>
      <c r="J615" s="151">
        <v>45379.0</v>
      </c>
      <c r="K615" s="152">
        <v>9642.62580871582</v>
      </c>
      <c r="L615" s="117"/>
      <c r="M615" s="117"/>
      <c r="N615" s="153"/>
      <c r="O615" s="153"/>
      <c r="P615" s="153"/>
      <c r="Q615" s="153"/>
      <c r="R615" s="153" t="str">
        <f t="shared" si="1"/>
        <v>2024</v>
      </c>
      <c r="S615" s="154">
        <f t="shared" si="2"/>
        <v>3</v>
      </c>
      <c r="T615" s="153" t="str">
        <f t="shared" si="3"/>
        <v>2024-Q1</v>
      </c>
      <c r="U615" s="153" t="str">
        <f t="shared" si="4"/>
        <v>2024-03</v>
      </c>
      <c r="V615" s="155" t="str">
        <f t="shared" si="5"/>
        <v>2024-H1</v>
      </c>
      <c r="W615" s="155"/>
    </row>
    <row r="616">
      <c r="A616" s="139">
        <f>HYPERLINK("https://polkadot.subsquare.io/referenda/608", 608)</f>
        <v>608</v>
      </c>
      <c r="B616" s="140" t="s">
        <v>3009</v>
      </c>
      <c r="C616" s="140" t="s">
        <v>2691</v>
      </c>
      <c r="D616" s="141">
        <v>980.0</v>
      </c>
      <c r="E616" s="142">
        <v>9542.867012023926</v>
      </c>
      <c r="F616" s="140" t="s">
        <v>2699</v>
      </c>
      <c r="G616" s="143">
        <v>0.01</v>
      </c>
      <c r="H616" s="143">
        <v>2.672429816877197E7</v>
      </c>
      <c r="I616" s="144">
        <v>45373.0</v>
      </c>
      <c r="J616" s="144">
        <v>45388.0</v>
      </c>
      <c r="K616" s="145">
        <v>8863.756141662598</v>
      </c>
      <c r="L616" s="114"/>
      <c r="M616" s="114"/>
      <c r="N616" s="108"/>
      <c r="O616" s="108"/>
      <c r="P616" s="108"/>
      <c r="Q616" s="108"/>
      <c r="R616" s="108" t="str">
        <f t="shared" si="1"/>
        <v>2024</v>
      </c>
      <c r="S616" s="110">
        <f t="shared" si="2"/>
        <v>4</v>
      </c>
      <c r="T616" s="108" t="str">
        <f t="shared" si="3"/>
        <v>2024-Q2</v>
      </c>
      <c r="U616" s="108" t="str">
        <f t="shared" si="4"/>
        <v>2024-04</v>
      </c>
      <c r="V616" s="112" t="str">
        <f t="shared" si="5"/>
        <v>2024-H1</v>
      </c>
      <c r="W616" s="112"/>
    </row>
    <row r="617">
      <c r="A617" s="146">
        <f>HYPERLINK("https://polkadot.subsquare.io/referenda/609", 609)</f>
        <v>609</v>
      </c>
      <c r="B617" s="147" t="s">
        <v>3010</v>
      </c>
      <c r="C617" s="147" t="s">
        <v>2672</v>
      </c>
      <c r="D617" s="148">
        <v>45588.0</v>
      </c>
      <c r="E617" s="149">
        <v>443918.593208313</v>
      </c>
      <c r="F617" s="147" t="s">
        <v>2683</v>
      </c>
      <c r="G617" s="150">
        <v>19588.6</v>
      </c>
      <c r="H617" s="150">
        <v>2.718939216641737E7</v>
      </c>
      <c r="I617" s="151">
        <v>45374.0</v>
      </c>
      <c r="J617" s="151">
        <v>45403.0</v>
      </c>
      <c r="K617" s="152">
        <v>315931.8970413208</v>
      </c>
      <c r="L617" s="117"/>
      <c r="M617" s="117"/>
      <c r="N617" s="153"/>
      <c r="O617" s="153"/>
      <c r="P617" s="153"/>
      <c r="Q617" s="153"/>
      <c r="R617" s="153" t="str">
        <f t="shared" si="1"/>
        <v>2024</v>
      </c>
      <c r="S617" s="154">
        <f t="shared" si="2"/>
        <v>4</v>
      </c>
      <c r="T617" s="153" t="str">
        <f t="shared" si="3"/>
        <v>2024-Q2</v>
      </c>
      <c r="U617" s="153" t="str">
        <f t="shared" si="4"/>
        <v>2024-04</v>
      </c>
      <c r="V617" s="155" t="str">
        <f t="shared" si="5"/>
        <v>2024-H1</v>
      </c>
      <c r="W617" s="155"/>
    </row>
    <row r="618">
      <c r="A618" s="139">
        <f>HYPERLINK("https://polkadot.subsquare.io/referenda/610", 610)</f>
        <v>610</v>
      </c>
      <c r="B618" s="162"/>
      <c r="C618" s="140" t="s">
        <v>2681</v>
      </c>
      <c r="D618" s="141">
        <v>20.0</v>
      </c>
      <c r="E618" s="142">
        <v>194.75238800048828</v>
      </c>
      <c r="F618" s="140" t="s">
        <v>186</v>
      </c>
      <c r="G618" s="143">
        <v>1.5925082458441354E7</v>
      </c>
      <c r="H618" s="143">
        <v>10.0</v>
      </c>
      <c r="I618" s="144">
        <v>45374.0</v>
      </c>
      <c r="J618" s="144">
        <v>45376.0</v>
      </c>
      <c r="K618" s="145">
        <v>190.3356170654297</v>
      </c>
      <c r="L618" s="114" t="s">
        <v>81</v>
      </c>
      <c r="M618" s="114" t="s">
        <v>185</v>
      </c>
      <c r="N618" s="108"/>
      <c r="O618" s="108"/>
      <c r="P618" s="108"/>
      <c r="Q618" s="108"/>
      <c r="R618" s="108" t="str">
        <f t="shared" si="1"/>
        <v>2024</v>
      </c>
      <c r="S618" s="110">
        <f t="shared" si="2"/>
        <v>3</v>
      </c>
      <c r="T618" s="108" t="str">
        <f t="shared" si="3"/>
        <v>2024-Q1</v>
      </c>
      <c r="U618" s="108" t="str">
        <f t="shared" si="4"/>
        <v>2024-03</v>
      </c>
      <c r="V618" s="112" t="str">
        <f t="shared" si="5"/>
        <v>2024-H1</v>
      </c>
      <c r="W618" s="112"/>
    </row>
    <row r="619">
      <c r="A619" s="146">
        <f>HYPERLINK("https://polkadot.subsquare.io/referenda/611", 611)</f>
        <v>611</v>
      </c>
      <c r="B619" s="147" t="s">
        <v>429</v>
      </c>
      <c r="C619" s="147" t="s">
        <v>2681</v>
      </c>
      <c r="D619" s="148">
        <v>45555.0</v>
      </c>
      <c r="E619" s="149">
        <v>441454.12799835205</v>
      </c>
      <c r="F619" s="147" t="s">
        <v>2683</v>
      </c>
      <c r="G619" s="150">
        <v>6.820345296552911E7</v>
      </c>
      <c r="H619" s="150">
        <v>4595461.568473672</v>
      </c>
      <c r="I619" s="151">
        <v>45374.0</v>
      </c>
      <c r="J619" s="151">
        <v>45393.0</v>
      </c>
      <c r="K619" s="152">
        <v>312933.0634903908</v>
      </c>
      <c r="L619" s="117" t="s">
        <v>81</v>
      </c>
      <c r="M619" s="117" t="s">
        <v>146</v>
      </c>
      <c r="N619" s="153"/>
      <c r="O619" s="153"/>
      <c r="P619" s="153"/>
      <c r="Q619" s="153"/>
      <c r="R619" s="153" t="str">
        <f t="shared" si="1"/>
        <v>2024</v>
      </c>
      <c r="S619" s="154">
        <f t="shared" si="2"/>
        <v>4</v>
      </c>
      <c r="T619" s="153" t="str">
        <f t="shared" si="3"/>
        <v>2024-Q2</v>
      </c>
      <c r="U619" s="153" t="str">
        <f t="shared" si="4"/>
        <v>2024-04</v>
      </c>
      <c r="V619" s="155" t="str">
        <f t="shared" si="5"/>
        <v>2024-H1</v>
      </c>
      <c r="W619" s="155"/>
    </row>
    <row r="620">
      <c r="A620" s="139">
        <f>HYPERLINK("https://polkadot.subsquare.io/referenda/612", 612)</f>
        <v>612</v>
      </c>
      <c r="B620" s="140" t="s">
        <v>3011</v>
      </c>
      <c r="C620" s="140" t="s">
        <v>2681</v>
      </c>
      <c r="D620" s="141">
        <v>0.0</v>
      </c>
      <c r="E620" s="142">
        <v>0.0</v>
      </c>
      <c r="F620" s="140" t="s">
        <v>2682</v>
      </c>
      <c r="G620" s="143">
        <v>3.0757536434500918E7</v>
      </c>
      <c r="H620" s="143">
        <v>0.0</v>
      </c>
      <c r="I620" s="144">
        <v>45374.0</v>
      </c>
      <c r="J620" s="144">
        <v>45390.0</v>
      </c>
      <c r="K620" s="145">
        <v>0.0</v>
      </c>
      <c r="L620" s="114"/>
      <c r="M620" s="114"/>
      <c r="N620" s="108"/>
      <c r="O620" s="108"/>
      <c r="P620" s="108"/>
      <c r="Q620" s="108"/>
      <c r="R620" s="108" t="str">
        <f t="shared" si="1"/>
        <v>2024</v>
      </c>
      <c r="S620" s="110">
        <f t="shared" si="2"/>
        <v>4</v>
      </c>
      <c r="T620" s="108" t="str">
        <f t="shared" si="3"/>
        <v>2024-Q2</v>
      </c>
      <c r="U620" s="108" t="str">
        <f t="shared" si="4"/>
        <v>2024-04</v>
      </c>
      <c r="V620" s="112" t="str">
        <f t="shared" si="5"/>
        <v>2024-H1</v>
      </c>
      <c r="W620" s="112"/>
    </row>
    <row r="621">
      <c r="A621" s="146">
        <f>HYPERLINK("https://polkadot.subsquare.io/referenda/613", 613)</f>
        <v>613</v>
      </c>
      <c r="B621" s="147" t="s">
        <v>430</v>
      </c>
      <c r="C621" s="147" t="s">
        <v>2681</v>
      </c>
      <c r="D621" s="148">
        <v>150000.0</v>
      </c>
      <c r="E621" s="149">
        <v>1453586.196899414</v>
      </c>
      <c r="F621" s="147" t="s">
        <v>2676</v>
      </c>
      <c r="G621" s="150">
        <v>4.83865529140287E7</v>
      </c>
      <c r="H621" s="150">
        <v>2958743.220243953</v>
      </c>
      <c r="I621" s="151">
        <v>45374.0</v>
      </c>
      <c r="J621" s="151">
        <v>45404.0</v>
      </c>
      <c r="K621" s="152">
        <v>1039523.2200622559</v>
      </c>
      <c r="L621" s="117" t="s">
        <v>137</v>
      </c>
      <c r="M621" s="117" t="s">
        <v>243</v>
      </c>
      <c r="N621" s="153"/>
      <c r="O621" s="153"/>
      <c r="P621" s="153"/>
      <c r="Q621" s="153"/>
      <c r="R621" s="153" t="str">
        <f t="shared" si="1"/>
        <v>2024</v>
      </c>
      <c r="S621" s="154">
        <f t="shared" si="2"/>
        <v>4</v>
      </c>
      <c r="T621" s="153" t="str">
        <f t="shared" si="3"/>
        <v>2024-Q2</v>
      </c>
      <c r="U621" s="153" t="str">
        <f t="shared" si="4"/>
        <v>2024-04</v>
      </c>
      <c r="V621" s="155" t="str">
        <f t="shared" si="5"/>
        <v>2024-H1</v>
      </c>
      <c r="W621" s="155"/>
    </row>
    <row r="622">
      <c r="A622" s="139">
        <f>HYPERLINK("https://polkadot.subsquare.io/referenda/614", 614)</f>
        <v>614</v>
      </c>
      <c r="B622" s="140" t="s">
        <v>3012</v>
      </c>
      <c r="C622" s="140" t="s">
        <v>2672</v>
      </c>
      <c r="D622" s="141">
        <v>50000.0</v>
      </c>
      <c r="E622" s="142">
        <v>484528.7322998047</v>
      </c>
      <c r="F622" s="140" t="s">
        <v>2699</v>
      </c>
      <c r="G622" s="143">
        <v>5585.9852822421</v>
      </c>
      <c r="H622" s="143">
        <v>2.025174961227276E7</v>
      </c>
      <c r="I622" s="144">
        <v>45374.0</v>
      </c>
      <c r="J622" s="144">
        <v>45381.0</v>
      </c>
      <c r="K622" s="145">
        <v>428930.6640625</v>
      </c>
      <c r="L622" s="114"/>
      <c r="M622" s="114"/>
      <c r="N622" s="108"/>
      <c r="O622" s="108"/>
      <c r="P622" s="108"/>
      <c r="Q622" s="108"/>
      <c r="R622" s="108" t="str">
        <f t="shared" si="1"/>
        <v>2024</v>
      </c>
      <c r="S622" s="110">
        <f t="shared" si="2"/>
        <v>3</v>
      </c>
      <c r="T622" s="108" t="str">
        <f t="shared" si="3"/>
        <v>2024-Q1</v>
      </c>
      <c r="U622" s="108" t="str">
        <f t="shared" si="4"/>
        <v>2024-03</v>
      </c>
      <c r="V622" s="112" t="str">
        <f t="shared" si="5"/>
        <v>2024-H1</v>
      </c>
      <c r="W622" s="112"/>
    </row>
    <row r="623">
      <c r="A623" s="146">
        <f>HYPERLINK("https://polkadot.subsquare.io/referenda/615", 615)</f>
        <v>615</v>
      </c>
      <c r="B623" s="147" t="s">
        <v>3013</v>
      </c>
      <c r="C623" s="147" t="s">
        <v>2681</v>
      </c>
      <c r="D623" s="148">
        <v>0.0</v>
      </c>
      <c r="E623" s="149">
        <v>0.0</v>
      </c>
      <c r="F623" s="147" t="s">
        <v>2682</v>
      </c>
      <c r="G623" s="150">
        <v>9.547172776203313E7</v>
      </c>
      <c r="H623" s="150">
        <v>0.0</v>
      </c>
      <c r="I623" s="151">
        <v>45375.0</v>
      </c>
      <c r="J623" s="151">
        <v>45395.0</v>
      </c>
      <c r="K623" s="152">
        <v>0.0</v>
      </c>
      <c r="L623" s="117"/>
      <c r="M623" s="117"/>
      <c r="N623" s="153"/>
      <c r="O623" s="153"/>
      <c r="P623" s="153"/>
      <c r="Q623" s="153"/>
      <c r="R623" s="153" t="str">
        <f t="shared" si="1"/>
        <v>2024</v>
      </c>
      <c r="S623" s="154">
        <f t="shared" si="2"/>
        <v>4</v>
      </c>
      <c r="T623" s="153" t="str">
        <f t="shared" si="3"/>
        <v>2024-Q2</v>
      </c>
      <c r="U623" s="153" t="str">
        <f t="shared" si="4"/>
        <v>2024-04</v>
      </c>
      <c r="V623" s="155" t="str">
        <f t="shared" si="5"/>
        <v>2024-H1</v>
      </c>
      <c r="W623" s="155"/>
    </row>
    <row r="624">
      <c r="A624" s="139">
        <f>HYPERLINK("https://polkadot.subsquare.io/referenda/616", 616)</f>
        <v>616</v>
      </c>
      <c r="B624" s="140" t="s">
        <v>432</v>
      </c>
      <c r="C624" s="140" t="s">
        <v>2681</v>
      </c>
      <c r="D624" s="141">
        <v>290000.0</v>
      </c>
      <c r="E624" s="142">
        <v>2738695.6310272217</v>
      </c>
      <c r="F624" s="140" t="s">
        <v>2676</v>
      </c>
      <c r="G624" s="143">
        <v>1.3999206840506938E8</v>
      </c>
      <c r="H624" s="143">
        <v>390626.5646103493</v>
      </c>
      <c r="I624" s="144">
        <v>45376.0</v>
      </c>
      <c r="J624" s="144">
        <v>45396.0</v>
      </c>
      <c r="K624" s="145">
        <v>1943013.6346817017</v>
      </c>
      <c r="L624" s="114" t="s">
        <v>137</v>
      </c>
      <c r="M624" s="114" t="s">
        <v>431</v>
      </c>
      <c r="N624" s="108"/>
      <c r="O624" s="108"/>
      <c r="P624" s="108"/>
      <c r="Q624" s="108"/>
      <c r="R624" s="108" t="str">
        <f t="shared" si="1"/>
        <v>2024</v>
      </c>
      <c r="S624" s="110">
        <f t="shared" si="2"/>
        <v>4</v>
      </c>
      <c r="T624" s="108" t="str">
        <f t="shared" si="3"/>
        <v>2024-Q2</v>
      </c>
      <c r="U624" s="108" t="str">
        <f t="shared" si="4"/>
        <v>2024-04</v>
      </c>
      <c r="V624" s="112" t="str">
        <f t="shared" si="5"/>
        <v>2024-H1</v>
      </c>
      <c r="W624" s="112"/>
    </row>
    <row r="625">
      <c r="A625" s="146">
        <f>HYPERLINK("https://polkadot.subsquare.io/referenda/617", 617)</f>
        <v>617</v>
      </c>
      <c r="B625" s="147" t="s">
        <v>433</v>
      </c>
      <c r="C625" s="147" t="s">
        <v>2681</v>
      </c>
      <c r="D625" s="148">
        <v>21524.0</v>
      </c>
      <c r="E625" s="149">
        <v>204839.19108581543</v>
      </c>
      <c r="F625" s="147" t="s">
        <v>2683</v>
      </c>
      <c r="G625" s="150">
        <v>3.2949208165320445E7</v>
      </c>
      <c r="H625" s="150">
        <v>9599404.655175267</v>
      </c>
      <c r="I625" s="151">
        <v>45376.0</v>
      </c>
      <c r="J625" s="151">
        <v>45403.0</v>
      </c>
      <c r="K625" s="152">
        <v>149164.6519241333</v>
      </c>
      <c r="L625" s="117" t="s">
        <v>137</v>
      </c>
      <c r="M625" s="117" t="s">
        <v>138</v>
      </c>
      <c r="N625" s="153"/>
      <c r="O625" s="153"/>
      <c r="P625" s="153"/>
      <c r="Q625" s="153"/>
      <c r="R625" s="153" t="str">
        <f t="shared" si="1"/>
        <v>2024</v>
      </c>
      <c r="S625" s="154">
        <f t="shared" si="2"/>
        <v>4</v>
      </c>
      <c r="T625" s="153" t="str">
        <f t="shared" si="3"/>
        <v>2024-Q2</v>
      </c>
      <c r="U625" s="153" t="str">
        <f t="shared" si="4"/>
        <v>2024-04</v>
      </c>
      <c r="V625" s="155" t="str">
        <f t="shared" si="5"/>
        <v>2024-H1</v>
      </c>
      <c r="W625" s="155"/>
    </row>
    <row r="626">
      <c r="A626" s="139">
        <f>HYPERLINK("https://polkadot.subsquare.io/referenda/618", 618)</f>
        <v>618</v>
      </c>
      <c r="B626" s="140" t="s">
        <v>434</v>
      </c>
      <c r="C626" s="140" t="s">
        <v>2681</v>
      </c>
      <c r="D626" s="141">
        <v>18694.0</v>
      </c>
      <c r="E626" s="142">
        <v>177906.70127105713</v>
      </c>
      <c r="F626" s="140" t="s">
        <v>2683</v>
      </c>
      <c r="G626" s="143">
        <v>3.1222951084648177E7</v>
      </c>
      <c r="H626" s="143">
        <v>442442.5945580202</v>
      </c>
      <c r="I626" s="144">
        <v>45376.0</v>
      </c>
      <c r="J626" s="144">
        <v>45402.0</v>
      </c>
      <c r="K626" s="145">
        <v>139792.06814956665</v>
      </c>
      <c r="L626" s="114" t="s">
        <v>81</v>
      </c>
      <c r="M626" s="114" t="s">
        <v>152</v>
      </c>
      <c r="N626" s="108"/>
      <c r="O626" s="108"/>
      <c r="P626" s="108"/>
      <c r="Q626" s="108"/>
      <c r="R626" s="108" t="str">
        <f t="shared" si="1"/>
        <v>2024</v>
      </c>
      <c r="S626" s="110">
        <f t="shared" si="2"/>
        <v>4</v>
      </c>
      <c r="T626" s="108" t="str">
        <f t="shared" si="3"/>
        <v>2024-Q2</v>
      </c>
      <c r="U626" s="108" t="str">
        <f t="shared" si="4"/>
        <v>2024-04</v>
      </c>
      <c r="V626" s="112" t="str">
        <f t="shared" si="5"/>
        <v>2024-H1</v>
      </c>
      <c r="W626" s="112"/>
    </row>
    <row r="627">
      <c r="A627" s="146">
        <f>HYPERLINK("https://polkadot.subsquare.io/referenda/619", 619)</f>
        <v>619</v>
      </c>
      <c r="B627" s="147" t="s">
        <v>435</v>
      </c>
      <c r="C627" s="147" t="s">
        <v>2681</v>
      </c>
      <c r="D627" s="148">
        <v>2812.27</v>
      </c>
      <c r="E627" s="149">
        <v>26763.757290229798</v>
      </c>
      <c r="F627" s="147" t="s">
        <v>2678</v>
      </c>
      <c r="G627" s="150">
        <v>2.2276762370600972E7</v>
      </c>
      <c r="H627" s="150">
        <v>10.0</v>
      </c>
      <c r="I627" s="151">
        <v>45376.0</v>
      </c>
      <c r="J627" s="151">
        <v>45397.0</v>
      </c>
      <c r="K627" s="152">
        <v>18503.687727479934</v>
      </c>
      <c r="L627" s="117" t="s">
        <v>81</v>
      </c>
      <c r="M627" s="117" t="s">
        <v>158</v>
      </c>
      <c r="N627" s="153"/>
      <c r="O627" s="153"/>
      <c r="P627" s="153"/>
      <c r="Q627" s="153"/>
      <c r="R627" s="153" t="str">
        <f t="shared" si="1"/>
        <v>2024</v>
      </c>
      <c r="S627" s="154">
        <f t="shared" si="2"/>
        <v>4</v>
      </c>
      <c r="T627" s="153" t="str">
        <f t="shared" si="3"/>
        <v>2024-Q2</v>
      </c>
      <c r="U627" s="153" t="str">
        <f t="shared" si="4"/>
        <v>2024-04</v>
      </c>
      <c r="V627" s="155" t="str">
        <f t="shared" si="5"/>
        <v>2024-H1</v>
      </c>
      <c r="W627" s="155"/>
    </row>
    <row r="628">
      <c r="A628" s="139">
        <f>HYPERLINK("https://polkadot.subsquare.io/referenda/620", 620)</f>
        <v>620</v>
      </c>
      <c r="B628" s="140" t="s">
        <v>3014</v>
      </c>
      <c r="C628" s="140" t="s">
        <v>2691</v>
      </c>
      <c r="D628" s="141">
        <v>694.2</v>
      </c>
      <c r="E628" s="142">
        <v>6606.549268341065</v>
      </c>
      <c r="F628" s="140" t="s">
        <v>2676</v>
      </c>
      <c r="G628" s="143">
        <v>90.0</v>
      </c>
      <c r="H628" s="143">
        <v>3.898326291764676E7</v>
      </c>
      <c r="I628" s="144">
        <v>45376.0</v>
      </c>
      <c r="J628" s="144">
        <v>45391.0</v>
      </c>
      <c r="K628" s="145">
        <v>5817.008123588563</v>
      </c>
      <c r="L628" s="114"/>
      <c r="M628" s="114"/>
      <c r="N628" s="108"/>
      <c r="O628" s="108"/>
      <c r="P628" s="108"/>
      <c r="Q628" s="108"/>
      <c r="R628" s="108" t="str">
        <f t="shared" si="1"/>
        <v>2024</v>
      </c>
      <c r="S628" s="110">
        <f t="shared" si="2"/>
        <v>4</v>
      </c>
      <c r="T628" s="108" t="str">
        <f t="shared" si="3"/>
        <v>2024-Q2</v>
      </c>
      <c r="U628" s="108" t="str">
        <f t="shared" si="4"/>
        <v>2024-04</v>
      </c>
      <c r="V628" s="112" t="str">
        <f t="shared" si="5"/>
        <v>2024-H1</v>
      </c>
      <c r="W628" s="156" t="s">
        <v>2654</v>
      </c>
    </row>
    <row r="629">
      <c r="A629" s="146">
        <f>HYPERLINK("https://polkadot.subsquare.io/referenda/621", 621)</f>
        <v>621</v>
      </c>
      <c r="B629" s="147" t="s">
        <v>436</v>
      </c>
      <c r="C629" s="147" t="s">
        <v>2681</v>
      </c>
      <c r="D629" s="148">
        <v>694.2</v>
      </c>
      <c r="E629" s="149">
        <v>6606.549268341065</v>
      </c>
      <c r="F629" s="147" t="s">
        <v>2699</v>
      </c>
      <c r="G629" s="150">
        <v>1.5118191149519898E7</v>
      </c>
      <c r="H629" s="150">
        <v>470869.3072553323</v>
      </c>
      <c r="I629" s="151">
        <v>45376.0</v>
      </c>
      <c r="J629" s="151">
        <v>45380.0</v>
      </c>
      <c r="K629" s="152">
        <v>6359.6087453842165</v>
      </c>
      <c r="L629" s="117" t="s">
        <v>81</v>
      </c>
      <c r="M629" s="117" t="s">
        <v>148</v>
      </c>
      <c r="N629" s="153"/>
      <c r="O629" s="153"/>
      <c r="P629" s="153"/>
      <c r="Q629" s="153"/>
      <c r="R629" s="153" t="str">
        <f t="shared" si="1"/>
        <v>2024</v>
      </c>
      <c r="S629" s="154">
        <f t="shared" si="2"/>
        <v>3</v>
      </c>
      <c r="T629" s="153" t="str">
        <f t="shared" si="3"/>
        <v>2024-Q1</v>
      </c>
      <c r="U629" s="153" t="str">
        <f t="shared" si="4"/>
        <v>2024-03</v>
      </c>
      <c r="V629" s="155" t="str">
        <f t="shared" si="5"/>
        <v>2024-H1</v>
      </c>
      <c r="W629" s="155"/>
    </row>
    <row r="630">
      <c r="A630" s="139">
        <f>HYPERLINK("https://polkadot.subsquare.io/referenda/622", 622)</f>
        <v>622</v>
      </c>
      <c r="B630" s="140" t="s">
        <v>186</v>
      </c>
      <c r="C630" s="140" t="s">
        <v>2681</v>
      </c>
      <c r="D630" s="141">
        <v>20.0</v>
      </c>
      <c r="E630" s="142">
        <v>190.3356170654297</v>
      </c>
      <c r="F630" s="140" t="s">
        <v>186</v>
      </c>
      <c r="G630" s="143">
        <v>1.543054023117283E7</v>
      </c>
      <c r="H630" s="143">
        <v>31.1</v>
      </c>
      <c r="I630" s="144">
        <v>45377.0</v>
      </c>
      <c r="J630" s="144">
        <v>45379.0</v>
      </c>
      <c r="K630" s="145">
        <v>192.8525161743164</v>
      </c>
      <c r="L630" s="114" t="s">
        <v>81</v>
      </c>
      <c r="M630" s="114" t="s">
        <v>185</v>
      </c>
      <c r="N630" s="108"/>
      <c r="O630" s="108"/>
      <c r="P630" s="108"/>
      <c r="Q630" s="108"/>
      <c r="R630" s="108" t="str">
        <f t="shared" si="1"/>
        <v>2024</v>
      </c>
      <c r="S630" s="110">
        <f t="shared" si="2"/>
        <v>3</v>
      </c>
      <c r="T630" s="108" t="str">
        <f t="shared" si="3"/>
        <v>2024-Q1</v>
      </c>
      <c r="U630" s="108" t="str">
        <f t="shared" si="4"/>
        <v>2024-03</v>
      </c>
      <c r="V630" s="112" t="str">
        <f t="shared" si="5"/>
        <v>2024-H1</v>
      </c>
      <c r="W630" s="112"/>
    </row>
    <row r="631">
      <c r="A631" s="146">
        <f>HYPERLINK("https://polkadot.subsquare.io/referenda/623", 623)</f>
        <v>623</v>
      </c>
      <c r="B631" s="147" t="s">
        <v>3015</v>
      </c>
      <c r="C631" s="147" t="s">
        <v>2672</v>
      </c>
      <c r="D631" s="148">
        <v>16344.73</v>
      </c>
      <c r="E631" s="149">
        <v>155549.213515892</v>
      </c>
      <c r="F631" s="147" t="s">
        <v>2683</v>
      </c>
      <c r="G631" s="150">
        <v>6696387.242893838</v>
      </c>
      <c r="H631" s="150">
        <v>1.240873047163674E7</v>
      </c>
      <c r="I631" s="151">
        <v>45377.0</v>
      </c>
      <c r="J631" s="151">
        <v>45405.0</v>
      </c>
      <c r="K631" s="152">
        <v>110461.22982398987</v>
      </c>
      <c r="L631" s="117"/>
      <c r="M631" s="117"/>
      <c r="N631" s="153"/>
      <c r="O631" s="153"/>
      <c r="P631" s="153"/>
      <c r="Q631" s="153"/>
      <c r="R631" s="153" t="str">
        <f t="shared" si="1"/>
        <v>2024</v>
      </c>
      <c r="S631" s="154">
        <f t="shared" si="2"/>
        <v>4</v>
      </c>
      <c r="T631" s="153" t="str">
        <f t="shared" si="3"/>
        <v>2024-Q2</v>
      </c>
      <c r="U631" s="153" t="str">
        <f t="shared" si="4"/>
        <v>2024-04</v>
      </c>
      <c r="V631" s="155" t="str">
        <f t="shared" si="5"/>
        <v>2024-H1</v>
      </c>
      <c r="W631" s="155"/>
    </row>
    <row r="632">
      <c r="A632" s="139">
        <f>HYPERLINK("https://polkadot.subsquare.io/referenda/624", 624)</f>
        <v>624</v>
      </c>
      <c r="B632" s="140" t="s">
        <v>3016</v>
      </c>
      <c r="C632" s="140" t="s">
        <v>2672</v>
      </c>
      <c r="D632" s="141">
        <v>7270.0</v>
      </c>
      <c r="E632" s="142">
        <v>69764.63045120239</v>
      </c>
      <c r="F632" s="140" t="s">
        <v>2678</v>
      </c>
      <c r="G632" s="143">
        <v>1585353.068169271</v>
      </c>
      <c r="H632" s="143">
        <v>5.512957558617911E7</v>
      </c>
      <c r="I632" s="144">
        <v>45377.0</v>
      </c>
      <c r="J632" s="144">
        <v>45405.0</v>
      </c>
      <c r="K632" s="145">
        <v>49132.236557006836</v>
      </c>
      <c r="L632" s="114"/>
      <c r="M632" s="114"/>
      <c r="N632" s="108"/>
      <c r="O632" s="108"/>
      <c r="P632" s="108"/>
      <c r="Q632" s="108"/>
      <c r="R632" s="108" t="str">
        <f t="shared" si="1"/>
        <v>2024</v>
      </c>
      <c r="S632" s="110">
        <f t="shared" si="2"/>
        <v>4</v>
      </c>
      <c r="T632" s="108" t="str">
        <f t="shared" si="3"/>
        <v>2024-Q2</v>
      </c>
      <c r="U632" s="108" t="str">
        <f t="shared" si="4"/>
        <v>2024-04</v>
      </c>
      <c r="V632" s="112" t="str">
        <f t="shared" si="5"/>
        <v>2024-H1</v>
      </c>
      <c r="W632" s="156" t="s">
        <v>2654</v>
      </c>
    </row>
    <row r="633">
      <c r="A633" s="146">
        <f>HYPERLINK("https://polkadot.subsquare.io/referenda/625", 625)</f>
        <v>625</v>
      </c>
      <c r="B633" s="147" t="s">
        <v>3017</v>
      </c>
      <c r="C633" s="147" t="s">
        <v>2681</v>
      </c>
      <c r="D633" s="148">
        <v>0.0</v>
      </c>
      <c r="E633" s="149">
        <v>0.0</v>
      </c>
      <c r="F633" s="147" t="s">
        <v>2683</v>
      </c>
      <c r="G633" s="150">
        <v>2.6044238677712448E7</v>
      </c>
      <c r="H633" s="150">
        <v>40778.7212407663</v>
      </c>
      <c r="I633" s="151">
        <v>45377.0</v>
      </c>
      <c r="J633" s="151">
        <v>45405.0</v>
      </c>
      <c r="K633" s="152">
        <v>0.0</v>
      </c>
      <c r="L633" s="117"/>
      <c r="M633" s="117"/>
      <c r="N633" s="153"/>
      <c r="O633" s="153" t="s">
        <v>2654</v>
      </c>
      <c r="P633" s="153" t="s">
        <v>2654</v>
      </c>
      <c r="Q633" s="153"/>
      <c r="R633" s="153" t="str">
        <f t="shared" si="1"/>
        <v>2024</v>
      </c>
      <c r="S633" s="154">
        <f t="shared" si="2"/>
        <v>4</v>
      </c>
      <c r="T633" s="153" t="str">
        <f t="shared" si="3"/>
        <v>2024-Q2</v>
      </c>
      <c r="U633" s="153" t="str">
        <f t="shared" si="4"/>
        <v>2024-04</v>
      </c>
      <c r="V633" s="155" t="str">
        <f t="shared" si="5"/>
        <v>2024-H1</v>
      </c>
      <c r="W633" s="155"/>
    </row>
    <row r="634">
      <c r="A634" s="139">
        <f>HYPERLINK("https://polkadot.subsquare.io/referenda/626", 626)</f>
        <v>626</v>
      </c>
      <c r="B634" s="140" t="s">
        <v>3018</v>
      </c>
      <c r="C634" s="140" t="s">
        <v>2672</v>
      </c>
      <c r="D634" s="141">
        <v>980.0</v>
      </c>
      <c r="E634" s="142">
        <v>9404.310569763184</v>
      </c>
      <c r="F634" s="140" t="s">
        <v>2699</v>
      </c>
      <c r="G634" s="143">
        <v>6126356.3945755465</v>
      </c>
      <c r="H634" s="143">
        <v>2.0059327841056097E7</v>
      </c>
      <c r="I634" s="144">
        <v>45377.0</v>
      </c>
      <c r="J634" s="144">
        <v>45384.0</v>
      </c>
      <c r="K634" s="145">
        <v>8221.25452041626</v>
      </c>
      <c r="L634" s="114"/>
      <c r="M634" s="114"/>
      <c r="N634" s="108"/>
      <c r="O634" s="108"/>
      <c r="P634" s="108"/>
      <c r="Q634" s="108"/>
      <c r="R634" s="108" t="str">
        <f t="shared" si="1"/>
        <v>2024</v>
      </c>
      <c r="S634" s="110">
        <f t="shared" si="2"/>
        <v>4</v>
      </c>
      <c r="T634" s="108" t="str">
        <f t="shared" si="3"/>
        <v>2024-Q2</v>
      </c>
      <c r="U634" s="108" t="str">
        <f t="shared" si="4"/>
        <v>2024-04</v>
      </c>
      <c r="V634" s="112" t="str">
        <f t="shared" si="5"/>
        <v>2024-H1</v>
      </c>
      <c r="W634" s="112"/>
    </row>
    <row r="635">
      <c r="A635" s="146">
        <f>HYPERLINK("https://polkadot.subsquare.io/referenda/627", 627)</f>
        <v>627</v>
      </c>
      <c r="B635" s="147" t="s">
        <v>437</v>
      </c>
      <c r="C635" s="147" t="s">
        <v>2681</v>
      </c>
      <c r="D635" s="148">
        <v>5300.0</v>
      </c>
      <c r="E635" s="149">
        <v>50860.04695892334</v>
      </c>
      <c r="F635" s="147" t="s">
        <v>2678</v>
      </c>
      <c r="G635" s="150">
        <v>3.328821125117913E7</v>
      </c>
      <c r="H635" s="150">
        <v>204632.8342821433</v>
      </c>
      <c r="I635" s="151">
        <v>45377.0</v>
      </c>
      <c r="J635" s="151">
        <v>45401.0</v>
      </c>
      <c r="K635" s="152">
        <v>37815.65284729004</v>
      </c>
      <c r="L635" s="117" t="s">
        <v>82</v>
      </c>
      <c r="M635" s="117" t="s">
        <v>176</v>
      </c>
      <c r="N635" s="153"/>
      <c r="O635" s="153"/>
      <c r="P635" s="153"/>
      <c r="Q635" s="153"/>
      <c r="R635" s="153" t="str">
        <f t="shared" si="1"/>
        <v>2024</v>
      </c>
      <c r="S635" s="154">
        <f t="shared" si="2"/>
        <v>4</v>
      </c>
      <c r="T635" s="153" t="str">
        <f t="shared" si="3"/>
        <v>2024-Q2</v>
      </c>
      <c r="U635" s="153" t="str">
        <f t="shared" si="4"/>
        <v>2024-04</v>
      </c>
      <c r="V635" s="155" t="str">
        <f t="shared" si="5"/>
        <v>2024-H1</v>
      </c>
      <c r="W635" s="155"/>
    </row>
    <row r="636">
      <c r="A636" s="139">
        <f>HYPERLINK("https://polkadot.subsquare.io/referenda/628", 628)</f>
        <v>628</v>
      </c>
      <c r="B636" s="140" t="s">
        <v>438</v>
      </c>
      <c r="C636" s="140" t="s">
        <v>2681</v>
      </c>
      <c r="D636" s="141">
        <v>100.0</v>
      </c>
      <c r="E636" s="142">
        <v>959.6235275268555</v>
      </c>
      <c r="F636" s="140" t="s">
        <v>186</v>
      </c>
      <c r="G636" s="143">
        <v>1.460571317144677E7</v>
      </c>
      <c r="H636" s="143">
        <v>5.0</v>
      </c>
      <c r="I636" s="144">
        <v>45378.0</v>
      </c>
      <c r="J636" s="144">
        <v>45380.0</v>
      </c>
      <c r="K636" s="145">
        <v>964.262580871582</v>
      </c>
      <c r="L636" s="114" t="s">
        <v>85</v>
      </c>
      <c r="M636" s="114" t="s">
        <v>148</v>
      </c>
      <c r="N636" s="108"/>
      <c r="O636" s="108"/>
      <c r="P636" s="108"/>
      <c r="Q636" s="108"/>
      <c r="R636" s="108" t="str">
        <f t="shared" si="1"/>
        <v>2024</v>
      </c>
      <c r="S636" s="110">
        <f t="shared" si="2"/>
        <v>3</v>
      </c>
      <c r="T636" s="108" t="str">
        <f t="shared" si="3"/>
        <v>2024-Q1</v>
      </c>
      <c r="U636" s="108" t="str">
        <f t="shared" si="4"/>
        <v>2024-03</v>
      </c>
      <c r="V636" s="112" t="str">
        <f t="shared" si="5"/>
        <v>2024-H1</v>
      </c>
      <c r="W636" s="112"/>
    </row>
    <row r="637">
      <c r="A637" s="146">
        <f>HYPERLINK("https://polkadot.subsquare.io/referenda/629", 629)</f>
        <v>629</v>
      </c>
      <c r="B637" s="159"/>
      <c r="C637" s="147" t="s">
        <v>2681</v>
      </c>
      <c r="D637" s="148">
        <v>20.0</v>
      </c>
      <c r="E637" s="149">
        <v>191.9247055053711</v>
      </c>
      <c r="F637" s="147" t="s">
        <v>186</v>
      </c>
      <c r="G637" s="150">
        <v>1.6010808858177153E7</v>
      </c>
      <c r="H637" s="150">
        <v>405.0</v>
      </c>
      <c r="I637" s="151">
        <v>45378.0</v>
      </c>
      <c r="J637" s="151">
        <v>45385.0</v>
      </c>
      <c r="K637" s="152">
        <v>167.78070449829102</v>
      </c>
      <c r="L637" s="117" t="s">
        <v>81</v>
      </c>
      <c r="M637" s="117" t="s">
        <v>185</v>
      </c>
      <c r="N637" s="153"/>
      <c r="O637" s="153"/>
      <c r="P637" s="153"/>
      <c r="Q637" s="153"/>
      <c r="R637" s="153" t="str">
        <f t="shared" si="1"/>
        <v>2024</v>
      </c>
      <c r="S637" s="154">
        <f t="shared" si="2"/>
        <v>4</v>
      </c>
      <c r="T637" s="153" t="str">
        <f t="shared" si="3"/>
        <v>2024-Q2</v>
      </c>
      <c r="U637" s="153" t="str">
        <f t="shared" si="4"/>
        <v>2024-04</v>
      </c>
      <c r="V637" s="155" t="str">
        <f t="shared" si="5"/>
        <v>2024-H1</v>
      </c>
      <c r="W637" s="155"/>
    </row>
    <row r="638">
      <c r="A638" s="139">
        <f>HYPERLINK("https://polkadot.subsquare.io/referenda/630", 630)</f>
        <v>630</v>
      </c>
      <c r="B638" s="140" t="s">
        <v>3019</v>
      </c>
      <c r="C638" s="140" t="s">
        <v>2681</v>
      </c>
      <c r="D638" s="141">
        <v>0.0</v>
      </c>
      <c r="E638" s="142">
        <v>0.0</v>
      </c>
      <c r="F638" s="140" t="s">
        <v>2682</v>
      </c>
      <c r="G638" s="143">
        <v>1.1359882397318932E8</v>
      </c>
      <c r="H638" s="143">
        <v>5.0</v>
      </c>
      <c r="I638" s="144">
        <v>45378.0</v>
      </c>
      <c r="J638" s="144">
        <v>45389.0</v>
      </c>
      <c r="K638" s="145">
        <v>0.0</v>
      </c>
      <c r="L638" s="114"/>
      <c r="M638" s="114"/>
      <c r="N638" s="108"/>
      <c r="O638" s="108"/>
      <c r="P638" s="108"/>
      <c r="Q638" s="108"/>
      <c r="R638" s="108" t="str">
        <f t="shared" si="1"/>
        <v>2024</v>
      </c>
      <c r="S638" s="110">
        <f t="shared" si="2"/>
        <v>4</v>
      </c>
      <c r="T638" s="108" t="str">
        <f t="shared" si="3"/>
        <v>2024-Q2</v>
      </c>
      <c r="U638" s="108" t="str">
        <f t="shared" si="4"/>
        <v>2024-04</v>
      </c>
      <c r="V638" s="112" t="str">
        <f t="shared" si="5"/>
        <v>2024-H1</v>
      </c>
      <c r="W638" s="112"/>
    </row>
    <row r="639">
      <c r="A639" s="146">
        <f>HYPERLINK("https://polkadot.subsquare.io/referenda/631", 631)</f>
        <v>631</v>
      </c>
      <c r="B639" s="147" t="s">
        <v>439</v>
      </c>
      <c r="C639" s="147" t="s">
        <v>2681</v>
      </c>
      <c r="D639" s="148">
        <v>16348.0</v>
      </c>
      <c r="E639" s="149">
        <v>154222.7292251587</v>
      </c>
      <c r="F639" s="147" t="s">
        <v>2683</v>
      </c>
      <c r="G639" s="150">
        <v>3.1263802759612262E7</v>
      </c>
      <c r="H639" s="150">
        <v>14525.0</v>
      </c>
      <c r="I639" s="151">
        <v>45378.0</v>
      </c>
      <c r="J639" s="151">
        <v>45403.0</v>
      </c>
      <c r="K639" s="152">
        <v>118434.50736999512</v>
      </c>
      <c r="L639" s="117" t="s">
        <v>81</v>
      </c>
      <c r="M639" s="117" t="s">
        <v>148</v>
      </c>
      <c r="N639" s="153"/>
      <c r="O639" s="153"/>
      <c r="P639" s="153" t="s">
        <v>2654</v>
      </c>
      <c r="Q639" s="153"/>
      <c r="R639" s="153" t="str">
        <f t="shared" si="1"/>
        <v>2024</v>
      </c>
      <c r="S639" s="154">
        <f t="shared" si="2"/>
        <v>4</v>
      </c>
      <c r="T639" s="153" t="str">
        <f t="shared" si="3"/>
        <v>2024-Q2</v>
      </c>
      <c r="U639" s="153" t="str">
        <f t="shared" si="4"/>
        <v>2024-04</v>
      </c>
      <c r="V639" s="155" t="str">
        <f t="shared" si="5"/>
        <v>2024-H1</v>
      </c>
      <c r="W639" s="155"/>
    </row>
    <row r="640">
      <c r="A640" s="139">
        <f>HYPERLINK("https://polkadot.subsquare.io/referenda/632", 632)</f>
        <v>632</v>
      </c>
      <c r="B640" s="140" t="s">
        <v>440</v>
      </c>
      <c r="C640" s="140" t="s">
        <v>2681</v>
      </c>
      <c r="D640" s="141">
        <v>7935.0</v>
      </c>
      <c r="E640" s="142">
        <v>76514.23579216003</v>
      </c>
      <c r="F640" s="140" t="s">
        <v>2678</v>
      </c>
      <c r="G640" s="143">
        <v>1.2670754229037007E7</v>
      </c>
      <c r="H640" s="143">
        <v>1.01613696854102E7</v>
      </c>
      <c r="I640" s="144">
        <v>45380.0</v>
      </c>
      <c r="J640" s="144">
        <v>45406.0</v>
      </c>
      <c r="K640" s="145">
        <v>53626.45076751709</v>
      </c>
      <c r="L640" s="114" t="s">
        <v>137</v>
      </c>
      <c r="M640" s="114" t="s">
        <v>138</v>
      </c>
      <c r="N640" s="108"/>
      <c r="O640" s="108"/>
      <c r="P640" s="108"/>
      <c r="Q640" s="108"/>
      <c r="R640" s="108" t="str">
        <f t="shared" si="1"/>
        <v>2024</v>
      </c>
      <c r="S640" s="110">
        <f t="shared" si="2"/>
        <v>4</v>
      </c>
      <c r="T640" s="108" t="str">
        <f t="shared" si="3"/>
        <v>2024-Q2</v>
      </c>
      <c r="U640" s="108" t="str">
        <f t="shared" si="4"/>
        <v>2024-04</v>
      </c>
      <c r="V640" s="112" t="str">
        <f t="shared" si="5"/>
        <v>2024-H1</v>
      </c>
      <c r="W640" s="112"/>
    </row>
    <row r="641">
      <c r="A641" s="146">
        <f>HYPERLINK("https://polkadot.subsquare.io/referenda/633", 633)</f>
        <v>633</v>
      </c>
      <c r="B641" s="147" t="s">
        <v>441</v>
      </c>
      <c r="C641" s="147" t="s">
        <v>2681</v>
      </c>
      <c r="D641" s="148">
        <v>9355.5</v>
      </c>
      <c r="E641" s="149">
        <v>85706.30886983871</v>
      </c>
      <c r="F641" s="147" t="s">
        <v>2678</v>
      </c>
      <c r="G641" s="150">
        <v>2.2092464028749596E7</v>
      </c>
      <c r="H641" s="150">
        <v>801029.2174738785</v>
      </c>
      <c r="I641" s="151">
        <v>45381.0</v>
      </c>
      <c r="J641" s="151">
        <v>45402.0</v>
      </c>
      <c r="K641" s="152">
        <v>69959.59631824493</v>
      </c>
      <c r="L641" s="117" t="s">
        <v>137</v>
      </c>
      <c r="M641" s="117" t="s">
        <v>138</v>
      </c>
      <c r="N641" s="153"/>
      <c r="O641" s="153"/>
      <c r="P641" s="153"/>
      <c r="Q641" s="153"/>
      <c r="R641" s="153" t="str">
        <f t="shared" si="1"/>
        <v>2024</v>
      </c>
      <c r="S641" s="154">
        <f t="shared" si="2"/>
        <v>4</v>
      </c>
      <c r="T641" s="153" t="str">
        <f t="shared" si="3"/>
        <v>2024-Q2</v>
      </c>
      <c r="U641" s="153" t="str">
        <f t="shared" si="4"/>
        <v>2024-04</v>
      </c>
      <c r="V641" s="155" t="str">
        <f t="shared" si="5"/>
        <v>2024-H1</v>
      </c>
      <c r="W641" s="155"/>
    </row>
    <row r="642">
      <c r="A642" s="139">
        <f>HYPERLINK("https://polkadot.subsquare.io/referenda/634", 634)</f>
        <v>634</v>
      </c>
      <c r="B642" s="140" t="s">
        <v>442</v>
      </c>
      <c r="C642" s="140" t="s">
        <v>2681</v>
      </c>
      <c r="D642" s="141">
        <v>31353.0</v>
      </c>
      <c r="E642" s="142">
        <v>287226.7545289993</v>
      </c>
      <c r="F642" s="140" t="s">
        <v>2683</v>
      </c>
      <c r="G642" s="143">
        <v>2.510706426516827E7</v>
      </c>
      <c r="H642" s="143">
        <v>106445.6324945798</v>
      </c>
      <c r="I642" s="144">
        <v>45381.0</v>
      </c>
      <c r="J642" s="144">
        <v>45407.0</v>
      </c>
      <c r="K642" s="145">
        <v>213157.60334157944</v>
      </c>
      <c r="L642" s="114" t="s">
        <v>85</v>
      </c>
      <c r="M642" s="114" t="s">
        <v>148</v>
      </c>
      <c r="N642" s="108"/>
      <c r="O642" s="108"/>
      <c r="P642" s="108"/>
      <c r="Q642" s="108"/>
      <c r="R642" s="108" t="str">
        <f t="shared" si="1"/>
        <v>2024</v>
      </c>
      <c r="S642" s="110">
        <f t="shared" si="2"/>
        <v>4</v>
      </c>
      <c r="T642" s="108" t="str">
        <f t="shared" si="3"/>
        <v>2024-Q2</v>
      </c>
      <c r="U642" s="108" t="str">
        <f t="shared" si="4"/>
        <v>2024-04</v>
      </c>
      <c r="V642" s="112" t="str">
        <f t="shared" si="5"/>
        <v>2024-H1</v>
      </c>
      <c r="W642" s="112"/>
    </row>
    <row r="643">
      <c r="A643" s="146">
        <f>HYPERLINK("https://polkadot.subsquare.io/referenda/635", 635)</f>
        <v>635</v>
      </c>
      <c r="B643" s="147" t="s">
        <v>3020</v>
      </c>
      <c r="C643" s="147" t="s">
        <v>2672</v>
      </c>
      <c r="D643" s="148">
        <v>999.999999999</v>
      </c>
      <c r="E643" s="149">
        <v>8578.613281241422</v>
      </c>
      <c r="F643" s="147" t="s">
        <v>2699</v>
      </c>
      <c r="G643" s="150">
        <v>0.0</v>
      </c>
      <c r="H643" s="150">
        <v>2.6162179712164328E7</v>
      </c>
      <c r="I643" s="151">
        <v>45381.0</v>
      </c>
      <c r="J643" s="151">
        <v>45388.0</v>
      </c>
      <c r="K643" s="152">
        <v>8660.052299490852</v>
      </c>
      <c r="L643" s="117"/>
      <c r="M643" s="117"/>
      <c r="N643" s="153"/>
      <c r="O643" s="153"/>
      <c r="P643" s="153"/>
      <c r="Q643" s="153"/>
      <c r="R643" s="153" t="str">
        <f t="shared" si="1"/>
        <v>2024</v>
      </c>
      <c r="S643" s="154">
        <f t="shared" si="2"/>
        <v>4</v>
      </c>
      <c r="T643" s="153" t="str">
        <f t="shared" si="3"/>
        <v>2024-Q2</v>
      </c>
      <c r="U643" s="153" t="str">
        <f t="shared" si="4"/>
        <v>2024-04</v>
      </c>
      <c r="V643" s="155" t="str">
        <f t="shared" si="5"/>
        <v>2024-H1</v>
      </c>
      <c r="W643" s="158" t="s">
        <v>2654</v>
      </c>
    </row>
    <row r="644">
      <c r="A644" s="139">
        <f>HYPERLINK("https://polkadot.subsquare.io/referenda/636", 636)</f>
        <v>636</v>
      </c>
      <c r="B644" s="140" t="s">
        <v>3021</v>
      </c>
      <c r="C644" s="140" t="s">
        <v>2681</v>
      </c>
      <c r="D644" s="141">
        <v>0.0</v>
      </c>
      <c r="E644" s="142">
        <v>0.0</v>
      </c>
      <c r="F644" s="140" t="s">
        <v>2678</v>
      </c>
      <c r="G644" s="143">
        <v>2.7861549025205825E7</v>
      </c>
      <c r="H644" s="143">
        <v>744065.4174738785</v>
      </c>
      <c r="I644" s="144">
        <v>45381.0</v>
      </c>
      <c r="J644" s="144">
        <v>45408.0</v>
      </c>
      <c r="K644" s="145">
        <v>0.0</v>
      </c>
      <c r="L644" s="114"/>
      <c r="M644" s="114"/>
      <c r="N644" s="108"/>
      <c r="O644" s="108"/>
      <c r="P644" s="108"/>
      <c r="Q644" s="108"/>
      <c r="R644" s="108" t="str">
        <f t="shared" si="1"/>
        <v>2024</v>
      </c>
      <c r="S644" s="110">
        <f t="shared" si="2"/>
        <v>4</v>
      </c>
      <c r="T644" s="108" t="str">
        <f t="shared" si="3"/>
        <v>2024-Q2</v>
      </c>
      <c r="U644" s="108" t="str">
        <f t="shared" si="4"/>
        <v>2024-04</v>
      </c>
      <c r="V644" s="112" t="str">
        <f t="shared" si="5"/>
        <v>2024-H1</v>
      </c>
      <c r="W644" s="112"/>
    </row>
    <row r="645">
      <c r="A645" s="146">
        <f>HYPERLINK("https://polkadot.subsquare.io/referenda/637", 637)</f>
        <v>637</v>
      </c>
      <c r="B645" s="147" t="s">
        <v>3022</v>
      </c>
      <c r="C645" s="147" t="s">
        <v>2672</v>
      </c>
      <c r="D645" s="148">
        <v>999.999999999</v>
      </c>
      <c r="E645" s="149">
        <v>8578.613281241422</v>
      </c>
      <c r="F645" s="147" t="s">
        <v>2699</v>
      </c>
      <c r="G645" s="150">
        <v>3067530.4542505695</v>
      </c>
      <c r="H645" s="150">
        <v>3.0347663424330473E7</v>
      </c>
      <c r="I645" s="151">
        <v>45381.0</v>
      </c>
      <c r="J645" s="151">
        <v>45388.0</v>
      </c>
      <c r="K645" s="152">
        <v>8660.052299490852</v>
      </c>
      <c r="L645" s="117"/>
      <c r="M645" s="117"/>
      <c r="N645" s="153"/>
      <c r="O645" s="153"/>
      <c r="P645" s="153"/>
      <c r="Q645" s="153"/>
      <c r="R645" s="153" t="str">
        <f t="shared" si="1"/>
        <v>2024</v>
      </c>
      <c r="S645" s="154">
        <f t="shared" si="2"/>
        <v>4</v>
      </c>
      <c r="T645" s="153" t="str">
        <f t="shared" si="3"/>
        <v>2024-Q2</v>
      </c>
      <c r="U645" s="153" t="str">
        <f t="shared" si="4"/>
        <v>2024-04</v>
      </c>
      <c r="V645" s="155" t="str">
        <f t="shared" si="5"/>
        <v>2024-H1</v>
      </c>
      <c r="W645" s="155"/>
    </row>
    <row r="646">
      <c r="A646" s="139">
        <f>HYPERLINK("https://polkadot.subsquare.io/referenda/638", 638)</f>
        <v>638</v>
      </c>
      <c r="B646" s="140" t="s">
        <v>186</v>
      </c>
      <c r="C646" s="140" t="s">
        <v>2681</v>
      </c>
      <c r="D646" s="141">
        <v>80.0</v>
      </c>
      <c r="E646" s="142">
        <v>686.2890625</v>
      </c>
      <c r="F646" s="140" t="s">
        <v>186</v>
      </c>
      <c r="G646" s="143">
        <v>2.1956707246073242E7</v>
      </c>
      <c r="H646" s="143">
        <v>5.0</v>
      </c>
      <c r="I646" s="144">
        <v>45382.0</v>
      </c>
      <c r="J646" s="144">
        <v>45384.0</v>
      </c>
      <c r="K646" s="145">
        <v>671.1228179931641</v>
      </c>
      <c r="L646" s="114" t="s">
        <v>81</v>
      </c>
      <c r="M646" s="114" t="s">
        <v>185</v>
      </c>
      <c r="N646" s="108"/>
      <c r="O646" s="108"/>
      <c r="P646" s="108"/>
      <c r="Q646" s="108"/>
      <c r="R646" s="108" t="str">
        <f t="shared" si="1"/>
        <v>2024</v>
      </c>
      <c r="S646" s="110">
        <f t="shared" si="2"/>
        <v>4</v>
      </c>
      <c r="T646" s="108" t="str">
        <f t="shared" si="3"/>
        <v>2024-Q2</v>
      </c>
      <c r="U646" s="108" t="str">
        <f t="shared" si="4"/>
        <v>2024-04</v>
      </c>
      <c r="V646" s="112" t="str">
        <f t="shared" si="5"/>
        <v>2024-H1</v>
      </c>
      <c r="W646" s="112"/>
    </row>
    <row r="647">
      <c r="A647" s="146">
        <f>HYPERLINK("https://polkadot.subsquare.io/referenda/639", 639)</f>
        <v>639</v>
      </c>
      <c r="B647" s="147" t="s">
        <v>3023</v>
      </c>
      <c r="C647" s="147" t="s">
        <v>2681</v>
      </c>
      <c r="D647" s="148">
        <v>0.0</v>
      </c>
      <c r="E647" s="149">
        <v>0.0</v>
      </c>
      <c r="F647" s="147" t="s">
        <v>2682</v>
      </c>
      <c r="G647" s="150">
        <v>9.513183595277497E7</v>
      </c>
      <c r="H647" s="150">
        <v>1196.0</v>
      </c>
      <c r="I647" s="151">
        <v>45382.0</v>
      </c>
      <c r="J647" s="151">
        <v>45396.0</v>
      </c>
      <c r="K647" s="152">
        <v>0.0</v>
      </c>
      <c r="L647" s="117"/>
      <c r="M647" s="117"/>
      <c r="N647" s="153"/>
      <c r="O647" s="153"/>
      <c r="P647" s="153"/>
      <c r="Q647" s="153"/>
      <c r="R647" s="153" t="str">
        <f t="shared" si="1"/>
        <v>2024</v>
      </c>
      <c r="S647" s="154">
        <f t="shared" si="2"/>
        <v>4</v>
      </c>
      <c r="T647" s="153" t="str">
        <f t="shared" si="3"/>
        <v>2024-Q2</v>
      </c>
      <c r="U647" s="153" t="str">
        <f t="shared" si="4"/>
        <v>2024-04</v>
      </c>
      <c r="V647" s="155" t="str">
        <f t="shared" si="5"/>
        <v>2024-H1</v>
      </c>
      <c r="W647" s="155"/>
    </row>
    <row r="648">
      <c r="A648" s="139">
        <f>HYPERLINK("https://polkadot.subsquare.io/referenda/640", 640)</f>
        <v>640</v>
      </c>
      <c r="B648" s="140" t="s">
        <v>3024</v>
      </c>
      <c r="C648" s="140" t="s">
        <v>2681</v>
      </c>
      <c r="D648" s="141">
        <v>0.0</v>
      </c>
      <c r="E648" s="142">
        <v>0.0</v>
      </c>
      <c r="F648" s="140" t="s">
        <v>2683</v>
      </c>
      <c r="G648" s="143">
        <v>4.27810084451573E7</v>
      </c>
      <c r="H648" s="143">
        <v>46878.3</v>
      </c>
      <c r="I648" s="144">
        <v>45382.0</v>
      </c>
      <c r="J648" s="144">
        <v>45405.0</v>
      </c>
      <c r="K648" s="145">
        <v>0.0</v>
      </c>
      <c r="L648" s="114"/>
      <c r="M648" s="114"/>
      <c r="N648" s="108"/>
      <c r="O648" s="108"/>
      <c r="P648" s="108"/>
      <c r="Q648" s="108"/>
      <c r="R648" s="108" t="str">
        <f t="shared" si="1"/>
        <v>2024</v>
      </c>
      <c r="S648" s="110">
        <f t="shared" si="2"/>
        <v>4</v>
      </c>
      <c r="T648" s="108" t="str">
        <f t="shared" si="3"/>
        <v>2024-Q2</v>
      </c>
      <c r="U648" s="108" t="str">
        <f t="shared" si="4"/>
        <v>2024-04</v>
      </c>
      <c r="V648" s="112" t="str">
        <f t="shared" si="5"/>
        <v>2024-H1</v>
      </c>
      <c r="W648" s="112"/>
    </row>
    <row r="649">
      <c r="A649" s="146">
        <f>HYPERLINK("https://polkadot.subsquare.io/referenda/641", 641)</f>
        <v>641</v>
      </c>
      <c r="B649" s="147" t="s">
        <v>443</v>
      </c>
      <c r="C649" s="147" t="s">
        <v>2681</v>
      </c>
      <c r="D649" s="148">
        <v>35713.0</v>
      </c>
      <c r="E649" s="149">
        <v>301187.53719234467</v>
      </c>
      <c r="F649" s="147" t="s">
        <v>2683</v>
      </c>
      <c r="G649" s="150">
        <v>2.633359030294356E7</v>
      </c>
      <c r="H649" s="150">
        <v>9996743.154909872</v>
      </c>
      <c r="I649" s="151">
        <v>45382.0</v>
      </c>
      <c r="J649" s="151">
        <v>45409.0</v>
      </c>
      <c r="K649" s="152">
        <v>235410.55987262726</v>
      </c>
      <c r="L649" s="117" t="s">
        <v>137</v>
      </c>
      <c r="M649" s="117" t="s">
        <v>191</v>
      </c>
      <c r="N649" s="153"/>
      <c r="O649" s="153"/>
      <c r="P649" s="153"/>
      <c r="Q649" s="153"/>
      <c r="R649" s="153" t="str">
        <f t="shared" si="1"/>
        <v>2024</v>
      </c>
      <c r="S649" s="154">
        <f t="shared" si="2"/>
        <v>4</v>
      </c>
      <c r="T649" s="153" t="str">
        <f t="shared" si="3"/>
        <v>2024-Q2</v>
      </c>
      <c r="U649" s="153" t="str">
        <f t="shared" si="4"/>
        <v>2024-04</v>
      </c>
      <c r="V649" s="155" t="str">
        <f t="shared" si="5"/>
        <v>2024-H1</v>
      </c>
      <c r="W649" s="155"/>
    </row>
    <row r="650">
      <c r="A650" s="139">
        <f>HYPERLINK("https://polkadot.subsquare.io/referenda/642", 642)</f>
        <v>642</v>
      </c>
      <c r="B650" s="140" t="s">
        <v>444</v>
      </c>
      <c r="C650" s="140" t="s">
        <v>2681</v>
      </c>
      <c r="D650" s="141">
        <v>1212.24</v>
      </c>
      <c r="E650" s="142">
        <v>10223.492288131714</v>
      </c>
      <c r="F650" s="140" t="s">
        <v>2678</v>
      </c>
      <c r="G650" s="143">
        <v>2.9272225681329094E7</v>
      </c>
      <c r="H650" s="143">
        <v>19751.0</v>
      </c>
      <c r="I650" s="144">
        <v>45383.0</v>
      </c>
      <c r="J650" s="144">
        <v>45403.0</v>
      </c>
      <c r="K650" s="145">
        <v>8401.010855255126</v>
      </c>
      <c r="L650" s="114" t="s">
        <v>84</v>
      </c>
      <c r="M650" s="114" t="s">
        <v>202</v>
      </c>
      <c r="N650" s="108"/>
      <c r="O650" s="108"/>
      <c r="P650" s="108"/>
      <c r="Q650" s="108"/>
      <c r="R650" s="108" t="str">
        <f t="shared" si="1"/>
        <v>2024</v>
      </c>
      <c r="S650" s="110">
        <f t="shared" si="2"/>
        <v>4</v>
      </c>
      <c r="T650" s="108" t="str">
        <f t="shared" si="3"/>
        <v>2024-Q2</v>
      </c>
      <c r="U650" s="108" t="str">
        <f t="shared" si="4"/>
        <v>2024-04</v>
      </c>
      <c r="V650" s="112" t="str">
        <f t="shared" si="5"/>
        <v>2024-H1</v>
      </c>
      <c r="W650" s="112"/>
    </row>
    <row r="651">
      <c r="A651" s="146">
        <f>HYPERLINK("https://polkadot.subsquare.io/referenda/643", 643)</f>
        <v>643</v>
      </c>
      <c r="B651" s="147" t="s">
        <v>3025</v>
      </c>
      <c r="C651" s="147" t="s">
        <v>2681</v>
      </c>
      <c r="D651" s="148">
        <v>1000000.0</v>
      </c>
      <c r="E651" s="149">
        <v>8490893.363952637</v>
      </c>
      <c r="F651" s="147" t="s">
        <v>2676</v>
      </c>
      <c r="G651" s="150">
        <v>6.0186620898426965E7</v>
      </c>
      <c r="H651" s="150">
        <v>5138907.336388397</v>
      </c>
      <c r="I651" s="151">
        <v>45383.0</v>
      </c>
      <c r="J651" s="151">
        <v>45409.0</v>
      </c>
      <c r="K651" s="152">
        <v>6422237.873077393</v>
      </c>
      <c r="L651" s="117" t="s">
        <v>83</v>
      </c>
      <c r="M651" s="117" t="s">
        <v>243</v>
      </c>
      <c r="N651" s="153" t="s">
        <v>2654</v>
      </c>
      <c r="O651" s="153"/>
      <c r="P651" s="153"/>
      <c r="Q651" s="153"/>
      <c r="R651" s="153" t="str">
        <f t="shared" si="1"/>
        <v>2024</v>
      </c>
      <c r="S651" s="154">
        <f t="shared" si="2"/>
        <v>4</v>
      </c>
      <c r="T651" s="153" t="str">
        <f t="shared" si="3"/>
        <v>2024-Q2</v>
      </c>
      <c r="U651" s="153" t="str">
        <f t="shared" si="4"/>
        <v>2024-04</v>
      </c>
      <c r="V651" s="155" t="str">
        <f t="shared" si="5"/>
        <v>2024-H1</v>
      </c>
      <c r="W651" s="155"/>
    </row>
    <row r="652">
      <c r="A652" s="139">
        <f>HYPERLINK("https://polkadot.subsquare.io/referenda/644", 644)</f>
        <v>644</v>
      </c>
      <c r="B652" s="140" t="s">
        <v>445</v>
      </c>
      <c r="C652" s="140" t="s">
        <v>2681</v>
      </c>
      <c r="D652" s="141">
        <v>968000.0</v>
      </c>
      <c r="E652" s="142">
        <v>8219184.776306152</v>
      </c>
      <c r="F652" s="140" t="s">
        <v>2676</v>
      </c>
      <c r="G652" s="143">
        <v>7.164889069742276E7</v>
      </c>
      <c r="H652" s="143">
        <v>5.191506205387039E7</v>
      </c>
      <c r="I652" s="144">
        <v>45383.0</v>
      </c>
      <c r="J652" s="144">
        <v>45418.0</v>
      </c>
      <c r="K652" s="145">
        <v>6824516.040802002</v>
      </c>
      <c r="L652" s="114" t="s">
        <v>137</v>
      </c>
      <c r="M652" s="114" t="s">
        <v>431</v>
      </c>
      <c r="N652" s="108"/>
      <c r="O652" s="108"/>
      <c r="P652" s="108"/>
      <c r="Q652" s="108"/>
      <c r="R652" s="108" t="str">
        <f t="shared" si="1"/>
        <v>2024</v>
      </c>
      <c r="S652" s="110">
        <f t="shared" si="2"/>
        <v>5</v>
      </c>
      <c r="T652" s="108" t="str">
        <f t="shared" si="3"/>
        <v>2024-Q2</v>
      </c>
      <c r="U652" s="108" t="str">
        <f t="shared" si="4"/>
        <v>2024-05</v>
      </c>
      <c r="V652" s="112" t="str">
        <f t="shared" si="5"/>
        <v>2024-H1</v>
      </c>
      <c r="W652" s="112"/>
    </row>
    <row r="653">
      <c r="A653" s="146">
        <f>HYPERLINK("https://polkadot.subsquare.io/referenda/645", 645)</f>
        <v>645</v>
      </c>
      <c r="B653" s="147" t="s">
        <v>3026</v>
      </c>
      <c r="C653" s="147" t="s">
        <v>2681</v>
      </c>
      <c r="D653" s="148">
        <v>0.0</v>
      </c>
      <c r="E653" s="149">
        <v>0.0</v>
      </c>
      <c r="F653" s="147" t="s">
        <v>2696</v>
      </c>
      <c r="G653" s="150">
        <v>2.3407486917756654E7</v>
      </c>
      <c r="H653" s="150">
        <v>1748.47397261</v>
      </c>
      <c r="I653" s="151">
        <v>45383.0</v>
      </c>
      <c r="J653" s="151">
        <v>45420.0</v>
      </c>
      <c r="K653" s="152">
        <v>0.0</v>
      </c>
      <c r="L653" s="117"/>
      <c r="M653" s="117"/>
      <c r="N653" s="153"/>
      <c r="O653" s="153"/>
      <c r="P653" s="153"/>
      <c r="Q653" s="153"/>
      <c r="R653" s="153" t="str">
        <f t="shared" si="1"/>
        <v>2024</v>
      </c>
      <c r="S653" s="154">
        <f t="shared" si="2"/>
        <v>5</v>
      </c>
      <c r="T653" s="153" t="str">
        <f t="shared" si="3"/>
        <v>2024-Q2</v>
      </c>
      <c r="U653" s="153" t="str">
        <f t="shared" si="4"/>
        <v>2024-05</v>
      </c>
      <c r="V653" s="155" t="str">
        <f t="shared" si="5"/>
        <v>2024-H1</v>
      </c>
      <c r="W653" s="155"/>
    </row>
    <row r="654">
      <c r="A654" s="139">
        <f>HYPERLINK("https://polkadot.subsquare.io/referenda/646", 646)</f>
        <v>646</v>
      </c>
      <c r="B654" s="140" t="s">
        <v>3027</v>
      </c>
      <c r="C654" s="140" t="s">
        <v>2681</v>
      </c>
      <c r="D654" s="141">
        <v>0.0</v>
      </c>
      <c r="E654" s="142">
        <v>0.0</v>
      </c>
      <c r="F654" s="140" t="s">
        <v>2683</v>
      </c>
      <c r="G654" s="143">
        <v>5.495008536106465E7</v>
      </c>
      <c r="H654" s="143">
        <v>28883.4716256343</v>
      </c>
      <c r="I654" s="144">
        <v>45384.0</v>
      </c>
      <c r="J654" s="144">
        <v>45405.0</v>
      </c>
      <c r="K654" s="145">
        <v>0.0</v>
      </c>
      <c r="L654" s="114"/>
      <c r="M654" s="114"/>
      <c r="N654" s="108"/>
      <c r="O654" s="108"/>
      <c r="P654" s="108"/>
      <c r="Q654" s="108"/>
      <c r="R654" s="108" t="str">
        <f t="shared" si="1"/>
        <v>2024</v>
      </c>
      <c r="S654" s="110">
        <f t="shared" si="2"/>
        <v>4</v>
      </c>
      <c r="T654" s="108" t="str">
        <f t="shared" si="3"/>
        <v>2024-Q2</v>
      </c>
      <c r="U654" s="108" t="str">
        <f t="shared" si="4"/>
        <v>2024-04</v>
      </c>
      <c r="V654" s="112" t="str">
        <f t="shared" si="5"/>
        <v>2024-H1</v>
      </c>
      <c r="W654" s="112"/>
    </row>
    <row r="655">
      <c r="A655" s="146">
        <f>HYPERLINK("https://polkadot.subsquare.io/referenda/647", 647)</f>
        <v>647</v>
      </c>
      <c r="B655" s="147" t="s">
        <v>3028</v>
      </c>
      <c r="C655" s="147" t="s">
        <v>2672</v>
      </c>
      <c r="D655" s="148">
        <v>24323.0</v>
      </c>
      <c r="E655" s="149">
        <v>206523.99929141998</v>
      </c>
      <c r="F655" s="147" t="s">
        <v>2683</v>
      </c>
      <c r="G655" s="150">
        <v>2792589.2605857137</v>
      </c>
      <c r="H655" s="150">
        <v>2.487942391017793E7</v>
      </c>
      <c r="I655" s="151">
        <v>45384.0</v>
      </c>
      <c r="J655" s="151">
        <v>45412.0</v>
      </c>
      <c r="K655" s="152">
        <v>176465.82658290863</v>
      </c>
      <c r="L655" s="117"/>
      <c r="M655" s="117"/>
      <c r="N655" s="153"/>
      <c r="O655" s="153"/>
      <c r="P655" s="153"/>
      <c r="Q655" s="153"/>
      <c r="R655" s="153" t="str">
        <f t="shared" si="1"/>
        <v>2024</v>
      </c>
      <c r="S655" s="154">
        <f t="shared" si="2"/>
        <v>4</v>
      </c>
      <c r="T655" s="153" t="str">
        <f t="shared" si="3"/>
        <v>2024-Q2</v>
      </c>
      <c r="U655" s="153" t="str">
        <f t="shared" si="4"/>
        <v>2024-04</v>
      </c>
      <c r="V655" s="155" t="str">
        <f t="shared" si="5"/>
        <v>2024-H1</v>
      </c>
      <c r="W655" s="155"/>
    </row>
    <row r="656">
      <c r="A656" s="139">
        <f>HYPERLINK("https://polkadot.subsquare.io/referenda/648", 648)</f>
        <v>648</v>
      </c>
      <c r="B656" s="140" t="s">
        <v>3029</v>
      </c>
      <c r="C656" s="140" t="s">
        <v>2681</v>
      </c>
      <c r="D656" s="141">
        <v>0.0</v>
      </c>
      <c r="E656" s="142">
        <v>0.0</v>
      </c>
      <c r="F656" s="140" t="s">
        <v>2682</v>
      </c>
      <c r="G656" s="143">
        <v>7.827719518856193E7</v>
      </c>
      <c r="H656" s="143">
        <v>1446.0</v>
      </c>
      <c r="I656" s="144">
        <v>45384.0</v>
      </c>
      <c r="J656" s="144">
        <v>45401.0</v>
      </c>
      <c r="K656" s="145">
        <v>0.0</v>
      </c>
      <c r="L656" s="114"/>
      <c r="M656" s="114"/>
      <c r="N656" s="108"/>
      <c r="O656" s="108"/>
      <c r="P656" s="108"/>
      <c r="Q656" s="108"/>
      <c r="R656" s="108" t="str">
        <f t="shared" si="1"/>
        <v>2024</v>
      </c>
      <c r="S656" s="110">
        <f t="shared" si="2"/>
        <v>4</v>
      </c>
      <c r="T656" s="108" t="str">
        <f t="shared" si="3"/>
        <v>2024-Q2</v>
      </c>
      <c r="U656" s="108" t="str">
        <f t="shared" si="4"/>
        <v>2024-04</v>
      </c>
      <c r="V656" s="112" t="str">
        <f t="shared" si="5"/>
        <v>2024-H1</v>
      </c>
      <c r="W656" s="112"/>
    </row>
    <row r="657">
      <c r="A657" s="146">
        <f>HYPERLINK("https://polkadot.subsquare.io/referenda/649", 649)</f>
        <v>649</v>
      </c>
      <c r="B657" s="147" t="s">
        <v>3030</v>
      </c>
      <c r="C657" s="147" t="s">
        <v>2681</v>
      </c>
      <c r="D657" s="148">
        <v>0.0</v>
      </c>
      <c r="E657" s="149">
        <v>0.0</v>
      </c>
      <c r="F657" s="147" t="s">
        <v>2676</v>
      </c>
      <c r="G657" s="150">
        <v>2.501772531707894E7</v>
      </c>
      <c r="H657" s="150">
        <v>9118.5</v>
      </c>
      <c r="I657" s="151">
        <v>45384.0</v>
      </c>
      <c r="J657" s="151">
        <v>45416.0</v>
      </c>
      <c r="K657" s="152">
        <v>0.0</v>
      </c>
      <c r="L657" s="117"/>
      <c r="M657" s="117"/>
      <c r="N657" s="153"/>
      <c r="O657" s="153" t="s">
        <v>2654</v>
      </c>
      <c r="P657" s="153"/>
      <c r="Q657" s="153"/>
      <c r="R657" s="153" t="str">
        <f t="shared" si="1"/>
        <v>2024</v>
      </c>
      <c r="S657" s="154">
        <f t="shared" si="2"/>
        <v>5</v>
      </c>
      <c r="T657" s="153" t="str">
        <f t="shared" si="3"/>
        <v>2024-Q2</v>
      </c>
      <c r="U657" s="153" t="str">
        <f t="shared" si="4"/>
        <v>2024-05</v>
      </c>
      <c r="V657" s="155" t="str">
        <f t="shared" si="5"/>
        <v>2024-H1</v>
      </c>
      <c r="W657" s="155"/>
    </row>
    <row r="658">
      <c r="A658" s="139">
        <f>HYPERLINK("https://polkadot.subsquare.io/referenda/650", 650)</f>
        <v>650</v>
      </c>
      <c r="B658" s="140" t="s">
        <v>3031</v>
      </c>
      <c r="C658" s="140" t="s">
        <v>2672</v>
      </c>
      <c r="D658" s="141">
        <v>100000.0</v>
      </c>
      <c r="E658" s="142">
        <v>849418.6401367188</v>
      </c>
      <c r="F658" s="140" t="s">
        <v>2683</v>
      </c>
      <c r="G658" s="143">
        <v>2.1781669610639274E7</v>
      </c>
      <c r="H658" s="143">
        <v>3.9556163659928724E7</v>
      </c>
      <c r="I658" s="144">
        <v>45385.0</v>
      </c>
      <c r="J658" s="144">
        <v>45415.0</v>
      </c>
      <c r="K658" s="145">
        <v>730678.4152984619</v>
      </c>
      <c r="L658" s="114"/>
      <c r="M658" s="114"/>
      <c r="N658" s="108"/>
      <c r="O658" s="108"/>
      <c r="P658" s="108"/>
      <c r="Q658" s="108"/>
      <c r="R658" s="108" t="str">
        <f t="shared" si="1"/>
        <v>2024</v>
      </c>
      <c r="S658" s="110">
        <f t="shared" si="2"/>
        <v>5</v>
      </c>
      <c r="T658" s="108" t="str">
        <f t="shared" si="3"/>
        <v>2024-Q2</v>
      </c>
      <c r="U658" s="108" t="str">
        <f t="shared" si="4"/>
        <v>2024-05</v>
      </c>
      <c r="V658" s="112" t="str">
        <f t="shared" si="5"/>
        <v>2024-H1</v>
      </c>
      <c r="W658" s="156" t="s">
        <v>2654</v>
      </c>
    </row>
    <row r="659">
      <c r="A659" s="146">
        <f>HYPERLINK("https://polkadot.subsquare.io/referenda/651", 651)</f>
        <v>651</v>
      </c>
      <c r="B659" s="147" t="s">
        <v>446</v>
      </c>
      <c r="C659" s="147" t="s">
        <v>2681</v>
      </c>
      <c r="D659" s="148">
        <v>68868.6</v>
      </c>
      <c r="E659" s="149">
        <v>584982.7256011963</v>
      </c>
      <c r="F659" s="147" t="s">
        <v>2683</v>
      </c>
      <c r="G659" s="150">
        <v>4.157178981025734E7</v>
      </c>
      <c r="H659" s="150">
        <v>2.2327079892141424E7</v>
      </c>
      <c r="I659" s="151">
        <v>45385.0</v>
      </c>
      <c r="J659" s="151">
        <v>45409.0</v>
      </c>
      <c r="K659" s="152">
        <v>453963.42182521825</v>
      </c>
      <c r="L659" s="117" t="s">
        <v>137</v>
      </c>
      <c r="M659" s="117" t="s">
        <v>254</v>
      </c>
      <c r="N659" s="153"/>
      <c r="O659" s="153"/>
      <c r="P659" s="153"/>
      <c r="Q659" s="153"/>
      <c r="R659" s="153" t="str">
        <f t="shared" si="1"/>
        <v>2024</v>
      </c>
      <c r="S659" s="154">
        <f t="shared" si="2"/>
        <v>4</v>
      </c>
      <c r="T659" s="153" t="str">
        <f t="shared" si="3"/>
        <v>2024-Q2</v>
      </c>
      <c r="U659" s="153" t="str">
        <f t="shared" si="4"/>
        <v>2024-04</v>
      </c>
      <c r="V659" s="155" t="str">
        <f t="shared" si="5"/>
        <v>2024-H1</v>
      </c>
      <c r="W659" s="155"/>
    </row>
    <row r="660">
      <c r="A660" s="139">
        <f>HYPERLINK("https://polkadot.subsquare.io/referenda/652", 652)</f>
        <v>652</v>
      </c>
      <c r="B660" s="140" t="s">
        <v>3032</v>
      </c>
      <c r="C660" s="140" t="s">
        <v>2672</v>
      </c>
      <c r="D660" s="141">
        <v>2.1557E-6</v>
      </c>
      <c r="E660" s="142">
        <v>1.8310917625427245E-5</v>
      </c>
      <c r="F660" s="140" t="s">
        <v>2683</v>
      </c>
      <c r="G660" s="143">
        <v>0.02</v>
      </c>
      <c r="H660" s="143">
        <v>3.108380881877782E7</v>
      </c>
      <c r="I660" s="144">
        <v>45385.0</v>
      </c>
      <c r="J660" s="144">
        <v>45413.0</v>
      </c>
      <c r="K660" s="145">
        <v>1.5363803105163574E-5</v>
      </c>
      <c r="L660" s="114"/>
      <c r="M660" s="114"/>
      <c r="N660" s="108"/>
      <c r="O660" s="108"/>
      <c r="P660" s="108"/>
      <c r="Q660" s="108"/>
      <c r="R660" s="108" t="str">
        <f t="shared" si="1"/>
        <v>2024</v>
      </c>
      <c r="S660" s="110">
        <f t="shared" si="2"/>
        <v>5</v>
      </c>
      <c r="T660" s="108" t="str">
        <f t="shared" si="3"/>
        <v>2024-Q2</v>
      </c>
      <c r="U660" s="108" t="str">
        <f t="shared" si="4"/>
        <v>2024-05</v>
      </c>
      <c r="V660" s="112" t="str">
        <f t="shared" si="5"/>
        <v>2024-H1</v>
      </c>
      <c r="W660" s="156" t="s">
        <v>2654</v>
      </c>
    </row>
    <row r="661">
      <c r="A661" s="146">
        <f>HYPERLINK("https://polkadot.subsquare.io/referenda/653", 653)</f>
        <v>653</v>
      </c>
      <c r="B661" s="147" t="s">
        <v>3008</v>
      </c>
      <c r="C661" s="147" t="s">
        <v>2672</v>
      </c>
      <c r="D661" s="148">
        <v>1000.0</v>
      </c>
      <c r="E661" s="149">
        <v>8706.72607421875</v>
      </c>
      <c r="F661" s="147" t="s">
        <v>2699</v>
      </c>
      <c r="G661" s="150">
        <v>1.2378219411409115E7</v>
      </c>
      <c r="H661" s="150">
        <v>1.3563677540309118E7</v>
      </c>
      <c r="I661" s="151">
        <v>45387.0</v>
      </c>
      <c r="J661" s="151">
        <v>45394.0</v>
      </c>
      <c r="K661" s="152">
        <v>6869.346141815186</v>
      </c>
      <c r="L661" s="117"/>
      <c r="M661" s="117"/>
      <c r="N661" s="153"/>
      <c r="O661" s="153"/>
      <c r="P661" s="153"/>
      <c r="Q661" s="153"/>
      <c r="R661" s="153" t="str">
        <f t="shared" si="1"/>
        <v>2024</v>
      </c>
      <c r="S661" s="154">
        <f t="shared" si="2"/>
        <v>4</v>
      </c>
      <c r="T661" s="153" t="str">
        <f t="shared" si="3"/>
        <v>2024-Q2</v>
      </c>
      <c r="U661" s="153" t="str">
        <f t="shared" si="4"/>
        <v>2024-04</v>
      </c>
      <c r="V661" s="155" t="str">
        <f t="shared" si="5"/>
        <v>2024-H1</v>
      </c>
      <c r="W661" s="155"/>
    </row>
    <row r="662">
      <c r="A662" s="139">
        <f>HYPERLINK("https://polkadot.subsquare.io/referenda/654", 654)</f>
        <v>654</v>
      </c>
      <c r="B662" s="140" t="s">
        <v>447</v>
      </c>
      <c r="C662" s="140" t="s">
        <v>2681</v>
      </c>
      <c r="D662" s="141">
        <v>33956.17</v>
      </c>
      <c r="E662" s="142">
        <v>295647.0707196045</v>
      </c>
      <c r="F662" s="140" t="s">
        <v>2683</v>
      </c>
      <c r="G662" s="143">
        <v>1.8931912162431866E7</v>
      </c>
      <c r="H662" s="143">
        <v>1.4893682493592078E7</v>
      </c>
      <c r="I662" s="144">
        <v>45387.0</v>
      </c>
      <c r="J662" s="144">
        <v>45416.0</v>
      </c>
      <c r="K662" s="145">
        <v>241844.73929177283</v>
      </c>
      <c r="L662" s="114" t="s">
        <v>81</v>
      </c>
      <c r="M662" s="114" t="s">
        <v>158</v>
      </c>
      <c r="N662" s="108"/>
      <c r="O662" s="108"/>
      <c r="P662" s="108"/>
      <c r="Q662" s="108"/>
      <c r="R662" s="108" t="str">
        <f t="shared" si="1"/>
        <v>2024</v>
      </c>
      <c r="S662" s="110">
        <f t="shared" si="2"/>
        <v>5</v>
      </c>
      <c r="T662" s="108" t="str">
        <f t="shared" si="3"/>
        <v>2024-Q2</v>
      </c>
      <c r="U662" s="108" t="str">
        <f t="shared" si="4"/>
        <v>2024-05</v>
      </c>
      <c r="V662" s="112" t="str">
        <f t="shared" si="5"/>
        <v>2024-H1</v>
      </c>
      <c r="W662" s="112"/>
    </row>
    <row r="663">
      <c r="A663" s="146">
        <f>HYPERLINK("https://polkadot.subsquare.io/referenda/655", 655)</f>
        <v>655</v>
      </c>
      <c r="B663" s="147" t="s">
        <v>3033</v>
      </c>
      <c r="C663" s="147" t="s">
        <v>2691</v>
      </c>
      <c r="D663" s="148">
        <v>5800.0</v>
      </c>
      <c r="E663" s="149">
        <v>50228.30333709717</v>
      </c>
      <c r="F663" s="147" t="s">
        <v>2678</v>
      </c>
      <c r="G663" s="150">
        <v>4.0</v>
      </c>
      <c r="H663" s="150">
        <v>7615286.763612855</v>
      </c>
      <c r="I663" s="151">
        <v>45388.0</v>
      </c>
      <c r="J663" s="151">
        <v>45402.0</v>
      </c>
      <c r="K663" s="152">
        <v>42018.60427856445</v>
      </c>
      <c r="L663" s="117"/>
      <c r="M663" s="117"/>
      <c r="N663" s="153"/>
      <c r="O663" s="153"/>
      <c r="P663" s="153"/>
      <c r="Q663" s="153"/>
      <c r="R663" s="153" t="str">
        <f t="shared" si="1"/>
        <v>2024</v>
      </c>
      <c r="S663" s="154">
        <f t="shared" si="2"/>
        <v>4</v>
      </c>
      <c r="T663" s="153" t="str">
        <f t="shared" si="3"/>
        <v>2024-Q2</v>
      </c>
      <c r="U663" s="153" t="str">
        <f t="shared" si="4"/>
        <v>2024-04</v>
      </c>
      <c r="V663" s="155" t="str">
        <f t="shared" si="5"/>
        <v>2024-H1</v>
      </c>
      <c r="W663" s="155"/>
    </row>
    <row r="664">
      <c r="A664" s="139">
        <f>HYPERLINK("https://polkadot.subsquare.io/referenda/656", 656)</f>
        <v>656</v>
      </c>
      <c r="B664" s="140" t="s">
        <v>448</v>
      </c>
      <c r="C664" s="140" t="s">
        <v>2681</v>
      </c>
      <c r="D664" s="141">
        <v>31352.0</v>
      </c>
      <c r="E664" s="142">
        <v>271509.9596939087</v>
      </c>
      <c r="F664" s="140" t="s">
        <v>2683</v>
      </c>
      <c r="G664" s="143">
        <v>3.43843341452359E7</v>
      </c>
      <c r="H664" s="143">
        <v>8218053.325840491</v>
      </c>
      <c r="I664" s="144">
        <v>45388.0</v>
      </c>
      <c r="J664" s="144">
        <v>45412.0</v>
      </c>
      <c r="K664" s="145">
        <v>227461.93294525146</v>
      </c>
      <c r="L664" s="114" t="s">
        <v>137</v>
      </c>
      <c r="M664" s="114" t="s">
        <v>368</v>
      </c>
      <c r="N664" s="108"/>
      <c r="O664" s="108"/>
      <c r="P664" s="108"/>
      <c r="Q664" s="108"/>
      <c r="R664" s="108" t="str">
        <f t="shared" si="1"/>
        <v>2024</v>
      </c>
      <c r="S664" s="110">
        <f t="shared" si="2"/>
        <v>4</v>
      </c>
      <c r="T664" s="108" t="str">
        <f t="shared" si="3"/>
        <v>2024-Q2</v>
      </c>
      <c r="U664" s="108" t="str">
        <f t="shared" si="4"/>
        <v>2024-04</v>
      </c>
      <c r="V664" s="112" t="str">
        <f t="shared" si="5"/>
        <v>2024-H1</v>
      </c>
      <c r="W664" s="112"/>
    </row>
    <row r="665">
      <c r="A665" s="146">
        <f>HYPERLINK("https://polkadot.subsquare.io/referenda/657", 657)</f>
        <v>657</v>
      </c>
      <c r="B665" s="147" t="s">
        <v>449</v>
      </c>
      <c r="C665" s="147" t="s">
        <v>2681</v>
      </c>
      <c r="D665" s="148">
        <v>8420.0</v>
      </c>
      <c r="E665" s="149">
        <v>72917.64036178589</v>
      </c>
      <c r="F665" s="147" t="s">
        <v>2678</v>
      </c>
      <c r="G665" s="150">
        <v>3.24976708496217E7</v>
      </c>
      <c r="H665" s="150">
        <v>7570689.157407557</v>
      </c>
      <c r="I665" s="151">
        <v>45389.0</v>
      </c>
      <c r="J665" s="151">
        <v>45411.0</v>
      </c>
      <c r="K665" s="152">
        <v>61340.678367614746</v>
      </c>
      <c r="L665" s="117" t="s">
        <v>137</v>
      </c>
      <c r="M665" s="117" t="s">
        <v>243</v>
      </c>
      <c r="N665" s="153"/>
      <c r="O665" s="153"/>
      <c r="P665" s="153"/>
      <c r="Q665" s="153"/>
      <c r="R665" s="153" t="str">
        <f t="shared" si="1"/>
        <v>2024</v>
      </c>
      <c r="S665" s="154">
        <f t="shared" si="2"/>
        <v>4</v>
      </c>
      <c r="T665" s="153" t="str">
        <f t="shared" si="3"/>
        <v>2024-Q2</v>
      </c>
      <c r="U665" s="153" t="str">
        <f t="shared" si="4"/>
        <v>2024-04</v>
      </c>
      <c r="V665" s="155" t="str">
        <f t="shared" si="5"/>
        <v>2024-H1</v>
      </c>
      <c r="W665" s="155"/>
    </row>
    <row r="666">
      <c r="A666" s="139">
        <f>HYPERLINK("https://polkadot.subsquare.io/referenda/658", 658)</f>
        <v>658</v>
      </c>
      <c r="B666" s="140" t="s">
        <v>3034</v>
      </c>
      <c r="C666" s="140" t="s">
        <v>2672</v>
      </c>
      <c r="D666" s="141">
        <v>8235.42</v>
      </c>
      <c r="E666" s="142">
        <v>71319.16790834427</v>
      </c>
      <c r="F666" s="140" t="s">
        <v>2678</v>
      </c>
      <c r="G666" s="143">
        <v>1.2956314595299855E7</v>
      </c>
      <c r="H666" s="143">
        <v>1.6023223024726236E7</v>
      </c>
      <c r="I666" s="144">
        <v>45389.0</v>
      </c>
      <c r="J666" s="144">
        <v>45417.0</v>
      </c>
      <c r="K666" s="145">
        <v>57566.5656536293</v>
      </c>
      <c r="L666" s="114"/>
      <c r="M666" s="114"/>
      <c r="N666" s="108"/>
      <c r="O666" s="108"/>
      <c r="P666" s="108"/>
      <c r="Q666" s="108"/>
      <c r="R666" s="108" t="str">
        <f t="shared" si="1"/>
        <v>2024</v>
      </c>
      <c r="S666" s="110">
        <f t="shared" si="2"/>
        <v>5</v>
      </c>
      <c r="T666" s="108" t="str">
        <f t="shared" si="3"/>
        <v>2024-Q2</v>
      </c>
      <c r="U666" s="108" t="str">
        <f t="shared" si="4"/>
        <v>2024-05</v>
      </c>
      <c r="V666" s="112" t="str">
        <f t="shared" si="5"/>
        <v>2024-H1</v>
      </c>
      <c r="W666" s="112"/>
    </row>
    <row r="667">
      <c r="A667" s="146">
        <f>HYPERLINK("https://polkadot.subsquare.io/referenda/659", 659)</f>
        <v>659</v>
      </c>
      <c r="B667" s="147" t="s">
        <v>450</v>
      </c>
      <c r="C667" s="147" t="s">
        <v>2681</v>
      </c>
      <c r="D667" s="148">
        <v>155.0</v>
      </c>
      <c r="E667" s="149">
        <v>1304.929723739624</v>
      </c>
      <c r="F667" s="147" t="s">
        <v>186</v>
      </c>
      <c r="G667" s="150">
        <v>2.7695702597177453E7</v>
      </c>
      <c r="H667" s="150">
        <v>23.0</v>
      </c>
      <c r="I667" s="151">
        <v>45389.0</v>
      </c>
      <c r="J667" s="151">
        <v>45392.0</v>
      </c>
      <c r="K667" s="152">
        <v>1122.3687744140625</v>
      </c>
      <c r="L667" s="117" t="s">
        <v>137</v>
      </c>
      <c r="M667" s="117" t="s">
        <v>323</v>
      </c>
      <c r="N667" s="153"/>
      <c r="O667" s="153"/>
      <c r="P667" s="153"/>
      <c r="Q667" s="153"/>
      <c r="R667" s="153" t="str">
        <f t="shared" si="1"/>
        <v>2024</v>
      </c>
      <c r="S667" s="154">
        <f t="shared" si="2"/>
        <v>4</v>
      </c>
      <c r="T667" s="153" t="str">
        <f t="shared" si="3"/>
        <v>2024-Q2</v>
      </c>
      <c r="U667" s="153" t="str">
        <f t="shared" si="4"/>
        <v>2024-04</v>
      </c>
      <c r="V667" s="155" t="str">
        <f t="shared" si="5"/>
        <v>2024-H1</v>
      </c>
      <c r="W667" s="155"/>
    </row>
    <row r="668">
      <c r="A668" s="139">
        <f>HYPERLINK("https://polkadot.subsquare.io/referenda/660", 660)</f>
        <v>660</v>
      </c>
      <c r="B668" s="140" t="s">
        <v>451</v>
      </c>
      <c r="C668" s="140" t="s">
        <v>2681</v>
      </c>
      <c r="D668" s="141">
        <v>42.0</v>
      </c>
      <c r="E668" s="142">
        <v>353.5938606262207</v>
      </c>
      <c r="F668" s="140" t="s">
        <v>186</v>
      </c>
      <c r="G668" s="143">
        <v>2.0291719983277466E7</v>
      </c>
      <c r="H668" s="143">
        <v>23.0</v>
      </c>
      <c r="I668" s="144">
        <v>45389.0</v>
      </c>
      <c r="J668" s="144">
        <v>45392.0</v>
      </c>
      <c r="K668" s="145">
        <v>304.125732421875</v>
      </c>
      <c r="L668" s="114" t="s">
        <v>83</v>
      </c>
      <c r="M668" s="114" t="s">
        <v>140</v>
      </c>
      <c r="N668" s="108"/>
      <c r="O668" s="108"/>
      <c r="P668" s="108"/>
      <c r="Q668" s="108"/>
      <c r="R668" s="108" t="str">
        <f t="shared" si="1"/>
        <v>2024</v>
      </c>
      <c r="S668" s="110">
        <f t="shared" si="2"/>
        <v>4</v>
      </c>
      <c r="T668" s="108" t="str">
        <f t="shared" si="3"/>
        <v>2024-Q2</v>
      </c>
      <c r="U668" s="108" t="str">
        <f t="shared" si="4"/>
        <v>2024-04</v>
      </c>
      <c r="V668" s="112" t="str">
        <f t="shared" si="5"/>
        <v>2024-H1</v>
      </c>
      <c r="W668" s="112"/>
    </row>
    <row r="669">
      <c r="A669" s="146">
        <f>HYPERLINK("https://polkadot.subsquare.io/referenda/661", 661)</f>
        <v>661</v>
      </c>
      <c r="B669" s="147" t="s">
        <v>3035</v>
      </c>
      <c r="C669" s="147" t="s">
        <v>2672</v>
      </c>
      <c r="D669" s="148">
        <v>5.365E-7</v>
      </c>
      <c r="E669" s="149">
        <v>4.516740624427795E-6</v>
      </c>
      <c r="F669" s="147" t="s">
        <v>2678</v>
      </c>
      <c r="G669" s="150">
        <v>0.0</v>
      </c>
      <c r="H669" s="150">
        <v>3.443667832019693E7</v>
      </c>
      <c r="I669" s="151">
        <v>45390.0</v>
      </c>
      <c r="J669" s="151">
        <v>45418.0</v>
      </c>
      <c r="K669" s="152">
        <v>3.7823893139362332E-6</v>
      </c>
      <c r="L669" s="117"/>
      <c r="M669" s="117"/>
      <c r="N669" s="153"/>
      <c r="O669" s="153"/>
      <c r="P669" s="153"/>
      <c r="Q669" s="153"/>
      <c r="R669" s="153" t="str">
        <f t="shared" si="1"/>
        <v>2024</v>
      </c>
      <c r="S669" s="154">
        <f t="shared" si="2"/>
        <v>5</v>
      </c>
      <c r="T669" s="153" t="str">
        <f t="shared" si="3"/>
        <v>2024-Q2</v>
      </c>
      <c r="U669" s="153" t="str">
        <f t="shared" si="4"/>
        <v>2024-05</v>
      </c>
      <c r="V669" s="155" t="str">
        <f t="shared" si="5"/>
        <v>2024-H1</v>
      </c>
      <c r="W669" s="158" t="s">
        <v>2654</v>
      </c>
    </row>
    <row r="670">
      <c r="A670" s="139">
        <f>HYPERLINK("https://polkadot.subsquare.io/referenda/662", 662)</f>
        <v>662</v>
      </c>
      <c r="B670" s="140" t="s">
        <v>452</v>
      </c>
      <c r="C670" s="140" t="s">
        <v>2681</v>
      </c>
      <c r="D670" s="141">
        <v>5365.0</v>
      </c>
      <c r="E670" s="142">
        <v>44955.70236682892</v>
      </c>
      <c r="F670" s="140" t="s">
        <v>2678</v>
      </c>
      <c r="G670" s="143">
        <v>3.808948874393382E7</v>
      </c>
      <c r="H670" s="143">
        <v>2096110.6425523134</v>
      </c>
      <c r="I670" s="144">
        <v>45390.0</v>
      </c>
      <c r="J670" s="144">
        <v>45409.0</v>
      </c>
      <c r="K670" s="145">
        <v>34455.30618906021</v>
      </c>
      <c r="L670" s="114" t="s">
        <v>137</v>
      </c>
      <c r="M670" s="114" t="s">
        <v>266</v>
      </c>
      <c r="N670" s="108"/>
      <c r="O670" s="108"/>
      <c r="P670" s="108"/>
      <c r="Q670" s="108"/>
      <c r="R670" s="108" t="str">
        <f t="shared" si="1"/>
        <v>2024</v>
      </c>
      <c r="S670" s="110">
        <f t="shared" si="2"/>
        <v>4</v>
      </c>
      <c r="T670" s="108" t="str">
        <f t="shared" si="3"/>
        <v>2024-Q2</v>
      </c>
      <c r="U670" s="108" t="str">
        <f t="shared" si="4"/>
        <v>2024-04</v>
      </c>
      <c r="V670" s="112" t="str">
        <f t="shared" si="5"/>
        <v>2024-H1</v>
      </c>
      <c r="W670" s="112"/>
    </row>
    <row r="671">
      <c r="A671" s="146">
        <f>HYPERLINK("https://polkadot.subsquare.io/referenda/663", 663)</f>
        <v>663</v>
      </c>
      <c r="B671" s="147" t="s">
        <v>453</v>
      </c>
      <c r="C671" s="147" t="s">
        <v>2681</v>
      </c>
      <c r="D671" s="148">
        <v>91663.0</v>
      </c>
      <c r="E671" s="149">
        <v>768084.7243337631</v>
      </c>
      <c r="F671" s="147" t="s">
        <v>2683</v>
      </c>
      <c r="G671" s="150">
        <v>3.2434635027898677E7</v>
      </c>
      <c r="H671" s="150">
        <v>2825400.4</v>
      </c>
      <c r="I671" s="151">
        <v>45390.0</v>
      </c>
      <c r="J671" s="151">
        <v>45418.0</v>
      </c>
      <c r="K671" s="152">
        <v>646235.1382727623</v>
      </c>
      <c r="L671" s="117" t="s">
        <v>81</v>
      </c>
      <c r="M671" s="117" t="s">
        <v>202</v>
      </c>
      <c r="N671" s="153"/>
      <c r="O671" s="153"/>
      <c r="P671" s="153" t="s">
        <v>2654</v>
      </c>
      <c r="Q671" s="153"/>
      <c r="R671" s="153" t="str">
        <f t="shared" si="1"/>
        <v>2024</v>
      </c>
      <c r="S671" s="154">
        <f t="shared" si="2"/>
        <v>5</v>
      </c>
      <c r="T671" s="153" t="str">
        <f t="shared" si="3"/>
        <v>2024-Q2</v>
      </c>
      <c r="U671" s="153" t="str">
        <f t="shared" si="4"/>
        <v>2024-05</v>
      </c>
      <c r="V671" s="155" t="str">
        <f t="shared" si="5"/>
        <v>2024-H1</v>
      </c>
      <c r="W671" s="155"/>
    </row>
    <row r="672">
      <c r="A672" s="139">
        <f>HYPERLINK("https://polkadot.subsquare.io/referenda/664", 664)</f>
        <v>664</v>
      </c>
      <c r="B672" s="162"/>
      <c r="C672" s="140" t="s">
        <v>2691</v>
      </c>
      <c r="D672" s="141">
        <v>16153.0</v>
      </c>
      <c r="E672" s="142">
        <v>135353.11469364166</v>
      </c>
      <c r="F672" s="140" t="s">
        <v>2696</v>
      </c>
      <c r="G672" s="143">
        <v>3.9</v>
      </c>
      <c r="H672" s="143">
        <v>4106703.5566570326</v>
      </c>
      <c r="I672" s="144">
        <v>45390.0</v>
      </c>
      <c r="J672" s="144">
        <v>45404.0</v>
      </c>
      <c r="K672" s="145">
        <v>110847.84743452072</v>
      </c>
      <c r="L672" s="114"/>
      <c r="M672" s="114"/>
      <c r="N672" s="108"/>
      <c r="O672" s="108"/>
      <c r="P672" s="108"/>
      <c r="Q672" s="108"/>
      <c r="R672" s="108" t="str">
        <f t="shared" si="1"/>
        <v>2024</v>
      </c>
      <c r="S672" s="110">
        <f t="shared" si="2"/>
        <v>4</v>
      </c>
      <c r="T672" s="108" t="str">
        <f t="shared" si="3"/>
        <v>2024-Q2</v>
      </c>
      <c r="U672" s="108" t="str">
        <f t="shared" si="4"/>
        <v>2024-04</v>
      </c>
      <c r="V672" s="112" t="str">
        <f t="shared" si="5"/>
        <v>2024-H1</v>
      </c>
      <c r="W672" s="112"/>
    </row>
    <row r="673">
      <c r="A673" s="146">
        <f>HYPERLINK("https://polkadot.subsquare.io/referenda/665", 665)</f>
        <v>665</v>
      </c>
      <c r="B673" s="147" t="s">
        <v>3036</v>
      </c>
      <c r="C673" s="147" t="s">
        <v>2672</v>
      </c>
      <c r="D673" s="148">
        <v>16153.0</v>
      </c>
      <c r="E673" s="149">
        <v>135353.11469364166</v>
      </c>
      <c r="F673" s="147" t="s">
        <v>2683</v>
      </c>
      <c r="G673" s="150">
        <v>6147712.278539262</v>
      </c>
      <c r="H673" s="150">
        <v>3.38746780088174E7</v>
      </c>
      <c r="I673" s="151">
        <v>45390.0</v>
      </c>
      <c r="J673" s="151">
        <v>45418.0</v>
      </c>
      <c r="K673" s="152">
        <v>113880.58637094498</v>
      </c>
      <c r="L673" s="117"/>
      <c r="M673" s="117"/>
      <c r="N673" s="153"/>
      <c r="O673" s="153"/>
      <c r="P673" s="153"/>
      <c r="Q673" s="153"/>
      <c r="R673" s="153" t="str">
        <f t="shared" si="1"/>
        <v>2024</v>
      </c>
      <c r="S673" s="154">
        <f t="shared" si="2"/>
        <v>5</v>
      </c>
      <c r="T673" s="153" t="str">
        <f t="shared" si="3"/>
        <v>2024-Q2</v>
      </c>
      <c r="U673" s="153" t="str">
        <f t="shared" si="4"/>
        <v>2024-05</v>
      </c>
      <c r="V673" s="155" t="str">
        <f t="shared" si="5"/>
        <v>2024-H1</v>
      </c>
      <c r="W673" s="155"/>
    </row>
    <row r="674">
      <c r="A674" s="139">
        <f>HYPERLINK("https://polkadot.subsquare.io/referenda/666", 666)</f>
        <v>666</v>
      </c>
      <c r="B674" s="140" t="s">
        <v>186</v>
      </c>
      <c r="C674" s="140" t="s">
        <v>2681</v>
      </c>
      <c r="D674" s="141">
        <v>80.0</v>
      </c>
      <c r="E674" s="142">
        <v>579.287109375</v>
      </c>
      <c r="F674" s="140" t="s">
        <v>186</v>
      </c>
      <c r="G674" s="143">
        <v>1.5790448086064912E7</v>
      </c>
      <c r="H674" s="143">
        <v>5.0</v>
      </c>
      <c r="I674" s="144">
        <v>45391.0</v>
      </c>
      <c r="J674" s="144">
        <v>45394.0</v>
      </c>
      <c r="K674" s="145">
        <v>549.5476913452148</v>
      </c>
      <c r="L674" s="114" t="s">
        <v>81</v>
      </c>
      <c r="M674" s="114" t="s">
        <v>185</v>
      </c>
      <c r="N674" s="108"/>
      <c r="O674" s="108"/>
      <c r="P674" s="108"/>
      <c r="Q674" s="108"/>
      <c r="R674" s="108" t="str">
        <f t="shared" si="1"/>
        <v>2024</v>
      </c>
      <c r="S674" s="110">
        <f t="shared" si="2"/>
        <v>4</v>
      </c>
      <c r="T674" s="108" t="str">
        <f t="shared" si="3"/>
        <v>2024-Q2</v>
      </c>
      <c r="U674" s="108" t="str">
        <f t="shared" si="4"/>
        <v>2024-04</v>
      </c>
      <c r="V674" s="112" t="str">
        <f t="shared" si="5"/>
        <v>2024-H1</v>
      </c>
      <c r="W674" s="112"/>
    </row>
    <row r="675">
      <c r="A675" s="146">
        <f>HYPERLINK("https://polkadot.subsquare.io/referenda/667", 667)</f>
        <v>667</v>
      </c>
      <c r="B675" s="147" t="s">
        <v>454</v>
      </c>
      <c r="C675" s="147" t="s">
        <v>2681</v>
      </c>
      <c r="D675" s="148">
        <v>550.0</v>
      </c>
      <c r="E675" s="149">
        <v>3982.598876953125</v>
      </c>
      <c r="F675" s="147" t="s">
        <v>2699</v>
      </c>
      <c r="G675" s="150">
        <v>1.2201796754149145E7</v>
      </c>
      <c r="H675" s="150">
        <v>7657903.340749044</v>
      </c>
      <c r="I675" s="151">
        <v>45391.0</v>
      </c>
      <c r="J675" s="151">
        <v>45397.0</v>
      </c>
      <c r="K675" s="152">
        <v>3732.037615776062</v>
      </c>
      <c r="L675" s="117" t="s">
        <v>137</v>
      </c>
      <c r="M675" s="117" t="s">
        <v>138</v>
      </c>
      <c r="N675" s="153"/>
      <c r="O675" s="153"/>
      <c r="P675" s="153"/>
      <c r="Q675" s="153"/>
      <c r="R675" s="153" t="str">
        <f t="shared" si="1"/>
        <v>2024</v>
      </c>
      <c r="S675" s="154">
        <f t="shared" si="2"/>
        <v>4</v>
      </c>
      <c r="T675" s="153" t="str">
        <f t="shared" si="3"/>
        <v>2024-Q2</v>
      </c>
      <c r="U675" s="153" t="str">
        <f t="shared" si="4"/>
        <v>2024-04</v>
      </c>
      <c r="V675" s="155" t="str">
        <f t="shared" si="5"/>
        <v>2024-H1</v>
      </c>
      <c r="W675" s="155"/>
    </row>
    <row r="676">
      <c r="A676" s="139">
        <f>HYPERLINK("https://polkadot.subsquare.io/referenda/668", 668)</f>
        <v>668</v>
      </c>
      <c r="B676" s="140" t="s">
        <v>455</v>
      </c>
      <c r="C676" s="140" t="s">
        <v>2681</v>
      </c>
      <c r="D676" s="141">
        <v>74533.0</v>
      </c>
      <c r="E676" s="142">
        <v>539700.0765380859</v>
      </c>
      <c r="F676" s="140" t="s">
        <v>2683</v>
      </c>
      <c r="G676" s="143">
        <v>3.7226426753030896E7</v>
      </c>
      <c r="H676" s="143">
        <v>4231914.1</v>
      </c>
      <c r="I676" s="144">
        <v>45391.0</v>
      </c>
      <c r="J676" s="144">
        <v>45415.0</v>
      </c>
      <c r="K676" s="145">
        <v>530843.5537233353</v>
      </c>
      <c r="L676" s="114" t="s">
        <v>137</v>
      </c>
      <c r="M676" s="114" t="s">
        <v>138</v>
      </c>
      <c r="N676" s="108"/>
      <c r="O676" s="108"/>
      <c r="P676" s="108" t="s">
        <v>2654</v>
      </c>
      <c r="Q676" s="108"/>
      <c r="R676" s="108" t="str">
        <f t="shared" si="1"/>
        <v>2024</v>
      </c>
      <c r="S676" s="110">
        <f t="shared" si="2"/>
        <v>5</v>
      </c>
      <c r="T676" s="108" t="str">
        <f t="shared" si="3"/>
        <v>2024-Q2</v>
      </c>
      <c r="U676" s="108" t="str">
        <f t="shared" si="4"/>
        <v>2024-05</v>
      </c>
      <c r="V676" s="112" t="str">
        <f t="shared" si="5"/>
        <v>2024-H1</v>
      </c>
      <c r="W676" s="112"/>
    </row>
    <row r="677">
      <c r="A677" s="146">
        <f>HYPERLINK("https://polkadot.subsquare.io/referenda/669", 669)</f>
        <v>669</v>
      </c>
      <c r="B677" s="147" t="s">
        <v>3037</v>
      </c>
      <c r="C677" s="147" t="s">
        <v>2672</v>
      </c>
      <c r="D677" s="148">
        <v>21557.0</v>
      </c>
      <c r="E677" s="149">
        <v>156096.15270996094</v>
      </c>
      <c r="F677" s="147" t="s">
        <v>2683</v>
      </c>
      <c r="G677" s="150">
        <v>2.3251352540421523E7</v>
      </c>
      <c r="H677" s="150">
        <v>4.132975088593362E7</v>
      </c>
      <c r="I677" s="151">
        <v>45391.0</v>
      </c>
      <c r="J677" s="151">
        <v>45420.0</v>
      </c>
      <c r="K677" s="152">
        <v>145508.92766571045</v>
      </c>
      <c r="L677" s="117"/>
      <c r="M677" s="117"/>
      <c r="N677" s="153"/>
      <c r="O677" s="153"/>
      <c r="P677" s="153"/>
      <c r="Q677" s="153"/>
      <c r="R677" s="153" t="str">
        <f t="shared" si="1"/>
        <v>2024</v>
      </c>
      <c r="S677" s="154">
        <f t="shared" si="2"/>
        <v>5</v>
      </c>
      <c r="T677" s="153" t="str">
        <f t="shared" si="3"/>
        <v>2024-Q2</v>
      </c>
      <c r="U677" s="153" t="str">
        <f t="shared" si="4"/>
        <v>2024-05</v>
      </c>
      <c r="V677" s="155" t="str">
        <f t="shared" si="5"/>
        <v>2024-H1</v>
      </c>
      <c r="W677" s="155"/>
    </row>
    <row r="678">
      <c r="A678" s="139">
        <f>HYPERLINK("https://polkadot.subsquare.io/referenda/670", 670)</f>
        <v>670</v>
      </c>
      <c r="B678" s="140" t="s">
        <v>186</v>
      </c>
      <c r="C678" s="140" t="s">
        <v>2681</v>
      </c>
      <c r="D678" s="141">
        <v>80.0</v>
      </c>
      <c r="E678" s="142">
        <v>579.287109375</v>
      </c>
      <c r="F678" s="140" t="s">
        <v>186</v>
      </c>
      <c r="G678" s="143">
        <v>1.979789156981795E7</v>
      </c>
      <c r="H678" s="143">
        <v>5.0</v>
      </c>
      <c r="I678" s="144">
        <v>45392.0</v>
      </c>
      <c r="J678" s="144">
        <v>45394.0</v>
      </c>
      <c r="K678" s="145">
        <v>537.0024871826172</v>
      </c>
      <c r="L678" s="114" t="s">
        <v>81</v>
      </c>
      <c r="M678" s="114" t="s">
        <v>185</v>
      </c>
      <c r="N678" s="108"/>
      <c r="O678" s="108"/>
      <c r="P678" s="108"/>
      <c r="Q678" s="108"/>
      <c r="R678" s="108" t="str">
        <f t="shared" si="1"/>
        <v>2024</v>
      </c>
      <c r="S678" s="110">
        <f t="shared" si="2"/>
        <v>4</v>
      </c>
      <c r="T678" s="108" t="str">
        <f t="shared" si="3"/>
        <v>2024-Q2</v>
      </c>
      <c r="U678" s="108" t="str">
        <f t="shared" si="4"/>
        <v>2024-04</v>
      </c>
      <c r="V678" s="112" t="str">
        <f t="shared" si="5"/>
        <v>2024-H1</v>
      </c>
      <c r="W678" s="112"/>
    </row>
    <row r="679">
      <c r="A679" s="146">
        <f>HYPERLINK("https://polkadot.subsquare.io/referenda/671", 671)</f>
        <v>671</v>
      </c>
      <c r="B679" s="147" t="s">
        <v>456</v>
      </c>
      <c r="C679" s="147" t="s">
        <v>2681</v>
      </c>
      <c r="D679" s="148">
        <v>907.0</v>
      </c>
      <c r="E679" s="149">
        <v>5821.105873584747</v>
      </c>
      <c r="F679" s="147" t="s">
        <v>2699</v>
      </c>
      <c r="G679" s="150">
        <v>1.2682149199485077E7</v>
      </c>
      <c r="H679" s="150">
        <v>7476564.452996895</v>
      </c>
      <c r="I679" s="151">
        <v>45392.0</v>
      </c>
      <c r="J679" s="151">
        <v>45397.0</v>
      </c>
      <c r="K679" s="152">
        <v>6154.469304561615</v>
      </c>
      <c r="L679" s="117" t="s">
        <v>137</v>
      </c>
      <c r="M679" s="117" t="s">
        <v>266</v>
      </c>
      <c r="N679" s="153"/>
      <c r="O679" s="153"/>
      <c r="P679" s="153"/>
      <c r="Q679" s="153"/>
      <c r="R679" s="153" t="str">
        <f t="shared" si="1"/>
        <v>2024</v>
      </c>
      <c r="S679" s="154">
        <f t="shared" si="2"/>
        <v>4</v>
      </c>
      <c r="T679" s="153" t="str">
        <f t="shared" si="3"/>
        <v>2024-Q2</v>
      </c>
      <c r="U679" s="153" t="str">
        <f t="shared" si="4"/>
        <v>2024-04</v>
      </c>
      <c r="V679" s="155" t="str">
        <f t="shared" si="5"/>
        <v>2024-H1</v>
      </c>
      <c r="W679" s="155"/>
    </row>
    <row r="680">
      <c r="A680" s="139">
        <f>HYPERLINK("https://polkadot.subsquare.io/referenda/672", 672)</f>
        <v>672</v>
      </c>
      <c r="B680" s="140" t="s">
        <v>457</v>
      </c>
      <c r="C680" s="140" t="s">
        <v>2681</v>
      </c>
      <c r="D680" s="141">
        <v>9924.0</v>
      </c>
      <c r="E680" s="142">
        <v>63692.0117855072</v>
      </c>
      <c r="F680" s="140" t="s">
        <v>2678</v>
      </c>
      <c r="G680" s="143">
        <v>1.2423933222471114E7</v>
      </c>
      <c r="H680" s="143">
        <v>1.0460258250284398E7</v>
      </c>
      <c r="I680" s="144">
        <v>45392.0</v>
      </c>
      <c r="J680" s="144">
        <v>45423.0</v>
      </c>
      <c r="K680" s="145">
        <v>66148.3999671936</v>
      </c>
      <c r="L680" s="114" t="s">
        <v>81</v>
      </c>
      <c r="M680" s="114" t="s">
        <v>146</v>
      </c>
      <c r="N680" s="108"/>
      <c r="O680" s="108"/>
      <c r="P680" s="108"/>
      <c r="Q680" s="108"/>
      <c r="R680" s="108" t="str">
        <f t="shared" si="1"/>
        <v>2024</v>
      </c>
      <c r="S680" s="110">
        <f t="shared" si="2"/>
        <v>5</v>
      </c>
      <c r="T680" s="108" t="str">
        <f t="shared" si="3"/>
        <v>2024-Q2</v>
      </c>
      <c r="U680" s="108" t="str">
        <f t="shared" si="4"/>
        <v>2024-05</v>
      </c>
      <c r="V680" s="112" t="str">
        <f t="shared" si="5"/>
        <v>2024-H1</v>
      </c>
      <c r="W680" s="112"/>
    </row>
    <row r="681">
      <c r="A681" s="146">
        <f>HYPERLINK("https://polkadot.subsquare.io/referenda/673", 673)</f>
        <v>673</v>
      </c>
      <c r="B681" s="147" t="s">
        <v>458</v>
      </c>
      <c r="C681" s="147" t="s">
        <v>2681</v>
      </c>
      <c r="D681" s="148">
        <v>889.0</v>
      </c>
      <c r="E681" s="149">
        <v>6106.8487200737</v>
      </c>
      <c r="F681" s="147" t="s">
        <v>2699</v>
      </c>
      <c r="G681" s="150">
        <v>1.27845626729478E7</v>
      </c>
      <c r="H681" s="150">
        <v>7440560.445870125</v>
      </c>
      <c r="I681" s="151">
        <v>45394.0</v>
      </c>
      <c r="J681" s="151">
        <v>45399.0</v>
      </c>
      <c r="K681" s="152">
        <v>5945.327813625336</v>
      </c>
      <c r="L681" s="117" t="s">
        <v>84</v>
      </c>
      <c r="M681" s="117" t="s">
        <v>317</v>
      </c>
      <c r="N681" s="153"/>
      <c r="O681" s="153"/>
      <c r="P681" s="153" t="s">
        <v>2654</v>
      </c>
      <c r="Q681" s="153"/>
      <c r="R681" s="153" t="str">
        <f t="shared" si="1"/>
        <v>2024</v>
      </c>
      <c r="S681" s="154">
        <f t="shared" si="2"/>
        <v>4</v>
      </c>
      <c r="T681" s="153" t="str">
        <f t="shared" si="3"/>
        <v>2024-Q2</v>
      </c>
      <c r="U681" s="153" t="str">
        <f t="shared" si="4"/>
        <v>2024-04</v>
      </c>
      <c r="V681" s="155" t="str">
        <f t="shared" si="5"/>
        <v>2024-H1</v>
      </c>
      <c r="W681" s="155"/>
    </row>
    <row r="682">
      <c r="A682" s="139">
        <f>HYPERLINK("https://polkadot.subsquare.io/referenda/674", 674)</f>
        <v>674</v>
      </c>
      <c r="B682" s="140" t="s">
        <v>459</v>
      </c>
      <c r="C682" s="140" t="s">
        <v>2681</v>
      </c>
      <c r="D682" s="141">
        <v>824.0</v>
      </c>
      <c r="E682" s="142">
        <v>5520.83874130249</v>
      </c>
      <c r="F682" s="140" t="s">
        <v>2699</v>
      </c>
      <c r="G682" s="143">
        <v>1.3959692809620485E7</v>
      </c>
      <c r="H682" s="143">
        <v>5961.0</v>
      </c>
      <c r="I682" s="144">
        <v>45395.0</v>
      </c>
      <c r="J682" s="144">
        <v>45399.0</v>
      </c>
      <c r="K682" s="145">
        <v>5961.032665252686</v>
      </c>
      <c r="L682" s="114" t="s">
        <v>137</v>
      </c>
      <c r="M682" s="114" t="s">
        <v>266</v>
      </c>
      <c r="N682" s="108"/>
      <c r="O682" s="108"/>
      <c r="P682" s="108"/>
      <c r="Q682" s="108"/>
      <c r="R682" s="108" t="str">
        <f t="shared" si="1"/>
        <v>2024</v>
      </c>
      <c r="S682" s="110">
        <f t="shared" si="2"/>
        <v>4</v>
      </c>
      <c r="T682" s="108" t="str">
        <f t="shared" si="3"/>
        <v>2024-Q2</v>
      </c>
      <c r="U682" s="108" t="str">
        <f t="shared" si="4"/>
        <v>2024-04</v>
      </c>
      <c r="V682" s="112" t="str">
        <f t="shared" si="5"/>
        <v>2024-H1</v>
      </c>
      <c r="W682" s="112"/>
    </row>
    <row r="683">
      <c r="A683" s="146">
        <f>HYPERLINK("https://polkadot.subsquare.io/referenda/675", 675)</f>
        <v>675</v>
      </c>
      <c r="B683" s="147" t="s">
        <v>460</v>
      </c>
      <c r="C683" s="147" t="s">
        <v>2681</v>
      </c>
      <c r="D683" s="148">
        <v>28549.62</v>
      </c>
      <c r="E683" s="149">
        <v>187845.85164945602</v>
      </c>
      <c r="F683" s="147" t="s">
        <v>2683</v>
      </c>
      <c r="G683" s="150">
        <v>5.400262213176732E7</v>
      </c>
      <c r="H683" s="150">
        <v>207079.3110855102</v>
      </c>
      <c r="I683" s="151">
        <v>45396.0</v>
      </c>
      <c r="J683" s="151">
        <v>45419.0</v>
      </c>
      <c r="K683" s="152">
        <v>201278.24343884469</v>
      </c>
      <c r="L683" s="117" t="s">
        <v>137</v>
      </c>
      <c r="M683" s="117" t="s">
        <v>243</v>
      </c>
      <c r="N683" s="153"/>
      <c r="O683" s="153"/>
      <c r="P683" s="153"/>
      <c r="Q683" s="153"/>
      <c r="R683" s="153" t="str">
        <f t="shared" si="1"/>
        <v>2024</v>
      </c>
      <c r="S683" s="154">
        <f t="shared" si="2"/>
        <v>5</v>
      </c>
      <c r="T683" s="153" t="str">
        <f t="shared" si="3"/>
        <v>2024-Q2</v>
      </c>
      <c r="U683" s="153" t="str">
        <f t="shared" si="4"/>
        <v>2024-05</v>
      </c>
      <c r="V683" s="155" t="str">
        <f t="shared" si="5"/>
        <v>2024-H1</v>
      </c>
      <c r="W683" s="155"/>
    </row>
    <row r="684">
      <c r="A684" s="139">
        <f>HYPERLINK("https://polkadot.subsquare.io/referenda/676", 676)</f>
        <v>676</v>
      </c>
      <c r="B684" s="140" t="s">
        <v>461</v>
      </c>
      <c r="C684" s="140" t="s">
        <v>2681</v>
      </c>
      <c r="D684" s="141">
        <v>122705.0</v>
      </c>
      <c r="E684" s="142">
        <v>807353.1355810165</v>
      </c>
      <c r="F684" s="140" t="s">
        <v>2676</v>
      </c>
      <c r="G684" s="143">
        <v>4.4294834772344775E7</v>
      </c>
      <c r="H684" s="143">
        <v>9622996.245452465</v>
      </c>
      <c r="I684" s="144">
        <v>45396.0</v>
      </c>
      <c r="J684" s="144">
        <v>45425.0</v>
      </c>
      <c r="K684" s="145">
        <v>862508.809337616</v>
      </c>
      <c r="L684" s="114" t="s">
        <v>81</v>
      </c>
      <c r="M684" s="114" t="s">
        <v>146</v>
      </c>
      <c r="N684" s="108"/>
      <c r="O684" s="108"/>
      <c r="P684" s="108"/>
      <c r="Q684" s="108"/>
      <c r="R684" s="108" t="str">
        <f t="shared" si="1"/>
        <v>2024</v>
      </c>
      <c r="S684" s="110">
        <f t="shared" si="2"/>
        <v>5</v>
      </c>
      <c r="T684" s="108" t="str">
        <f t="shared" si="3"/>
        <v>2024-Q2</v>
      </c>
      <c r="U684" s="108" t="str">
        <f t="shared" si="4"/>
        <v>2024-05</v>
      </c>
      <c r="V684" s="112" t="str">
        <f t="shared" si="5"/>
        <v>2024-H1</v>
      </c>
      <c r="W684" s="112"/>
    </row>
    <row r="685">
      <c r="A685" s="146">
        <f>HYPERLINK("https://polkadot.subsquare.io/referenda/677", 677)</f>
        <v>677</v>
      </c>
      <c r="B685" s="147" t="s">
        <v>462</v>
      </c>
      <c r="C685" s="147" t="s">
        <v>2681</v>
      </c>
      <c r="D685" s="148">
        <v>2395.0</v>
      </c>
      <c r="E685" s="149">
        <v>16251.327435970306</v>
      </c>
      <c r="F685" s="147" t="s">
        <v>2678</v>
      </c>
      <c r="G685" s="150">
        <v>4.141246787565949E7</v>
      </c>
      <c r="H685" s="150">
        <v>27731.9744879636</v>
      </c>
      <c r="I685" s="151">
        <v>45397.0</v>
      </c>
      <c r="J685" s="151">
        <v>45415.0</v>
      </c>
      <c r="K685" s="152">
        <v>17499.748046398163</v>
      </c>
      <c r="L685" s="117" t="s">
        <v>137</v>
      </c>
      <c r="M685" s="117" t="s">
        <v>266</v>
      </c>
      <c r="N685" s="153"/>
      <c r="O685" s="153"/>
      <c r="P685" s="153"/>
      <c r="Q685" s="153"/>
      <c r="R685" s="153" t="str">
        <f t="shared" si="1"/>
        <v>2024</v>
      </c>
      <c r="S685" s="154">
        <f t="shared" si="2"/>
        <v>5</v>
      </c>
      <c r="T685" s="153" t="str">
        <f t="shared" si="3"/>
        <v>2024-Q2</v>
      </c>
      <c r="U685" s="153" t="str">
        <f t="shared" si="4"/>
        <v>2024-05</v>
      </c>
      <c r="V685" s="155" t="str">
        <f t="shared" si="5"/>
        <v>2024-H1</v>
      </c>
      <c r="W685" s="155"/>
    </row>
    <row r="686">
      <c r="A686" s="139">
        <f>HYPERLINK("https://polkadot.subsquare.io/referenda/678", 678)</f>
        <v>678</v>
      </c>
      <c r="B686" s="140" t="s">
        <v>3038</v>
      </c>
      <c r="C686" s="140" t="s">
        <v>2672</v>
      </c>
      <c r="D686" s="141">
        <v>9560.0</v>
      </c>
      <c r="E686" s="142">
        <v>64869.59928512573</v>
      </c>
      <c r="F686" s="140" t="s">
        <v>2678</v>
      </c>
      <c r="G686" s="143">
        <v>122718.7035491526</v>
      </c>
      <c r="H686" s="143">
        <v>3.213213326457736E7</v>
      </c>
      <c r="I686" s="144">
        <v>45397.0</v>
      </c>
      <c r="J686" s="144">
        <v>45428.0</v>
      </c>
      <c r="K686" s="145">
        <v>68468.27041625977</v>
      </c>
      <c r="L686" s="114"/>
      <c r="M686" s="114"/>
      <c r="N686" s="108"/>
      <c r="O686" s="108"/>
      <c r="P686" s="108"/>
      <c r="Q686" s="108"/>
      <c r="R686" s="108" t="str">
        <f t="shared" si="1"/>
        <v>2024</v>
      </c>
      <c r="S686" s="110">
        <f t="shared" si="2"/>
        <v>5</v>
      </c>
      <c r="T686" s="108" t="str">
        <f t="shared" si="3"/>
        <v>2024-Q2</v>
      </c>
      <c r="U686" s="108" t="str">
        <f t="shared" si="4"/>
        <v>2024-05</v>
      </c>
      <c r="V686" s="112" t="str">
        <f t="shared" si="5"/>
        <v>2024-H1</v>
      </c>
      <c r="W686" s="112"/>
    </row>
    <row r="687">
      <c r="A687" s="146">
        <f>HYPERLINK("https://polkadot.subsquare.io/referenda/679", 679)</f>
        <v>679</v>
      </c>
      <c r="B687" s="147" t="s">
        <v>3039</v>
      </c>
      <c r="C687" s="147" t="s">
        <v>2672</v>
      </c>
      <c r="D687" s="148">
        <v>240.0</v>
      </c>
      <c r="E687" s="149">
        <v>1628.525505065918</v>
      </c>
      <c r="F687" s="147" t="s">
        <v>186</v>
      </c>
      <c r="G687" s="150">
        <v>32604.01</v>
      </c>
      <c r="H687" s="150">
        <v>3.4215433186257415E7</v>
      </c>
      <c r="I687" s="151">
        <v>45397.0</v>
      </c>
      <c r="J687" s="151">
        <v>45404.0</v>
      </c>
      <c r="K687" s="152">
        <v>1646.9685745239258</v>
      </c>
      <c r="L687" s="117"/>
      <c r="M687" s="117"/>
      <c r="N687" s="153"/>
      <c r="O687" s="153"/>
      <c r="P687" s="153"/>
      <c r="Q687" s="153"/>
      <c r="R687" s="153" t="str">
        <f t="shared" si="1"/>
        <v>2024</v>
      </c>
      <c r="S687" s="154">
        <f t="shared" si="2"/>
        <v>4</v>
      </c>
      <c r="T687" s="153" t="str">
        <f t="shared" si="3"/>
        <v>2024-Q2</v>
      </c>
      <c r="U687" s="153" t="str">
        <f t="shared" si="4"/>
        <v>2024-04</v>
      </c>
      <c r="V687" s="155" t="str">
        <f t="shared" si="5"/>
        <v>2024-H1</v>
      </c>
      <c r="W687" s="158" t="s">
        <v>2654</v>
      </c>
    </row>
    <row r="688">
      <c r="A688" s="139">
        <f>HYPERLINK("https://polkadot.subsquare.io/referenda/680", 680)</f>
        <v>680</v>
      </c>
      <c r="B688" s="140" t="s">
        <v>3040</v>
      </c>
      <c r="C688" s="140" t="s">
        <v>2681</v>
      </c>
      <c r="D688" s="141">
        <v>0.0</v>
      </c>
      <c r="E688" s="142">
        <v>0.0</v>
      </c>
      <c r="F688" s="140" t="s">
        <v>2682</v>
      </c>
      <c r="G688" s="143">
        <v>8.062275986886974E7</v>
      </c>
      <c r="H688" s="143">
        <v>812.5515314894</v>
      </c>
      <c r="I688" s="144">
        <v>45398.0</v>
      </c>
      <c r="J688" s="144">
        <v>45422.0</v>
      </c>
      <c r="K688" s="145">
        <v>0.0</v>
      </c>
      <c r="L688" s="114"/>
      <c r="M688" s="114"/>
      <c r="N688" s="108"/>
      <c r="O688" s="108"/>
      <c r="P688" s="108"/>
      <c r="Q688" s="108"/>
      <c r="R688" s="108" t="str">
        <f t="shared" si="1"/>
        <v>2024</v>
      </c>
      <c r="S688" s="110">
        <f t="shared" si="2"/>
        <v>5</v>
      </c>
      <c r="T688" s="108" t="str">
        <f t="shared" si="3"/>
        <v>2024-Q2</v>
      </c>
      <c r="U688" s="108" t="str">
        <f t="shared" si="4"/>
        <v>2024-05</v>
      </c>
      <c r="V688" s="112" t="str">
        <f t="shared" si="5"/>
        <v>2024-H1</v>
      </c>
      <c r="W688" s="112"/>
    </row>
    <row r="689">
      <c r="A689" s="146">
        <f>HYPERLINK("https://polkadot.subsquare.io/referenda/681", 681)</f>
        <v>681</v>
      </c>
      <c r="B689" s="147" t="s">
        <v>186</v>
      </c>
      <c r="C689" s="147" t="s">
        <v>2681</v>
      </c>
      <c r="D689" s="148">
        <v>20.0</v>
      </c>
      <c r="E689" s="149">
        <v>135.71045875549316</v>
      </c>
      <c r="F689" s="147" t="s">
        <v>186</v>
      </c>
      <c r="G689" s="150">
        <v>1.9604690371823773E7</v>
      </c>
      <c r="H689" s="150">
        <v>10.0</v>
      </c>
      <c r="I689" s="151">
        <v>45398.0</v>
      </c>
      <c r="J689" s="151">
        <v>45400.0</v>
      </c>
      <c r="K689" s="152">
        <v>142.70057678222656</v>
      </c>
      <c r="L689" s="117" t="s">
        <v>81</v>
      </c>
      <c r="M689" s="117" t="s">
        <v>185</v>
      </c>
      <c r="N689" s="153"/>
      <c r="O689" s="153"/>
      <c r="P689" s="153"/>
      <c r="Q689" s="153"/>
      <c r="R689" s="153" t="str">
        <f t="shared" si="1"/>
        <v>2024</v>
      </c>
      <c r="S689" s="154">
        <f t="shared" si="2"/>
        <v>4</v>
      </c>
      <c r="T689" s="153" t="str">
        <f t="shared" si="3"/>
        <v>2024-Q2</v>
      </c>
      <c r="U689" s="153" t="str">
        <f t="shared" si="4"/>
        <v>2024-04</v>
      </c>
      <c r="V689" s="155" t="str">
        <f t="shared" si="5"/>
        <v>2024-H1</v>
      </c>
      <c r="W689" s="155"/>
    </row>
    <row r="690">
      <c r="A690" s="139">
        <f>HYPERLINK("https://polkadot.subsquare.io/referenda/682", 682)</f>
        <v>682</v>
      </c>
      <c r="B690" s="140" t="s">
        <v>3041</v>
      </c>
      <c r="C690" s="140" t="s">
        <v>2681</v>
      </c>
      <c r="D690" s="141">
        <v>0.0</v>
      </c>
      <c r="E690" s="142">
        <v>0.0</v>
      </c>
      <c r="F690" s="140" t="s">
        <v>2687</v>
      </c>
      <c r="G690" s="143">
        <v>3.130147925432312E7</v>
      </c>
      <c r="H690" s="143">
        <v>720.5</v>
      </c>
      <c r="I690" s="144">
        <v>45398.0</v>
      </c>
      <c r="J690" s="144">
        <v>45438.0</v>
      </c>
      <c r="K690" s="145">
        <v>0.0</v>
      </c>
      <c r="L690" s="114"/>
      <c r="M690" s="114"/>
      <c r="N690" s="108"/>
      <c r="O690" s="108"/>
      <c r="P690" s="108"/>
      <c r="Q690" s="108"/>
      <c r="R690" s="108" t="str">
        <f t="shared" si="1"/>
        <v>2024</v>
      </c>
      <c r="S690" s="110">
        <f t="shared" si="2"/>
        <v>5</v>
      </c>
      <c r="T690" s="108" t="str">
        <f t="shared" si="3"/>
        <v>2024-Q2</v>
      </c>
      <c r="U690" s="108" t="str">
        <f t="shared" si="4"/>
        <v>2024-05</v>
      </c>
      <c r="V690" s="112" t="str">
        <f t="shared" si="5"/>
        <v>2024-H1</v>
      </c>
      <c r="W690" s="112"/>
    </row>
    <row r="691">
      <c r="A691" s="146">
        <f>HYPERLINK("https://polkadot.subsquare.io/referenda/683", 683)</f>
        <v>683</v>
      </c>
      <c r="B691" s="147" t="s">
        <v>463</v>
      </c>
      <c r="C691" s="147" t="s">
        <v>2681</v>
      </c>
      <c r="D691" s="148">
        <v>83906.813273</v>
      </c>
      <c r="E691" s="149">
        <v>561140.0570355842</v>
      </c>
      <c r="F691" s="147" t="s">
        <v>2683</v>
      </c>
      <c r="G691" s="150">
        <v>4.047935764175173E7</v>
      </c>
      <c r="H691" s="150">
        <v>19108.1</v>
      </c>
      <c r="I691" s="151">
        <v>45398.0</v>
      </c>
      <c r="J691" s="151">
        <v>45422.0</v>
      </c>
      <c r="K691" s="152">
        <v>559280.6775851505</v>
      </c>
      <c r="L691" s="117" t="s">
        <v>81</v>
      </c>
      <c r="M691" s="117" t="s">
        <v>158</v>
      </c>
      <c r="N691" s="153"/>
      <c r="O691" s="153"/>
      <c r="P691" s="153"/>
      <c r="Q691" s="153"/>
      <c r="R691" s="153" t="str">
        <f t="shared" si="1"/>
        <v>2024</v>
      </c>
      <c r="S691" s="154">
        <f t="shared" si="2"/>
        <v>5</v>
      </c>
      <c r="T691" s="153" t="str">
        <f t="shared" si="3"/>
        <v>2024-Q2</v>
      </c>
      <c r="U691" s="153" t="str">
        <f t="shared" si="4"/>
        <v>2024-05</v>
      </c>
      <c r="V691" s="155" t="str">
        <f t="shared" si="5"/>
        <v>2024-H1</v>
      </c>
      <c r="W691" s="155"/>
    </row>
    <row r="692">
      <c r="A692" s="139">
        <f>HYPERLINK("https://polkadot.subsquare.io/referenda/684", 684)</f>
        <v>684</v>
      </c>
      <c r="B692" s="140" t="s">
        <v>3042</v>
      </c>
      <c r="C692" s="140" t="s">
        <v>2672</v>
      </c>
      <c r="D692" s="141">
        <v>1000000.0</v>
      </c>
      <c r="E692" s="142">
        <v>6687657.833099365</v>
      </c>
      <c r="F692" s="140" t="s">
        <v>2676</v>
      </c>
      <c r="G692" s="143">
        <v>8.930637306363092E7</v>
      </c>
      <c r="H692" s="143">
        <v>9.667777667217962E7</v>
      </c>
      <c r="I692" s="144">
        <v>45398.0</v>
      </c>
      <c r="J692" s="144">
        <v>45427.0</v>
      </c>
      <c r="K692" s="145">
        <v>7196755.886077881</v>
      </c>
      <c r="L692" s="114"/>
      <c r="M692" s="114"/>
      <c r="N692" s="108"/>
      <c r="O692" s="108"/>
      <c r="P692" s="108"/>
      <c r="Q692" s="108"/>
      <c r="R692" s="108" t="str">
        <f t="shared" si="1"/>
        <v>2024</v>
      </c>
      <c r="S692" s="110">
        <f t="shared" si="2"/>
        <v>5</v>
      </c>
      <c r="T692" s="108" t="str">
        <f t="shared" si="3"/>
        <v>2024-Q2</v>
      </c>
      <c r="U692" s="108" t="str">
        <f t="shared" si="4"/>
        <v>2024-05</v>
      </c>
      <c r="V692" s="112" t="str">
        <f t="shared" si="5"/>
        <v>2024-H1</v>
      </c>
      <c r="W692" s="112"/>
    </row>
    <row r="693">
      <c r="A693" s="146">
        <f>HYPERLINK("https://polkadot.subsquare.io/referenda/685", 685)</f>
        <v>685</v>
      </c>
      <c r="B693" s="147" t="s">
        <v>464</v>
      </c>
      <c r="C693" s="147" t="s">
        <v>2681</v>
      </c>
      <c r="D693" s="148">
        <v>48117.0</v>
      </c>
      <c r="E693" s="149">
        <v>321790.03195524216</v>
      </c>
      <c r="F693" s="147" t="s">
        <v>2683</v>
      </c>
      <c r="G693" s="150">
        <v>3.852607850973605E7</v>
      </c>
      <c r="H693" s="150">
        <v>191315.2962761988</v>
      </c>
      <c r="I693" s="151">
        <v>45399.0</v>
      </c>
      <c r="J693" s="151">
        <v>45423.0</v>
      </c>
      <c r="K693" s="152">
        <v>320723.7566728592</v>
      </c>
      <c r="L693" s="117" t="s">
        <v>137</v>
      </c>
      <c r="M693" s="117" t="s">
        <v>138</v>
      </c>
      <c r="N693" s="153"/>
      <c r="O693" s="153"/>
      <c r="P693" s="153" t="s">
        <v>2654</v>
      </c>
      <c r="Q693" s="153"/>
      <c r="R693" s="153" t="str">
        <f t="shared" si="1"/>
        <v>2024</v>
      </c>
      <c r="S693" s="154">
        <f t="shared" si="2"/>
        <v>5</v>
      </c>
      <c r="T693" s="153" t="str">
        <f t="shared" si="3"/>
        <v>2024-Q2</v>
      </c>
      <c r="U693" s="153" t="str">
        <f t="shared" si="4"/>
        <v>2024-05</v>
      </c>
      <c r="V693" s="155" t="str">
        <f t="shared" si="5"/>
        <v>2024-H1</v>
      </c>
      <c r="W693" s="155"/>
    </row>
    <row r="694">
      <c r="A694" s="139">
        <f>HYPERLINK("https://polkadot.subsquare.io/referenda/686", 686)</f>
        <v>686</v>
      </c>
      <c r="B694" s="140" t="s">
        <v>3043</v>
      </c>
      <c r="C694" s="140" t="s">
        <v>2672</v>
      </c>
      <c r="D694" s="141">
        <v>45000.0</v>
      </c>
      <c r="E694" s="142">
        <v>300944.60248947144</v>
      </c>
      <c r="F694" s="140" t="s">
        <v>2683</v>
      </c>
      <c r="G694" s="143">
        <v>1253886.5470499354</v>
      </c>
      <c r="H694" s="143">
        <v>2.9161570687162135E7</v>
      </c>
      <c r="I694" s="144">
        <v>45399.0</v>
      </c>
      <c r="J694" s="144">
        <v>45427.0</v>
      </c>
      <c r="K694" s="145">
        <v>322287.8837585449</v>
      </c>
      <c r="L694" s="114"/>
      <c r="M694" s="114"/>
      <c r="N694" s="108"/>
      <c r="O694" s="108"/>
      <c r="P694" s="108"/>
      <c r="Q694" s="108"/>
      <c r="R694" s="108" t="str">
        <f t="shared" si="1"/>
        <v>2024</v>
      </c>
      <c r="S694" s="110">
        <f t="shared" si="2"/>
        <v>5</v>
      </c>
      <c r="T694" s="108" t="str">
        <f t="shared" si="3"/>
        <v>2024-Q2</v>
      </c>
      <c r="U694" s="108" t="str">
        <f t="shared" si="4"/>
        <v>2024-05</v>
      </c>
      <c r="V694" s="112" t="str">
        <f t="shared" si="5"/>
        <v>2024-H1</v>
      </c>
      <c r="W694" s="112"/>
    </row>
    <row r="695">
      <c r="A695" s="146">
        <f>HYPERLINK("https://polkadot.subsquare.io/referenda/687", 687)</f>
        <v>687</v>
      </c>
      <c r="B695" s="147" t="s">
        <v>465</v>
      </c>
      <c r="C695" s="147" t="s">
        <v>2681</v>
      </c>
      <c r="D695" s="148">
        <v>77820.0</v>
      </c>
      <c r="E695" s="149">
        <v>520433.5325717926</v>
      </c>
      <c r="F695" s="147" t="s">
        <v>2683</v>
      </c>
      <c r="G695" s="150">
        <v>6.3851171334315635E7</v>
      </c>
      <c r="H695" s="150">
        <v>1.1022767783419408E7</v>
      </c>
      <c r="I695" s="151">
        <v>45399.0</v>
      </c>
      <c r="J695" s="151">
        <v>45426.0</v>
      </c>
      <c r="K695" s="152">
        <v>547006.5241241455</v>
      </c>
      <c r="L695" s="117" t="s">
        <v>137</v>
      </c>
      <c r="M695" s="117" t="s">
        <v>243</v>
      </c>
      <c r="N695" s="153"/>
      <c r="O695" s="153"/>
      <c r="P695" s="153"/>
      <c r="Q695" s="153"/>
      <c r="R695" s="153" t="str">
        <f t="shared" si="1"/>
        <v>2024</v>
      </c>
      <c r="S695" s="154">
        <f t="shared" si="2"/>
        <v>5</v>
      </c>
      <c r="T695" s="153" t="str">
        <f t="shared" si="3"/>
        <v>2024-Q2</v>
      </c>
      <c r="U695" s="153" t="str">
        <f t="shared" si="4"/>
        <v>2024-05</v>
      </c>
      <c r="V695" s="155" t="str">
        <f t="shared" si="5"/>
        <v>2024-H1</v>
      </c>
      <c r="W695" s="155"/>
    </row>
    <row r="696">
      <c r="A696" s="139">
        <f>HYPERLINK("https://polkadot.subsquare.io/referenda/688", 688)</f>
        <v>688</v>
      </c>
      <c r="B696" s="140" t="s">
        <v>3044</v>
      </c>
      <c r="C696" s="140" t="s">
        <v>2681</v>
      </c>
      <c r="D696" s="141">
        <v>0.0</v>
      </c>
      <c r="E696" s="142">
        <v>0.0</v>
      </c>
      <c r="F696" s="140" t="s">
        <v>2682</v>
      </c>
      <c r="G696" s="143">
        <v>7.739687108635575E7</v>
      </c>
      <c r="H696" s="143">
        <v>10.0</v>
      </c>
      <c r="I696" s="144">
        <v>45399.0</v>
      </c>
      <c r="J696" s="144">
        <v>45417.0</v>
      </c>
      <c r="K696" s="145">
        <v>0.0</v>
      </c>
      <c r="L696" s="114"/>
      <c r="M696" s="114"/>
      <c r="N696" s="108"/>
      <c r="O696" s="108"/>
      <c r="P696" s="108"/>
      <c r="Q696" s="108"/>
      <c r="R696" s="108" t="str">
        <f t="shared" si="1"/>
        <v>2024</v>
      </c>
      <c r="S696" s="110">
        <f t="shared" si="2"/>
        <v>5</v>
      </c>
      <c r="T696" s="108" t="str">
        <f t="shared" si="3"/>
        <v>2024-Q2</v>
      </c>
      <c r="U696" s="108" t="str">
        <f t="shared" si="4"/>
        <v>2024-05</v>
      </c>
      <c r="V696" s="112" t="str">
        <f t="shared" si="5"/>
        <v>2024-H1</v>
      </c>
      <c r="W696" s="112"/>
    </row>
    <row r="697">
      <c r="A697" s="146">
        <f>HYPERLINK("https://polkadot.subsquare.io/referenda/689", 689)</f>
        <v>689</v>
      </c>
      <c r="B697" s="147" t="s">
        <v>3045</v>
      </c>
      <c r="C697" s="147" t="s">
        <v>2681</v>
      </c>
      <c r="D697" s="148">
        <v>0.0</v>
      </c>
      <c r="E697" s="149">
        <v>0.0</v>
      </c>
      <c r="F697" s="147" t="s">
        <v>2683</v>
      </c>
      <c r="G697" s="150">
        <v>2.462397184997969E7</v>
      </c>
      <c r="H697" s="150">
        <v>1.414381027093857E7</v>
      </c>
      <c r="I697" s="151">
        <v>45399.0</v>
      </c>
      <c r="J697" s="151">
        <v>45427.0</v>
      </c>
      <c r="K697" s="152">
        <v>0.0</v>
      </c>
      <c r="L697" s="117"/>
      <c r="M697" s="117"/>
      <c r="N697" s="153"/>
      <c r="O697" s="153"/>
      <c r="P697" s="153"/>
      <c r="Q697" s="153"/>
      <c r="R697" s="153" t="str">
        <f t="shared" si="1"/>
        <v>2024</v>
      </c>
      <c r="S697" s="154">
        <f t="shared" si="2"/>
        <v>5</v>
      </c>
      <c r="T697" s="153" t="str">
        <f t="shared" si="3"/>
        <v>2024-Q2</v>
      </c>
      <c r="U697" s="153" t="str">
        <f t="shared" si="4"/>
        <v>2024-05</v>
      </c>
      <c r="V697" s="155" t="str">
        <f t="shared" si="5"/>
        <v>2024-H1</v>
      </c>
      <c r="W697" s="155"/>
    </row>
    <row r="698">
      <c r="A698" s="139">
        <f>HYPERLINK("https://polkadot.subsquare.io/referenda/690", 690)</f>
        <v>690</v>
      </c>
      <c r="B698" s="140" t="s">
        <v>466</v>
      </c>
      <c r="C698" s="140" t="s">
        <v>2681</v>
      </c>
      <c r="D698" s="141">
        <v>30148.0</v>
      </c>
      <c r="E698" s="142">
        <v>218098.5592136383</v>
      </c>
      <c r="F698" s="140" t="s">
        <v>2683</v>
      </c>
      <c r="G698" s="143">
        <v>4.845083724324816E7</v>
      </c>
      <c r="H698" s="143">
        <v>1.6772411892114349E7</v>
      </c>
      <c r="I698" s="144">
        <v>45399.0</v>
      </c>
      <c r="J698" s="144">
        <v>45428.0</v>
      </c>
      <c r="K698" s="145">
        <v>215918.55821228027</v>
      </c>
      <c r="L698" s="114" t="s">
        <v>137</v>
      </c>
      <c r="M698" s="114" t="s">
        <v>243</v>
      </c>
      <c r="N698" s="108"/>
      <c r="O698" s="108"/>
      <c r="P698" s="108"/>
      <c r="Q698" s="108"/>
      <c r="R698" s="108" t="str">
        <f t="shared" si="1"/>
        <v>2024</v>
      </c>
      <c r="S698" s="110">
        <f t="shared" si="2"/>
        <v>5</v>
      </c>
      <c r="T698" s="108" t="str">
        <f t="shared" si="3"/>
        <v>2024-Q2</v>
      </c>
      <c r="U698" s="108" t="str">
        <f t="shared" si="4"/>
        <v>2024-05</v>
      </c>
      <c r="V698" s="112" t="str">
        <f t="shared" si="5"/>
        <v>2024-H1</v>
      </c>
      <c r="W698" s="112"/>
    </row>
    <row r="699">
      <c r="A699" s="146">
        <f>HYPERLINK("https://polkadot.subsquare.io/referenda/691", 691)</f>
        <v>691</v>
      </c>
      <c r="B699" s="147" t="s">
        <v>3046</v>
      </c>
      <c r="C699" s="147" t="s">
        <v>2672</v>
      </c>
      <c r="D699" s="148">
        <v>0.0</v>
      </c>
      <c r="E699" s="149">
        <v>0.0</v>
      </c>
      <c r="F699" s="147" t="s">
        <v>2696</v>
      </c>
      <c r="G699" s="150">
        <v>431.2303287823</v>
      </c>
      <c r="H699" s="150">
        <v>4170599.676849735</v>
      </c>
      <c r="I699" s="151">
        <v>45400.0</v>
      </c>
      <c r="J699" s="151">
        <v>45428.0</v>
      </c>
      <c r="K699" s="152">
        <v>0.0</v>
      </c>
      <c r="L699" s="117"/>
      <c r="M699" s="117"/>
      <c r="N699" s="153"/>
      <c r="O699" s="153"/>
      <c r="P699" s="153"/>
      <c r="Q699" s="153"/>
      <c r="R699" s="153" t="str">
        <f t="shared" si="1"/>
        <v>2024</v>
      </c>
      <c r="S699" s="154">
        <f t="shared" si="2"/>
        <v>5</v>
      </c>
      <c r="T699" s="153" t="str">
        <f t="shared" si="3"/>
        <v>2024-Q2</v>
      </c>
      <c r="U699" s="153" t="str">
        <f t="shared" si="4"/>
        <v>2024-05</v>
      </c>
      <c r="V699" s="155" t="str">
        <f t="shared" si="5"/>
        <v>2024-H1</v>
      </c>
      <c r="W699" s="158" t="s">
        <v>2654</v>
      </c>
    </row>
    <row r="700">
      <c r="A700" s="139">
        <f>HYPERLINK("https://polkadot.subsquare.io/referenda/692", 692)</f>
        <v>692</v>
      </c>
      <c r="B700" s="140" t="s">
        <v>3003</v>
      </c>
      <c r="C700" s="140" t="s">
        <v>2681</v>
      </c>
      <c r="D700" s="141">
        <v>500000.0</v>
      </c>
      <c r="E700" s="142">
        <v>3617131.471633911</v>
      </c>
      <c r="F700" s="140" t="s">
        <v>2676</v>
      </c>
      <c r="G700" s="143">
        <v>4.993081629468225E7</v>
      </c>
      <c r="H700" s="143">
        <v>3.776389686397966E7</v>
      </c>
      <c r="I700" s="144">
        <v>45400.0</v>
      </c>
      <c r="J700" s="144">
        <v>45428.0</v>
      </c>
      <c r="K700" s="145">
        <v>3468767.4045562744</v>
      </c>
      <c r="L700" s="114"/>
      <c r="M700" s="114"/>
      <c r="N700" s="108" t="s">
        <v>2654</v>
      </c>
      <c r="O700" s="108" t="s">
        <v>2654</v>
      </c>
      <c r="P700" s="108" t="s">
        <v>2654</v>
      </c>
      <c r="Q700" s="108"/>
      <c r="R700" s="108" t="str">
        <f t="shared" si="1"/>
        <v>2024</v>
      </c>
      <c r="S700" s="110">
        <f t="shared" si="2"/>
        <v>5</v>
      </c>
      <c r="T700" s="108" t="str">
        <f t="shared" si="3"/>
        <v>2024-Q2</v>
      </c>
      <c r="U700" s="108" t="str">
        <f t="shared" si="4"/>
        <v>2024-05</v>
      </c>
      <c r="V700" s="112" t="str">
        <f t="shared" si="5"/>
        <v>2024-H1</v>
      </c>
      <c r="W700" s="112"/>
    </row>
    <row r="701">
      <c r="A701" s="146">
        <f>HYPERLINK("https://polkadot.subsquare.io/referenda/693", 693)</f>
        <v>693</v>
      </c>
      <c r="B701" s="147" t="s">
        <v>3047</v>
      </c>
      <c r="C701" s="147" t="s">
        <v>2800</v>
      </c>
      <c r="D701" s="148">
        <v>0.0</v>
      </c>
      <c r="E701" s="149">
        <v>0.0</v>
      </c>
      <c r="F701" s="147" t="s">
        <v>2687</v>
      </c>
      <c r="G701" s="150">
        <v>3626138.55503579</v>
      </c>
      <c r="H701" s="150">
        <v>2.224452409920007E7</v>
      </c>
      <c r="I701" s="151">
        <v>45400.0</v>
      </c>
      <c r="J701" s="151">
        <v>45432.0</v>
      </c>
      <c r="K701" s="152">
        <v>0.0</v>
      </c>
      <c r="L701" s="117"/>
      <c r="M701" s="117"/>
      <c r="N701" s="153"/>
      <c r="O701" s="153"/>
      <c r="P701" s="153"/>
      <c r="Q701" s="153"/>
      <c r="R701" s="153" t="str">
        <f t="shared" si="1"/>
        <v>2024</v>
      </c>
      <c r="S701" s="154">
        <f t="shared" si="2"/>
        <v>5</v>
      </c>
      <c r="T701" s="153" t="str">
        <f t="shared" si="3"/>
        <v>2024-Q2</v>
      </c>
      <c r="U701" s="153" t="str">
        <f t="shared" si="4"/>
        <v>2024-05</v>
      </c>
      <c r="V701" s="155" t="str">
        <f t="shared" si="5"/>
        <v>2024-H1</v>
      </c>
      <c r="W701" s="155"/>
    </row>
    <row r="702">
      <c r="A702" s="139">
        <f>HYPERLINK("https://polkadot.subsquare.io/referenda/694", 694)</f>
        <v>694</v>
      </c>
      <c r="B702" s="140" t="s">
        <v>3048</v>
      </c>
      <c r="C702" s="140" t="s">
        <v>2681</v>
      </c>
      <c r="D702" s="141">
        <v>0.0</v>
      </c>
      <c r="E702" s="142">
        <v>0.0</v>
      </c>
      <c r="F702" s="140" t="s">
        <v>2682</v>
      </c>
      <c r="G702" s="143">
        <v>9.54882896811075E7</v>
      </c>
      <c r="H702" s="143">
        <v>250.1</v>
      </c>
      <c r="I702" s="144">
        <v>45400.0</v>
      </c>
      <c r="J702" s="144">
        <v>45414.0</v>
      </c>
      <c r="K702" s="145">
        <v>0.0</v>
      </c>
      <c r="L702" s="114"/>
      <c r="M702" s="114"/>
      <c r="N702" s="108"/>
      <c r="O702" s="108"/>
      <c r="P702" s="108"/>
      <c r="Q702" s="108"/>
      <c r="R702" s="108" t="str">
        <f t="shared" si="1"/>
        <v>2024</v>
      </c>
      <c r="S702" s="110">
        <f t="shared" si="2"/>
        <v>5</v>
      </c>
      <c r="T702" s="108" t="str">
        <f t="shared" si="3"/>
        <v>2024-Q2</v>
      </c>
      <c r="U702" s="108" t="str">
        <f t="shared" si="4"/>
        <v>2024-05</v>
      </c>
      <c r="V702" s="112" t="str">
        <f t="shared" si="5"/>
        <v>2024-H1</v>
      </c>
      <c r="W702" s="112"/>
    </row>
    <row r="703">
      <c r="A703" s="146">
        <f>HYPERLINK("https://polkadot.subsquare.io/referenda/695", 695)</f>
        <v>695</v>
      </c>
      <c r="B703" s="147" t="s">
        <v>467</v>
      </c>
      <c r="C703" s="147" t="s">
        <v>2681</v>
      </c>
      <c r="D703" s="148">
        <v>34763.0</v>
      </c>
      <c r="E703" s="149">
        <v>248035.0075340271</v>
      </c>
      <c r="F703" s="147" t="s">
        <v>2683</v>
      </c>
      <c r="G703" s="150">
        <v>4.135087819551657E7</v>
      </c>
      <c r="H703" s="150">
        <v>0.0</v>
      </c>
      <c r="I703" s="151">
        <v>45400.0</v>
      </c>
      <c r="J703" s="151">
        <v>45424.0</v>
      </c>
      <c r="K703" s="152">
        <v>242071.45509147644</v>
      </c>
      <c r="L703" s="117" t="s">
        <v>84</v>
      </c>
      <c r="M703" s="117" t="s">
        <v>202</v>
      </c>
      <c r="N703" s="153"/>
      <c r="O703" s="153"/>
      <c r="P703" s="153"/>
      <c r="Q703" s="153"/>
      <c r="R703" s="153" t="str">
        <f t="shared" si="1"/>
        <v>2024</v>
      </c>
      <c r="S703" s="154">
        <f t="shared" si="2"/>
        <v>5</v>
      </c>
      <c r="T703" s="153" t="str">
        <f t="shared" si="3"/>
        <v>2024-Q2</v>
      </c>
      <c r="U703" s="153" t="str">
        <f t="shared" si="4"/>
        <v>2024-05</v>
      </c>
      <c r="V703" s="155" t="str">
        <f t="shared" si="5"/>
        <v>2024-H1</v>
      </c>
      <c r="W703" s="155"/>
    </row>
    <row r="704">
      <c r="A704" s="139">
        <f>HYPERLINK("https://polkadot.subsquare.io/referenda/696", 696)</f>
        <v>696</v>
      </c>
      <c r="B704" s="140" t="s">
        <v>3049</v>
      </c>
      <c r="C704" s="140" t="s">
        <v>2691</v>
      </c>
      <c r="D704" s="141">
        <v>1.6448E-6</v>
      </c>
      <c r="E704" s="142">
        <v>1.2299668005371093E-5</v>
      </c>
      <c r="F704" s="140" t="s">
        <v>2683</v>
      </c>
      <c r="G704" s="143">
        <v>0.0</v>
      </c>
      <c r="H704" s="143">
        <v>3.094700321531193E7</v>
      </c>
      <c r="I704" s="144">
        <v>45402.0</v>
      </c>
      <c r="J704" s="144">
        <v>45416.0</v>
      </c>
      <c r="K704" s="145">
        <v>1.150823616027832E-5</v>
      </c>
      <c r="L704" s="114"/>
      <c r="M704" s="114"/>
      <c r="N704" s="108"/>
      <c r="O704" s="108"/>
      <c r="P704" s="108"/>
      <c r="Q704" s="108"/>
      <c r="R704" s="108" t="str">
        <f t="shared" si="1"/>
        <v>2024</v>
      </c>
      <c r="S704" s="110">
        <f t="shared" si="2"/>
        <v>5</v>
      </c>
      <c r="T704" s="108" t="str">
        <f t="shared" si="3"/>
        <v>2024-Q2</v>
      </c>
      <c r="U704" s="108" t="str">
        <f t="shared" si="4"/>
        <v>2024-05</v>
      </c>
      <c r="V704" s="112" t="str">
        <f t="shared" si="5"/>
        <v>2024-H1</v>
      </c>
      <c r="W704" s="156" t="s">
        <v>2654</v>
      </c>
    </row>
    <row r="705">
      <c r="A705" s="146">
        <f>HYPERLINK("https://polkadot.subsquare.io/referenda/697", 697)</f>
        <v>697</v>
      </c>
      <c r="B705" s="147" t="s">
        <v>3050</v>
      </c>
      <c r="C705" s="147" t="s">
        <v>2672</v>
      </c>
      <c r="D705" s="148">
        <v>2.9719E-6</v>
      </c>
      <c r="E705" s="149">
        <v>2.1530187940597532E-5</v>
      </c>
      <c r="F705" s="147" t="s">
        <v>2683</v>
      </c>
      <c r="G705" s="150">
        <v>20637.01</v>
      </c>
      <c r="H705" s="150">
        <v>4.1232293536559835E7</v>
      </c>
      <c r="I705" s="151">
        <v>45402.0</v>
      </c>
      <c r="J705" s="151">
        <v>45430.0</v>
      </c>
      <c r="K705" s="152">
        <v>2.262704140253067E-5</v>
      </c>
      <c r="L705" s="117"/>
      <c r="M705" s="117"/>
      <c r="N705" s="153"/>
      <c r="O705" s="153"/>
      <c r="P705" s="153"/>
      <c r="Q705" s="153"/>
      <c r="R705" s="153" t="str">
        <f t="shared" si="1"/>
        <v>2024</v>
      </c>
      <c r="S705" s="154">
        <f t="shared" si="2"/>
        <v>5</v>
      </c>
      <c r="T705" s="153" t="str">
        <f t="shared" si="3"/>
        <v>2024-Q2</v>
      </c>
      <c r="U705" s="153" t="str">
        <f t="shared" si="4"/>
        <v>2024-05</v>
      </c>
      <c r="V705" s="155" t="str">
        <f t="shared" si="5"/>
        <v>2024-H1</v>
      </c>
      <c r="W705" s="158" t="s">
        <v>2654</v>
      </c>
    </row>
    <row r="706">
      <c r="A706" s="139">
        <f>HYPERLINK("https://polkadot.subsquare.io/referenda/698", 698)</f>
        <v>698</v>
      </c>
      <c r="B706" s="140" t="s">
        <v>468</v>
      </c>
      <c r="C706" s="140" t="s">
        <v>2681</v>
      </c>
      <c r="D706" s="141">
        <v>16448.0</v>
      </c>
      <c r="E706" s="142">
        <v>119158.96606445312</v>
      </c>
      <c r="F706" s="140" t="s">
        <v>2683</v>
      </c>
      <c r="G706" s="143">
        <v>3.0680796148644384E7</v>
      </c>
      <c r="H706" s="143">
        <v>7818828.998011404</v>
      </c>
      <c r="I706" s="144">
        <v>45402.0</v>
      </c>
      <c r="J706" s="144">
        <v>45429.0</v>
      </c>
      <c r="K706" s="145">
        <v>124594.09097290039</v>
      </c>
      <c r="L706" s="114" t="s">
        <v>137</v>
      </c>
      <c r="M706" s="114" t="s">
        <v>266</v>
      </c>
      <c r="N706" s="108"/>
      <c r="O706" s="108"/>
      <c r="P706" s="108"/>
      <c r="Q706" s="108"/>
      <c r="R706" s="108" t="str">
        <f t="shared" si="1"/>
        <v>2024</v>
      </c>
      <c r="S706" s="110">
        <f t="shared" si="2"/>
        <v>5</v>
      </c>
      <c r="T706" s="108" t="str">
        <f t="shared" si="3"/>
        <v>2024-Q2</v>
      </c>
      <c r="U706" s="108" t="str">
        <f t="shared" si="4"/>
        <v>2024-05</v>
      </c>
      <c r="V706" s="112" t="str">
        <f t="shared" si="5"/>
        <v>2024-H1</v>
      </c>
      <c r="W706" s="112"/>
    </row>
    <row r="707">
      <c r="A707" s="146">
        <f>HYPERLINK("https://polkadot.subsquare.io/referenda/699", 699)</f>
        <v>699</v>
      </c>
      <c r="B707" s="147" t="s">
        <v>469</v>
      </c>
      <c r="C707" s="147" t="s">
        <v>2681</v>
      </c>
      <c r="D707" s="148">
        <v>29719.0</v>
      </c>
      <c r="E707" s="149">
        <v>215301.87940597534</v>
      </c>
      <c r="F707" s="147" t="s">
        <v>2683</v>
      </c>
      <c r="G707" s="150">
        <v>6.294993000640261E7</v>
      </c>
      <c r="H707" s="150">
        <v>1.8323416329532683E7</v>
      </c>
      <c r="I707" s="151">
        <v>45402.0</v>
      </c>
      <c r="J707" s="151">
        <v>45425.0</v>
      </c>
      <c r="K707" s="152">
        <v>208898.57222366333</v>
      </c>
      <c r="L707" s="117" t="s">
        <v>85</v>
      </c>
      <c r="M707" s="117" t="s">
        <v>85</v>
      </c>
      <c r="N707" s="153"/>
      <c r="O707" s="153"/>
      <c r="P707" s="153"/>
      <c r="Q707" s="153"/>
      <c r="R707" s="153" t="str">
        <f t="shared" si="1"/>
        <v>2024</v>
      </c>
      <c r="S707" s="154">
        <f t="shared" si="2"/>
        <v>5</v>
      </c>
      <c r="T707" s="153" t="str">
        <f t="shared" si="3"/>
        <v>2024-Q2</v>
      </c>
      <c r="U707" s="153" t="str">
        <f t="shared" si="4"/>
        <v>2024-05</v>
      </c>
      <c r="V707" s="155" t="str">
        <f t="shared" si="5"/>
        <v>2024-H1</v>
      </c>
      <c r="W707" s="155"/>
    </row>
    <row r="708">
      <c r="A708" s="139">
        <f>HYPERLINK("https://polkadot.subsquare.io/referenda/700", 700)</f>
        <v>700</v>
      </c>
      <c r="B708" s="140" t="s">
        <v>471</v>
      </c>
      <c r="C708" s="140" t="s">
        <v>2681</v>
      </c>
      <c r="D708" s="141">
        <v>81718.0</v>
      </c>
      <c r="E708" s="142">
        <v>592013.1559371948</v>
      </c>
      <c r="F708" s="140" t="s">
        <v>2683</v>
      </c>
      <c r="G708" s="143">
        <v>4.598609098312451E7</v>
      </c>
      <c r="H708" s="143">
        <v>1.6596257390018648E7</v>
      </c>
      <c r="I708" s="144">
        <v>45402.0</v>
      </c>
      <c r="J708" s="144">
        <v>45426.0</v>
      </c>
      <c r="K708" s="145">
        <v>574406.0542068481</v>
      </c>
      <c r="L708" s="114" t="s">
        <v>81</v>
      </c>
      <c r="M708" s="114" t="s">
        <v>470</v>
      </c>
      <c r="N708" s="108"/>
      <c r="O708" s="108"/>
      <c r="P708" s="108"/>
      <c r="Q708" s="108"/>
      <c r="R708" s="108" t="str">
        <f t="shared" si="1"/>
        <v>2024</v>
      </c>
      <c r="S708" s="110">
        <f t="shared" si="2"/>
        <v>5</v>
      </c>
      <c r="T708" s="108" t="str">
        <f t="shared" si="3"/>
        <v>2024-Q2</v>
      </c>
      <c r="U708" s="108" t="str">
        <f t="shared" si="4"/>
        <v>2024-05</v>
      </c>
      <c r="V708" s="112" t="str">
        <f t="shared" si="5"/>
        <v>2024-H1</v>
      </c>
      <c r="W708" s="112"/>
    </row>
    <row r="709">
      <c r="A709" s="146">
        <f>HYPERLINK("https://polkadot.subsquare.io/referenda/701", 701)</f>
        <v>701</v>
      </c>
      <c r="B709" s="147" t="s">
        <v>3051</v>
      </c>
      <c r="C709" s="147" t="s">
        <v>2691</v>
      </c>
      <c r="D709" s="148">
        <v>0.0</v>
      </c>
      <c r="E709" s="149">
        <v>0.0</v>
      </c>
      <c r="F709" s="147" t="s">
        <v>2687</v>
      </c>
      <c r="G709" s="150">
        <v>110690.447091685</v>
      </c>
      <c r="H709" s="150">
        <v>3475902.4384634397</v>
      </c>
      <c r="I709" s="151">
        <v>45403.0</v>
      </c>
      <c r="J709" s="151">
        <v>45417.0</v>
      </c>
      <c r="K709" s="152">
        <v>0.0</v>
      </c>
      <c r="L709" s="117"/>
      <c r="M709" s="117"/>
      <c r="N709" s="153"/>
      <c r="O709" s="153"/>
      <c r="P709" s="153"/>
      <c r="Q709" s="153"/>
      <c r="R709" s="153" t="str">
        <f t="shared" si="1"/>
        <v>2024</v>
      </c>
      <c r="S709" s="154">
        <f t="shared" si="2"/>
        <v>5</v>
      </c>
      <c r="T709" s="153" t="str">
        <f t="shared" si="3"/>
        <v>2024-Q2</v>
      </c>
      <c r="U709" s="153" t="str">
        <f t="shared" si="4"/>
        <v>2024-05</v>
      </c>
      <c r="V709" s="155" t="str">
        <f t="shared" si="5"/>
        <v>2024-H1</v>
      </c>
      <c r="W709" s="158" t="s">
        <v>2654</v>
      </c>
    </row>
    <row r="710">
      <c r="A710" s="139">
        <f>HYPERLINK("https://polkadot.subsquare.io/referenda/702", 702)</f>
        <v>702</v>
      </c>
      <c r="B710" s="140" t="s">
        <v>3052</v>
      </c>
      <c r="C710" s="140" t="s">
        <v>2672</v>
      </c>
      <c r="D710" s="141">
        <v>0.0</v>
      </c>
      <c r="E710" s="142">
        <v>0.0</v>
      </c>
      <c r="F710" s="140" t="s">
        <v>3053</v>
      </c>
      <c r="G710" s="143">
        <v>7.010156531E7</v>
      </c>
      <c r="H710" s="143">
        <v>1.1196965642755556E8</v>
      </c>
      <c r="I710" s="144">
        <v>45403.0</v>
      </c>
      <c r="J710" s="144">
        <v>45431.0</v>
      </c>
      <c r="K710" s="145">
        <v>0.0</v>
      </c>
      <c r="L710" s="114"/>
      <c r="M710" s="114"/>
      <c r="N710" s="108"/>
      <c r="O710" s="108"/>
      <c r="P710" s="108"/>
      <c r="Q710" s="108"/>
      <c r="R710" s="108" t="str">
        <f t="shared" si="1"/>
        <v>2024</v>
      </c>
      <c r="S710" s="110">
        <f t="shared" si="2"/>
        <v>5</v>
      </c>
      <c r="T710" s="108" t="str">
        <f t="shared" si="3"/>
        <v>2024-Q2</v>
      </c>
      <c r="U710" s="108" t="str">
        <f t="shared" si="4"/>
        <v>2024-05</v>
      </c>
      <c r="V710" s="112" t="str">
        <f t="shared" si="5"/>
        <v>2024-H1</v>
      </c>
      <c r="W710" s="112"/>
    </row>
    <row r="711">
      <c r="A711" s="146">
        <f>HYPERLINK("https://polkadot.subsquare.io/referenda/703", 703)</f>
        <v>703</v>
      </c>
      <c r="B711" s="147" t="s">
        <v>472</v>
      </c>
      <c r="C711" s="147" t="s">
        <v>2681</v>
      </c>
      <c r="D711" s="148">
        <v>17898.6052999</v>
      </c>
      <c r="E711" s="149">
        <v>124040.10543983603</v>
      </c>
      <c r="F711" s="147" t="s">
        <v>2683</v>
      </c>
      <c r="G711" s="150">
        <v>2.746472260536186E7</v>
      </c>
      <c r="H711" s="150">
        <v>1.081933278161522E7</v>
      </c>
      <c r="I711" s="151">
        <v>45403.0</v>
      </c>
      <c r="J711" s="151">
        <v>45432.0</v>
      </c>
      <c r="K711" s="152">
        <v>133424.63614062278</v>
      </c>
      <c r="L711" s="117" t="s">
        <v>82</v>
      </c>
      <c r="M711" s="117" t="s">
        <v>150</v>
      </c>
      <c r="N711" s="153"/>
      <c r="O711" s="153"/>
      <c r="P711" s="153"/>
      <c r="Q711" s="153"/>
      <c r="R711" s="153" t="str">
        <f t="shared" si="1"/>
        <v>2024</v>
      </c>
      <c r="S711" s="154">
        <f t="shared" si="2"/>
        <v>5</v>
      </c>
      <c r="T711" s="153" t="str">
        <f t="shared" si="3"/>
        <v>2024-Q2</v>
      </c>
      <c r="U711" s="153" t="str">
        <f t="shared" si="4"/>
        <v>2024-05</v>
      </c>
      <c r="V711" s="155" t="str">
        <f t="shared" si="5"/>
        <v>2024-H1</v>
      </c>
      <c r="W711" s="155"/>
    </row>
    <row r="712">
      <c r="A712" s="139">
        <f>HYPERLINK("https://polkadot.subsquare.io/referenda/704", 704)</f>
        <v>704</v>
      </c>
      <c r="B712" s="140" t="s">
        <v>3054</v>
      </c>
      <c r="C712" s="140" t="s">
        <v>2681</v>
      </c>
      <c r="D712" s="141">
        <v>0.0</v>
      </c>
      <c r="E712" s="142">
        <v>0.0</v>
      </c>
      <c r="F712" s="140" t="s">
        <v>3053</v>
      </c>
      <c r="G712" s="143">
        <v>5.3078060435503535E7</v>
      </c>
      <c r="H712" s="143">
        <v>2915504.4</v>
      </c>
      <c r="I712" s="144">
        <v>45403.0</v>
      </c>
      <c r="J712" s="144">
        <v>45432.0</v>
      </c>
      <c r="K712" s="145">
        <v>0.0</v>
      </c>
      <c r="L712" s="114"/>
      <c r="M712" s="114"/>
      <c r="N712" s="108"/>
      <c r="O712" s="108"/>
      <c r="P712" s="108"/>
      <c r="Q712" s="108"/>
      <c r="R712" s="108" t="str">
        <f t="shared" si="1"/>
        <v>2024</v>
      </c>
      <c r="S712" s="110">
        <f t="shared" si="2"/>
        <v>5</v>
      </c>
      <c r="T712" s="108" t="str">
        <f t="shared" si="3"/>
        <v>2024-Q2</v>
      </c>
      <c r="U712" s="108" t="str">
        <f t="shared" si="4"/>
        <v>2024-05</v>
      </c>
      <c r="V712" s="112" t="str">
        <f t="shared" si="5"/>
        <v>2024-H1</v>
      </c>
      <c r="W712" s="112"/>
    </row>
    <row r="713">
      <c r="A713" s="146">
        <f>HYPERLINK("https://polkadot.subsquare.io/referenda/705", 705)</f>
        <v>705</v>
      </c>
      <c r="B713" s="147" t="s">
        <v>3055</v>
      </c>
      <c r="C713" s="147" t="s">
        <v>2681</v>
      </c>
      <c r="D713" s="148">
        <v>0.0</v>
      </c>
      <c r="E713" s="149">
        <v>0.0</v>
      </c>
      <c r="F713" s="147" t="s">
        <v>3053</v>
      </c>
      <c r="G713" s="150">
        <v>5.554173244854301E7</v>
      </c>
      <c r="H713" s="150">
        <v>46382.0</v>
      </c>
      <c r="I713" s="151">
        <v>45404.0</v>
      </c>
      <c r="J713" s="151">
        <v>45432.0</v>
      </c>
      <c r="K713" s="152">
        <v>0.0</v>
      </c>
      <c r="L713" s="117"/>
      <c r="M713" s="117"/>
      <c r="N713" s="153"/>
      <c r="O713" s="153"/>
      <c r="P713" s="153"/>
      <c r="Q713" s="153"/>
      <c r="R713" s="153" t="str">
        <f t="shared" si="1"/>
        <v>2024</v>
      </c>
      <c r="S713" s="154">
        <f t="shared" si="2"/>
        <v>5</v>
      </c>
      <c r="T713" s="153" t="str">
        <f t="shared" si="3"/>
        <v>2024-Q2</v>
      </c>
      <c r="U713" s="153" t="str">
        <f t="shared" si="4"/>
        <v>2024-05</v>
      </c>
      <c r="V713" s="155" t="str">
        <f t="shared" si="5"/>
        <v>2024-H1</v>
      </c>
      <c r="W713" s="155"/>
    </row>
    <row r="714">
      <c r="A714" s="139">
        <f>HYPERLINK("https://polkadot.subsquare.io/referenda/706", 706)</f>
        <v>706</v>
      </c>
      <c r="B714" s="140" t="s">
        <v>3056</v>
      </c>
      <c r="C714" s="140" t="s">
        <v>2672</v>
      </c>
      <c r="D714" s="141">
        <v>0.0</v>
      </c>
      <c r="E714" s="142">
        <v>0.0</v>
      </c>
      <c r="F714" s="140" t="s">
        <v>3053</v>
      </c>
      <c r="G714" s="143">
        <v>7.077082042633684E7</v>
      </c>
      <c r="H714" s="143">
        <v>9.282824099018067E7</v>
      </c>
      <c r="I714" s="144">
        <v>45404.0</v>
      </c>
      <c r="J714" s="144">
        <v>45432.0</v>
      </c>
      <c r="K714" s="145">
        <v>0.0</v>
      </c>
      <c r="L714" s="114"/>
      <c r="M714" s="114"/>
      <c r="N714" s="108"/>
      <c r="O714" s="108"/>
      <c r="P714" s="108"/>
      <c r="Q714" s="108"/>
      <c r="R714" s="108" t="str">
        <f t="shared" si="1"/>
        <v>2024</v>
      </c>
      <c r="S714" s="110">
        <f t="shared" si="2"/>
        <v>5</v>
      </c>
      <c r="T714" s="108" t="str">
        <f t="shared" si="3"/>
        <v>2024-Q2</v>
      </c>
      <c r="U714" s="108" t="str">
        <f t="shared" si="4"/>
        <v>2024-05</v>
      </c>
      <c r="V714" s="112" t="str">
        <f t="shared" si="5"/>
        <v>2024-H1</v>
      </c>
      <c r="W714" s="156" t="s">
        <v>2654</v>
      </c>
    </row>
    <row r="715">
      <c r="A715" s="146">
        <f>HYPERLINK("https://polkadot.subsquare.io/referenda/707", 707)</f>
        <v>707</v>
      </c>
      <c r="B715" s="147" t="s">
        <v>3057</v>
      </c>
      <c r="C715" s="147" t="s">
        <v>2691</v>
      </c>
      <c r="D715" s="148">
        <v>0.0</v>
      </c>
      <c r="E715" s="149">
        <v>0.0</v>
      </c>
      <c r="F715" s="147" t="s">
        <v>186</v>
      </c>
      <c r="G715" s="150">
        <v>0.0</v>
      </c>
      <c r="H715" s="150">
        <v>3.42634157457223E7</v>
      </c>
      <c r="I715" s="151">
        <v>45404.0</v>
      </c>
      <c r="J715" s="151">
        <v>45418.0</v>
      </c>
      <c r="K715" s="152">
        <v>0.0</v>
      </c>
      <c r="L715" s="117"/>
      <c r="M715" s="117"/>
      <c r="N715" s="153"/>
      <c r="O715" s="153"/>
      <c r="P715" s="153"/>
      <c r="Q715" s="153"/>
      <c r="R715" s="153" t="str">
        <f t="shared" si="1"/>
        <v>2024</v>
      </c>
      <c r="S715" s="154">
        <f t="shared" si="2"/>
        <v>5</v>
      </c>
      <c r="T715" s="153" t="str">
        <f t="shared" si="3"/>
        <v>2024-Q2</v>
      </c>
      <c r="U715" s="153" t="str">
        <f t="shared" si="4"/>
        <v>2024-05</v>
      </c>
      <c r="V715" s="155" t="str">
        <f t="shared" si="5"/>
        <v>2024-H1</v>
      </c>
      <c r="W715" s="158" t="s">
        <v>2654</v>
      </c>
    </row>
    <row r="716">
      <c r="A716" s="139">
        <f>HYPERLINK("https://polkadot.subsquare.io/referenda/708", 708)</f>
        <v>708</v>
      </c>
      <c r="B716" s="140" t="s">
        <v>3058</v>
      </c>
      <c r="C716" s="140" t="s">
        <v>2775</v>
      </c>
      <c r="D716" s="141">
        <v>10.054836659398221</v>
      </c>
      <c r="E716" s="142">
        <v>69.0</v>
      </c>
      <c r="F716" s="140" t="s">
        <v>186</v>
      </c>
      <c r="G716" s="143">
        <v>2.668836595087183E7</v>
      </c>
      <c r="H716" s="143">
        <v>5010.0</v>
      </c>
      <c r="I716" s="144">
        <v>45404.0</v>
      </c>
      <c r="J716" s="144">
        <v>45406.0</v>
      </c>
      <c r="K716" s="145">
        <v>68.35916449170344</v>
      </c>
      <c r="L716" s="114"/>
      <c r="M716" s="114"/>
      <c r="N716" s="108"/>
      <c r="O716" s="108"/>
      <c r="P716" s="108"/>
      <c r="Q716" s="108"/>
      <c r="R716" s="108" t="str">
        <f t="shared" si="1"/>
        <v>2024</v>
      </c>
      <c r="S716" s="110">
        <f t="shared" si="2"/>
        <v>4</v>
      </c>
      <c r="T716" s="108" t="str">
        <f t="shared" si="3"/>
        <v>2024-Q2</v>
      </c>
      <c r="U716" s="108" t="str">
        <f t="shared" si="4"/>
        <v>2024-04</v>
      </c>
      <c r="V716" s="112" t="str">
        <f t="shared" si="5"/>
        <v>2024-H1</v>
      </c>
      <c r="W716" s="112"/>
    </row>
    <row r="717">
      <c r="A717" s="146">
        <f>HYPERLINK("https://polkadot.subsquare.io/referenda/709", 709)</f>
        <v>709</v>
      </c>
      <c r="B717" s="147" t="s">
        <v>473</v>
      </c>
      <c r="C717" s="147" t="s">
        <v>2681</v>
      </c>
      <c r="D717" s="148">
        <v>368016.0</v>
      </c>
      <c r="E717" s="149">
        <v>2525461.612174988</v>
      </c>
      <c r="F717" s="147" t="s">
        <v>2676</v>
      </c>
      <c r="G717" s="150">
        <v>2.214555960666927E7</v>
      </c>
      <c r="H717" s="150">
        <v>8952607.249189664</v>
      </c>
      <c r="I717" s="151">
        <v>45404.0</v>
      </c>
      <c r="J717" s="151">
        <v>45436.0</v>
      </c>
      <c r="K717" s="152">
        <v>2807333.188522339</v>
      </c>
      <c r="L717" s="117" t="s">
        <v>81</v>
      </c>
      <c r="M717" s="117" t="s">
        <v>185</v>
      </c>
      <c r="N717" s="153"/>
      <c r="O717" s="153"/>
      <c r="P717" s="153"/>
      <c r="Q717" s="153"/>
      <c r="R717" s="153" t="str">
        <f t="shared" si="1"/>
        <v>2024</v>
      </c>
      <c r="S717" s="154">
        <f t="shared" si="2"/>
        <v>5</v>
      </c>
      <c r="T717" s="153" t="str">
        <f t="shared" si="3"/>
        <v>2024-Q2</v>
      </c>
      <c r="U717" s="153" t="str">
        <f t="shared" si="4"/>
        <v>2024-05</v>
      </c>
      <c r="V717" s="155" t="str">
        <f t="shared" si="5"/>
        <v>2024-H1</v>
      </c>
      <c r="W717" s="155"/>
    </row>
    <row r="718">
      <c r="A718" s="139">
        <f>HYPERLINK("https://polkadot.subsquare.io/referenda/710", 710)</f>
        <v>710</v>
      </c>
      <c r="B718" s="140" t="s">
        <v>3059</v>
      </c>
      <c r="C718" s="140" t="s">
        <v>2672</v>
      </c>
      <c r="D718" s="141">
        <v>1000.0</v>
      </c>
      <c r="E718" s="142">
        <v>6862.369060516357</v>
      </c>
      <c r="F718" s="140" t="s">
        <v>2699</v>
      </c>
      <c r="G718" s="143">
        <v>7596050.504003475</v>
      </c>
      <c r="H718" s="143">
        <v>1.382094348954204E7</v>
      </c>
      <c r="I718" s="144">
        <v>45404.0</v>
      </c>
      <c r="J718" s="144">
        <v>45412.0</v>
      </c>
      <c r="K718" s="145">
        <v>7285.116195678711</v>
      </c>
      <c r="L718" s="114"/>
      <c r="M718" s="114"/>
      <c r="N718" s="108"/>
      <c r="O718" s="108"/>
      <c r="P718" s="108"/>
      <c r="Q718" s="108"/>
      <c r="R718" s="108" t="str">
        <f t="shared" si="1"/>
        <v>2024</v>
      </c>
      <c r="S718" s="110">
        <f t="shared" si="2"/>
        <v>4</v>
      </c>
      <c r="T718" s="108" t="str">
        <f t="shared" si="3"/>
        <v>2024-Q2</v>
      </c>
      <c r="U718" s="108" t="str">
        <f t="shared" si="4"/>
        <v>2024-04</v>
      </c>
      <c r="V718" s="112" t="str">
        <f t="shared" si="5"/>
        <v>2024-H1</v>
      </c>
      <c r="W718" s="112"/>
    </row>
    <row r="719">
      <c r="A719" s="146">
        <f>HYPERLINK("https://polkadot.subsquare.io/referenda/711", 711)</f>
        <v>711</v>
      </c>
      <c r="B719" s="147" t="s">
        <v>474</v>
      </c>
      <c r="C719" s="147" t="s">
        <v>2681</v>
      </c>
      <c r="D719" s="148">
        <v>725.0</v>
      </c>
      <c r="E719" s="149">
        <v>4975.217568874359</v>
      </c>
      <c r="F719" s="147" t="s">
        <v>2699</v>
      </c>
      <c r="G719" s="150">
        <v>1.365173018580691E7</v>
      </c>
      <c r="H719" s="150">
        <v>23304.6778999878</v>
      </c>
      <c r="I719" s="151">
        <v>45405.0</v>
      </c>
      <c r="J719" s="151">
        <v>45409.0</v>
      </c>
      <c r="K719" s="152">
        <v>4656.12245798111</v>
      </c>
      <c r="L719" s="117" t="s">
        <v>137</v>
      </c>
      <c r="M719" s="117" t="s">
        <v>266</v>
      </c>
      <c r="N719" s="153"/>
      <c r="O719" s="153"/>
      <c r="P719" s="153"/>
      <c r="Q719" s="153"/>
      <c r="R719" s="153" t="str">
        <f t="shared" si="1"/>
        <v>2024</v>
      </c>
      <c r="S719" s="154">
        <f t="shared" si="2"/>
        <v>4</v>
      </c>
      <c r="T719" s="153" t="str">
        <f t="shared" si="3"/>
        <v>2024-Q2</v>
      </c>
      <c r="U719" s="153" t="str">
        <f t="shared" si="4"/>
        <v>2024-04</v>
      </c>
      <c r="V719" s="155" t="str">
        <f t="shared" si="5"/>
        <v>2024-H1</v>
      </c>
      <c r="W719" s="155"/>
    </row>
    <row r="720">
      <c r="A720" s="139">
        <f>HYPERLINK("https://polkadot.subsquare.io/referenda/712", 712)</f>
        <v>712</v>
      </c>
      <c r="B720" s="140" t="s">
        <v>3060</v>
      </c>
      <c r="C720" s="140" t="s">
        <v>2681</v>
      </c>
      <c r="D720" s="141">
        <v>0.0</v>
      </c>
      <c r="E720" s="142">
        <v>0.0</v>
      </c>
      <c r="F720" s="140" t="s">
        <v>3053</v>
      </c>
      <c r="G720" s="143">
        <v>5.569914678446152E7</v>
      </c>
      <c r="H720" s="143">
        <v>53871.0</v>
      </c>
      <c r="I720" s="144">
        <v>45405.0</v>
      </c>
      <c r="J720" s="144">
        <v>45434.0</v>
      </c>
      <c r="K720" s="145">
        <v>0.0</v>
      </c>
      <c r="L720" s="114"/>
      <c r="M720" s="114"/>
      <c r="N720" s="108"/>
      <c r="O720" s="108"/>
      <c r="P720" s="108"/>
      <c r="Q720" s="108"/>
      <c r="R720" s="108" t="str">
        <f t="shared" si="1"/>
        <v>2024</v>
      </c>
      <c r="S720" s="110">
        <f t="shared" si="2"/>
        <v>5</v>
      </c>
      <c r="T720" s="108" t="str">
        <f t="shared" si="3"/>
        <v>2024-Q2</v>
      </c>
      <c r="U720" s="108" t="str">
        <f t="shared" si="4"/>
        <v>2024-05</v>
      </c>
      <c r="V720" s="112" t="str">
        <f t="shared" si="5"/>
        <v>2024-H1</v>
      </c>
      <c r="W720" s="112"/>
    </row>
    <row r="721">
      <c r="A721" s="146">
        <f>HYPERLINK("https://polkadot.subsquare.io/referenda/713", 713)</f>
        <v>713</v>
      </c>
      <c r="B721" s="147" t="s">
        <v>3061</v>
      </c>
      <c r="C721" s="147" t="s">
        <v>2691</v>
      </c>
      <c r="D721" s="148">
        <v>202030.0</v>
      </c>
      <c r="E721" s="149">
        <v>1365362.5518035889</v>
      </c>
      <c r="F721" s="147" t="s">
        <v>2676</v>
      </c>
      <c r="G721" s="150">
        <v>0.02</v>
      </c>
      <c r="H721" s="150">
        <v>3.3066902910544436E7</v>
      </c>
      <c r="I721" s="151">
        <v>45406.0</v>
      </c>
      <c r="J721" s="151">
        <v>45420.0</v>
      </c>
      <c r="K721" s="152">
        <v>1363694.7931671143</v>
      </c>
      <c r="L721" s="117"/>
      <c r="M721" s="117"/>
      <c r="N721" s="153"/>
      <c r="O721" s="153"/>
      <c r="P721" s="153"/>
      <c r="Q721" s="153"/>
      <c r="R721" s="153" t="str">
        <f t="shared" si="1"/>
        <v>2024</v>
      </c>
      <c r="S721" s="154">
        <f t="shared" si="2"/>
        <v>5</v>
      </c>
      <c r="T721" s="153" t="str">
        <f t="shared" si="3"/>
        <v>2024-Q2</v>
      </c>
      <c r="U721" s="153" t="str">
        <f t="shared" si="4"/>
        <v>2024-05</v>
      </c>
      <c r="V721" s="155" t="str">
        <f t="shared" si="5"/>
        <v>2024-H1</v>
      </c>
      <c r="W721" s="158" t="s">
        <v>2654</v>
      </c>
    </row>
    <row r="722">
      <c r="A722" s="139">
        <f>HYPERLINK("https://polkadot.subsquare.io/referenda/714", 714)</f>
        <v>714</v>
      </c>
      <c r="B722" s="140" t="s">
        <v>3062</v>
      </c>
      <c r="C722" s="140" t="s">
        <v>2672</v>
      </c>
      <c r="D722" s="141">
        <v>202030.0</v>
      </c>
      <c r="E722" s="142">
        <v>1365362.5518035889</v>
      </c>
      <c r="F722" s="140" t="s">
        <v>2676</v>
      </c>
      <c r="G722" s="143">
        <v>1.1023924643445787E8</v>
      </c>
      <c r="H722" s="143">
        <v>1.147490022E8</v>
      </c>
      <c r="I722" s="144">
        <v>45406.0</v>
      </c>
      <c r="J722" s="144">
        <v>45438.0</v>
      </c>
      <c r="K722" s="145">
        <v>1488369.7701263428</v>
      </c>
      <c r="L722" s="114"/>
      <c r="M722" s="114"/>
      <c r="N722" s="108"/>
      <c r="O722" s="108"/>
      <c r="P722" s="108"/>
      <c r="Q722" s="108"/>
      <c r="R722" s="108" t="str">
        <f t="shared" si="1"/>
        <v>2024</v>
      </c>
      <c r="S722" s="110">
        <f t="shared" si="2"/>
        <v>5</v>
      </c>
      <c r="T722" s="108" t="str">
        <f t="shared" si="3"/>
        <v>2024-Q2</v>
      </c>
      <c r="U722" s="108" t="str">
        <f t="shared" si="4"/>
        <v>2024-05</v>
      </c>
      <c r="V722" s="112" t="str">
        <f t="shared" si="5"/>
        <v>2024-H1</v>
      </c>
      <c r="W722" s="112"/>
    </row>
    <row r="723">
      <c r="A723" s="146">
        <f>HYPERLINK("https://polkadot.subsquare.io/referenda/715", 715)</f>
        <v>715</v>
      </c>
      <c r="B723" s="147" t="s">
        <v>475</v>
      </c>
      <c r="C723" s="147" t="s">
        <v>2681</v>
      </c>
      <c r="D723" s="148">
        <v>35.5</v>
      </c>
      <c r="E723" s="149">
        <v>241.35154271125793</v>
      </c>
      <c r="F723" s="147" t="s">
        <v>186</v>
      </c>
      <c r="G723" s="150">
        <v>6459370.140016061</v>
      </c>
      <c r="H723" s="150">
        <v>36424.0</v>
      </c>
      <c r="I723" s="151">
        <v>45406.0</v>
      </c>
      <c r="J723" s="151">
        <v>45411.0</v>
      </c>
      <c r="K723" s="152">
        <v>244.34801983833313</v>
      </c>
      <c r="L723" s="117" t="s">
        <v>85</v>
      </c>
      <c r="M723" s="117" t="s">
        <v>144</v>
      </c>
      <c r="N723" s="153"/>
      <c r="O723" s="153"/>
      <c r="P723" s="153"/>
      <c r="Q723" s="153"/>
      <c r="R723" s="153" t="str">
        <f t="shared" si="1"/>
        <v>2024</v>
      </c>
      <c r="S723" s="154">
        <f t="shared" si="2"/>
        <v>4</v>
      </c>
      <c r="T723" s="153" t="str">
        <f t="shared" si="3"/>
        <v>2024-Q2</v>
      </c>
      <c r="U723" s="153" t="str">
        <f t="shared" si="4"/>
        <v>2024-04</v>
      </c>
      <c r="V723" s="155" t="str">
        <f t="shared" si="5"/>
        <v>2024-H1</v>
      </c>
      <c r="W723" s="155"/>
    </row>
    <row r="724">
      <c r="A724" s="139">
        <f>HYPERLINK("https://polkadot.subsquare.io/referenda/716", 716)</f>
        <v>716</v>
      </c>
      <c r="B724" s="140" t="s">
        <v>3063</v>
      </c>
      <c r="C724" s="140" t="s">
        <v>2691</v>
      </c>
      <c r="D724" s="141">
        <v>0.0</v>
      </c>
      <c r="E724" s="142">
        <v>0.0</v>
      </c>
      <c r="F724" s="140" t="s">
        <v>2682</v>
      </c>
      <c r="G724" s="143">
        <v>2189733.730543222</v>
      </c>
      <c r="H724" s="143">
        <v>2047673.4186460667</v>
      </c>
      <c r="I724" s="144">
        <v>45406.0</v>
      </c>
      <c r="J724" s="144">
        <v>45420.0</v>
      </c>
      <c r="K724" s="145">
        <v>0.0</v>
      </c>
      <c r="L724" s="114"/>
      <c r="M724" s="114"/>
      <c r="N724" s="108"/>
      <c r="O724" s="108"/>
      <c r="P724" s="108"/>
      <c r="Q724" s="108"/>
      <c r="R724" s="108" t="str">
        <f t="shared" si="1"/>
        <v>2024</v>
      </c>
      <c r="S724" s="110">
        <f t="shared" si="2"/>
        <v>5</v>
      </c>
      <c r="T724" s="108" t="str">
        <f t="shared" si="3"/>
        <v>2024-Q2</v>
      </c>
      <c r="U724" s="108" t="str">
        <f t="shared" si="4"/>
        <v>2024-05</v>
      </c>
      <c r="V724" s="112" t="str">
        <f t="shared" si="5"/>
        <v>2024-H1</v>
      </c>
      <c r="W724" s="156" t="s">
        <v>2654</v>
      </c>
    </row>
    <row r="725">
      <c r="A725" s="146">
        <f>HYPERLINK("https://polkadot.subsquare.io/referenda/717", 717)</f>
        <v>717</v>
      </c>
      <c r="B725" s="147" t="s">
        <v>186</v>
      </c>
      <c r="C725" s="147" t="s">
        <v>2681</v>
      </c>
      <c r="D725" s="148">
        <v>20.0</v>
      </c>
      <c r="E725" s="149">
        <v>135.97270011901855</v>
      </c>
      <c r="F725" s="147" t="s">
        <v>186</v>
      </c>
      <c r="G725" s="150">
        <v>1.5691629735900668E7</v>
      </c>
      <c r="H725" s="150">
        <v>0.0</v>
      </c>
      <c r="I725" s="151">
        <v>45406.0</v>
      </c>
      <c r="J725" s="151">
        <v>45408.0</v>
      </c>
      <c r="K725" s="152">
        <v>131.83465957641602</v>
      </c>
      <c r="L725" s="117" t="s">
        <v>81</v>
      </c>
      <c r="M725" s="117" t="s">
        <v>185</v>
      </c>
      <c r="N725" s="153"/>
      <c r="O725" s="153"/>
      <c r="P725" s="153"/>
      <c r="Q725" s="153"/>
      <c r="R725" s="153" t="str">
        <f t="shared" si="1"/>
        <v>2024</v>
      </c>
      <c r="S725" s="154">
        <f t="shared" si="2"/>
        <v>4</v>
      </c>
      <c r="T725" s="153" t="str">
        <f t="shared" si="3"/>
        <v>2024-Q2</v>
      </c>
      <c r="U725" s="153" t="str">
        <f t="shared" si="4"/>
        <v>2024-04</v>
      </c>
      <c r="V725" s="155" t="str">
        <f t="shared" si="5"/>
        <v>2024-H1</v>
      </c>
      <c r="W725" s="155"/>
    </row>
    <row r="726">
      <c r="A726" s="139">
        <f>HYPERLINK("https://polkadot.subsquare.io/referenda/718", 718)</f>
        <v>718</v>
      </c>
      <c r="B726" s="140" t="s">
        <v>3064</v>
      </c>
      <c r="C726" s="140" t="s">
        <v>2672</v>
      </c>
      <c r="D726" s="141">
        <v>1000000.0</v>
      </c>
      <c r="E726" s="142">
        <v>6798635.005950928</v>
      </c>
      <c r="F726" s="140" t="s">
        <v>2676</v>
      </c>
      <c r="G726" s="143">
        <v>8.347302205830307E7</v>
      </c>
      <c r="H726" s="143">
        <v>9.334026141438669E7</v>
      </c>
      <c r="I726" s="144">
        <v>45406.0</v>
      </c>
      <c r="J726" s="144">
        <v>45435.0</v>
      </c>
      <c r="K726" s="145">
        <v>7428137.77923584</v>
      </c>
      <c r="L726" s="114"/>
      <c r="M726" s="114"/>
      <c r="N726" s="108"/>
      <c r="O726" s="108"/>
      <c r="P726" s="108"/>
      <c r="Q726" s="108"/>
      <c r="R726" s="108" t="str">
        <f t="shared" si="1"/>
        <v>2024</v>
      </c>
      <c r="S726" s="110">
        <f t="shared" si="2"/>
        <v>5</v>
      </c>
      <c r="T726" s="108" t="str">
        <f t="shared" si="3"/>
        <v>2024-Q2</v>
      </c>
      <c r="U726" s="108" t="str">
        <f t="shared" si="4"/>
        <v>2024-05</v>
      </c>
      <c r="V726" s="112" t="str">
        <f t="shared" si="5"/>
        <v>2024-H1</v>
      </c>
      <c r="W726" s="112"/>
    </row>
    <row r="727">
      <c r="A727" s="146">
        <f>HYPERLINK("https://polkadot.subsquare.io/referenda/719", 719)</f>
        <v>719</v>
      </c>
      <c r="B727" s="147" t="s">
        <v>476</v>
      </c>
      <c r="C727" s="147" t="s">
        <v>2681</v>
      </c>
      <c r="D727" s="148">
        <v>14278.99</v>
      </c>
      <c r="E727" s="149">
        <v>97077.64126362324</v>
      </c>
      <c r="F727" s="147" t="s">
        <v>2683</v>
      </c>
      <c r="G727" s="150">
        <v>3.837832311101514E7</v>
      </c>
      <c r="H727" s="150">
        <v>14627.7</v>
      </c>
      <c r="I727" s="151">
        <v>45406.0</v>
      </c>
      <c r="J727" s="151">
        <v>45431.0</v>
      </c>
      <c r="K727" s="152">
        <v>106442.31845350743</v>
      </c>
      <c r="L727" s="117" t="s">
        <v>137</v>
      </c>
      <c r="M727" s="117" t="s">
        <v>266</v>
      </c>
      <c r="N727" s="153"/>
      <c r="O727" s="153"/>
      <c r="P727" s="153"/>
      <c r="Q727" s="153"/>
      <c r="R727" s="153" t="str">
        <f t="shared" si="1"/>
        <v>2024</v>
      </c>
      <c r="S727" s="154">
        <f t="shared" si="2"/>
        <v>5</v>
      </c>
      <c r="T727" s="153" t="str">
        <f t="shared" si="3"/>
        <v>2024-Q2</v>
      </c>
      <c r="U727" s="153" t="str">
        <f t="shared" si="4"/>
        <v>2024-05</v>
      </c>
      <c r="V727" s="155" t="str">
        <f t="shared" si="5"/>
        <v>2024-H1</v>
      </c>
      <c r="W727" s="155"/>
    </row>
    <row r="728">
      <c r="A728" s="139">
        <f>HYPERLINK("https://polkadot.subsquare.io/referenda/720", 720)</f>
        <v>720</v>
      </c>
      <c r="B728" s="140" t="s">
        <v>477</v>
      </c>
      <c r="C728" s="140" t="s">
        <v>2681</v>
      </c>
      <c r="D728" s="141">
        <v>42404.0</v>
      </c>
      <c r="E728" s="142">
        <v>288289.31879234314</v>
      </c>
      <c r="F728" s="140" t="s">
        <v>2683</v>
      </c>
      <c r="G728" s="143">
        <v>2.4781612820135582E7</v>
      </c>
      <c r="H728" s="143">
        <v>2925983.4</v>
      </c>
      <c r="I728" s="144">
        <v>45407.0</v>
      </c>
      <c r="J728" s="144">
        <v>45436.0</v>
      </c>
      <c r="K728" s="145">
        <v>320032.9130115509</v>
      </c>
      <c r="L728" s="114" t="s">
        <v>137</v>
      </c>
      <c r="M728" s="114" t="s">
        <v>266</v>
      </c>
      <c r="N728" s="108"/>
      <c r="O728" s="108"/>
      <c r="P728" s="108"/>
      <c r="Q728" s="108"/>
      <c r="R728" s="108" t="str">
        <f t="shared" si="1"/>
        <v>2024</v>
      </c>
      <c r="S728" s="110">
        <f t="shared" si="2"/>
        <v>5</v>
      </c>
      <c r="T728" s="108" t="str">
        <f t="shared" si="3"/>
        <v>2024-Q2</v>
      </c>
      <c r="U728" s="108" t="str">
        <f t="shared" si="4"/>
        <v>2024-05</v>
      </c>
      <c r="V728" s="112" t="str">
        <f t="shared" si="5"/>
        <v>2024-H1</v>
      </c>
      <c r="W728" s="112"/>
    </row>
    <row r="729">
      <c r="A729" s="146">
        <f>HYPERLINK("https://polkadot.subsquare.io/referenda/721", 721)</f>
        <v>721</v>
      </c>
      <c r="B729" s="147" t="s">
        <v>478</v>
      </c>
      <c r="C729" s="147" t="s">
        <v>2681</v>
      </c>
      <c r="D729" s="148">
        <v>596.0</v>
      </c>
      <c r="E729" s="149">
        <v>4007.269241333008</v>
      </c>
      <c r="F729" s="147" t="s">
        <v>2699</v>
      </c>
      <c r="G729" s="150">
        <v>2.126443815495793E7</v>
      </c>
      <c r="H729" s="150">
        <v>121650.447091685</v>
      </c>
      <c r="I729" s="151">
        <v>45408.0</v>
      </c>
      <c r="J729" s="151">
        <v>45411.0</v>
      </c>
      <c r="K729" s="152">
        <v>4341.929252624512</v>
      </c>
      <c r="L729" s="117" t="s">
        <v>137</v>
      </c>
      <c r="M729" s="117" t="s">
        <v>254</v>
      </c>
      <c r="N729" s="153"/>
      <c r="O729" s="153"/>
      <c r="P729" s="153"/>
      <c r="Q729" s="153"/>
      <c r="R729" s="153" t="str">
        <f t="shared" si="1"/>
        <v>2024</v>
      </c>
      <c r="S729" s="154">
        <f t="shared" si="2"/>
        <v>4</v>
      </c>
      <c r="T729" s="153" t="str">
        <f t="shared" si="3"/>
        <v>2024-Q2</v>
      </c>
      <c r="U729" s="153" t="str">
        <f t="shared" si="4"/>
        <v>2024-04</v>
      </c>
      <c r="V729" s="155" t="str">
        <f t="shared" si="5"/>
        <v>2024-H1</v>
      </c>
      <c r="W729" s="155"/>
    </row>
    <row r="730">
      <c r="A730" s="139">
        <f>HYPERLINK("https://polkadot.subsquare.io/referenda/722", 722)</f>
        <v>722</v>
      </c>
      <c r="B730" s="140" t="s">
        <v>3065</v>
      </c>
      <c r="C730" s="140" t="s">
        <v>2775</v>
      </c>
      <c r="D730" s="141">
        <v>0.0</v>
      </c>
      <c r="E730" s="142">
        <v>0.0</v>
      </c>
      <c r="F730" s="140" t="s">
        <v>2698</v>
      </c>
      <c r="G730" s="143">
        <v>1.1900966157190477E7</v>
      </c>
      <c r="H730" s="143">
        <v>2247803.018810008</v>
      </c>
      <c r="I730" s="144">
        <v>45409.0</v>
      </c>
      <c r="J730" s="144">
        <v>45449.0</v>
      </c>
      <c r="K730" s="145">
        <v>0.0</v>
      </c>
      <c r="L730" s="114"/>
      <c r="M730" s="114"/>
      <c r="N730" s="108"/>
      <c r="O730" s="108"/>
      <c r="P730" s="108"/>
      <c r="Q730" s="108"/>
      <c r="R730" s="108" t="str">
        <f t="shared" si="1"/>
        <v>2024</v>
      </c>
      <c r="S730" s="110">
        <f t="shared" si="2"/>
        <v>6</v>
      </c>
      <c r="T730" s="108" t="str">
        <f t="shared" si="3"/>
        <v>2024-Q2</v>
      </c>
      <c r="U730" s="108" t="str">
        <f t="shared" si="4"/>
        <v>2024-06</v>
      </c>
      <c r="V730" s="112" t="str">
        <f t="shared" si="5"/>
        <v>2024-H1</v>
      </c>
      <c r="W730" s="112"/>
    </row>
    <row r="731">
      <c r="A731" s="146">
        <f>HYPERLINK("https://polkadot.subsquare.io/referenda/723", 723)</f>
        <v>723</v>
      </c>
      <c r="B731" s="147" t="s">
        <v>479</v>
      </c>
      <c r="C731" s="147" t="s">
        <v>2681</v>
      </c>
      <c r="D731" s="148">
        <v>9732.0</v>
      </c>
      <c r="E731" s="149">
        <v>62501.218980789185</v>
      </c>
      <c r="F731" s="147" t="s">
        <v>2678</v>
      </c>
      <c r="G731" s="150">
        <v>2.6345761323407378E7</v>
      </c>
      <c r="H731" s="150">
        <v>6034600.422956474</v>
      </c>
      <c r="I731" s="151">
        <v>45409.0</v>
      </c>
      <c r="J731" s="151">
        <v>45430.0</v>
      </c>
      <c r="K731" s="152">
        <v>73720.1905002594</v>
      </c>
      <c r="L731" s="117" t="s">
        <v>81</v>
      </c>
      <c r="M731" s="117" t="s">
        <v>158</v>
      </c>
      <c r="N731" s="153"/>
      <c r="O731" s="153"/>
      <c r="P731" s="153"/>
      <c r="Q731" s="153"/>
      <c r="R731" s="153" t="str">
        <f t="shared" si="1"/>
        <v>2024</v>
      </c>
      <c r="S731" s="154">
        <f t="shared" si="2"/>
        <v>5</v>
      </c>
      <c r="T731" s="153" t="str">
        <f t="shared" si="3"/>
        <v>2024-Q2</v>
      </c>
      <c r="U731" s="153" t="str">
        <f t="shared" si="4"/>
        <v>2024-05</v>
      </c>
      <c r="V731" s="155" t="str">
        <f t="shared" si="5"/>
        <v>2024-H1</v>
      </c>
      <c r="W731" s="155"/>
    </row>
    <row r="732">
      <c r="A732" s="139">
        <f>HYPERLINK("https://polkadot.subsquare.io/referenda/724", 724)</f>
        <v>724</v>
      </c>
      <c r="B732" s="140" t="s">
        <v>3066</v>
      </c>
      <c r="C732" s="140" t="s">
        <v>2672</v>
      </c>
      <c r="D732" s="141">
        <v>5.54E-8</v>
      </c>
      <c r="E732" s="142">
        <v>3.5579197816848757E-7</v>
      </c>
      <c r="F732" s="140" t="s">
        <v>2699</v>
      </c>
      <c r="G732" s="143">
        <v>8062.0</v>
      </c>
      <c r="H732" s="143">
        <v>2.5942754393683117E7</v>
      </c>
      <c r="I732" s="144">
        <v>45409.0</v>
      </c>
      <c r="J732" s="144">
        <v>45416.0</v>
      </c>
      <c r="K732" s="145">
        <v>3.876193356513977E-7</v>
      </c>
      <c r="L732" s="114"/>
      <c r="M732" s="114"/>
      <c r="N732" s="108"/>
      <c r="O732" s="108"/>
      <c r="P732" s="108"/>
      <c r="Q732" s="108"/>
      <c r="R732" s="108" t="str">
        <f t="shared" si="1"/>
        <v>2024</v>
      </c>
      <c r="S732" s="110">
        <f t="shared" si="2"/>
        <v>5</v>
      </c>
      <c r="T732" s="108" t="str">
        <f t="shared" si="3"/>
        <v>2024-Q2</v>
      </c>
      <c r="U732" s="108" t="str">
        <f t="shared" si="4"/>
        <v>2024-05</v>
      </c>
      <c r="V732" s="112" t="str">
        <f t="shared" si="5"/>
        <v>2024-H1</v>
      </c>
      <c r="W732" s="156" t="s">
        <v>2654</v>
      </c>
    </row>
    <row r="733">
      <c r="A733" s="146">
        <f>HYPERLINK("https://polkadot.subsquare.io/referenda/725", 725)</f>
        <v>725</v>
      </c>
      <c r="B733" s="161" t="s">
        <v>480</v>
      </c>
      <c r="C733" s="147" t="s">
        <v>2681</v>
      </c>
      <c r="D733" s="148">
        <v>554.0</v>
      </c>
      <c r="E733" s="149">
        <v>3557.9197816848755</v>
      </c>
      <c r="F733" s="147" t="s">
        <v>2699</v>
      </c>
      <c r="G733" s="150">
        <v>1.5079383147556683E7</v>
      </c>
      <c r="H733" s="150">
        <v>5971.0</v>
      </c>
      <c r="I733" s="151">
        <v>45409.0</v>
      </c>
      <c r="J733" s="151">
        <v>45413.0</v>
      </c>
      <c r="K733" s="152">
        <v>4019.326066970825</v>
      </c>
      <c r="L733" s="117" t="s">
        <v>137</v>
      </c>
      <c r="M733" s="117" t="s">
        <v>138</v>
      </c>
      <c r="N733" s="153"/>
      <c r="O733" s="153"/>
      <c r="P733" s="153"/>
      <c r="Q733" s="153"/>
      <c r="R733" s="153" t="str">
        <f t="shared" si="1"/>
        <v>2024</v>
      </c>
      <c r="S733" s="154">
        <f t="shared" si="2"/>
        <v>5</v>
      </c>
      <c r="T733" s="153" t="str">
        <f t="shared" si="3"/>
        <v>2024-Q2</v>
      </c>
      <c r="U733" s="153" t="str">
        <f t="shared" si="4"/>
        <v>2024-05</v>
      </c>
      <c r="V733" s="155" t="str">
        <f t="shared" si="5"/>
        <v>2024-H1</v>
      </c>
      <c r="W733" s="155"/>
    </row>
    <row r="734">
      <c r="A734" s="139">
        <f>HYPERLINK("https://polkadot.subsquare.io/referenda/726", 726)</f>
        <v>726</v>
      </c>
      <c r="B734" s="140" t="s">
        <v>3067</v>
      </c>
      <c r="C734" s="140" t="s">
        <v>2672</v>
      </c>
      <c r="D734" s="141">
        <v>4.9E-8</v>
      </c>
      <c r="E734" s="142">
        <v>3.1468965578079226E-7</v>
      </c>
      <c r="F734" s="140" t="s">
        <v>2699</v>
      </c>
      <c r="G734" s="143">
        <v>0.0</v>
      </c>
      <c r="H734" s="143">
        <v>2.5868803394783117E7</v>
      </c>
      <c r="I734" s="144">
        <v>45409.0</v>
      </c>
      <c r="J734" s="144">
        <v>45416.0</v>
      </c>
      <c r="K734" s="145">
        <v>3.428402066230774E-7</v>
      </c>
      <c r="L734" s="114"/>
      <c r="M734" s="114"/>
      <c r="N734" s="108"/>
      <c r="O734" s="108"/>
      <c r="P734" s="108"/>
      <c r="Q734" s="108"/>
      <c r="R734" s="108" t="str">
        <f t="shared" si="1"/>
        <v>2024</v>
      </c>
      <c r="S734" s="110">
        <f t="shared" si="2"/>
        <v>5</v>
      </c>
      <c r="T734" s="108" t="str">
        <f t="shared" si="3"/>
        <v>2024-Q2</v>
      </c>
      <c r="U734" s="108" t="str">
        <f t="shared" si="4"/>
        <v>2024-05</v>
      </c>
      <c r="V734" s="112" t="str">
        <f t="shared" si="5"/>
        <v>2024-H1</v>
      </c>
      <c r="W734" s="156" t="s">
        <v>2654</v>
      </c>
    </row>
    <row r="735">
      <c r="A735" s="146">
        <f>HYPERLINK("https://polkadot.subsquare.io/referenda/727", 727)</f>
        <v>727</v>
      </c>
      <c r="B735" s="147" t="s">
        <v>3068</v>
      </c>
      <c r="C735" s="147" t="s">
        <v>2672</v>
      </c>
      <c r="D735" s="148">
        <v>490.0</v>
      </c>
      <c r="E735" s="149">
        <v>3146.8965578079224</v>
      </c>
      <c r="F735" s="147" t="s">
        <v>2699</v>
      </c>
      <c r="G735" s="150">
        <v>2373684.058770129</v>
      </c>
      <c r="H735" s="150">
        <v>8260429.914163536</v>
      </c>
      <c r="I735" s="151">
        <v>45409.0</v>
      </c>
      <c r="J735" s="151">
        <v>45416.0</v>
      </c>
      <c r="K735" s="152">
        <v>3428.402066230774</v>
      </c>
      <c r="L735" s="117"/>
      <c r="M735" s="117"/>
      <c r="N735" s="153"/>
      <c r="O735" s="153"/>
      <c r="P735" s="153"/>
      <c r="Q735" s="153"/>
      <c r="R735" s="153" t="str">
        <f t="shared" si="1"/>
        <v>2024</v>
      </c>
      <c r="S735" s="154">
        <f t="shared" si="2"/>
        <v>5</v>
      </c>
      <c r="T735" s="153" t="str">
        <f t="shared" si="3"/>
        <v>2024-Q2</v>
      </c>
      <c r="U735" s="153" t="str">
        <f t="shared" si="4"/>
        <v>2024-05</v>
      </c>
      <c r="V735" s="155" t="str">
        <f t="shared" si="5"/>
        <v>2024-H1</v>
      </c>
      <c r="W735" s="155"/>
    </row>
    <row r="736">
      <c r="A736" s="139">
        <f>HYPERLINK("https://polkadot.subsquare.io/referenda/728", 728)</f>
        <v>728</v>
      </c>
      <c r="B736" s="140" t="s">
        <v>481</v>
      </c>
      <c r="C736" s="140" t="s">
        <v>2681</v>
      </c>
      <c r="D736" s="141">
        <v>26195.0</v>
      </c>
      <c r="E736" s="142">
        <v>168230.5210852623</v>
      </c>
      <c r="F736" s="140" t="s">
        <v>2683</v>
      </c>
      <c r="G736" s="143">
        <v>6.608190551E7</v>
      </c>
      <c r="H736" s="143">
        <v>1.9414708976194404E7</v>
      </c>
      <c r="I736" s="144">
        <v>45410.0</v>
      </c>
      <c r="J736" s="144">
        <v>45437.0</v>
      </c>
      <c r="K736" s="145">
        <v>199823.08615207672</v>
      </c>
      <c r="L736" s="114" t="s">
        <v>137</v>
      </c>
      <c r="M736" s="114" t="s">
        <v>138</v>
      </c>
      <c r="N736" s="108"/>
      <c r="O736" s="108"/>
      <c r="P736" s="108"/>
      <c r="Q736" s="108"/>
      <c r="R736" s="108" t="str">
        <f t="shared" si="1"/>
        <v>2024</v>
      </c>
      <c r="S736" s="110">
        <f t="shared" si="2"/>
        <v>5</v>
      </c>
      <c r="T736" s="108" t="str">
        <f t="shared" si="3"/>
        <v>2024-Q2</v>
      </c>
      <c r="U736" s="108" t="str">
        <f t="shared" si="4"/>
        <v>2024-05</v>
      </c>
      <c r="V736" s="112" t="str">
        <f t="shared" si="5"/>
        <v>2024-H1</v>
      </c>
      <c r="W736" s="112"/>
    </row>
    <row r="737">
      <c r="A737" s="146">
        <f>HYPERLINK("https://polkadot.subsquare.io/referenda/729", 729)</f>
        <v>729</v>
      </c>
      <c r="B737" s="147" t="s">
        <v>482</v>
      </c>
      <c r="C737" s="147" t="s">
        <v>2681</v>
      </c>
      <c r="D737" s="148">
        <v>150.0</v>
      </c>
      <c r="E737" s="149">
        <v>1032.4564218521118</v>
      </c>
      <c r="F737" s="147" t="s">
        <v>186</v>
      </c>
      <c r="G737" s="150">
        <v>1.5486823745310143E7</v>
      </c>
      <c r="H737" s="150">
        <v>5.0</v>
      </c>
      <c r="I737" s="151">
        <v>45410.0</v>
      </c>
      <c r="J737" s="151">
        <v>45413.0</v>
      </c>
      <c r="K737" s="152">
        <v>1088.2651805877686</v>
      </c>
      <c r="L737" s="117" t="s">
        <v>81</v>
      </c>
      <c r="M737" s="117" t="s">
        <v>185</v>
      </c>
      <c r="N737" s="153"/>
      <c r="O737" s="153"/>
      <c r="P737" s="153"/>
      <c r="Q737" s="153"/>
      <c r="R737" s="153" t="str">
        <f t="shared" si="1"/>
        <v>2024</v>
      </c>
      <c r="S737" s="154">
        <f t="shared" si="2"/>
        <v>5</v>
      </c>
      <c r="T737" s="153" t="str">
        <f t="shared" si="3"/>
        <v>2024-Q2</v>
      </c>
      <c r="U737" s="153" t="str">
        <f t="shared" si="4"/>
        <v>2024-05</v>
      </c>
      <c r="V737" s="155" t="str">
        <f t="shared" si="5"/>
        <v>2024-H1</v>
      </c>
      <c r="W737" s="155"/>
    </row>
    <row r="738">
      <c r="A738" s="139">
        <f>HYPERLINK("https://polkadot.subsquare.io/referenda/730", 730)</f>
        <v>730</v>
      </c>
      <c r="B738" s="140" t="s">
        <v>483</v>
      </c>
      <c r="C738" s="140" t="s">
        <v>2681</v>
      </c>
      <c r="D738" s="141">
        <v>88000.0</v>
      </c>
      <c r="E738" s="142">
        <v>605707.7674865723</v>
      </c>
      <c r="F738" s="140" t="s">
        <v>2696</v>
      </c>
      <c r="G738" s="143">
        <v>5.7411484900751E7</v>
      </c>
      <c r="H738" s="143">
        <v>661763.1612801112</v>
      </c>
      <c r="I738" s="144">
        <v>45410.0</v>
      </c>
      <c r="J738" s="144">
        <v>45446.0</v>
      </c>
      <c r="K738" s="145">
        <v>637888.0462646484</v>
      </c>
      <c r="L738" s="114" t="s">
        <v>84</v>
      </c>
      <c r="M738" s="114" t="s">
        <v>148</v>
      </c>
      <c r="N738" s="108"/>
      <c r="O738" s="108"/>
      <c r="P738" s="108" t="s">
        <v>2654</v>
      </c>
      <c r="Q738" s="108"/>
      <c r="R738" s="108" t="str">
        <f t="shared" si="1"/>
        <v>2024</v>
      </c>
      <c r="S738" s="110">
        <f t="shared" si="2"/>
        <v>6</v>
      </c>
      <c r="T738" s="108" t="str">
        <f t="shared" si="3"/>
        <v>2024-Q2</v>
      </c>
      <c r="U738" s="108" t="str">
        <f t="shared" si="4"/>
        <v>2024-06</v>
      </c>
      <c r="V738" s="112" t="str">
        <f t="shared" si="5"/>
        <v>2024-H1</v>
      </c>
      <c r="W738" s="112"/>
    </row>
    <row r="739">
      <c r="A739" s="146">
        <f>HYPERLINK("https://polkadot.subsquare.io/referenda/731", 731)</f>
        <v>731</v>
      </c>
      <c r="B739" s="147" t="s">
        <v>3069</v>
      </c>
      <c r="C739" s="147" t="s">
        <v>2672</v>
      </c>
      <c r="D739" s="148">
        <v>150217.81</v>
      </c>
      <c r="E739" s="149">
        <v>1033955.6174070692</v>
      </c>
      <c r="F739" s="147" t="s">
        <v>2676</v>
      </c>
      <c r="G739" s="150">
        <v>4.369177981816692E7</v>
      </c>
      <c r="H739" s="150">
        <v>4.3742232492425986E7</v>
      </c>
      <c r="I739" s="151">
        <v>45411.0</v>
      </c>
      <c r="J739" s="151">
        <v>45443.0</v>
      </c>
      <c r="K739" s="152">
        <v>1049878.2674679707</v>
      </c>
      <c r="L739" s="117"/>
      <c r="M739" s="117"/>
      <c r="N739" s="153"/>
      <c r="O739" s="153"/>
      <c r="P739" s="153"/>
      <c r="Q739" s="153"/>
      <c r="R739" s="153" t="str">
        <f t="shared" si="1"/>
        <v>2024</v>
      </c>
      <c r="S739" s="154">
        <f t="shared" si="2"/>
        <v>5</v>
      </c>
      <c r="T739" s="153" t="str">
        <f t="shared" si="3"/>
        <v>2024-Q2</v>
      </c>
      <c r="U739" s="153" t="str">
        <f t="shared" si="4"/>
        <v>2024-05</v>
      </c>
      <c r="V739" s="155" t="str">
        <f t="shared" si="5"/>
        <v>2024-H1</v>
      </c>
      <c r="W739" s="155"/>
    </row>
    <row r="740">
      <c r="A740" s="139">
        <f>HYPERLINK("https://polkadot.subsquare.io/referenda/732", 732)</f>
        <v>732</v>
      </c>
      <c r="B740" s="140" t="s">
        <v>3070</v>
      </c>
      <c r="C740" s="140" t="s">
        <v>2691</v>
      </c>
      <c r="D740" s="141">
        <v>1.2563E-6</v>
      </c>
      <c r="E740" s="142">
        <v>9.152291476631165E-6</v>
      </c>
      <c r="F740" s="140" t="s">
        <v>2683</v>
      </c>
      <c r="G740" s="143">
        <v>0.0</v>
      </c>
      <c r="H740" s="143">
        <v>3.2236091309944555E7</v>
      </c>
      <c r="I740" s="144">
        <v>45411.0</v>
      </c>
      <c r="J740" s="144">
        <v>45425.0</v>
      </c>
      <c r="K740" s="145">
        <v>8.830690005874634E-6</v>
      </c>
      <c r="L740" s="114"/>
      <c r="M740" s="114"/>
      <c r="N740" s="108"/>
      <c r="O740" s="108"/>
      <c r="P740" s="108"/>
      <c r="Q740" s="108"/>
      <c r="R740" s="108" t="str">
        <f t="shared" si="1"/>
        <v>2024</v>
      </c>
      <c r="S740" s="110">
        <f t="shared" si="2"/>
        <v>5</v>
      </c>
      <c r="T740" s="108" t="str">
        <f t="shared" si="3"/>
        <v>2024-Q2</v>
      </c>
      <c r="U740" s="108" t="str">
        <f t="shared" si="4"/>
        <v>2024-05</v>
      </c>
      <c r="V740" s="112" t="str">
        <f t="shared" si="5"/>
        <v>2024-H1</v>
      </c>
      <c r="W740" s="156" t="s">
        <v>2654</v>
      </c>
    </row>
    <row r="741">
      <c r="A741" s="146">
        <f>HYPERLINK("https://polkadot.subsquare.io/referenda/733", 733)</f>
        <v>733</v>
      </c>
      <c r="B741" s="147" t="s">
        <v>484</v>
      </c>
      <c r="C741" s="147" t="s">
        <v>2681</v>
      </c>
      <c r="D741" s="148">
        <v>12563.0</v>
      </c>
      <c r="E741" s="149">
        <v>91522.91476631165</v>
      </c>
      <c r="F741" s="147" t="s">
        <v>2683</v>
      </c>
      <c r="G741" s="150">
        <v>2.8856070129855145E7</v>
      </c>
      <c r="H741" s="150">
        <v>7821838.090409757</v>
      </c>
      <c r="I741" s="151">
        <v>45411.0</v>
      </c>
      <c r="J741" s="151">
        <v>45437.0</v>
      </c>
      <c r="K741" s="152">
        <v>92552.53884124756</v>
      </c>
      <c r="L741" s="117" t="s">
        <v>137</v>
      </c>
      <c r="M741" s="117" t="s">
        <v>315</v>
      </c>
      <c r="N741" s="153"/>
      <c r="O741" s="153"/>
      <c r="P741" s="153"/>
      <c r="Q741" s="153"/>
      <c r="R741" s="153" t="str">
        <f t="shared" si="1"/>
        <v>2024</v>
      </c>
      <c r="S741" s="154">
        <f t="shared" si="2"/>
        <v>5</v>
      </c>
      <c r="T741" s="153" t="str">
        <f t="shared" si="3"/>
        <v>2024-Q2</v>
      </c>
      <c r="U741" s="153" t="str">
        <f t="shared" si="4"/>
        <v>2024-05</v>
      </c>
      <c r="V741" s="155" t="str">
        <f t="shared" si="5"/>
        <v>2024-H1</v>
      </c>
      <c r="W741" s="155"/>
    </row>
    <row r="742">
      <c r="A742" s="139">
        <f>HYPERLINK("https://polkadot.subsquare.io/referenda/734", 734)</f>
        <v>734</v>
      </c>
      <c r="B742" s="140" t="s">
        <v>3071</v>
      </c>
      <c r="C742" s="140" t="s">
        <v>2951</v>
      </c>
      <c r="D742" s="141">
        <v>8265.0</v>
      </c>
      <c r="E742" s="142">
        <v>59963.41145038605</v>
      </c>
      <c r="F742" s="140" t="s">
        <v>2678</v>
      </c>
      <c r="G742" s="143">
        <v>6.71098173642961E7</v>
      </c>
      <c r="H742" s="143">
        <v>1.5288781150301762E7</v>
      </c>
      <c r="I742" s="144">
        <v>45412.0</v>
      </c>
      <c r="J742" s="144">
        <v>45426.0</v>
      </c>
      <c r="K742" s="145">
        <v>59481.187398433685</v>
      </c>
      <c r="L742" s="114"/>
      <c r="M742" s="114"/>
      <c r="N742" s="108"/>
      <c r="O742" s="108"/>
      <c r="P742" s="108"/>
      <c r="Q742" s="108"/>
      <c r="R742" s="108" t="str">
        <f t="shared" si="1"/>
        <v>2024</v>
      </c>
      <c r="S742" s="110">
        <f t="shared" si="2"/>
        <v>5</v>
      </c>
      <c r="T742" s="108" t="str">
        <f t="shared" si="3"/>
        <v>2024-Q2</v>
      </c>
      <c r="U742" s="108" t="str">
        <f t="shared" si="4"/>
        <v>2024-05</v>
      </c>
      <c r="V742" s="112" t="str">
        <f t="shared" si="5"/>
        <v>2024-H1</v>
      </c>
      <c r="W742" s="156" t="s">
        <v>2654</v>
      </c>
    </row>
    <row r="743">
      <c r="A743" s="146">
        <f>HYPERLINK("https://polkadot.subsquare.io/referenda/735", 735)</f>
        <v>735</v>
      </c>
      <c r="B743" s="147" t="s">
        <v>485</v>
      </c>
      <c r="C743" s="147" t="s">
        <v>2681</v>
      </c>
      <c r="D743" s="148">
        <v>56016.0</v>
      </c>
      <c r="E743" s="149">
        <v>406401.7490386963</v>
      </c>
      <c r="F743" s="147" t="s">
        <v>2683</v>
      </c>
      <c r="G743" s="150">
        <v>5.509427683145718E7</v>
      </c>
      <c r="H743" s="150">
        <v>1.3819595597115599E7</v>
      </c>
      <c r="I743" s="151">
        <v>45413.0</v>
      </c>
      <c r="J743" s="151">
        <v>45435.0</v>
      </c>
      <c r="K743" s="152">
        <v>416094.5658416748</v>
      </c>
      <c r="L743" s="117" t="s">
        <v>137</v>
      </c>
      <c r="M743" s="117" t="s">
        <v>266</v>
      </c>
      <c r="N743" s="153"/>
      <c r="O743" s="153"/>
      <c r="P743" s="153"/>
      <c r="Q743" s="153"/>
      <c r="R743" s="153" t="str">
        <f t="shared" si="1"/>
        <v>2024</v>
      </c>
      <c r="S743" s="154">
        <f t="shared" si="2"/>
        <v>5</v>
      </c>
      <c r="T743" s="153" t="str">
        <f t="shared" si="3"/>
        <v>2024-Q2</v>
      </c>
      <c r="U743" s="153" t="str">
        <f t="shared" si="4"/>
        <v>2024-05</v>
      </c>
      <c r="V743" s="155" t="str">
        <f t="shared" si="5"/>
        <v>2024-H1</v>
      </c>
      <c r="W743" s="155"/>
    </row>
    <row r="744">
      <c r="A744" s="139">
        <f>HYPERLINK("https://polkadot.subsquare.io/referenda/736", 736)</f>
        <v>736</v>
      </c>
      <c r="B744" s="140" t="s">
        <v>3072</v>
      </c>
      <c r="C744" s="140" t="s">
        <v>2672</v>
      </c>
      <c r="D744" s="141">
        <v>134627.0</v>
      </c>
      <c r="E744" s="142">
        <v>959494.6980743408</v>
      </c>
      <c r="F744" s="140" t="s">
        <v>2676</v>
      </c>
      <c r="G744" s="143">
        <v>1.5630059168483255E7</v>
      </c>
      <c r="H744" s="143">
        <v>3.0211255084919125E7</v>
      </c>
      <c r="I744" s="144">
        <v>45413.0</v>
      </c>
      <c r="J744" s="144">
        <v>45444.0</v>
      </c>
      <c r="K744" s="145">
        <v>967618.7876639366</v>
      </c>
      <c r="L744" s="114"/>
      <c r="M744" s="114"/>
      <c r="N744" s="108"/>
      <c r="O744" s="108"/>
      <c r="P744" s="108"/>
      <c r="Q744" s="108"/>
      <c r="R744" s="108" t="str">
        <f t="shared" si="1"/>
        <v>2024</v>
      </c>
      <c r="S744" s="110">
        <f t="shared" si="2"/>
        <v>6</v>
      </c>
      <c r="T744" s="108" t="str">
        <f t="shared" si="3"/>
        <v>2024-Q2</v>
      </c>
      <c r="U744" s="108" t="str">
        <f t="shared" si="4"/>
        <v>2024-06</v>
      </c>
      <c r="V744" s="112" t="str">
        <f t="shared" si="5"/>
        <v>2024-H1</v>
      </c>
      <c r="W744" s="112"/>
    </row>
    <row r="745">
      <c r="A745" s="146">
        <f>HYPERLINK("https://polkadot.subsquare.io/referenda/737", 737)</f>
        <v>737</v>
      </c>
      <c r="B745" s="147" t="s">
        <v>486</v>
      </c>
      <c r="C745" s="147" t="s">
        <v>2681</v>
      </c>
      <c r="D745" s="148">
        <v>9997.0</v>
      </c>
      <c r="E745" s="149">
        <v>71249.2181854248</v>
      </c>
      <c r="F745" s="147" t="s">
        <v>2678</v>
      </c>
      <c r="G745" s="150">
        <v>2.2666868331777394E7</v>
      </c>
      <c r="H745" s="150">
        <v>33271.7292758749</v>
      </c>
      <c r="I745" s="151">
        <v>45414.0</v>
      </c>
      <c r="J745" s="151">
        <v>45439.0</v>
      </c>
      <c r="K745" s="152">
        <v>71702.70205640793</v>
      </c>
      <c r="L745" s="117" t="s">
        <v>137</v>
      </c>
      <c r="M745" s="117" t="s">
        <v>243</v>
      </c>
      <c r="N745" s="153"/>
      <c r="O745" s="153"/>
      <c r="P745" s="153"/>
      <c r="Q745" s="153"/>
      <c r="R745" s="153" t="str">
        <f t="shared" si="1"/>
        <v>2024</v>
      </c>
      <c r="S745" s="154">
        <f t="shared" si="2"/>
        <v>5</v>
      </c>
      <c r="T745" s="153" t="str">
        <f t="shared" si="3"/>
        <v>2024-Q2</v>
      </c>
      <c r="U745" s="153" t="str">
        <f t="shared" si="4"/>
        <v>2024-05</v>
      </c>
      <c r="V745" s="155" t="str">
        <f t="shared" si="5"/>
        <v>2024-H1</v>
      </c>
      <c r="W745" s="155"/>
    </row>
    <row r="746">
      <c r="A746" s="139">
        <f>HYPERLINK("https://polkadot.subsquare.io/referenda/738", 738)</f>
        <v>738</v>
      </c>
      <c r="B746" s="140" t="s">
        <v>487</v>
      </c>
      <c r="C746" s="140" t="s">
        <v>2681</v>
      </c>
      <c r="D746" s="141">
        <v>10000.0</v>
      </c>
      <c r="E746" s="142">
        <v>69967.38910675049</v>
      </c>
      <c r="F746" s="140" t="s">
        <v>2678</v>
      </c>
      <c r="G746" s="143">
        <v>3.651738030086333E7</v>
      </c>
      <c r="H746" s="143">
        <v>41535.3464953539</v>
      </c>
      <c r="I746" s="144">
        <v>45416.0</v>
      </c>
      <c r="J746" s="144">
        <v>45436.0</v>
      </c>
      <c r="K746" s="145">
        <v>76282.91130065918</v>
      </c>
      <c r="L746" s="114" t="s">
        <v>82</v>
      </c>
      <c r="M746" s="114" t="s">
        <v>150</v>
      </c>
      <c r="N746" s="108"/>
      <c r="O746" s="108"/>
      <c r="P746" s="108"/>
      <c r="Q746" s="108"/>
      <c r="R746" s="108" t="str">
        <f t="shared" si="1"/>
        <v>2024</v>
      </c>
      <c r="S746" s="110">
        <f t="shared" si="2"/>
        <v>5</v>
      </c>
      <c r="T746" s="108" t="str">
        <f t="shared" si="3"/>
        <v>2024-Q2</v>
      </c>
      <c r="U746" s="108" t="str">
        <f t="shared" si="4"/>
        <v>2024-05</v>
      </c>
      <c r="V746" s="112" t="str">
        <f t="shared" si="5"/>
        <v>2024-H1</v>
      </c>
      <c r="W746" s="112"/>
    </row>
    <row r="747">
      <c r="A747" s="146">
        <f>HYPERLINK("https://polkadot.subsquare.io/referenda/739", 739)</f>
        <v>739</v>
      </c>
      <c r="B747" s="147" t="s">
        <v>3073</v>
      </c>
      <c r="C747" s="147" t="s">
        <v>2672</v>
      </c>
      <c r="D747" s="148">
        <v>0.0</v>
      </c>
      <c r="E747" s="149">
        <v>0.0</v>
      </c>
      <c r="F747" s="147" t="s">
        <v>3053</v>
      </c>
      <c r="G747" s="150">
        <v>4.557832235378346E7</v>
      </c>
      <c r="H747" s="150">
        <v>7.156896590374537E7</v>
      </c>
      <c r="I747" s="151">
        <v>45417.0</v>
      </c>
      <c r="J747" s="151">
        <v>45445.0</v>
      </c>
      <c r="K747" s="152">
        <v>0.0</v>
      </c>
      <c r="L747" s="117"/>
      <c r="M747" s="117"/>
      <c r="N747" s="153"/>
      <c r="O747" s="153"/>
      <c r="P747" s="153"/>
      <c r="Q747" s="153"/>
      <c r="R747" s="153" t="str">
        <f t="shared" si="1"/>
        <v>2024</v>
      </c>
      <c r="S747" s="154">
        <f t="shared" si="2"/>
        <v>6</v>
      </c>
      <c r="T747" s="153" t="str">
        <f t="shared" si="3"/>
        <v>2024-Q2</v>
      </c>
      <c r="U747" s="153" t="str">
        <f t="shared" si="4"/>
        <v>2024-06</v>
      </c>
      <c r="V747" s="155" t="str">
        <f t="shared" si="5"/>
        <v>2024-H1</v>
      </c>
      <c r="W747" s="155"/>
    </row>
    <row r="748">
      <c r="A748" s="139">
        <f>HYPERLINK("https://polkadot.subsquare.io/referenda/740", 740)</f>
        <v>740</v>
      </c>
      <c r="B748" s="140" t="s">
        <v>3048</v>
      </c>
      <c r="C748" s="140" t="s">
        <v>2681</v>
      </c>
      <c r="D748" s="141">
        <v>0.0</v>
      </c>
      <c r="E748" s="142">
        <v>0.0</v>
      </c>
      <c r="F748" s="140" t="s">
        <v>2682</v>
      </c>
      <c r="G748" s="143">
        <v>1.2750026550196104E8</v>
      </c>
      <c r="H748" s="143">
        <v>10.0</v>
      </c>
      <c r="I748" s="144">
        <v>45417.0</v>
      </c>
      <c r="J748" s="144">
        <v>45427.0</v>
      </c>
      <c r="K748" s="145">
        <v>0.0</v>
      </c>
      <c r="L748" s="114"/>
      <c r="M748" s="114"/>
      <c r="N748" s="108"/>
      <c r="O748" s="108"/>
      <c r="P748" s="108"/>
      <c r="Q748" s="108"/>
      <c r="R748" s="108" t="str">
        <f t="shared" si="1"/>
        <v>2024</v>
      </c>
      <c r="S748" s="110">
        <f t="shared" si="2"/>
        <v>5</v>
      </c>
      <c r="T748" s="108" t="str">
        <f t="shared" si="3"/>
        <v>2024-Q2</v>
      </c>
      <c r="U748" s="108" t="str">
        <f t="shared" si="4"/>
        <v>2024-05</v>
      </c>
      <c r="V748" s="112" t="str">
        <f t="shared" si="5"/>
        <v>2024-H1</v>
      </c>
      <c r="W748" s="112"/>
    </row>
    <row r="749">
      <c r="A749" s="146">
        <f>HYPERLINK("https://polkadot.subsquare.io/referenda/741", 741)</f>
        <v>741</v>
      </c>
      <c r="B749" s="147" t="s">
        <v>3074</v>
      </c>
      <c r="C749" s="147" t="s">
        <v>2681</v>
      </c>
      <c r="D749" s="148">
        <v>0.0</v>
      </c>
      <c r="E749" s="149">
        <v>0.0</v>
      </c>
      <c r="F749" s="147" t="s">
        <v>2682</v>
      </c>
      <c r="G749" s="150">
        <v>8.03343693584753E7</v>
      </c>
      <c r="H749" s="150">
        <v>5.0</v>
      </c>
      <c r="I749" s="151">
        <v>45417.0</v>
      </c>
      <c r="J749" s="151">
        <v>45439.0</v>
      </c>
      <c r="K749" s="152">
        <v>0.0</v>
      </c>
      <c r="L749" s="117"/>
      <c r="M749" s="117"/>
      <c r="N749" s="153" t="s">
        <v>2654</v>
      </c>
      <c r="O749" s="153"/>
      <c r="P749" s="153"/>
      <c r="Q749" s="153"/>
      <c r="R749" s="153" t="str">
        <f t="shared" si="1"/>
        <v>2024</v>
      </c>
      <c r="S749" s="154">
        <f t="shared" si="2"/>
        <v>5</v>
      </c>
      <c r="T749" s="153" t="str">
        <f t="shared" si="3"/>
        <v>2024-Q2</v>
      </c>
      <c r="U749" s="153" t="str">
        <f t="shared" si="4"/>
        <v>2024-05</v>
      </c>
      <c r="V749" s="155" t="str">
        <f t="shared" si="5"/>
        <v>2024-H1</v>
      </c>
      <c r="W749" s="155"/>
    </row>
    <row r="750">
      <c r="A750" s="139">
        <f>HYPERLINK("https://polkadot.subsquare.io/referenda/742", 742)</f>
        <v>742</v>
      </c>
      <c r="B750" s="140" t="s">
        <v>488</v>
      </c>
      <c r="C750" s="140" t="s">
        <v>2681</v>
      </c>
      <c r="D750" s="141">
        <v>138218.0</v>
      </c>
      <c r="E750" s="142">
        <v>966160.2652339935</v>
      </c>
      <c r="F750" s="140" t="s">
        <v>2676</v>
      </c>
      <c r="G750" s="143">
        <v>7.219814847494596E7</v>
      </c>
      <c r="H750" s="143">
        <v>344242.7006305647</v>
      </c>
      <c r="I750" s="144">
        <v>45417.0</v>
      </c>
      <c r="J750" s="144">
        <v>45444.0</v>
      </c>
      <c r="K750" s="145">
        <v>968942.6153392792</v>
      </c>
      <c r="L750" s="114" t="s">
        <v>137</v>
      </c>
      <c r="M750" s="114" t="s">
        <v>254</v>
      </c>
      <c r="N750" s="108"/>
      <c r="O750" s="108"/>
      <c r="P750" s="108"/>
      <c r="Q750" s="108"/>
      <c r="R750" s="108" t="str">
        <f t="shared" si="1"/>
        <v>2024</v>
      </c>
      <c r="S750" s="110">
        <f t="shared" si="2"/>
        <v>6</v>
      </c>
      <c r="T750" s="108" t="str">
        <f t="shared" si="3"/>
        <v>2024-Q2</v>
      </c>
      <c r="U750" s="108" t="str">
        <f t="shared" si="4"/>
        <v>2024-06</v>
      </c>
      <c r="V750" s="112" t="str">
        <f t="shared" si="5"/>
        <v>2024-H1</v>
      </c>
      <c r="W750" s="112"/>
    </row>
    <row r="751">
      <c r="A751" s="146">
        <f>HYPERLINK("https://polkadot.subsquare.io/referenda/743", 743)</f>
        <v>743</v>
      </c>
      <c r="B751" s="147" t="s">
        <v>3075</v>
      </c>
      <c r="C751" s="147" t="s">
        <v>2672</v>
      </c>
      <c r="D751" s="148">
        <v>0.0</v>
      </c>
      <c r="E751" s="149">
        <v>0.0</v>
      </c>
      <c r="F751" s="147" t="s">
        <v>3053</v>
      </c>
      <c r="G751" s="150">
        <v>6.76384267371569E7</v>
      </c>
      <c r="H751" s="150">
        <v>8.801249470926648E7</v>
      </c>
      <c r="I751" s="151">
        <v>45417.0</v>
      </c>
      <c r="J751" s="151">
        <v>45445.0</v>
      </c>
      <c r="K751" s="152">
        <v>0.0</v>
      </c>
      <c r="L751" s="117"/>
      <c r="M751" s="117"/>
      <c r="N751" s="153"/>
      <c r="O751" s="153"/>
      <c r="P751" s="153"/>
      <c r="Q751" s="153"/>
      <c r="R751" s="153" t="str">
        <f t="shared" si="1"/>
        <v>2024</v>
      </c>
      <c r="S751" s="154">
        <f t="shared" si="2"/>
        <v>6</v>
      </c>
      <c r="T751" s="153" t="str">
        <f t="shared" si="3"/>
        <v>2024-Q2</v>
      </c>
      <c r="U751" s="153" t="str">
        <f t="shared" si="4"/>
        <v>2024-06</v>
      </c>
      <c r="V751" s="155" t="str">
        <f t="shared" si="5"/>
        <v>2024-H1</v>
      </c>
      <c r="W751" s="155"/>
    </row>
    <row r="752">
      <c r="A752" s="139">
        <f>HYPERLINK("https://polkadot.subsquare.io/referenda/744", 744)</f>
        <v>744</v>
      </c>
      <c r="B752" s="140" t="s">
        <v>3076</v>
      </c>
      <c r="C752" s="140" t="s">
        <v>2672</v>
      </c>
      <c r="D752" s="141">
        <v>3500.0</v>
      </c>
      <c r="E752" s="142">
        <v>24465.416431427002</v>
      </c>
      <c r="F752" s="140" t="s">
        <v>2678</v>
      </c>
      <c r="G752" s="143">
        <v>3551695.3569179988</v>
      </c>
      <c r="H752" s="143">
        <v>1.9806581610338558E7</v>
      </c>
      <c r="I752" s="144">
        <v>45418.0</v>
      </c>
      <c r="J752" s="144">
        <v>45446.0</v>
      </c>
      <c r="K752" s="145">
        <v>24997.04909324646</v>
      </c>
      <c r="L752" s="114"/>
      <c r="M752" s="114"/>
      <c r="N752" s="108"/>
      <c r="O752" s="108"/>
      <c r="P752" s="108"/>
      <c r="Q752" s="108"/>
      <c r="R752" s="108" t="str">
        <f t="shared" si="1"/>
        <v>2024</v>
      </c>
      <c r="S752" s="110">
        <f t="shared" si="2"/>
        <v>6</v>
      </c>
      <c r="T752" s="108" t="str">
        <f t="shared" si="3"/>
        <v>2024-Q2</v>
      </c>
      <c r="U752" s="108" t="str">
        <f t="shared" si="4"/>
        <v>2024-06</v>
      </c>
      <c r="V752" s="112" t="str">
        <f t="shared" si="5"/>
        <v>2024-H1</v>
      </c>
      <c r="W752" s="112"/>
    </row>
    <row r="753">
      <c r="A753" s="146">
        <f>HYPERLINK("https://polkadot.subsquare.io/referenda/745", 745)</f>
        <v>745</v>
      </c>
      <c r="B753" s="147" t="s">
        <v>3077</v>
      </c>
      <c r="C753" s="147" t="s">
        <v>2691</v>
      </c>
      <c r="D753" s="148">
        <v>2858.213094</v>
      </c>
      <c r="E753" s="149">
        <v>19979.24959841926</v>
      </c>
      <c r="F753" s="147" t="s">
        <v>2678</v>
      </c>
      <c r="G753" s="150">
        <v>2.0</v>
      </c>
      <c r="H753" s="150">
        <v>2.330219725503307E7</v>
      </c>
      <c r="I753" s="151">
        <v>45418.0</v>
      </c>
      <c r="J753" s="151">
        <v>45432.0</v>
      </c>
      <c r="K753" s="152">
        <v>21306.466939155554</v>
      </c>
      <c r="L753" s="117"/>
      <c r="M753" s="117"/>
      <c r="N753" s="153"/>
      <c r="O753" s="153"/>
      <c r="P753" s="153"/>
      <c r="Q753" s="153"/>
      <c r="R753" s="153" t="str">
        <f t="shared" si="1"/>
        <v>2024</v>
      </c>
      <c r="S753" s="154">
        <f t="shared" si="2"/>
        <v>5</v>
      </c>
      <c r="T753" s="153" t="str">
        <f t="shared" si="3"/>
        <v>2024-Q2</v>
      </c>
      <c r="U753" s="153" t="str">
        <f t="shared" si="4"/>
        <v>2024-05</v>
      </c>
      <c r="V753" s="155" t="str">
        <f t="shared" si="5"/>
        <v>2024-H1</v>
      </c>
      <c r="W753" s="155"/>
    </row>
    <row r="754">
      <c r="A754" s="139">
        <f>HYPERLINK("https://polkadot.subsquare.io/referenda/746", 746)</f>
        <v>746</v>
      </c>
      <c r="B754" s="140" t="s">
        <v>3078</v>
      </c>
      <c r="C754" s="140" t="s">
        <v>2691</v>
      </c>
      <c r="D754" s="141">
        <v>0.0</v>
      </c>
      <c r="E754" s="142">
        <v>0.0</v>
      </c>
      <c r="F754" s="140" t="s">
        <v>3053</v>
      </c>
      <c r="G754" s="143">
        <v>0.0</v>
      </c>
      <c r="H754" s="143">
        <v>1.751666488923292E7</v>
      </c>
      <c r="I754" s="144">
        <v>45418.0</v>
      </c>
      <c r="J754" s="144">
        <v>45432.0</v>
      </c>
      <c r="K754" s="145">
        <v>0.0</v>
      </c>
      <c r="L754" s="114"/>
      <c r="M754" s="114"/>
      <c r="N754" s="108"/>
      <c r="O754" s="108"/>
      <c r="P754" s="108"/>
      <c r="Q754" s="108"/>
      <c r="R754" s="108" t="str">
        <f t="shared" si="1"/>
        <v>2024</v>
      </c>
      <c r="S754" s="110">
        <f t="shared" si="2"/>
        <v>5</v>
      </c>
      <c r="T754" s="108" t="str">
        <f t="shared" si="3"/>
        <v>2024-Q2</v>
      </c>
      <c r="U754" s="108" t="str">
        <f t="shared" si="4"/>
        <v>2024-05</v>
      </c>
      <c r="V754" s="112" t="str">
        <f t="shared" si="5"/>
        <v>2024-H1</v>
      </c>
      <c r="W754" s="156" t="s">
        <v>2654</v>
      </c>
    </row>
    <row r="755">
      <c r="A755" s="146">
        <f>HYPERLINK("https://polkadot.subsquare.io/referenda/747", 747)</f>
        <v>747</v>
      </c>
      <c r="B755" s="147" t="s">
        <v>3079</v>
      </c>
      <c r="C755" s="147" t="s">
        <v>2681</v>
      </c>
      <c r="D755" s="148">
        <v>0.0</v>
      </c>
      <c r="E755" s="149">
        <v>0.0</v>
      </c>
      <c r="F755" s="147" t="s">
        <v>3053</v>
      </c>
      <c r="G755" s="150">
        <v>6.922501980393365E7</v>
      </c>
      <c r="H755" s="150">
        <v>2.05555966462674E7</v>
      </c>
      <c r="I755" s="151">
        <v>45418.0</v>
      </c>
      <c r="J755" s="151">
        <v>45446.0</v>
      </c>
      <c r="K755" s="152">
        <v>0.0</v>
      </c>
      <c r="L755" s="117"/>
      <c r="M755" s="117"/>
      <c r="N755" s="153"/>
      <c r="O755" s="153"/>
      <c r="P755" s="153"/>
      <c r="Q755" s="153"/>
      <c r="R755" s="153" t="str">
        <f t="shared" si="1"/>
        <v>2024</v>
      </c>
      <c r="S755" s="154">
        <f t="shared" si="2"/>
        <v>6</v>
      </c>
      <c r="T755" s="153" t="str">
        <f t="shared" si="3"/>
        <v>2024-Q2</v>
      </c>
      <c r="U755" s="153" t="str">
        <f t="shared" si="4"/>
        <v>2024-06</v>
      </c>
      <c r="V755" s="155" t="str">
        <f t="shared" si="5"/>
        <v>2024-H1</v>
      </c>
      <c r="W755" s="155"/>
    </row>
    <row r="756">
      <c r="A756" s="139">
        <f>HYPERLINK("https://polkadot.subsquare.io/referenda/748", 748)</f>
        <v>748</v>
      </c>
      <c r="B756" s="140" t="s">
        <v>3080</v>
      </c>
      <c r="C756" s="140" t="s">
        <v>2681</v>
      </c>
      <c r="D756" s="141">
        <v>50000.0</v>
      </c>
      <c r="E756" s="142">
        <v>352505.9938430786</v>
      </c>
      <c r="F756" s="140" t="s">
        <v>2683</v>
      </c>
      <c r="G756" s="143">
        <v>2.0151109116747275E7</v>
      </c>
      <c r="H756" s="143">
        <v>1.705371810116809E7</v>
      </c>
      <c r="I756" s="144">
        <v>45418.0</v>
      </c>
      <c r="J756" s="144">
        <v>45446.0</v>
      </c>
      <c r="K756" s="145">
        <v>357100.7013320923</v>
      </c>
      <c r="L756" s="114" t="s">
        <v>83</v>
      </c>
      <c r="M756" s="114" t="s">
        <v>2909</v>
      </c>
      <c r="N756" s="108" t="s">
        <v>2654</v>
      </c>
      <c r="O756" s="108"/>
      <c r="P756" s="108"/>
      <c r="Q756" s="108"/>
      <c r="R756" s="108" t="str">
        <f t="shared" si="1"/>
        <v>2024</v>
      </c>
      <c r="S756" s="110">
        <f t="shared" si="2"/>
        <v>6</v>
      </c>
      <c r="T756" s="108" t="str">
        <f t="shared" si="3"/>
        <v>2024-Q2</v>
      </c>
      <c r="U756" s="108" t="str">
        <f t="shared" si="4"/>
        <v>2024-06</v>
      </c>
      <c r="V756" s="112" t="str">
        <f t="shared" si="5"/>
        <v>2024-H1</v>
      </c>
      <c r="W756" s="112"/>
    </row>
    <row r="757">
      <c r="A757" s="146">
        <f>HYPERLINK("https://polkadot.subsquare.io/referenda/749", 749)</f>
        <v>749</v>
      </c>
      <c r="B757" s="147" t="s">
        <v>489</v>
      </c>
      <c r="C757" s="147" t="s">
        <v>2681</v>
      </c>
      <c r="D757" s="148">
        <v>75142.0</v>
      </c>
      <c r="E757" s="149">
        <v>529760.1077871323</v>
      </c>
      <c r="F757" s="147" t="s">
        <v>2683</v>
      </c>
      <c r="G757" s="150">
        <v>2.9200896385980844E7</v>
      </c>
      <c r="H757" s="150">
        <v>31152.6</v>
      </c>
      <c r="I757" s="151">
        <v>45418.0</v>
      </c>
      <c r="J757" s="151">
        <v>45444.0</v>
      </c>
      <c r="K757" s="152">
        <v>540075.9947309494</v>
      </c>
      <c r="L757" s="117" t="s">
        <v>81</v>
      </c>
      <c r="M757" s="117" t="s">
        <v>185</v>
      </c>
      <c r="N757" s="153"/>
      <c r="O757" s="153"/>
      <c r="P757" s="153"/>
      <c r="Q757" s="153"/>
      <c r="R757" s="153" t="str">
        <f t="shared" si="1"/>
        <v>2024</v>
      </c>
      <c r="S757" s="154">
        <f t="shared" si="2"/>
        <v>6</v>
      </c>
      <c r="T757" s="153" t="str">
        <f t="shared" si="3"/>
        <v>2024-Q2</v>
      </c>
      <c r="U757" s="153" t="str">
        <f t="shared" si="4"/>
        <v>2024-06</v>
      </c>
      <c r="V757" s="155" t="str">
        <f t="shared" si="5"/>
        <v>2024-H1</v>
      </c>
      <c r="W757" s="155"/>
    </row>
    <row r="758">
      <c r="A758" s="139">
        <f>HYPERLINK("https://polkadot.subsquare.io/referenda/750", 750)</f>
        <v>750</v>
      </c>
      <c r="B758" s="140" t="s">
        <v>3081</v>
      </c>
      <c r="C758" s="140" t="s">
        <v>2681</v>
      </c>
      <c r="D758" s="141">
        <v>0.0</v>
      </c>
      <c r="E758" s="142">
        <v>0.0</v>
      </c>
      <c r="F758" s="140" t="s">
        <v>2676</v>
      </c>
      <c r="G758" s="143">
        <v>3.795721278723195E7</v>
      </c>
      <c r="H758" s="143">
        <v>9110.0</v>
      </c>
      <c r="I758" s="144">
        <v>45418.0</v>
      </c>
      <c r="J758" s="144">
        <v>45449.0</v>
      </c>
      <c r="K758" s="145">
        <v>0.0</v>
      </c>
      <c r="L758" s="114"/>
      <c r="M758" s="114"/>
      <c r="N758" s="108"/>
      <c r="O758" s="108"/>
      <c r="P758" s="108"/>
      <c r="Q758" s="108"/>
      <c r="R758" s="108" t="str">
        <f t="shared" si="1"/>
        <v>2024</v>
      </c>
      <c r="S758" s="110">
        <f t="shared" si="2"/>
        <v>6</v>
      </c>
      <c r="T758" s="108" t="str">
        <f t="shared" si="3"/>
        <v>2024-Q2</v>
      </c>
      <c r="U758" s="108" t="str">
        <f t="shared" si="4"/>
        <v>2024-06</v>
      </c>
      <c r="V758" s="112" t="str">
        <f t="shared" si="5"/>
        <v>2024-H1</v>
      </c>
      <c r="W758" s="112"/>
    </row>
    <row r="759">
      <c r="A759" s="146">
        <f>HYPERLINK("https://polkadot.subsquare.io/referenda/751", 751)</f>
        <v>751</v>
      </c>
      <c r="B759" s="147" t="s">
        <v>490</v>
      </c>
      <c r="C759" s="147" t="s">
        <v>2681</v>
      </c>
      <c r="D759" s="148">
        <v>7873.0</v>
      </c>
      <c r="E759" s="149">
        <v>55505.59379053116</v>
      </c>
      <c r="F759" s="147" t="s">
        <v>2678</v>
      </c>
      <c r="G759" s="150">
        <v>4.140273258308712E7</v>
      </c>
      <c r="H759" s="150">
        <v>2991866.763655154</v>
      </c>
      <c r="I759" s="151">
        <v>45418.0</v>
      </c>
      <c r="J759" s="151">
        <v>45440.0</v>
      </c>
      <c r="K759" s="152">
        <v>55094.15142440796</v>
      </c>
      <c r="L759" s="117" t="s">
        <v>137</v>
      </c>
      <c r="M759" s="117" t="s">
        <v>266</v>
      </c>
      <c r="N759" s="153"/>
      <c r="O759" s="153"/>
      <c r="P759" s="153"/>
      <c r="Q759" s="153"/>
      <c r="R759" s="153" t="str">
        <f t="shared" si="1"/>
        <v>2024</v>
      </c>
      <c r="S759" s="154">
        <f t="shared" si="2"/>
        <v>5</v>
      </c>
      <c r="T759" s="153" t="str">
        <f t="shared" si="3"/>
        <v>2024-Q2</v>
      </c>
      <c r="U759" s="153" t="str">
        <f t="shared" si="4"/>
        <v>2024-05</v>
      </c>
      <c r="V759" s="155" t="str">
        <f t="shared" si="5"/>
        <v>2024-H1</v>
      </c>
      <c r="W759" s="155"/>
    </row>
    <row r="760">
      <c r="A760" s="139">
        <f>HYPERLINK("https://polkadot.subsquare.io/referenda/752", 752)</f>
        <v>752</v>
      </c>
      <c r="B760" s="140" t="s">
        <v>3082</v>
      </c>
      <c r="C760" s="140" t="s">
        <v>2672</v>
      </c>
      <c r="D760" s="141">
        <v>0.0</v>
      </c>
      <c r="E760" s="142">
        <v>0.0</v>
      </c>
      <c r="F760" s="140" t="s">
        <v>3053</v>
      </c>
      <c r="G760" s="143">
        <v>46210.2</v>
      </c>
      <c r="H760" s="143">
        <v>2.215065154657079E7</v>
      </c>
      <c r="I760" s="144">
        <v>45419.0</v>
      </c>
      <c r="J760" s="144">
        <v>45447.0</v>
      </c>
      <c r="K760" s="145">
        <v>0.0</v>
      </c>
      <c r="L760" s="114"/>
      <c r="M760" s="114"/>
      <c r="N760" s="108"/>
      <c r="O760" s="108"/>
      <c r="P760" s="108"/>
      <c r="Q760" s="108"/>
      <c r="R760" s="108" t="str">
        <f t="shared" si="1"/>
        <v>2024</v>
      </c>
      <c r="S760" s="110">
        <f t="shared" si="2"/>
        <v>6</v>
      </c>
      <c r="T760" s="108" t="str">
        <f t="shared" si="3"/>
        <v>2024-Q2</v>
      </c>
      <c r="U760" s="108" t="str">
        <f t="shared" si="4"/>
        <v>2024-06</v>
      </c>
      <c r="V760" s="112" t="str">
        <f t="shared" si="5"/>
        <v>2024-H1</v>
      </c>
      <c r="W760" s="112"/>
    </row>
    <row r="761">
      <c r="A761" s="146">
        <f>HYPERLINK("https://polkadot.subsquare.io/referenda/753", 753)</f>
        <v>753</v>
      </c>
      <c r="B761" s="147" t="s">
        <v>491</v>
      </c>
      <c r="C761" s="147" t="s">
        <v>2681</v>
      </c>
      <c r="D761" s="148">
        <v>694.2</v>
      </c>
      <c r="E761" s="149">
        <v>4685.823518371582</v>
      </c>
      <c r="F761" s="147" t="s">
        <v>2699</v>
      </c>
      <c r="G761" s="150">
        <v>1.6829807692869313E7</v>
      </c>
      <c r="H761" s="150">
        <v>50678.1</v>
      </c>
      <c r="I761" s="151">
        <v>45419.0</v>
      </c>
      <c r="J761" s="151">
        <v>45423.0</v>
      </c>
      <c r="K761" s="152">
        <v>4627.188558769227</v>
      </c>
      <c r="L761" s="117" t="s">
        <v>137</v>
      </c>
      <c r="M761" s="117" t="s">
        <v>243</v>
      </c>
      <c r="N761" s="153"/>
      <c r="O761" s="153"/>
      <c r="P761" s="153"/>
      <c r="Q761" s="153"/>
      <c r="R761" s="153" t="str">
        <f t="shared" si="1"/>
        <v>2024</v>
      </c>
      <c r="S761" s="154">
        <f t="shared" si="2"/>
        <v>5</v>
      </c>
      <c r="T761" s="153" t="str">
        <f t="shared" si="3"/>
        <v>2024-Q2</v>
      </c>
      <c r="U761" s="153" t="str">
        <f t="shared" si="4"/>
        <v>2024-05</v>
      </c>
      <c r="V761" s="155" t="str">
        <f t="shared" si="5"/>
        <v>2024-H1</v>
      </c>
      <c r="W761" s="155"/>
    </row>
    <row r="762">
      <c r="A762" s="139">
        <f>HYPERLINK("https://polkadot.subsquare.io/referenda/754", 754)</f>
        <v>754</v>
      </c>
      <c r="B762" s="140" t="s">
        <v>3083</v>
      </c>
      <c r="C762" s="140" t="s">
        <v>2672</v>
      </c>
      <c r="D762" s="141">
        <v>39713.0</v>
      </c>
      <c r="E762" s="142">
        <v>268061.2350692749</v>
      </c>
      <c r="F762" s="140" t="s">
        <v>2683</v>
      </c>
      <c r="G762" s="143">
        <v>22559.5610012343</v>
      </c>
      <c r="H762" s="143">
        <v>3.5088982599753566E7</v>
      </c>
      <c r="I762" s="144">
        <v>45419.0</v>
      </c>
      <c r="J762" s="144">
        <v>45448.0</v>
      </c>
      <c r="K762" s="145">
        <v>264399.8936829567</v>
      </c>
      <c r="L762" s="114"/>
      <c r="M762" s="114"/>
      <c r="N762" s="108"/>
      <c r="O762" s="108"/>
      <c r="P762" s="108"/>
      <c r="Q762" s="108"/>
      <c r="R762" s="108" t="str">
        <f t="shared" si="1"/>
        <v>2024</v>
      </c>
      <c r="S762" s="110">
        <f t="shared" si="2"/>
        <v>6</v>
      </c>
      <c r="T762" s="108" t="str">
        <f t="shared" si="3"/>
        <v>2024-Q2</v>
      </c>
      <c r="U762" s="108" t="str">
        <f t="shared" si="4"/>
        <v>2024-06</v>
      </c>
      <c r="V762" s="112" t="str">
        <f t="shared" si="5"/>
        <v>2024-H1</v>
      </c>
      <c r="W762" s="156" t="s">
        <v>2654</v>
      </c>
    </row>
    <row r="763">
      <c r="A763" s="146">
        <f>HYPERLINK("https://polkadot.subsquare.io/referenda/755", 755)</f>
        <v>755</v>
      </c>
      <c r="B763" s="147" t="s">
        <v>3084</v>
      </c>
      <c r="C763" s="147" t="s">
        <v>2681</v>
      </c>
      <c r="D763" s="148">
        <v>0.0</v>
      </c>
      <c r="E763" s="149">
        <v>0.0</v>
      </c>
      <c r="F763" s="147" t="s">
        <v>3053</v>
      </c>
      <c r="G763" s="150">
        <v>4.3775773303951435E7</v>
      </c>
      <c r="H763" s="150">
        <v>4354486.217597928</v>
      </c>
      <c r="I763" s="151">
        <v>45420.0</v>
      </c>
      <c r="J763" s="151">
        <v>45461.0</v>
      </c>
      <c r="K763" s="152">
        <v>0.0</v>
      </c>
      <c r="L763" s="117"/>
      <c r="M763" s="117"/>
      <c r="N763" s="153"/>
      <c r="O763" s="153"/>
      <c r="P763" s="153"/>
      <c r="Q763" s="153"/>
      <c r="R763" s="153" t="str">
        <f t="shared" si="1"/>
        <v>2024</v>
      </c>
      <c r="S763" s="154">
        <f t="shared" si="2"/>
        <v>6</v>
      </c>
      <c r="T763" s="153" t="str">
        <f t="shared" si="3"/>
        <v>2024-Q2</v>
      </c>
      <c r="U763" s="153" t="str">
        <f t="shared" si="4"/>
        <v>2024-06</v>
      </c>
      <c r="V763" s="155" t="str">
        <f t="shared" si="5"/>
        <v>2024-H1</v>
      </c>
      <c r="W763" s="155"/>
    </row>
    <row r="764">
      <c r="A764" s="139">
        <f>HYPERLINK("https://polkadot.subsquare.io/referenda/756", 756)</f>
        <v>756</v>
      </c>
      <c r="B764" s="140" t="s">
        <v>492</v>
      </c>
      <c r="C764" s="140" t="s">
        <v>2681</v>
      </c>
      <c r="D764" s="141">
        <v>10.222279992449682</v>
      </c>
      <c r="E764" s="142">
        <v>69.0</v>
      </c>
      <c r="F764" s="140" t="s">
        <v>186</v>
      </c>
      <c r="G764" s="143">
        <v>2.852289554537966E7</v>
      </c>
      <c r="H764" s="143">
        <v>10.0</v>
      </c>
      <c r="I764" s="144">
        <v>45420.0</v>
      </c>
      <c r="J764" s="144">
        <v>45423.0</v>
      </c>
      <c r="K764" s="145">
        <v>66.22914888819314</v>
      </c>
      <c r="L764" s="114" t="s">
        <v>84</v>
      </c>
      <c r="M764" s="114" t="s">
        <v>148</v>
      </c>
      <c r="N764" s="108"/>
      <c r="O764" s="108"/>
      <c r="P764" s="108"/>
      <c r="Q764" s="108"/>
      <c r="R764" s="108" t="str">
        <f t="shared" si="1"/>
        <v>2024</v>
      </c>
      <c r="S764" s="110">
        <f t="shared" si="2"/>
        <v>5</v>
      </c>
      <c r="T764" s="108" t="str">
        <f t="shared" si="3"/>
        <v>2024-Q2</v>
      </c>
      <c r="U764" s="108" t="str">
        <f t="shared" si="4"/>
        <v>2024-05</v>
      </c>
      <c r="V764" s="112" t="str">
        <f t="shared" si="5"/>
        <v>2024-H1</v>
      </c>
      <c r="W764" s="112"/>
    </row>
    <row r="765">
      <c r="A765" s="146">
        <f>HYPERLINK("https://polkadot.subsquare.io/referenda/757", 757)</f>
        <v>757</v>
      </c>
      <c r="B765" s="147" t="s">
        <v>3078</v>
      </c>
      <c r="C765" s="147" t="s">
        <v>2672</v>
      </c>
      <c r="D765" s="148">
        <v>0.0</v>
      </c>
      <c r="E765" s="149">
        <v>0.0</v>
      </c>
      <c r="F765" s="147" t="s">
        <v>2696</v>
      </c>
      <c r="G765" s="150">
        <v>10009.2480460108</v>
      </c>
      <c r="H765" s="150">
        <v>4168430.616260817</v>
      </c>
      <c r="I765" s="151">
        <v>45420.0</v>
      </c>
      <c r="J765" s="151">
        <v>45448.0</v>
      </c>
      <c r="K765" s="152">
        <v>0.0</v>
      </c>
      <c r="L765" s="117"/>
      <c r="M765" s="117"/>
      <c r="N765" s="153"/>
      <c r="O765" s="153"/>
      <c r="P765" s="153"/>
      <c r="Q765" s="153"/>
      <c r="R765" s="153" t="str">
        <f t="shared" si="1"/>
        <v>2024</v>
      </c>
      <c r="S765" s="154">
        <f t="shared" si="2"/>
        <v>6</v>
      </c>
      <c r="T765" s="153" t="str">
        <f t="shared" si="3"/>
        <v>2024-Q2</v>
      </c>
      <c r="U765" s="153" t="str">
        <f t="shared" si="4"/>
        <v>2024-06</v>
      </c>
      <c r="V765" s="155" t="str">
        <f t="shared" si="5"/>
        <v>2024-H1</v>
      </c>
      <c r="W765" s="158" t="s">
        <v>2654</v>
      </c>
    </row>
    <row r="766">
      <c r="A766" s="139">
        <f>HYPERLINK("https://polkadot.subsquare.io/referenda/758", 758)</f>
        <v>758</v>
      </c>
      <c r="B766" s="140" t="s">
        <v>3085</v>
      </c>
      <c r="C766" s="140" t="s">
        <v>2681</v>
      </c>
      <c r="D766" s="141">
        <v>0.0</v>
      </c>
      <c r="E766" s="142">
        <v>0.0</v>
      </c>
      <c r="F766" s="140" t="s">
        <v>2696</v>
      </c>
      <c r="G766" s="143">
        <v>7.386552094267233E7</v>
      </c>
      <c r="H766" s="143">
        <v>391694.221650452</v>
      </c>
      <c r="I766" s="144">
        <v>45420.0</v>
      </c>
      <c r="J766" s="144">
        <v>45456.0</v>
      </c>
      <c r="K766" s="145">
        <v>0.0</v>
      </c>
      <c r="L766" s="114"/>
      <c r="M766" s="114"/>
      <c r="N766" s="108"/>
      <c r="O766" s="108"/>
      <c r="P766" s="108"/>
      <c r="Q766" s="108"/>
      <c r="R766" s="108" t="str">
        <f t="shared" si="1"/>
        <v>2024</v>
      </c>
      <c r="S766" s="110">
        <f t="shared" si="2"/>
        <v>6</v>
      </c>
      <c r="T766" s="108" t="str">
        <f t="shared" si="3"/>
        <v>2024-Q2</v>
      </c>
      <c r="U766" s="108" t="str">
        <f t="shared" si="4"/>
        <v>2024-06</v>
      </c>
      <c r="V766" s="112" t="str">
        <f t="shared" si="5"/>
        <v>2024-H1</v>
      </c>
      <c r="W766" s="112"/>
    </row>
    <row r="767">
      <c r="A767" s="146">
        <f>HYPERLINK("https://polkadot.subsquare.io/referenda/759", 759)</f>
        <v>759</v>
      </c>
      <c r="B767" s="147" t="s">
        <v>493</v>
      </c>
      <c r="C767" s="147" t="s">
        <v>2681</v>
      </c>
      <c r="D767" s="148">
        <v>20422.0</v>
      </c>
      <c r="E767" s="149">
        <v>135994.75111293793</v>
      </c>
      <c r="F767" s="147" t="s">
        <v>2683</v>
      </c>
      <c r="G767" s="150">
        <v>2.7728138077237185E7</v>
      </c>
      <c r="H767" s="150">
        <v>7728762.216259887</v>
      </c>
      <c r="I767" s="151">
        <v>45420.0</v>
      </c>
      <c r="J767" s="151">
        <v>45448.0</v>
      </c>
      <c r="K767" s="152">
        <v>135964.913977623</v>
      </c>
      <c r="L767" s="117" t="s">
        <v>84</v>
      </c>
      <c r="M767" s="117" t="s">
        <v>171</v>
      </c>
      <c r="N767" s="153"/>
      <c r="O767" s="153"/>
      <c r="P767" s="153"/>
      <c r="Q767" s="153"/>
      <c r="R767" s="153" t="str">
        <f t="shared" si="1"/>
        <v>2024</v>
      </c>
      <c r="S767" s="154">
        <f t="shared" si="2"/>
        <v>6</v>
      </c>
      <c r="T767" s="153" t="str">
        <f t="shared" si="3"/>
        <v>2024-Q2</v>
      </c>
      <c r="U767" s="153" t="str">
        <f t="shared" si="4"/>
        <v>2024-06</v>
      </c>
      <c r="V767" s="155" t="str">
        <f t="shared" si="5"/>
        <v>2024-H1</v>
      </c>
      <c r="W767" s="155"/>
    </row>
    <row r="768">
      <c r="A768" s="139">
        <f>HYPERLINK("https://polkadot.subsquare.io/referenda/760", 760)</f>
        <v>760</v>
      </c>
      <c r="B768" s="140" t="s">
        <v>494</v>
      </c>
      <c r="C768" s="140" t="s">
        <v>2681</v>
      </c>
      <c r="D768" s="141">
        <v>39713.0</v>
      </c>
      <c r="E768" s="142">
        <v>264457.91552972794</v>
      </c>
      <c r="F768" s="140" t="s">
        <v>2683</v>
      </c>
      <c r="G768" s="143">
        <v>7.374476799739224E7</v>
      </c>
      <c r="H768" s="143">
        <v>2.7757511138398074E7</v>
      </c>
      <c r="I768" s="144">
        <v>45420.0</v>
      </c>
      <c r="J768" s="144">
        <v>45450.0</v>
      </c>
      <c r="K768" s="145">
        <v>258430.23341417313</v>
      </c>
      <c r="L768" s="114" t="s">
        <v>137</v>
      </c>
      <c r="M768" s="114" t="s">
        <v>368</v>
      </c>
      <c r="N768" s="108"/>
      <c r="O768" s="108"/>
      <c r="P768" s="108"/>
      <c r="Q768" s="108"/>
      <c r="R768" s="108" t="str">
        <f t="shared" si="1"/>
        <v>2024</v>
      </c>
      <c r="S768" s="110">
        <f t="shared" si="2"/>
        <v>6</v>
      </c>
      <c r="T768" s="108" t="str">
        <f t="shared" si="3"/>
        <v>2024-Q2</v>
      </c>
      <c r="U768" s="108" t="str">
        <f t="shared" si="4"/>
        <v>2024-06</v>
      </c>
      <c r="V768" s="112" t="str">
        <f t="shared" si="5"/>
        <v>2024-H1</v>
      </c>
      <c r="W768" s="112"/>
    </row>
    <row r="769">
      <c r="A769" s="146">
        <f>HYPERLINK("https://polkadot.subsquare.io/referenda/761", 761)</f>
        <v>761</v>
      </c>
      <c r="B769" s="147" t="s">
        <v>495</v>
      </c>
      <c r="C769" s="147" t="s">
        <v>2681</v>
      </c>
      <c r="D769" s="148">
        <v>37882.0</v>
      </c>
      <c r="E769" s="149">
        <v>252264.86933994293</v>
      </c>
      <c r="F769" s="147" t="s">
        <v>2683</v>
      </c>
      <c r="G769" s="150">
        <v>3.037627761639012E7</v>
      </c>
      <c r="H769" s="150">
        <v>7957907.292237195</v>
      </c>
      <c r="I769" s="151">
        <v>45421.0</v>
      </c>
      <c r="J769" s="151">
        <v>45448.0</v>
      </c>
      <c r="K769" s="152">
        <v>242006.27492523193</v>
      </c>
      <c r="L769" s="117" t="s">
        <v>137</v>
      </c>
      <c r="M769" s="117" t="s">
        <v>266</v>
      </c>
      <c r="N769" s="153"/>
      <c r="O769" s="153"/>
      <c r="P769" s="153"/>
      <c r="Q769" s="153"/>
      <c r="R769" s="153" t="str">
        <f t="shared" si="1"/>
        <v>2024</v>
      </c>
      <c r="S769" s="154">
        <f t="shared" si="2"/>
        <v>6</v>
      </c>
      <c r="T769" s="153" t="str">
        <f t="shared" si="3"/>
        <v>2024-Q2</v>
      </c>
      <c r="U769" s="153" t="str">
        <f t="shared" si="4"/>
        <v>2024-06</v>
      </c>
      <c r="V769" s="155" t="str">
        <f t="shared" si="5"/>
        <v>2024-H1</v>
      </c>
      <c r="W769" s="155"/>
    </row>
    <row r="770">
      <c r="A770" s="139">
        <f>HYPERLINK("https://polkadot.subsquare.io/referenda/762", 762)</f>
        <v>762</v>
      </c>
      <c r="B770" s="140" t="s">
        <v>496</v>
      </c>
      <c r="C770" s="140" t="s">
        <v>2681</v>
      </c>
      <c r="D770" s="141">
        <v>199260.0</v>
      </c>
      <c r="E770" s="142">
        <v>1319176.7137813568</v>
      </c>
      <c r="F770" s="140" t="s">
        <v>2676</v>
      </c>
      <c r="G770" s="143">
        <v>1.0757018181980687E8</v>
      </c>
      <c r="H770" s="143">
        <v>4.330465153545076E7</v>
      </c>
      <c r="I770" s="144">
        <v>45421.0</v>
      </c>
      <c r="J770" s="144">
        <v>45449.0</v>
      </c>
      <c r="K770" s="145">
        <v>1272957.3502349854</v>
      </c>
      <c r="L770" s="114" t="s">
        <v>137</v>
      </c>
      <c r="M770" s="114" t="s">
        <v>431</v>
      </c>
      <c r="N770" s="108"/>
      <c r="O770" s="108"/>
      <c r="P770" s="108"/>
      <c r="Q770" s="108"/>
      <c r="R770" s="108" t="str">
        <f t="shared" si="1"/>
        <v>2024</v>
      </c>
      <c r="S770" s="110">
        <f t="shared" si="2"/>
        <v>6</v>
      </c>
      <c r="T770" s="108" t="str">
        <f t="shared" si="3"/>
        <v>2024-Q2</v>
      </c>
      <c r="U770" s="108" t="str">
        <f t="shared" si="4"/>
        <v>2024-06</v>
      </c>
      <c r="V770" s="112" t="str">
        <f t="shared" si="5"/>
        <v>2024-H1</v>
      </c>
      <c r="W770" s="112"/>
    </row>
    <row r="771">
      <c r="A771" s="146">
        <f>HYPERLINK("https://polkadot.subsquare.io/referenda/763", 763)</f>
        <v>763</v>
      </c>
      <c r="B771" s="147" t="s">
        <v>497</v>
      </c>
      <c r="C771" s="147" t="s">
        <v>2681</v>
      </c>
      <c r="D771" s="148">
        <v>35400.53</v>
      </c>
      <c r="E771" s="149">
        <v>235962.1541203785</v>
      </c>
      <c r="F771" s="147" t="s">
        <v>2683</v>
      </c>
      <c r="G771" s="150">
        <v>5.8766640236364126E7</v>
      </c>
      <c r="H771" s="150">
        <v>2106071.0</v>
      </c>
      <c r="I771" s="151">
        <v>45422.0</v>
      </c>
      <c r="J771" s="151">
        <v>45443.0</v>
      </c>
      <c r="K771" s="152">
        <v>247415.71657746792</v>
      </c>
      <c r="L771" s="117" t="s">
        <v>137</v>
      </c>
      <c r="M771" s="117" t="s">
        <v>138</v>
      </c>
      <c r="N771" s="153"/>
      <c r="O771" s="153"/>
      <c r="P771" s="153"/>
      <c r="Q771" s="153"/>
      <c r="R771" s="153" t="str">
        <f t="shared" si="1"/>
        <v>2024</v>
      </c>
      <c r="S771" s="154">
        <f t="shared" si="2"/>
        <v>5</v>
      </c>
      <c r="T771" s="153" t="str">
        <f t="shared" si="3"/>
        <v>2024-Q2</v>
      </c>
      <c r="U771" s="153" t="str">
        <f t="shared" si="4"/>
        <v>2024-05</v>
      </c>
      <c r="V771" s="155" t="str">
        <f t="shared" si="5"/>
        <v>2024-H1</v>
      </c>
      <c r="W771" s="155"/>
    </row>
    <row r="772">
      <c r="A772" s="139">
        <f>HYPERLINK("https://polkadot.subsquare.io/referenda/764", 764)</f>
        <v>764</v>
      </c>
      <c r="B772" s="140" t="s">
        <v>498</v>
      </c>
      <c r="C772" s="140" t="s">
        <v>2681</v>
      </c>
      <c r="D772" s="141">
        <v>450.0</v>
      </c>
      <c r="E772" s="142">
        <v>2999.474000930786</v>
      </c>
      <c r="F772" s="140" t="s">
        <v>2699</v>
      </c>
      <c r="G772" s="143">
        <v>1.957365060392119E7</v>
      </c>
      <c r="H772" s="143">
        <v>7470723.80043717</v>
      </c>
      <c r="I772" s="144">
        <v>45423.0</v>
      </c>
      <c r="J772" s="144">
        <v>45427.0</v>
      </c>
      <c r="K772" s="145">
        <v>3222.878837585449</v>
      </c>
      <c r="L772" s="114" t="s">
        <v>137</v>
      </c>
      <c r="M772" s="114" t="s">
        <v>243</v>
      </c>
      <c r="N772" s="108"/>
      <c r="O772" s="108"/>
      <c r="P772" s="108"/>
      <c r="Q772" s="108"/>
      <c r="R772" s="108" t="str">
        <f t="shared" si="1"/>
        <v>2024</v>
      </c>
      <c r="S772" s="110">
        <f t="shared" si="2"/>
        <v>5</v>
      </c>
      <c r="T772" s="108" t="str">
        <f t="shared" si="3"/>
        <v>2024-Q2</v>
      </c>
      <c r="U772" s="108" t="str">
        <f t="shared" si="4"/>
        <v>2024-05</v>
      </c>
      <c r="V772" s="112" t="str">
        <f t="shared" si="5"/>
        <v>2024-H1</v>
      </c>
      <c r="W772" s="112"/>
    </row>
    <row r="773">
      <c r="A773" s="146">
        <f>HYPERLINK("https://polkadot.subsquare.io/referenda/765", 765)</f>
        <v>765</v>
      </c>
      <c r="B773" s="147" t="s">
        <v>3086</v>
      </c>
      <c r="C773" s="147" t="s">
        <v>2775</v>
      </c>
      <c r="D773" s="148">
        <v>0.0</v>
      </c>
      <c r="E773" s="149">
        <v>0.0</v>
      </c>
      <c r="F773" s="147" t="s">
        <v>2696</v>
      </c>
      <c r="G773" s="150">
        <v>8.104297126360759E7</v>
      </c>
      <c r="H773" s="150">
        <v>568470.6620228245</v>
      </c>
      <c r="I773" s="151">
        <v>45423.0</v>
      </c>
      <c r="J773" s="151">
        <v>45458.0</v>
      </c>
      <c r="K773" s="152">
        <v>0.0</v>
      </c>
      <c r="L773" s="117"/>
      <c r="M773" s="117"/>
      <c r="N773" s="153"/>
      <c r="O773" s="153"/>
      <c r="P773" s="153"/>
      <c r="Q773" s="153"/>
      <c r="R773" s="153" t="str">
        <f t="shared" si="1"/>
        <v>2024</v>
      </c>
      <c r="S773" s="154">
        <f t="shared" si="2"/>
        <v>6</v>
      </c>
      <c r="T773" s="153" t="str">
        <f t="shared" si="3"/>
        <v>2024-Q2</v>
      </c>
      <c r="U773" s="153" t="str">
        <f t="shared" si="4"/>
        <v>2024-06</v>
      </c>
      <c r="V773" s="155" t="str">
        <f t="shared" si="5"/>
        <v>2024-H1</v>
      </c>
      <c r="W773" s="155"/>
    </row>
    <row r="774">
      <c r="A774" s="139">
        <f>HYPERLINK("https://polkadot.subsquare.io/referenda/766", 766)</f>
        <v>766</v>
      </c>
      <c r="B774" s="140" t="s">
        <v>499</v>
      </c>
      <c r="C774" s="140" t="s">
        <v>2681</v>
      </c>
      <c r="D774" s="141">
        <v>13242.0</v>
      </c>
      <c r="E774" s="142">
        <v>85793.61847114563</v>
      </c>
      <c r="F774" s="140" t="s">
        <v>2683</v>
      </c>
      <c r="G774" s="143">
        <v>4.114354769820072E7</v>
      </c>
      <c r="H774" s="143">
        <v>91197.556537823</v>
      </c>
      <c r="I774" s="144">
        <v>45423.0</v>
      </c>
      <c r="J774" s="144">
        <v>45447.0</v>
      </c>
      <c r="K774" s="145">
        <v>88162.14821720123</v>
      </c>
      <c r="L774" s="114" t="s">
        <v>85</v>
      </c>
      <c r="M774" s="114" t="s">
        <v>148</v>
      </c>
      <c r="N774" s="108"/>
      <c r="O774" s="108"/>
      <c r="P774" s="108"/>
      <c r="Q774" s="108"/>
      <c r="R774" s="108" t="str">
        <f t="shared" si="1"/>
        <v>2024</v>
      </c>
      <c r="S774" s="110">
        <f t="shared" si="2"/>
        <v>6</v>
      </c>
      <c r="T774" s="108" t="str">
        <f t="shared" si="3"/>
        <v>2024-Q2</v>
      </c>
      <c r="U774" s="108" t="str">
        <f t="shared" si="4"/>
        <v>2024-06</v>
      </c>
      <c r="V774" s="112" t="str">
        <f t="shared" si="5"/>
        <v>2024-H1</v>
      </c>
      <c r="W774" s="112"/>
    </row>
    <row r="775">
      <c r="A775" s="146">
        <f>HYPERLINK("https://polkadot.subsquare.io/referenda/767", 767)</f>
        <v>767</v>
      </c>
      <c r="B775" s="147" t="s">
        <v>500</v>
      </c>
      <c r="C775" s="147" t="s">
        <v>2681</v>
      </c>
      <c r="D775" s="148">
        <v>46.1</v>
      </c>
      <c r="E775" s="149">
        <v>298.6773758888245</v>
      </c>
      <c r="F775" s="147" t="s">
        <v>186</v>
      </c>
      <c r="G775" s="150">
        <v>9792206.23882322</v>
      </c>
      <c r="H775" s="150">
        <v>5966.0</v>
      </c>
      <c r="I775" s="151">
        <v>45423.0</v>
      </c>
      <c r="J775" s="151">
        <v>45426.0</v>
      </c>
      <c r="K775" s="152">
        <v>324.04267234802245</v>
      </c>
      <c r="L775" s="117" t="s">
        <v>83</v>
      </c>
      <c r="M775" s="117" t="s">
        <v>140</v>
      </c>
      <c r="N775" s="153"/>
      <c r="O775" s="153"/>
      <c r="P775" s="153"/>
      <c r="Q775" s="153"/>
      <c r="R775" s="153" t="str">
        <f t="shared" si="1"/>
        <v>2024</v>
      </c>
      <c r="S775" s="154">
        <f t="shared" si="2"/>
        <v>5</v>
      </c>
      <c r="T775" s="153" t="str">
        <f t="shared" si="3"/>
        <v>2024-Q2</v>
      </c>
      <c r="U775" s="153" t="str">
        <f t="shared" si="4"/>
        <v>2024-05</v>
      </c>
      <c r="V775" s="155" t="str">
        <f t="shared" si="5"/>
        <v>2024-H1</v>
      </c>
      <c r="W775" s="155"/>
    </row>
    <row r="776">
      <c r="A776" s="139">
        <f>HYPERLINK("https://polkadot.subsquare.io/referenda/768", 768)</f>
        <v>768</v>
      </c>
      <c r="B776" s="140" t="s">
        <v>501</v>
      </c>
      <c r="C776" s="140" t="s">
        <v>2681</v>
      </c>
      <c r="D776" s="141">
        <v>10979.0</v>
      </c>
      <c r="E776" s="142">
        <v>71131.86355495453</v>
      </c>
      <c r="F776" s="140" t="s">
        <v>2683</v>
      </c>
      <c r="G776" s="143">
        <v>6.2418651328313775E7</v>
      </c>
      <c r="H776" s="143">
        <v>7826497.811663373</v>
      </c>
      <c r="I776" s="144">
        <v>45423.0</v>
      </c>
      <c r="J776" s="144">
        <v>45444.0</v>
      </c>
      <c r="K776" s="145">
        <v>78910.52069616318</v>
      </c>
      <c r="L776" s="114" t="s">
        <v>82</v>
      </c>
      <c r="M776" s="114" t="s">
        <v>150</v>
      </c>
      <c r="N776" s="108"/>
      <c r="O776" s="108"/>
      <c r="P776" s="108"/>
      <c r="Q776" s="108"/>
      <c r="R776" s="108" t="str">
        <f t="shared" si="1"/>
        <v>2024</v>
      </c>
      <c r="S776" s="110">
        <f t="shared" si="2"/>
        <v>6</v>
      </c>
      <c r="T776" s="108" t="str">
        <f t="shared" si="3"/>
        <v>2024-Q2</v>
      </c>
      <c r="U776" s="108" t="str">
        <f t="shared" si="4"/>
        <v>2024-06</v>
      </c>
      <c r="V776" s="112" t="str">
        <f t="shared" si="5"/>
        <v>2024-H1</v>
      </c>
      <c r="W776" s="112"/>
    </row>
    <row r="777">
      <c r="A777" s="146">
        <f>HYPERLINK("https://polkadot.subsquare.io/referenda/769", 769)</f>
        <v>769</v>
      </c>
      <c r="B777" s="147" t="s">
        <v>3087</v>
      </c>
      <c r="C777" s="147" t="s">
        <v>2672</v>
      </c>
      <c r="D777" s="148">
        <v>0.0</v>
      </c>
      <c r="E777" s="149">
        <v>0.0</v>
      </c>
      <c r="F777" s="147" t="s">
        <v>3053</v>
      </c>
      <c r="G777" s="150">
        <v>6.476004899118147E7</v>
      </c>
      <c r="H777" s="150">
        <v>1.083686645598907E8</v>
      </c>
      <c r="I777" s="151">
        <v>45424.0</v>
      </c>
      <c r="J777" s="151">
        <v>45452.0</v>
      </c>
      <c r="K777" s="152">
        <v>0.0</v>
      </c>
      <c r="L777" s="117"/>
      <c r="M777" s="117"/>
      <c r="N777" s="153"/>
      <c r="O777" s="153"/>
      <c r="P777" s="153"/>
      <c r="Q777" s="153"/>
      <c r="R777" s="153" t="str">
        <f t="shared" si="1"/>
        <v>2024</v>
      </c>
      <c r="S777" s="154">
        <f t="shared" si="2"/>
        <v>6</v>
      </c>
      <c r="T777" s="153" t="str">
        <f t="shared" si="3"/>
        <v>2024-Q2</v>
      </c>
      <c r="U777" s="153" t="str">
        <f t="shared" si="4"/>
        <v>2024-06</v>
      </c>
      <c r="V777" s="155" t="str">
        <f t="shared" si="5"/>
        <v>2024-H1</v>
      </c>
      <c r="W777" s="155"/>
    </row>
    <row r="778">
      <c r="A778" s="139">
        <f>HYPERLINK("https://polkadot.subsquare.io/referenda/770", 770)</f>
        <v>770</v>
      </c>
      <c r="B778" s="140" t="s">
        <v>3088</v>
      </c>
      <c r="C778" s="140" t="s">
        <v>2672</v>
      </c>
      <c r="D778" s="141">
        <v>26400.0</v>
      </c>
      <c r="E778" s="142">
        <v>171043.00918579102</v>
      </c>
      <c r="F778" s="140" t="s">
        <v>2683</v>
      </c>
      <c r="G778" s="143">
        <v>149548.4807177868</v>
      </c>
      <c r="H778" s="143">
        <v>2.175933198173824E7</v>
      </c>
      <c r="I778" s="144">
        <v>45424.0</v>
      </c>
      <c r="J778" s="144">
        <v>45452.0</v>
      </c>
      <c r="K778" s="145">
        <v>177981.32514953613</v>
      </c>
      <c r="L778" s="114"/>
      <c r="M778" s="114"/>
      <c r="N778" s="108"/>
      <c r="O778" s="108"/>
      <c r="P778" s="108"/>
      <c r="Q778" s="108"/>
      <c r="R778" s="108" t="str">
        <f t="shared" si="1"/>
        <v>2024</v>
      </c>
      <c r="S778" s="110">
        <f t="shared" si="2"/>
        <v>6</v>
      </c>
      <c r="T778" s="108" t="str">
        <f t="shared" si="3"/>
        <v>2024-Q2</v>
      </c>
      <c r="U778" s="108" t="str">
        <f t="shared" si="4"/>
        <v>2024-06</v>
      </c>
      <c r="V778" s="112" t="str">
        <f t="shared" si="5"/>
        <v>2024-H1</v>
      </c>
      <c r="W778" s="112"/>
    </row>
    <row r="779">
      <c r="A779" s="146">
        <f>HYPERLINK("https://polkadot.subsquare.io/referenda/771", 771)</f>
        <v>771</v>
      </c>
      <c r="B779" s="147" t="s">
        <v>3089</v>
      </c>
      <c r="C779" s="147" t="s">
        <v>2691</v>
      </c>
      <c r="D779" s="148">
        <v>1.3982E-6</v>
      </c>
      <c r="E779" s="149">
        <v>9.058800584983825E-6</v>
      </c>
      <c r="F779" s="147" t="s">
        <v>2683</v>
      </c>
      <c r="G779" s="150">
        <v>720.0</v>
      </c>
      <c r="H779" s="150">
        <v>3.819927964074172E7</v>
      </c>
      <c r="I779" s="151">
        <v>45424.0</v>
      </c>
      <c r="J779" s="151">
        <v>45438.0</v>
      </c>
      <c r="K779" s="152">
        <v>1.0300641551208496E-5</v>
      </c>
      <c r="L779" s="117"/>
      <c r="M779" s="117"/>
      <c r="N779" s="153"/>
      <c r="O779" s="153"/>
      <c r="P779" s="153"/>
      <c r="Q779" s="153"/>
      <c r="R779" s="153" t="str">
        <f t="shared" si="1"/>
        <v>2024</v>
      </c>
      <c r="S779" s="154">
        <f t="shared" si="2"/>
        <v>5</v>
      </c>
      <c r="T779" s="153" t="str">
        <f t="shared" si="3"/>
        <v>2024-Q2</v>
      </c>
      <c r="U779" s="153" t="str">
        <f t="shared" si="4"/>
        <v>2024-05</v>
      </c>
      <c r="V779" s="155" t="str">
        <f t="shared" si="5"/>
        <v>2024-H1</v>
      </c>
      <c r="W779" s="158" t="s">
        <v>2654</v>
      </c>
    </row>
    <row r="780">
      <c r="A780" s="139">
        <f>HYPERLINK("https://polkadot.subsquare.io/referenda/772", 772)</f>
        <v>772</v>
      </c>
      <c r="B780" s="140" t="s">
        <v>502</v>
      </c>
      <c r="C780" s="140" t="s">
        <v>2681</v>
      </c>
      <c r="D780" s="141">
        <v>13982.0</v>
      </c>
      <c r="E780" s="142">
        <v>90588.00584983826</v>
      </c>
      <c r="F780" s="140" t="s">
        <v>2683</v>
      </c>
      <c r="G780" s="143">
        <v>4.169980396486731E7</v>
      </c>
      <c r="H780" s="143">
        <v>2.3585960069023427E7</v>
      </c>
      <c r="I780" s="144">
        <v>45424.0</v>
      </c>
      <c r="J780" s="144">
        <v>45447.0</v>
      </c>
      <c r="K780" s="145">
        <v>99859.64012050629</v>
      </c>
      <c r="L780" s="114" t="s">
        <v>137</v>
      </c>
      <c r="M780" s="114" t="s">
        <v>138</v>
      </c>
      <c r="N780" s="108"/>
      <c r="O780" s="108"/>
      <c r="P780" s="108"/>
      <c r="Q780" s="108"/>
      <c r="R780" s="108" t="str">
        <f t="shared" si="1"/>
        <v>2024</v>
      </c>
      <c r="S780" s="110">
        <f t="shared" si="2"/>
        <v>6</v>
      </c>
      <c r="T780" s="108" t="str">
        <f t="shared" si="3"/>
        <v>2024-Q2</v>
      </c>
      <c r="U780" s="108" t="str">
        <f t="shared" si="4"/>
        <v>2024-06</v>
      </c>
      <c r="V780" s="112" t="str">
        <f t="shared" si="5"/>
        <v>2024-H1</v>
      </c>
      <c r="W780" s="112"/>
    </row>
    <row r="781">
      <c r="A781" s="146">
        <f>HYPERLINK("https://polkadot.subsquare.io/referenda/773", 773)</f>
        <v>773</v>
      </c>
      <c r="B781" s="147" t="s">
        <v>503</v>
      </c>
      <c r="C781" s="147" t="s">
        <v>2681</v>
      </c>
      <c r="D781" s="148">
        <v>50000.0</v>
      </c>
      <c r="E781" s="149">
        <v>348173.99978637695</v>
      </c>
      <c r="F781" s="147" t="s">
        <v>2683</v>
      </c>
      <c r="G781" s="150">
        <v>4.18317662206843E7</v>
      </c>
      <c r="H781" s="150">
        <v>2.4567148673105832E7</v>
      </c>
      <c r="I781" s="151">
        <v>45424.0</v>
      </c>
      <c r="J781" s="151">
        <v>45451.0</v>
      </c>
      <c r="K781" s="152">
        <v>325372.3382949829</v>
      </c>
      <c r="L781" s="117" t="s">
        <v>81</v>
      </c>
      <c r="M781" s="117" t="s">
        <v>140</v>
      </c>
      <c r="N781" s="153"/>
      <c r="O781" s="153"/>
      <c r="P781" s="153"/>
      <c r="Q781" s="153"/>
      <c r="R781" s="153" t="str">
        <f t="shared" si="1"/>
        <v>2024</v>
      </c>
      <c r="S781" s="154">
        <f t="shared" si="2"/>
        <v>6</v>
      </c>
      <c r="T781" s="153" t="str">
        <f t="shared" si="3"/>
        <v>2024-Q2</v>
      </c>
      <c r="U781" s="153" t="str">
        <f t="shared" si="4"/>
        <v>2024-06</v>
      </c>
      <c r="V781" s="155" t="str">
        <f t="shared" si="5"/>
        <v>2024-H1</v>
      </c>
      <c r="W781" s="155"/>
    </row>
    <row r="782">
      <c r="A782" s="139">
        <f>HYPERLINK("https://polkadot.subsquare.io/referenda/774", 774)</f>
        <v>774</v>
      </c>
      <c r="B782" s="140" t="s">
        <v>3090</v>
      </c>
      <c r="C782" s="140" t="s">
        <v>2672</v>
      </c>
      <c r="D782" s="141">
        <v>80188.0</v>
      </c>
      <c r="E782" s="142">
        <v>558387.5338973999</v>
      </c>
      <c r="F782" s="140" t="s">
        <v>2683</v>
      </c>
      <c r="G782" s="143">
        <v>521008.1670816278</v>
      </c>
      <c r="H782" s="143">
        <v>1.0537137211011989E7</v>
      </c>
      <c r="I782" s="144">
        <v>45424.0</v>
      </c>
      <c r="J782" s="144">
        <v>45453.0</v>
      </c>
      <c r="K782" s="145">
        <v>540604.7917079926</v>
      </c>
      <c r="L782" s="114"/>
      <c r="M782" s="114"/>
      <c r="N782" s="108"/>
      <c r="O782" s="108"/>
      <c r="P782" s="108"/>
      <c r="Q782" s="108"/>
      <c r="R782" s="108" t="str">
        <f t="shared" si="1"/>
        <v>2024</v>
      </c>
      <c r="S782" s="110">
        <f t="shared" si="2"/>
        <v>6</v>
      </c>
      <c r="T782" s="108" t="str">
        <f t="shared" si="3"/>
        <v>2024-Q2</v>
      </c>
      <c r="U782" s="108" t="str">
        <f t="shared" si="4"/>
        <v>2024-06</v>
      </c>
      <c r="V782" s="112" t="str">
        <f t="shared" si="5"/>
        <v>2024-H1</v>
      </c>
      <c r="W782" s="112"/>
    </row>
    <row r="783">
      <c r="A783" s="146">
        <f>HYPERLINK("https://polkadot.subsquare.io/referenda/775", 775)</f>
        <v>775</v>
      </c>
      <c r="B783" s="147" t="s">
        <v>3091</v>
      </c>
      <c r="C783" s="147" t="s">
        <v>2681</v>
      </c>
      <c r="D783" s="148">
        <v>1000000.0</v>
      </c>
      <c r="E783" s="149">
        <v>6963479.995727539</v>
      </c>
      <c r="F783" s="147" t="s">
        <v>2696</v>
      </c>
      <c r="G783" s="150">
        <v>7.945687603354435E7</v>
      </c>
      <c r="H783" s="150">
        <v>9305675.542923385</v>
      </c>
      <c r="I783" s="151">
        <v>45424.0</v>
      </c>
      <c r="J783" s="151">
        <v>45460.0</v>
      </c>
      <c r="K783" s="152">
        <v>5794211.864471436</v>
      </c>
      <c r="L783" s="117" t="s">
        <v>137</v>
      </c>
      <c r="M783" s="117" t="s">
        <v>3092</v>
      </c>
      <c r="N783" s="153" t="s">
        <v>2654</v>
      </c>
      <c r="O783" s="153" t="s">
        <v>2654</v>
      </c>
      <c r="P783" s="153" t="s">
        <v>2654</v>
      </c>
      <c r="Q783" s="153"/>
      <c r="R783" s="153" t="str">
        <f t="shared" si="1"/>
        <v>2024</v>
      </c>
      <c r="S783" s="154">
        <f t="shared" si="2"/>
        <v>6</v>
      </c>
      <c r="T783" s="153" t="str">
        <f t="shared" si="3"/>
        <v>2024-Q2</v>
      </c>
      <c r="U783" s="153" t="str">
        <f t="shared" si="4"/>
        <v>2024-06</v>
      </c>
      <c r="V783" s="155" t="str">
        <f t="shared" si="5"/>
        <v>2024-H1</v>
      </c>
      <c r="W783" s="155"/>
    </row>
    <row r="784">
      <c r="A784" s="139">
        <f>HYPERLINK("https://polkadot.subsquare.io/referenda/776", 776)</f>
        <v>776</v>
      </c>
      <c r="B784" s="140" t="s">
        <v>504</v>
      </c>
      <c r="C784" s="140" t="s">
        <v>2681</v>
      </c>
      <c r="D784" s="141">
        <v>49075.43</v>
      </c>
      <c r="E784" s="142">
        <v>344957.3423823929</v>
      </c>
      <c r="F784" s="140" t="s">
        <v>2683</v>
      </c>
      <c r="G784" s="143">
        <v>2.322254547911089E7</v>
      </c>
      <c r="H784" s="143">
        <v>0.0</v>
      </c>
      <c r="I784" s="144">
        <v>45426.0</v>
      </c>
      <c r="J784" s="144">
        <v>45452.0</v>
      </c>
      <c r="K784" s="145">
        <v>313096.19440270425</v>
      </c>
      <c r="L784" s="114" t="s">
        <v>81</v>
      </c>
      <c r="M784" s="114" t="s">
        <v>185</v>
      </c>
      <c r="N784" s="108"/>
      <c r="O784" s="108"/>
      <c r="P784" s="108"/>
      <c r="Q784" s="108"/>
      <c r="R784" s="108" t="str">
        <f t="shared" si="1"/>
        <v>2024</v>
      </c>
      <c r="S784" s="110">
        <f t="shared" si="2"/>
        <v>6</v>
      </c>
      <c r="T784" s="108" t="str">
        <f t="shared" si="3"/>
        <v>2024-Q2</v>
      </c>
      <c r="U784" s="108" t="str">
        <f t="shared" si="4"/>
        <v>2024-06</v>
      </c>
      <c r="V784" s="112" t="str">
        <f t="shared" si="5"/>
        <v>2024-H1</v>
      </c>
      <c r="W784" s="112"/>
    </row>
    <row r="785">
      <c r="A785" s="146">
        <f>HYPERLINK("https://polkadot.subsquare.io/referenda/777", 777)</f>
        <v>777</v>
      </c>
      <c r="B785" s="147" t="s">
        <v>3093</v>
      </c>
      <c r="C785" s="147" t="s">
        <v>2672</v>
      </c>
      <c r="D785" s="148">
        <v>175000.0</v>
      </c>
      <c r="E785" s="149">
        <v>1230096.9123840332</v>
      </c>
      <c r="F785" s="147" t="s">
        <v>2676</v>
      </c>
      <c r="G785" s="150">
        <v>529708.6358786034</v>
      </c>
      <c r="H785" s="150">
        <v>4.06484365823587E7</v>
      </c>
      <c r="I785" s="151">
        <v>45426.0</v>
      </c>
      <c r="J785" s="151">
        <v>45454.0</v>
      </c>
      <c r="K785" s="152">
        <v>1078483.2119941711</v>
      </c>
      <c r="L785" s="117"/>
      <c r="M785" s="117"/>
      <c r="N785" s="153"/>
      <c r="O785" s="153"/>
      <c r="P785" s="153"/>
      <c r="Q785" s="153"/>
      <c r="R785" s="153" t="str">
        <f t="shared" si="1"/>
        <v>2024</v>
      </c>
      <c r="S785" s="154">
        <f t="shared" si="2"/>
        <v>6</v>
      </c>
      <c r="T785" s="153" t="str">
        <f t="shared" si="3"/>
        <v>2024-Q2</v>
      </c>
      <c r="U785" s="153" t="str">
        <f t="shared" si="4"/>
        <v>2024-06</v>
      </c>
      <c r="V785" s="155" t="str">
        <f t="shared" si="5"/>
        <v>2024-H1</v>
      </c>
      <c r="W785" s="155"/>
    </row>
    <row r="786">
      <c r="A786" s="139">
        <f>HYPERLINK("https://polkadot.subsquare.io/referenda/778", 778)</f>
        <v>778</v>
      </c>
      <c r="B786" s="162"/>
      <c r="C786" s="140" t="s">
        <v>2681</v>
      </c>
      <c r="D786" s="141">
        <v>20.0</v>
      </c>
      <c r="E786" s="142">
        <v>143.93511772155762</v>
      </c>
      <c r="F786" s="140" t="s">
        <v>186</v>
      </c>
      <c r="G786" s="143">
        <v>1.5704305859246816E7</v>
      </c>
      <c r="H786" s="143">
        <v>10.0</v>
      </c>
      <c r="I786" s="144">
        <v>45426.0</v>
      </c>
      <c r="J786" s="144">
        <v>45428.0</v>
      </c>
      <c r="K786" s="145">
        <v>138.75069618225098</v>
      </c>
      <c r="L786" s="114" t="s">
        <v>81</v>
      </c>
      <c r="M786" s="114" t="s">
        <v>185</v>
      </c>
      <c r="N786" s="108"/>
      <c r="O786" s="108"/>
      <c r="P786" s="108"/>
      <c r="Q786" s="108"/>
      <c r="R786" s="108" t="str">
        <f t="shared" si="1"/>
        <v>2024</v>
      </c>
      <c r="S786" s="110">
        <f t="shared" si="2"/>
        <v>5</v>
      </c>
      <c r="T786" s="108" t="str">
        <f t="shared" si="3"/>
        <v>2024-Q2</v>
      </c>
      <c r="U786" s="108" t="str">
        <f t="shared" si="4"/>
        <v>2024-05</v>
      </c>
      <c r="V786" s="112" t="str">
        <f t="shared" si="5"/>
        <v>2024-H1</v>
      </c>
      <c r="W786" s="112"/>
    </row>
    <row r="787">
      <c r="A787" s="146">
        <f>HYPERLINK("https://polkadot.subsquare.io/referenda/779", 779)</f>
        <v>779</v>
      </c>
      <c r="B787" s="147" t="s">
        <v>505</v>
      </c>
      <c r="C787" s="147" t="s">
        <v>2681</v>
      </c>
      <c r="D787" s="148">
        <v>7885.497423885508</v>
      </c>
      <c r="E787" s="149">
        <v>56750.0</v>
      </c>
      <c r="F787" s="147" t="s">
        <v>2678</v>
      </c>
      <c r="G787" s="150">
        <v>2.6542863801833585E7</v>
      </c>
      <c r="H787" s="150">
        <v>10.0</v>
      </c>
      <c r="I787" s="151">
        <v>45426.0</v>
      </c>
      <c r="J787" s="151">
        <v>45449.0</v>
      </c>
      <c r="K787" s="152">
        <v>50375.90036130734</v>
      </c>
      <c r="L787" s="117" t="s">
        <v>81</v>
      </c>
      <c r="M787" s="117" t="s">
        <v>158</v>
      </c>
      <c r="N787" s="153"/>
      <c r="O787" s="153"/>
      <c r="P787" s="153"/>
      <c r="Q787" s="153"/>
      <c r="R787" s="153" t="str">
        <f t="shared" si="1"/>
        <v>2024</v>
      </c>
      <c r="S787" s="154">
        <f t="shared" si="2"/>
        <v>6</v>
      </c>
      <c r="T787" s="153" t="str">
        <f t="shared" si="3"/>
        <v>2024-Q2</v>
      </c>
      <c r="U787" s="153" t="str">
        <f t="shared" si="4"/>
        <v>2024-06</v>
      </c>
      <c r="V787" s="155" t="str">
        <f t="shared" si="5"/>
        <v>2024-H1</v>
      </c>
      <c r="W787" s="155"/>
    </row>
    <row r="788">
      <c r="A788" s="139">
        <f>HYPERLINK("https://polkadot.subsquare.io/referenda/780", 780)</f>
        <v>780</v>
      </c>
      <c r="B788" s="140" t="s">
        <v>3094</v>
      </c>
      <c r="C788" s="140" t="s">
        <v>2691</v>
      </c>
      <c r="D788" s="141">
        <v>1049.0</v>
      </c>
      <c r="E788" s="142">
        <v>7549.396924495697</v>
      </c>
      <c r="F788" s="140" t="s">
        <v>186</v>
      </c>
      <c r="G788" s="143">
        <v>0.0</v>
      </c>
      <c r="H788" s="143">
        <v>2.7930125191729944E7</v>
      </c>
      <c r="I788" s="144">
        <v>45426.0</v>
      </c>
      <c r="J788" s="144">
        <v>45440.0</v>
      </c>
      <c r="K788" s="145">
        <v>7329.517050266266</v>
      </c>
      <c r="L788" s="114"/>
      <c r="M788" s="114"/>
      <c r="N788" s="108"/>
      <c r="O788" s="108"/>
      <c r="P788" s="108"/>
      <c r="Q788" s="108"/>
      <c r="R788" s="108" t="str">
        <f t="shared" si="1"/>
        <v>2024</v>
      </c>
      <c r="S788" s="110">
        <f t="shared" si="2"/>
        <v>5</v>
      </c>
      <c r="T788" s="108" t="str">
        <f t="shared" si="3"/>
        <v>2024-Q2</v>
      </c>
      <c r="U788" s="108" t="str">
        <f t="shared" si="4"/>
        <v>2024-05</v>
      </c>
      <c r="V788" s="112" t="str">
        <f t="shared" si="5"/>
        <v>2024-H1</v>
      </c>
      <c r="W788" s="156" t="s">
        <v>2654</v>
      </c>
    </row>
    <row r="789">
      <c r="A789" s="146">
        <f>HYPERLINK("https://polkadot.subsquare.io/referenda/781", 781)</f>
        <v>781</v>
      </c>
      <c r="B789" s="147" t="s">
        <v>3095</v>
      </c>
      <c r="C789" s="147" t="s">
        <v>2672</v>
      </c>
      <c r="D789" s="148">
        <v>1049.0</v>
      </c>
      <c r="E789" s="149">
        <v>7549.396924495697</v>
      </c>
      <c r="F789" s="147" t="s">
        <v>2699</v>
      </c>
      <c r="G789" s="150">
        <v>5459116.52353888</v>
      </c>
      <c r="H789" s="150">
        <v>2.584166061841865E7</v>
      </c>
      <c r="I789" s="151">
        <v>45426.0</v>
      </c>
      <c r="J789" s="151">
        <v>45433.0</v>
      </c>
      <c r="K789" s="152">
        <v>7599.261079311371</v>
      </c>
      <c r="L789" s="117"/>
      <c r="M789" s="117"/>
      <c r="N789" s="153"/>
      <c r="O789" s="153"/>
      <c r="P789" s="153"/>
      <c r="Q789" s="153"/>
      <c r="R789" s="153" t="str">
        <f t="shared" si="1"/>
        <v>2024</v>
      </c>
      <c r="S789" s="154">
        <f t="shared" si="2"/>
        <v>5</v>
      </c>
      <c r="T789" s="153" t="str">
        <f t="shared" si="3"/>
        <v>2024-Q2</v>
      </c>
      <c r="U789" s="153" t="str">
        <f t="shared" si="4"/>
        <v>2024-05</v>
      </c>
      <c r="V789" s="155" t="str">
        <f t="shared" si="5"/>
        <v>2024-H1</v>
      </c>
      <c r="W789" s="155"/>
    </row>
    <row r="790">
      <c r="A790" s="139">
        <f>HYPERLINK("https://polkadot.subsquare.io/referenda/782", 782)</f>
        <v>782</v>
      </c>
      <c r="B790" s="140" t="s">
        <v>3096</v>
      </c>
      <c r="C790" s="140" t="s">
        <v>2672</v>
      </c>
      <c r="D790" s="141">
        <v>833.7089787367938</v>
      </c>
      <c r="E790" s="142">
        <v>6000.0</v>
      </c>
      <c r="F790" s="140" t="s">
        <v>2699</v>
      </c>
      <c r="G790" s="143">
        <v>1.2293383619492548E7</v>
      </c>
      <c r="H790" s="143">
        <v>2.1663474913900807E7</v>
      </c>
      <c r="I790" s="144">
        <v>45427.0</v>
      </c>
      <c r="J790" s="144">
        <v>45434.0</v>
      </c>
      <c r="K790" s="145">
        <v>6039.630308471829</v>
      </c>
      <c r="L790" s="114"/>
      <c r="M790" s="114"/>
      <c r="N790" s="108"/>
      <c r="O790" s="108"/>
      <c r="P790" s="108"/>
      <c r="Q790" s="108"/>
      <c r="R790" s="108" t="str">
        <f t="shared" si="1"/>
        <v>2024</v>
      </c>
      <c r="S790" s="110">
        <f t="shared" si="2"/>
        <v>5</v>
      </c>
      <c r="T790" s="108" t="str">
        <f t="shared" si="3"/>
        <v>2024-Q2</v>
      </c>
      <c r="U790" s="108" t="str">
        <f t="shared" si="4"/>
        <v>2024-05</v>
      </c>
      <c r="V790" s="112" t="str">
        <f t="shared" si="5"/>
        <v>2024-H1</v>
      </c>
      <c r="W790" s="112"/>
    </row>
    <row r="791">
      <c r="A791" s="146">
        <f>HYPERLINK("https://polkadot.subsquare.io/referenda/783", 783)</f>
        <v>783</v>
      </c>
      <c r="B791" s="147" t="s">
        <v>506</v>
      </c>
      <c r="C791" s="147" t="s">
        <v>2681</v>
      </c>
      <c r="D791" s="148">
        <v>31705.0</v>
      </c>
      <c r="E791" s="149">
        <v>228173.1453680992</v>
      </c>
      <c r="F791" s="147" t="s">
        <v>2683</v>
      </c>
      <c r="G791" s="150">
        <v>9970428.09812112</v>
      </c>
      <c r="H791" s="150">
        <v>7755112.223748097</v>
      </c>
      <c r="I791" s="151">
        <v>45427.0</v>
      </c>
      <c r="J791" s="151">
        <v>45459.0</v>
      </c>
      <c r="K791" s="152">
        <v>183705.48716306686</v>
      </c>
      <c r="L791" s="117" t="s">
        <v>81</v>
      </c>
      <c r="M791" s="117" t="s">
        <v>202</v>
      </c>
      <c r="N791" s="153"/>
      <c r="O791" s="153"/>
      <c r="P791" s="153" t="s">
        <v>2654</v>
      </c>
      <c r="Q791" s="153"/>
      <c r="R791" s="153" t="str">
        <f t="shared" si="1"/>
        <v>2024</v>
      </c>
      <c r="S791" s="154">
        <f t="shared" si="2"/>
        <v>6</v>
      </c>
      <c r="T791" s="153" t="str">
        <f t="shared" si="3"/>
        <v>2024-Q2</v>
      </c>
      <c r="U791" s="153" t="str">
        <f t="shared" si="4"/>
        <v>2024-06</v>
      </c>
      <c r="V791" s="155" t="str">
        <f t="shared" si="5"/>
        <v>2024-H1</v>
      </c>
      <c r="W791" s="155"/>
    </row>
    <row r="792">
      <c r="A792" s="139">
        <f>HYPERLINK("https://polkadot.subsquare.io/referenda/784", 784)</f>
        <v>784</v>
      </c>
      <c r="B792" s="140" t="s">
        <v>3097</v>
      </c>
      <c r="C792" s="140" t="s">
        <v>2691</v>
      </c>
      <c r="D792" s="141">
        <v>1000000.0</v>
      </c>
      <c r="E792" s="142">
        <v>7161952.972412109</v>
      </c>
      <c r="F792" s="140" t="s">
        <v>2687</v>
      </c>
      <c r="G792" s="143">
        <v>0.0</v>
      </c>
      <c r="H792" s="143">
        <v>4658758.144631243</v>
      </c>
      <c r="I792" s="144">
        <v>45427.0</v>
      </c>
      <c r="J792" s="144">
        <v>45441.0</v>
      </c>
      <c r="K792" s="145">
        <v>7058611.869812012</v>
      </c>
      <c r="L792" s="114"/>
      <c r="M792" s="114"/>
      <c r="N792" s="108"/>
      <c r="O792" s="108"/>
      <c r="P792" s="108"/>
      <c r="Q792" s="108"/>
      <c r="R792" s="108" t="str">
        <f t="shared" si="1"/>
        <v>2024</v>
      </c>
      <c r="S792" s="110">
        <f t="shared" si="2"/>
        <v>5</v>
      </c>
      <c r="T792" s="108" t="str">
        <f t="shared" si="3"/>
        <v>2024-Q2</v>
      </c>
      <c r="U792" s="108" t="str">
        <f t="shared" si="4"/>
        <v>2024-05</v>
      </c>
      <c r="V792" s="112" t="str">
        <f t="shared" si="5"/>
        <v>2024-H1</v>
      </c>
      <c r="W792" s="156" t="s">
        <v>2654</v>
      </c>
    </row>
    <row r="793">
      <c r="A793" s="146">
        <f>HYPERLINK("https://polkadot.subsquare.io/referenda/785", 785)</f>
        <v>785</v>
      </c>
      <c r="B793" s="147" t="s">
        <v>3098</v>
      </c>
      <c r="C793" s="147" t="s">
        <v>2800</v>
      </c>
      <c r="D793" s="148">
        <v>1000000.0</v>
      </c>
      <c r="E793" s="149">
        <v>7161952.972412109</v>
      </c>
      <c r="F793" s="147" t="s">
        <v>2687</v>
      </c>
      <c r="G793" s="150">
        <v>6.60528486E7</v>
      </c>
      <c r="H793" s="150">
        <v>3487717.553122979</v>
      </c>
      <c r="I793" s="151">
        <v>45427.0</v>
      </c>
      <c r="J793" s="151">
        <v>45433.0</v>
      </c>
      <c r="K793" s="152">
        <v>7244290.828704834</v>
      </c>
      <c r="L793" s="117"/>
      <c r="M793" s="117"/>
      <c r="N793" s="153"/>
      <c r="O793" s="153"/>
      <c r="P793" s="153"/>
      <c r="Q793" s="153"/>
      <c r="R793" s="153" t="str">
        <f t="shared" si="1"/>
        <v>2024</v>
      </c>
      <c r="S793" s="154">
        <f t="shared" si="2"/>
        <v>5</v>
      </c>
      <c r="T793" s="153" t="str">
        <f t="shared" si="3"/>
        <v>2024-Q2</v>
      </c>
      <c r="U793" s="153" t="str">
        <f t="shared" si="4"/>
        <v>2024-05</v>
      </c>
      <c r="V793" s="155" t="str">
        <f t="shared" si="5"/>
        <v>2024-H1</v>
      </c>
      <c r="W793" s="155"/>
    </row>
    <row r="794">
      <c r="A794" s="139">
        <f>HYPERLINK("https://polkadot.subsquare.io/referenda/786", 786)</f>
        <v>786</v>
      </c>
      <c r="B794" s="140" t="s">
        <v>3099</v>
      </c>
      <c r="C794" s="140" t="s">
        <v>2681</v>
      </c>
      <c r="D794" s="141">
        <v>0.0</v>
      </c>
      <c r="E794" s="142">
        <v>0.0</v>
      </c>
      <c r="F794" s="140" t="s">
        <v>2802</v>
      </c>
      <c r="G794" s="143">
        <v>7.547054917272668E7</v>
      </c>
      <c r="H794" s="143">
        <v>7.270383965423349E7</v>
      </c>
      <c r="I794" s="144">
        <v>45427.0</v>
      </c>
      <c r="J794" s="144">
        <v>45433.0</v>
      </c>
      <c r="K794" s="145">
        <v>0.0</v>
      </c>
      <c r="L794" s="114"/>
      <c r="M794" s="114"/>
      <c r="N794" s="108"/>
      <c r="O794" s="108"/>
      <c r="P794" s="108"/>
      <c r="Q794" s="108"/>
      <c r="R794" s="108" t="str">
        <f t="shared" si="1"/>
        <v>2024</v>
      </c>
      <c r="S794" s="110">
        <f t="shared" si="2"/>
        <v>5</v>
      </c>
      <c r="T794" s="108" t="str">
        <f t="shared" si="3"/>
        <v>2024-Q2</v>
      </c>
      <c r="U794" s="108" t="str">
        <f t="shared" si="4"/>
        <v>2024-05</v>
      </c>
      <c r="V794" s="112" t="str">
        <f t="shared" si="5"/>
        <v>2024-H1</v>
      </c>
      <c r="W794" s="112"/>
    </row>
    <row r="795">
      <c r="A795" s="146">
        <f>HYPERLINK("https://polkadot.subsquare.io/referenda/787", 787)</f>
        <v>787</v>
      </c>
      <c r="B795" s="147" t="s">
        <v>3100</v>
      </c>
      <c r="C795" s="147" t="s">
        <v>2681</v>
      </c>
      <c r="D795" s="148">
        <v>0.0</v>
      </c>
      <c r="E795" s="149">
        <v>0.0</v>
      </c>
      <c r="F795" s="147" t="s">
        <v>2802</v>
      </c>
      <c r="G795" s="150">
        <v>7.009742036974022E7</v>
      </c>
      <c r="H795" s="150">
        <v>3.6472197799814574E7</v>
      </c>
      <c r="I795" s="151">
        <v>45428.0</v>
      </c>
      <c r="J795" s="151">
        <v>45432.0</v>
      </c>
      <c r="K795" s="152">
        <v>0.0</v>
      </c>
      <c r="L795" s="117"/>
      <c r="M795" s="117"/>
      <c r="N795" s="153"/>
      <c r="O795" s="153"/>
      <c r="P795" s="153"/>
      <c r="Q795" s="153"/>
      <c r="R795" s="153" t="str">
        <f t="shared" si="1"/>
        <v>2024</v>
      </c>
      <c r="S795" s="154">
        <f t="shared" si="2"/>
        <v>5</v>
      </c>
      <c r="T795" s="153" t="str">
        <f t="shared" si="3"/>
        <v>2024-Q2</v>
      </c>
      <c r="U795" s="153" t="str">
        <f t="shared" si="4"/>
        <v>2024-05</v>
      </c>
      <c r="V795" s="155" t="str">
        <f t="shared" si="5"/>
        <v>2024-H1</v>
      </c>
      <c r="W795" s="155"/>
    </row>
    <row r="796">
      <c r="A796" s="139">
        <f>HYPERLINK("https://polkadot.subsquare.io/referenda/788", 788)</f>
        <v>788</v>
      </c>
      <c r="B796" s="140" t="s">
        <v>3101</v>
      </c>
      <c r="C796" s="140" t="s">
        <v>2672</v>
      </c>
      <c r="D796" s="141">
        <v>3000.0</v>
      </c>
      <c r="E796" s="142">
        <v>22840.98529815674</v>
      </c>
      <c r="F796" s="140" t="s">
        <v>2678</v>
      </c>
      <c r="G796" s="143">
        <v>56.14</v>
      </c>
      <c r="H796" s="143">
        <v>3.378371106816749E7</v>
      </c>
      <c r="I796" s="144">
        <v>45430.0</v>
      </c>
      <c r="J796" s="144">
        <v>45459.0</v>
      </c>
      <c r="K796" s="145">
        <v>17326.952934265137</v>
      </c>
      <c r="L796" s="114"/>
      <c r="M796" s="114"/>
      <c r="N796" s="108"/>
      <c r="O796" s="108"/>
      <c r="P796" s="108"/>
      <c r="Q796" s="108"/>
      <c r="R796" s="108" t="str">
        <f t="shared" si="1"/>
        <v>2024</v>
      </c>
      <c r="S796" s="110">
        <f t="shared" si="2"/>
        <v>6</v>
      </c>
      <c r="T796" s="108" t="str">
        <f t="shared" si="3"/>
        <v>2024-Q2</v>
      </c>
      <c r="U796" s="108" t="str">
        <f t="shared" si="4"/>
        <v>2024-06</v>
      </c>
      <c r="V796" s="112" t="str">
        <f t="shared" si="5"/>
        <v>2024-H1</v>
      </c>
      <c r="W796" s="112"/>
    </row>
    <row r="797">
      <c r="A797" s="146">
        <f>HYPERLINK("https://polkadot.subsquare.io/referenda/789", 789)</f>
        <v>789</v>
      </c>
      <c r="B797" s="147" t="s">
        <v>507</v>
      </c>
      <c r="C797" s="147" t="s">
        <v>2681</v>
      </c>
      <c r="D797" s="148">
        <v>2960.0</v>
      </c>
      <c r="E797" s="149">
        <v>22536.43882751465</v>
      </c>
      <c r="F797" s="147" t="s">
        <v>2678</v>
      </c>
      <c r="G797" s="150">
        <v>1.5190356339182127E7</v>
      </c>
      <c r="H797" s="150">
        <v>5675815.197525609</v>
      </c>
      <c r="I797" s="151">
        <v>45431.0</v>
      </c>
      <c r="J797" s="151">
        <v>45457.0</v>
      </c>
      <c r="K797" s="152">
        <v>17978.788414001465</v>
      </c>
      <c r="L797" s="117" t="s">
        <v>137</v>
      </c>
      <c r="M797" s="117" t="s">
        <v>243</v>
      </c>
      <c r="N797" s="153"/>
      <c r="O797" s="153"/>
      <c r="P797" s="153"/>
      <c r="Q797" s="153"/>
      <c r="R797" s="153" t="str">
        <f t="shared" si="1"/>
        <v>2024</v>
      </c>
      <c r="S797" s="154">
        <f t="shared" si="2"/>
        <v>6</v>
      </c>
      <c r="T797" s="153" t="str">
        <f t="shared" si="3"/>
        <v>2024-Q2</v>
      </c>
      <c r="U797" s="153" t="str">
        <f t="shared" si="4"/>
        <v>2024-06</v>
      </c>
      <c r="V797" s="155" t="str">
        <f t="shared" si="5"/>
        <v>2024-H1</v>
      </c>
      <c r="W797" s="155"/>
    </row>
    <row r="798">
      <c r="A798" s="139">
        <f>HYPERLINK("https://polkadot.subsquare.io/referenda/790", 790)</f>
        <v>790</v>
      </c>
      <c r="B798" s="140" t="s">
        <v>3102</v>
      </c>
      <c r="C798" s="140" t="s">
        <v>2775</v>
      </c>
      <c r="D798" s="141">
        <v>0.0</v>
      </c>
      <c r="E798" s="142">
        <v>0.0</v>
      </c>
      <c r="F798" s="140" t="s">
        <v>2683</v>
      </c>
      <c r="G798" s="143">
        <v>1.7302899227684572E7</v>
      </c>
      <c r="H798" s="143">
        <v>4614350.64858874</v>
      </c>
      <c r="I798" s="144">
        <v>45431.0</v>
      </c>
      <c r="J798" s="144">
        <v>45462.0</v>
      </c>
      <c r="K798" s="145">
        <v>0.0</v>
      </c>
      <c r="L798" s="114"/>
      <c r="M798" s="114"/>
      <c r="N798" s="108" t="s">
        <v>2654</v>
      </c>
      <c r="O798" s="108"/>
      <c r="P798" s="108"/>
      <c r="Q798" s="108" t="s">
        <v>3103</v>
      </c>
      <c r="R798" s="108" t="str">
        <f t="shared" si="1"/>
        <v>2024</v>
      </c>
      <c r="S798" s="110">
        <f t="shared" si="2"/>
        <v>6</v>
      </c>
      <c r="T798" s="108" t="str">
        <f t="shared" si="3"/>
        <v>2024-Q2</v>
      </c>
      <c r="U798" s="108" t="str">
        <f t="shared" si="4"/>
        <v>2024-06</v>
      </c>
      <c r="V798" s="112" t="str">
        <f t="shared" si="5"/>
        <v>2024-H1</v>
      </c>
      <c r="W798" s="112"/>
    </row>
    <row r="799">
      <c r="A799" s="146">
        <f>HYPERLINK("https://polkadot.subsquare.io/referenda/791", 791)</f>
        <v>791</v>
      </c>
      <c r="B799" s="147" t="s">
        <v>3104</v>
      </c>
      <c r="C799" s="147" t="s">
        <v>2681</v>
      </c>
      <c r="D799" s="148">
        <v>0.0</v>
      </c>
      <c r="E799" s="149">
        <v>0.0</v>
      </c>
      <c r="F799" s="147" t="s">
        <v>2682</v>
      </c>
      <c r="G799" s="150">
        <v>9.58845640645024E7</v>
      </c>
      <c r="H799" s="150">
        <v>68.2882659981</v>
      </c>
      <c r="I799" s="151">
        <v>45431.0</v>
      </c>
      <c r="J799" s="151">
        <v>45452.0</v>
      </c>
      <c r="K799" s="152">
        <v>0.0</v>
      </c>
      <c r="L799" s="117"/>
      <c r="M799" s="117"/>
      <c r="N799" s="153"/>
      <c r="O799" s="153"/>
      <c r="P799" s="153"/>
      <c r="Q799" s="153"/>
      <c r="R799" s="153" t="str">
        <f t="shared" si="1"/>
        <v>2024</v>
      </c>
      <c r="S799" s="154">
        <f t="shared" si="2"/>
        <v>6</v>
      </c>
      <c r="T799" s="153" t="str">
        <f t="shared" si="3"/>
        <v>2024-Q2</v>
      </c>
      <c r="U799" s="153" t="str">
        <f t="shared" si="4"/>
        <v>2024-06</v>
      </c>
      <c r="V799" s="155" t="str">
        <f t="shared" si="5"/>
        <v>2024-H1</v>
      </c>
      <c r="W799" s="155"/>
    </row>
    <row r="800">
      <c r="A800" s="139">
        <f>HYPERLINK("https://polkadot.subsquare.io/referenda/792", 792)</f>
        <v>792</v>
      </c>
      <c r="B800" s="140" t="s">
        <v>508</v>
      </c>
      <c r="C800" s="140" t="s">
        <v>2681</v>
      </c>
      <c r="D800" s="141">
        <v>4670.0</v>
      </c>
      <c r="E800" s="142">
        <v>34812.38008975983</v>
      </c>
      <c r="F800" s="140" t="s">
        <v>2678</v>
      </c>
      <c r="G800" s="143">
        <v>3.815879603813138E7</v>
      </c>
      <c r="H800" s="143">
        <v>10.0</v>
      </c>
      <c r="I800" s="144">
        <v>45431.0</v>
      </c>
      <c r="J800" s="144">
        <v>45449.0</v>
      </c>
      <c r="K800" s="145">
        <v>30461.302161216736</v>
      </c>
      <c r="L800" s="114" t="s">
        <v>81</v>
      </c>
      <c r="M800" s="114" t="s">
        <v>185</v>
      </c>
      <c r="N800" s="108"/>
      <c r="O800" s="108"/>
      <c r="P800" s="108" t="s">
        <v>2654</v>
      </c>
      <c r="Q800" s="108"/>
      <c r="R800" s="108" t="str">
        <f t="shared" si="1"/>
        <v>2024</v>
      </c>
      <c r="S800" s="110">
        <f t="shared" si="2"/>
        <v>6</v>
      </c>
      <c r="T800" s="108" t="str">
        <f t="shared" si="3"/>
        <v>2024-Q2</v>
      </c>
      <c r="U800" s="108" t="str">
        <f t="shared" si="4"/>
        <v>2024-06</v>
      </c>
      <c r="V800" s="112" t="str">
        <f t="shared" si="5"/>
        <v>2024-H1</v>
      </c>
      <c r="W800" s="112"/>
    </row>
    <row r="801">
      <c r="A801" s="146">
        <f>HYPERLINK("https://polkadot.subsquare.io/referenda/793", 793)</f>
        <v>793</v>
      </c>
      <c r="B801" s="147" t="s">
        <v>509</v>
      </c>
      <c r="C801" s="147" t="s">
        <v>2681</v>
      </c>
      <c r="D801" s="148">
        <v>1.0</v>
      </c>
      <c r="E801" s="149">
        <v>7.454471111297607</v>
      </c>
      <c r="F801" s="147" t="s">
        <v>186</v>
      </c>
      <c r="G801" s="150">
        <v>9299448.942535723</v>
      </c>
      <c r="H801" s="150">
        <v>60786.0616552183</v>
      </c>
      <c r="I801" s="151">
        <v>45431.0</v>
      </c>
      <c r="J801" s="151">
        <v>45434.0</v>
      </c>
      <c r="K801" s="152">
        <v>7.244290828704834</v>
      </c>
      <c r="L801" s="117" t="s">
        <v>137</v>
      </c>
      <c r="M801" s="117" t="s">
        <v>243</v>
      </c>
      <c r="N801" s="153"/>
      <c r="O801" s="153"/>
      <c r="P801" s="153"/>
      <c r="Q801" s="153"/>
      <c r="R801" s="153" t="str">
        <f t="shared" si="1"/>
        <v>2024</v>
      </c>
      <c r="S801" s="154">
        <f t="shared" si="2"/>
        <v>5</v>
      </c>
      <c r="T801" s="153" t="str">
        <f t="shared" si="3"/>
        <v>2024-Q2</v>
      </c>
      <c r="U801" s="153" t="str">
        <f t="shared" si="4"/>
        <v>2024-05</v>
      </c>
      <c r="V801" s="155" t="str">
        <f t="shared" si="5"/>
        <v>2024-H1</v>
      </c>
      <c r="W801" s="155"/>
    </row>
    <row r="802">
      <c r="A802" s="139">
        <f>HYPERLINK("https://polkadot.subsquare.io/referenda/794", 794)</f>
        <v>794</v>
      </c>
      <c r="B802" s="140" t="s">
        <v>3105</v>
      </c>
      <c r="C802" s="140" t="s">
        <v>2672</v>
      </c>
      <c r="D802" s="141">
        <v>500000.0</v>
      </c>
      <c r="E802" s="142">
        <v>3600387.0964050293</v>
      </c>
      <c r="F802" s="140" t="s">
        <v>2676</v>
      </c>
      <c r="G802" s="143">
        <v>4906243.470630565</v>
      </c>
      <c r="H802" s="143">
        <v>6.111776766735148E7</v>
      </c>
      <c r="I802" s="144">
        <v>45432.0</v>
      </c>
      <c r="J802" s="144">
        <v>45461.0</v>
      </c>
      <c r="K802" s="145">
        <v>2805531.0249328613</v>
      </c>
      <c r="L802" s="114"/>
      <c r="M802" s="114"/>
      <c r="N802" s="108"/>
      <c r="O802" s="108"/>
      <c r="P802" s="108"/>
      <c r="Q802" s="108"/>
      <c r="R802" s="108" t="str">
        <f t="shared" si="1"/>
        <v>2024</v>
      </c>
      <c r="S802" s="110">
        <f t="shared" si="2"/>
        <v>6</v>
      </c>
      <c r="T802" s="108" t="str">
        <f t="shared" si="3"/>
        <v>2024-Q2</v>
      </c>
      <c r="U802" s="108" t="str">
        <f t="shared" si="4"/>
        <v>2024-06</v>
      </c>
      <c r="V802" s="112" t="str">
        <f t="shared" si="5"/>
        <v>2024-H1</v>
      </c>
      <c r="W802" s="112"/>
    </row>
    <row r="803">
      <c r="A803" s="146">
        <f>HYPERLINK("https://polkadot.subsquare.io/referenda/795", 795)</f>
        <v>795</v>
      </c>
      <c r="B803" s="147" t="s">
        <v>3106</v>
      </c>
      <c r="C803" s="147" t="s">
        <v>2672</v>
      </c>
      <c r="D803" s="148">
        <v>499999.0</v>
      </c>
      <c r="E803" s="149">
        <v>3600379.8956308365</v>
      </c>
      <c r="F803" s="147" t="s">
        <v>2676</v>
      </c>
      <c r="G803" s="150">
        <v>3573791.397174845</v>
      </c>
      <c r="H803" s="150">
        <v>6.953058545585497E7</v>
      </c>
      <c r="I803" s="151">
        <v>45432.0</v>
      </c>
      <c r="J803" s="151">
        <v>45461.0</v>
      </c>
      <c r="K803" s="152">
        <v>2805525.4138708115</v>
      </c>
      <c r="L803" s="117"/>
      <c r="M803" s="117"/>
      <c r="N803" s="153"/>
      <c r="O803" s="153"/>
      <c r="P803" s="153"/>
      <c r="Q803" s="153"/>
      <c r="R803" s="153" t="str">
        <f t="shared" si="1"/>
        <v>2024</v>
      </c>
      <c r="S803" s="154">
        <f t="shared" si="2"/>
        <v>6</v>
      </c>
      <c r="T803" s="153" t="str">
        <f t="shared" si="3"/>
        <v>2024-Q2</v>
      </c>
      <c r="U803" s="153" t="str">
        <f t="shared" si="4"/>
        <v>2024-06</v>
      </c>
      <c r="V803" s="155" t="str">
        <f t="shared" si="5"/>
        <v>2024-H1</v>
      </c>
      <c r="W803" s="155"/>
    </row>
    <row r="804">
      <c r="A804" s="139">
        <f>HYPERLINK("https://polkadot.subsquare.io/referenda/796", 796)</f>
        <v>796</v>
      </c>
      <c r="B804" s="140" t="s">
        <v>510</v>
      </c>
      <c r="C804" s="140" t="s">
        <v>2681</v>
      </c>
      <c r="D804" s="141">
        <v>3282.0</v>
      </c>
      <c r="E804" s="142">
        <v>23632.940900802612</v>
      </c>
      <c r="F804" s="140" t="s">
        <v>2678</v>
      </c>
      <c r="G804" s="143">
        <v>1.4044302470903544E7</v>
      </c>
      <c r="H804" s="143">
        <v>6665.0</v>
      </c>
      <c r="I804" s="144">
        <v>45432.0</v>
      </c>
      <c r="J804" s="144">
        <v>45458.0</v>
      </c>
      <c r="K804" s="145">
        <v>18955.68651008606</v>
      </c>
      <c r="L804" s="114" t="s">
        <v>81</v>
      </c>
      <c r="M804" s="114" t="s">
        <v>179</v>
      </c>
      <c r="N804" s="108"/>
      <c r="O804" s="108"/>
      <c r="P804" s="108"/>
      <c r="Q804" s="108"/>
      <c r="R804" s="108" t="str">
        <f t="shared" si="1"/>
        <v>2024</v>
      </c>
      <c r="S804" s="110">
        <f t="shared" si="2"/>
        <v>6</v>
      </c>
      <c r="T804" s="108" t="str">
        <f t="shared" si="3"/>
        <v>2024-Q2</v>
      </c>
      <c r="U804" s="108" t="str">
        <f t="shared" si="4"/>
        <v>2024-06</v>
      </c>
      <c r="V804" s="112" t="str">
        <f t="shared" si="5"/>
        <v>2024-H1</v>
      </c>
      <c r="W804" s="112"/>
    </row>
    <row r="805">
      <c r="A805" s="146">
        <f>HYPERLINK("https://polkadot.subsquare.io/referenda/797", 797)</f>
        <v>797</v>
      </c>
      <c r="B805" s="147" t="s">
        <v>512</v>
      </c>
      <c r="C805" s="147" t="s">
        <v>2681</v>
      </c>
      <c r="D805" s="148">
        <v>60431.0</v>
      </c>
      <c r="E805" s="149">
        <v>435149.98524570465</v>
      </c>
      <c r="F805" s="147" t="s">
        <v>2683</v>
      </c>
      <c r="G805" s="150">
        <v>5.332484746138717E7</v>
      </c>
      <c r="H805" s="150">
        <v>4.383770920827704E7</v>
      </c>
      <c r="I805" s="151">
        <v>45433.0</v>
      </c>
      <c r="J805" s="151">
        <v>45457.0</v>
      </c>
      <c r="K805" s="152">
        <v>367052.7576508522</v>
      </c>
      <c r="L805" s="117" t="s">
        <v>85</v>
      </c>
      <c r="M805" s="117" t="s">
        <v>511</v>
      </c>
      <c r="N805" s="153"/>
      <c r="O805" s="153"/>
      <c r="P805" s="153"/>
      <c r="Q805" s="153"/>
      <c r="R805" s="153" t="str">
        <f t="shared" si="1"/>
        <v>2024</v>
      </c>
      <c r="S805" s="154">
        <f t="shared" si="2"/>
        <v>6</v>
      </c>
      <c r="T805" s="153" t="str">
        <f t="shared" si="3"/>
        <v>2024-Q2</v>
      </c>
      <c r="U805" s="153" t="str">
        <f t="shared" si="4"/>
        <v>2024-06</v>
      </c>
      <c r="V805" s="155" t="str">
        <f t="shared" si="5"/>
        <v>2024-H1</v>
      </c>
      <c r="W805" s="155"/>
    </row>
    <row r="806">
      <c r="A806" s="139">
        <f>HYPERLINK("https://polkadot.subsquare.io/referenda/798", 798)</f>
        <v>798</v>
      </c>
      <c r="B806" s="140" t="s">
        <v>513</v>
      </c>
      <c r="C806" s="140" t="s">
        <v>2681</v>
      </c>
      <c r="D806" s="141">
        <v>4015.0</v>
      </c>
      <c r="E806" s="142">
        <v>29085.82767724991</v>
      </c>
      <c r="F806" s="140" t="s">
        <v>2678</v>
      </c>
      <c r="G806" s="143">
        <v>1.279854844864592E7</v>
      </c>
      <c r="H806" s="143">
        <v>41584.8814301461</v>
      </c>
      <c r="I806" s="144">
        <v>45433.0</v>
      </c>
      <c r="J806" s="144">
        <v>45456.0</v>
      </c>
      <c r="K806" s="145">
        <v>24977.36747264862</v>
      </c>
      <c r="L806" s="114" t="s">
        <v>137</v>
      </c>
      <c r="M806" s="114" t="s">
        <v>138</v>
      </c>
      <c r="N806" s="108"/>
      <c r="O806" s="108"/>
      <c r="P806" s="108"/>
      <c r="Q806" s="108"/>
      <c r="R806" s="108" t="str">
        <f t="shared" si="1"/>
        <v>2024</v>
      </c>
      <c r="S806" s="110">
        <f t="shared" si="2"/>
        <v>6</v>
      </c>
      <c r="T806" s="108" t="str">
        <f t="shared" si="3"/>
        <v>2024-Q2</v>
      </c>
      <c r="U806" s="108" t="str">
        <f t="shared" si="4"/>
        <v>2024-06</v>
      </c>
      <c r="V806" s="112" t="str">
        <f t="shared" si="5"/>
        <v>2024-H1</v>
      </c>
      <c r="W806" s="112"/>
    </row>
    <row r="807">
      <c r="A807" s="146">
        <f>HYPERLINK("https://polkadot.subsquare.io/referenda/799", 799)</f>
        <v>799</v>
      </c>
      <c r="B807" s="147" t="s">
        <v>514</v>
      </c>
      <c r="C807" s="147" t="s">
        <v>2681</v>
      </c>
      <c r="D807" s="148">
        <v>80.0</v>
      </c>
      <c r="E807" s="149">
        <v>579.5432662963867</v>
      </c>
      <c r="F807" s="147" t="s">
        <v>186</v>
      </c>
      <c r="G807" s="150">
        <v>6439928.768173273</v>
      </c>
      <c r="H807" s="150">
        <v>2123298.623768541</v>
      </c>
      <c r="I807" s="151">
        <v>45433.0</v>
      </c>
      <c r="J807" s="151">
        <v>45438.0</v>
      </c>
      <c r="K807" s="152">
        <v>589.3658447265625</v>
      </c>
      <c r="L807" s="117" t="s">
        <v>137</v>
      </c>
      <c r="M807" s="117" t="s">
        <v>254</v>
      </c>
      <c r="N807" s="153"/>
      <c r="O807" s="153"/>
      <c r="P807" s="153"/>
      <c r="Q807" s="153"/>
      <c r="R807" s="153" t="str">
        <f t="shared" si="1"/>
        <v>2024</v>
      </c>
      <c r="S807" s="154">
        <f t="shared" si="2"/>
        <v>5</v>
      </c>
      <c r="T807" s="153" t="str">
        <f t="shared" si="3"/>
        <v>2024-Q2</v>
      </c>
      <c r="U807" s="153" t="str">
        <f t="shared" si="4"/>
        <v>2024-05</v>
      </c>
      <c r="V807" s="155" t="str">
        <f t="shared" si="5"/>
        <v>2024-H1</v>
      </c>
      <c r="W807" s="155"/>
    </row>
    <row r="808">
      <c r="A808" s="139">
        <f>HYPERLINK("https://polkadot.subsquare.io/referenda/800", 800)</f>
        <v>800</v>
      </c>
      <c r="B808" s="140" t="s">
        <v>3107</v>
      </c>
      <c r="C808" s="140" t="s">
        <v>2672</v>
      </c>
      <c r="D808" s="141">
        <v>8822.0</v>
      </c>
      <c r="E808" s="142">
        <v>63909.133690834045</v>
      </c>
      <c r="F808" s="140" t="s">
        <v>2678</v>
      </c>
      <c r="G808" s="143">
        <v>152076.357810075</v>
      </c>
      <c r="H808" s="143">
        <v>2.978150168888647E7</v>
      </c>
      <c r="I808" s="144">
        <v>45433.0</v>
      </c>
      <c r="J808" s="144">
        <v>45464.0</v>
      </c>
      <c r="K808" s="145">
        <v>49799.23912715912</v>
      </c>
      <c r="L808" s="114"/>
      <c r="M808" s="114"/>
      <c r="N808" s="108"/>
      <c r="O808" s="108"/>
      <c r="P808" s="108"/>
      <c r="Q808" s="108"/>
      <c r="R808" s="108" t="str">
        <f t="shared" si="1"/>
        <v>2024</v>
      </c>
      <c r="S808" s="110">
        <f t="shared" si="2"/>
        <v>6</v>
      </c>
      <c r="T808" s="108" t="str">
        <f t="shared" si="3"/>
        <v>2024-Q2</v>
      </c>
      <c r="U808" s="108" t="str">
        <f t="shared" si="4"/>
        <v>2024-06</v>
      </c>
      <c r="V808" s="112" t="str">
        <f t="shared" si="5"/>
        <v>2024-H1</v>
      </c>
      <c r="W808" s="112"/>
    </row>
    <row r="809">
      <c r="A809" s="146">
        <f>HYPERLINK("https://polkadot.subsquare.io/referenda/801", 801)</f>
        <v>801</v>
      </c>
      <c r="B809" s="147" t="s">
        <v>3108</v>
      </c>
      <c r="C809" s="147" t="s">
        <v>2681</v>
      </c>
      <c r="D809" s="148">
        <v>0.0</v>
      </c>
      <c r="E809" s="149">
        <v>0.0</v>
      </c>
      <c r="F809" s="147" t="s">
        <v>3053</v>
      </c>
      <c r="G809" s="150">
        <v>4.638678910095427E7</v>
      </c>
      <c r="H809" s="150">
        <v>76010.101</v>
      </c>
      <c r="I809" s="151">
        <v>45433.0</v>
      </c>
      <c r="J809" s="151">
        <v>45462.0</v>
      </c>
      <c r="K809" s="152">
        <v>0.0</v>
      </c>
      <c r="L809" s="117"/>
      <c r="M809" s="117"/>
      <c r="N809" s="153"/>
      <c r="O809" s="153"/>
      <c r="P809" s="153"/>
      <c r="Q809" s="153"/>
      <c r="R809" s="153" t="str">
        <f t="shared" si="1"/>
        <v>2024</v>
      </c>
      <c r="S809" s="154">
        <f t="shared" si="2"/>
        <v>6</v>
      </c>
      <c r="T809" s="153" t="str">
        <f t="shared" si="3"/>
        <v>2024-Q2</v>
      </c>
      <c r="U809" s="153" t="str">
        <f t="shared" si="4"/>
        <v>2024-06</v>
      </c>
      <c r="V809" s="155" t="str">
        <f t="shared" si="5"/>
        <v>2024-H1</v>
      </c>
      <c r="W809" s="155"/>
    </row>
    <row r="810">
      <c r="A810" s="139">
        <f>HYPERLINK("https://polkadot.subsquare.io/referenda/802", 802)</f>
        <v>802</v>
      </c>
      <c r="B810" s="140" t="s">
        <v>3109</v>
      </c>
      <c r="C810" s="140" t="s">
        <v>2681</v>
      </c>
      <c r="D810" s="141">
        <v>0.0</v>
      </c>
      <c r="E810" s="142">
        <v>0.0</v>
      </c>
      <c r="F810" s="140" t="s">
        <v>2683</v>
      </c>
      <c r="G810" s="143">
        <v>1.77674757830758E7</v>
      </c>
      <c r="H810" s="143">
        <v>4621720.852027668</v>
      </c>
      <c r="I810" s="144">
        <v>45433.0</v>
      </c>
      <c r="J810" s="144">
        <v>45463.0</v>
      </c>
      <c r="K810" s="145">
        <v>0.0</v>
      </c>
      <c r="L810" s="114"/>
      <c r="M810" s="114"/>
      <c r="N810" s="108"/>
      <c r="O810" s="108"/>
      <c r="P810" s="108"/>
      <c r="Q810" s="108"/>
      <c r="R810" s="108" t="str">
        <f t="shared" si="1"/>
        <v>2024</v>
      </c>
      <c r="S810" s="110">
        <f t="shared" si="2"/>
        <v>6</v>
      </c>
      <c r="T810" s="108" t="str">
        <f t="shared" si="3"/>
        <v>2024-Q2</v>
      </c>
      <c r="U810" s="108" t="str">
        <f t="shared" si="4"/>
        <v>2024-06</v>
      </c>
      <c r="V810" s="112" t="str">
        <f t="shared" si="5"/>
        <v>2024-H1</v>
      </c>
      <c r="W810" s="112"/>
    </row>
    <row r="811">
      <c r="A811" s="146">
        <f>HYPERLINK("https://polkadot.subsquare.io/referenda/803", 803)</f>
        <v>803</v>
      </c>
      <c r="B811" s="147" t="s">
        <v>515</v>
      </c>
      <c r="C811" s="147" t="s">
        <v>2681</v>
      </c>
      <c r="D811" s="148">
        <v>9461.0</v>
      </c>
      <c r="E811" s="149">
        <v>68538.23553037643</v>
      </c>
      <c r="F811" s="147" t="s">
        <v>2678</v>
      </c>
      <c r="G811" s="150">
        <v>1.0913055714323848E7</v>
      </c>
      <c r="H811" s="150">
        <v>168058.6270478275</v>
      </c>
      <c r="I811" s="151">
        <v>45433.0</v>
      </c>
      <c r="J811" s="151">
        <v>45460.0</v>
      </c>
      <c r="K811" s="152">
        <v>54819.03844976425</v>
      </c>
      <c r="L811" s="117" t="s">
        <v>137</v>
      </c>
      <c r="M811" s="117" t="s">
        <v>138</v>
      </c>
      <c r="N811" s="153"/>
      <c r="O811" s="153"/>
      <c r="P811" s="153"/>
      <c r="Q811" s="153"/>
      <c r="R811" s="153" t="str">
        <f t="shared" si="1"/>
        <v>2024</v>
      </c>
      <c r="S811" s="154">
        <f t="shared" si="2"/>
        <v>6</v>
      </c>
      <c r="T811" s="153" t="str">
        <f t="shared" si="3"/>
        <v>2024-Q2</v>
      </c>
      <c r="U811" s="153" t="str">
        <f t="shared" si="4"/>
        <v>2024-06</v>
      </c>
      <c r="V811" s="155" t="str">
        <f t="shared" si="5"/>
        <v>2024-H1</v>
      </c>
      <c r="W811" s="155"/>
    </row>
    <row r="812">
      <c r="A812" s="139">
        <f>HYPERLINK("https://polkadot.subsquare.io/referenda/804", 804)</f>
        <v>804</v>
      </c>
      <c r="B812" s="140" t="s">
        <v>3110</v>
      </c>
      <c r="C812" s="140" t="s">
        <v>2681</v>
      </c>
      <c r="D812" s="141">
        <v>0.0</v>
      </c>
      <c r="E812" s="142">
        <v>0.0</v>
      </c>
      <c r="F812" s="140" t="s">
        <v>2683</v>
      </c>
      <c r="G812" s="143">
        <v>9906673.546190666</v>
      </c>
      <c r="H812" s="143">
        <v>19715.001</v>
      </c>
      <c r="I812" s="144">
        <v>45434.0</v>
      </c>
      <c r="J812" s="144">
        <v>45461.0</v>
      </c>
      <c r="K812" s="145">
        <v>0.0</v>
      </c>
      <c r="L812" s="114"/>
      <c r="M812" s="114"/>
      <c r="N812" s="108"/>
      <c r="O812" s="108" t="s">
        <v>2654</v>
      </c>
      <c r="P812" s="108" t="s">
        <v>2654</v>
      </c>
      <c r="Q812" s="108"/>
      <c r="R812" s="108" t="str">
        <f t="shared" si="1"/>
        <v>2024</v>
      </c>
      <c r="S812" s="110">
        <f t="shared" si="2"/>
        <v>6</v>
      </c>
      <c r="T812" s="108" t="str">
        <f t="shared" si="3"/>
        <v>2024-Q2</v>
      </c>
      <c r="U812" s="108" t="str">
        <f t="shared" si="4"/>
        <v>2024-06</v>
      </c>
      <c r="V812" s="112" t="str">
        <f t="shared" si="5"/>
        <v>2024-H1</v>
      </c>
      <c r="W812" s="112"/>
    </row>
    <row r="813">
      <c r="A813" s="146">
        <f>HYPERLINK("https://polkadot.subsquare.io/referenda/805", 805)</f>
        <v>805</v>
      </c>
      <c r="B813" s="147" t="s">
        <v>3111</v>
      </c>
      <c r="C813" s="147" t="s">
        <v>2672</v>
      </c>
      <c r="D813" s="148">
        <v>3690.0</v>
      </c>
      <c r="E813" s="149">
        <v>27849.29367542267</v>
      </c>
      <c r="F813" s="147" t="s">
        <v>2678</v>
      </c>
      <c r="G813" s="150">
        <v>4287060.945655815</v>
      </c>
      <c r="H813" s="150">
        <v>3.1604780024466682E7</v>
      </c>
      <c r="I813" s="151">
        <v>45435.0</v>
      </c>
      <c r="J813" s="151">
        <v>45464.0</v>
      </c>
      <c r="K813" s="152">
        <v>20829.652276039124</v>
      </c>
      <c r="L813" s="117"/>
      <c r="M813" s="117"/>
      <c r="N813" s="153"/>
      <c r="O813" s="153"/>
      <c r="P813" s="153"/>
      <c r="Q813" s="153"/>
      <c r="R813" s="153" t="str">
        <f t="shared" si="1"/>
        <v>2024</v>
      </c>
      <c r="S813" s="154">
        <f t="shared" si="2"/>
        <v>6</v>
      </c>
      <c r="T813" s="153" t="str">
        <f t="shared" si="3"/>
        <v>2024-Q2</v>
      </c>
      <c r="U813" s="153" t="str">
        <f t="shared" si="4"/>
        <v>2024-06</v>
      </c>
      <c r="V813" s="155" t="str">
        <f t="shared" si="5"/>
        <v>2024-H1</v>
      </c>
      <c r="W813" s="155"/>
    </row>
    <row r="814">
      <c r="A814" s="139">
        <f>HYPERLINK("https://polkadot.subsquare.io/referenda/806", 806)</f>
        <v>806</v>
      </c>
      <c r="B814" s="140" t="s">
        <v>3112</v>
      </c>
      <c r="C814" s="140" t="s">
        <v>2672</v>
      </c>
      <c r="D814" s="141">
        <v>891.0</v>
      </c>
      <c r="E814" s="142">
        <v>6724.585546016693</v>
      </c>
      <c r="F814" s="140" t="s">
        <v>2699</v>
      </c>
      <c r="G814" s="143">
        <v>0.0913564389</v>
      </c>
      <c r="H814" s="143">
        <v>3.4956384803095385E7</v>
      </c>
      <c r="I814" s="144">
        <v>45435.0</v>
      </c>
      <c r="J814" s="144">
        <v>45442.0</v>
      </c>
      <c r="K814" s="145">
        <v>6227.234549045563</v>
      </c>
      <c r="L814" s="114"/>
      <c r="M814" s="114"/>
      <c r="N814" s="108"/>
      <c r="O814" s="108"/>
      <c r="P814" s="108"/>
      <c r="Q814" s="108"/>
      <c r="R814" s="108" t="str">
        <f t="shared" si="1"/>
        <v>2024</v>
      </c>
      <c r="S814" s="110">
        <f t="shared" si="2"/>
        <v>5</v>
      </c>
      <c r="T814" s="108" t="str">
        <f t="shared" si="3"/>
        <v>2024-Q2</v>
      </c>
      <c r="U814" s="108" t="str">
        <f t="shared" si="4"/>
        <v>2024-05</v>
      </c>
      <c r="V814" s="112" t="str">
        <f t="shared" si="5"/>
        <v>2024-H1</v>
      </c>
      <c r="W814" s="112"/>
    </row>
    <row r="815">
      <c r="A815" s="146">
        <f>HYPERLINK("https://polkadot.subsquare.io/referenda/807", 807)</f>
        <v>807</v>
      </c>
      <c r="B815" s="147" t="s">
        <v>3113</v>
      </c>
      <c r="C815" s="147" t="s">
        <v>2691</v>
      </c>
      <c r="D815" s="148">
        <v>1.45E10</v>
      </c>
      <c r="E815" s="149">
        <v>1.1061022138595581E11</v>
      </c>
      <c r="F815" s="147" t="s">
        <v>2683</v>
      </c>
      <c r="G815" s="150">
        <v>0.0</v>
      </c>
      <c r="H815" s="150">
        <v>3.2192816949837215E7</v>
      </c>
      <c r="I815" s="151">
        <v>45437.0</v>
      </c>
      <c r="J815" s="151">
        <v>45451.0</v>
      </c>
      <c r="K815" s="152">
        <v>9.435797810554504E10</v>
      </c>
      <c r="L815" s="117"/>
      <c r="M815" s="117"/>
      <c r="N815" s="153"/>
      <c r="O815" s="153"/>
      <c r="P815" s="153"/>
      <c r="Q815" s="153"/>
      <c r="R815" s="153" t="str">
        <f t="shared" si="1"/>
        <v>2024</v>
      </c>
      <c r="S815" s="154">
        <f t="shared" si="2"/>
        <v>6</v>
      </c>
      <c r="T815" s="153" t="str">
        <f t="shared" si="3"/>
        <v>2024-Q2</v>
      </c>
      <c r="U815" s="153" t="str">
        <f t="shared" si="4"/>
        <v>2024-06</v>
      </c>
      <c r="V815" s="155" t="str">
        <f t="shared" si="5"/>
        <v>2024-H1</v>
      </c>
      <c r="W815" s="158" t="s">
        <v>2654</v>
      </c>
    </row>
    <row r="816">
      <c r="A816" s="139">
        <f>HYPERLINK("https://polkadot.subsquare.io/referenda/808", 808)</f>
        <v>808</v>
      </c>
      <c r="B816" s="140" t="s">
        <v>3114</v>
      </c>
      <c r="C816" s="140" t="s">
        <v>2672</v>
      </c>
      <c r="D816" s="141">
        <v>14500.0</v>
      </c>
      <c r="E816" s="142">
        <v>110610.22138595581</v>
      </c>
      <c r="F816" s="140" t="s">
        <v>2683</v>
      </c>
      <c r="G816" s="143">
        <v>4396613.709590542</v>
      </c>
      <c r="H816" s="143">
        <v>2.2130882194698054E7</v>
      </c>
      <c r="I816" s="144">
        <v>45437.0</v>
      </c>
      <c r="J816" s="144">
        <v>45465.0</v>
      </c>
      <c r="K816" s="145">
        <v>84716.17698669434</v>
      </c>
      <c r="L816" s="114"/>
      <c r="M816" s="114"/>
      <c r="N816" s="108"/>
      <c r="O816" s="108"/>
      <c r="P816" s="108"/>
      <c r="Q816" s="108"/>
      <c r="R816" s="108" t="str">
        <f t="shared" si="1"/>
        <v>2024</v>
      </c>
      <c r="S816" s="110">
        <f t="shared" si="2"/>
        <v>6</v>
      </c>
      <c r="T816" s="108" t="str">
        <f t="shared" si="3"/>
        <v>2024-Q2</v>
      </c>
      <c r="U816" s="108" t="str">
        <f t="shared" si="4"/>
        <v>2024-06</v>
      </c>
      <c r="V816" s="112" t="str">
        <f t="shared" si="5"/>
        <v>2024-H1</v>
      </c>
      <c r="W816" s="112"/>
    </row>
    <row r="817">
      <c r="A817" s="146">
        <f>HYPERLINK("https://polkadot.subsquare.io/referenda/809", 809)</f>
        <v>809</v>
      </c>
      <c r="B817" s="147" t="s">
        <v>516</v>
      </c>
      <c r="C817" s="147" t="s">
        <v>2681</v>
      </c>
      <c r="D817" s="148">
        <v>2737.92</v>
      </c>
      <c r="E817" s="149">
        <v>20885.65085083008</v>
      </c>
      <c r="F817" s="147" t="s">
        <v>2678</v>
      </c>
      <c r="G817" s="150">
        <v>1.9150399945134796E7</v>
      </c>
      <c r="H817" s="150">
        <v>76838.1089106387</v>
      </c>
      <c r="I817" s="151">
        <v>45437.0</v>
      </c>
      <c r="J817" s="151">
        <v>45463.0</v>
      </c>
      <c r="K817" s="152">
        <v>15737.2081439209</v>
      </c>
      <c r="L817" s="117" t="s">
        <v>84</v>
      </c>
      <c r="M817" s="117" t="s">
        <v>148</v>
      </c>
      <c r="N817" s="153"/>
      <c r="O817" s="153"/>
      <c r="P817" s="153"/>
      <c r="Q817" s="153"/>
      <c r="R817" s="153" t="str">
        <f t="shared" si="1"/>
        <v>2024</v>
      </c>
      <c r="S817" s="154">
        <f t="shared" si="2"/>
        <v>6</v>
      </c>
      <c r="T817" s="153" t="str">
        <f t="shared" si="3"/>
        <v>2024-Q2</v>
      </c>
      <c r="U817" s="153" t="str">
        <f t="shared" si="4"/>
        <v>2024-06</v>
      </c>
      <c r="V817" s="155" t="str">
        <f t="shared" si="5"/>
        <v>2024-H1</v>
      </c>
      <c r="W817" s="155"/>
    </row>
    <row r="818">
      <c r="A818" s="139">
        <f>HYPERLINK("https://polkadot.subsquare.io/referenda/810", 810)</f>
        <v>810</v>
      </c>
      <c r="B818" s="140" t="s">
        <v>2869</v>
      </c>
      <c r="C818" s="140" t="s">
        <v>2691</v>
      </c>
      <c r="D818" s="141">
        <v>0.0</v>
      </c>
      <c r="E818" s="142">
        <v>0.0</v>
      </c>
      <c r="F818" s="140" t="s">
        <v>2678</v>
      </c>
      <c r="G818" s="143">
        <v>1.0E-10</v>
      </c>
      <c r="H818" s="143">
        <v>3.991197932212979E7</v>
      </c>
      <c r="I818" s="144">
        <v>45437.0</v>
      </c>
      <c r="J818" s="144">
        <v>45451.0</v>
      </c>
      <c r="K818" s="145">
        <v>0.0</v>
      </c>
      <c r="L818" s="114"/>
      <c r="M818" s="114"/>
      <c r="N818" s="108"/>
      <c r="O818" s="108"/>
      <c r="P818" s="108"/>
      <c r="Q818" s="108"/>
      <c r="R818" s="108" t="str">
        <f t="shared" si="1"/>
        <v>2024</v>
      </c>
      <c r="S818" s="110">
        <f t="shared" si="2"/>
        <v>6</v>
      </c>
      <c r="T818" s="108" t="str">
        <f t="shared" si="3"/>
        <v>2024-Q2</v>
      </c>
      <c r="U818" s="108" t="str">
        <f t="shared" si="4"/>
        <v>2024-06</v>
      </c>
      <c r="V818" s="112" t="str">
        <f t="shared" si="5"/>
        <v>2024-H1</v>
      </c>
      <c r="W818" s="112"/>
    </row>
    <row r="819">
      <c r="A819" s="146">
        <f>HYPERLINK("https://polkadot.subsquare.io/referenda/811", 811)</f>
        <v>811</v>
      </c>
      <c r="B819" s="147" t="s">
        <v>3115</v>
      </c>
      <c r="C819" s="147" t="s">
        <v>2691</v>
      </c>
      <c r="D819" s="148">
        <v>6.0E-7</v>
      </c>
      <c r="E819" s="149">
        <v>4.420243835449218E-6</v>
      </c>
      <c r="F819" s="147" t="s">
        <v>2678</v>
      </c>
      <c r="G819" s="150">
        <v>0.0</v>
      </c>
      <c r="H819" s="150">
        <v>4011038.3556390903</v>
      </c>
      <c r="I819" s="151">
        <v>45438.0</v>
      </c>
      <c r="J819" s="151">
        <v>45452.0</v>
      </c>
      <c r="K819" s="152">
        <v>3.827938270568847E-6</v>
      </c>
      <c r="L819" s="117"/>
      <c r="M819" s="117"/>
      <c r="N819" s="153"/>
      <c r="O819" s="153"/>
      <c r="P819" s="153"/>
      <c r="Q819" s="153"/>
      <c r="R819" s="153" t="str">
        <f t="shared" si="1"/>
        <v>2024</v>
      </c>
      <c r="S819" s="154">
        <f t="shared" si="2"/>
        <v>6</v>
      </c>
      <c r="T819" s="153" t="str">
        <f t="shared" si="3"/>
        <v>2024-Q2</v>
      </c>
      <c r="U819" s="153" t="str">
        <f t="shared" si="4"/>
        <v>2024-06</v>
      </c>
      <c r="V819" s="155" t="str">
        <f t="shared" si="5"/>
        <v>2024-H1</v>
      </c>
      <c r="W819" s="158" t="s">
        <v>2654</v>
      </c>
    </row>
    <row r="820">
      <c r="A820" s="139">
        <f>HYPERLINK("https://polkadot.subsquare.io/referenda/812", 812)</f>
        <v>812</v>
      </c>
      <c r="B820" s="140" t="s">
        <v>517</v>
      </c>
      <c r="C820" s="140" t="s">
        <v>2681</v>
      </c>
      <c r="D820" s="141">
        <v>6000.0</v>
      </c>
      <c r="E820" s="142">
        <v>44202.43835449219</v>
      </c>
      <c r="F820" s="140" t="s">
        <v>2678</v>
      </c>
      <c r="G820" s="143">
        <v>1.6703818859296778E7</v>
      </c>
      <c r="H820" s="143">
        <v>20669.3329564742</v>
      </c>
      <c r="I820" s="144">
        <v>45438.0</v>
      </c>
      <c r="J820" s="144">
        <v>45459.0</v>
      </c>
      <c r="K820" s="145">
        <v>34765.27118682861</v>
      </c>
      <c r="L820" s="114" t="s">
        <v>81</v>
      </c>
      <c r="M820" s="114" t="s">
        <v>202</v>
      </c>
      <c r="N820" s="108"/>
      <c r="O820" s="108"/>
      <c r="P820" s="108"/>
      <c r="Q820" s="108"/>
      <c r="R820" s="108" t="str">
        <f t="shared" si="1"/>
        <v>2024</v>
      </c>
      <c r="S820" s="110">
        <f t="shared" si="2"/>
        <v>6</v>
      </c>
      <c r="T820" s="108" t="str">
        <f t="shared" si="3"/>
        <v>2024-Q2</v>
      </c>
      <c r="U820" s="108" t="str">
        <f t="shared" si="4"/>
        <v>2024-06</v>
      </c>
      <c r="V820" s="112" t="str">
        <f t="shared" si="5"/>
        <v>2024-H1</v>
      </c>
      <c r="W820" s="112"/>
    </row>
    <row r="821">
      <c r="A821" s="146">
        <f>HYPERLINK("https://polkadot.subsquare.io/referenda/813", 813)</f>
        <v>813</v>
      </c>
      <c r="B821" s="147" t="s">
        <v>3116</v>
      </c>
      <c r="C821" s="147" t="s">
        <v>2691</v>
      </c>
      <c r="D821" s="148">
        <v>1.4048E-6</v>
      </c>
      <c r="E821" s="149">
        <v>1.00758183303833E-5</v>
      </c>
      <c r="F821" s="147" t="s">
        <v>2683</v>
      </c>
      <c r="G821" s="150">
        <v>0.0</v>
      </c>
      <c r="H821" s="150">
        <v>2321428.466079483</v>
      </c>
      <c r="I821" s="151">
        <v>45438.0</v>
      </c>
      <c r="J821" s="151">
        <v>45452.0</v>
      </c>
      <c r="K821" s="152">
        <v>9.470763847351076E-6</v>
      </c>
      <c r="L821" s="117"/>
      <c r="M821" s="117"/>
      <c r="N821" s="153"/>
      <c r="O821" s="153"/>
      <c r="P821" s="153"/>
      <c r="Q821" s="153"/>
      <c r="R821" s="153" t="str">
        <f t="shared" si="1"/>
        <v>2024</v>
      </c>
      <c r="S821" s="154">
        <f t="shared" si="2"/>
        <v>6</v>
      </c>
      <c r="T821" s="153" t="str">
        <f t="shared" si="3"/>
        <v>2024-Q2</v>
      </c>
      <c r="U821" s="153" t="str">
        <f t="shared" si="4"/>
        <v>2024-06</v>
      </c>
      <c r="V821" s="155" t="str">
        <f t="shared" si="5"/>
        <v>2024-H1</v>
      </c>
      <c r="W821" s="158" t="s">
        <v>2654</v>
      </c>
    </row>
    <row r="822">
      <c r="A822" s="139">
        <f>HYPERLINK("https://polkadot.subsquare.io/referenda/814", 814)</f>
        <v>814</v>
      </c>
      <c r="B822" s="140" t="s">
        <v>3117</v>
      </c>
      <c r="C822" s="140" t="s">
        <v>2681</v>
      </c>
      <c r="D822" s="141">
        <v>0.0</v>
      </c>
      <c r="E822" s="142">
        <v>0.0</v>
      </c>
      <c r="F822" s="140" t="s">
        <v>2891</v>
      </c>
      <c r="G822" s="143">
        <v>2.0983748858454604E7</v>
      </c>
      <c r="H822" s="143">
        <v>10.0</v>
      </c>
      <c r="I822" s="144">
        <v>45438.0</v>
      </c>
      <c r="J822" s="144">
        <v>45455.0</v>
      </c>
      <c r="K822" s="145">
        <v>0.0</v>
      </c>
      <c r="L822" s="114"/>
      <c r="M822" s="114"/>
      <c r="N822" s="108"/>
      <c r="O822" s="108"/>
      <c r="P822" s="108"/>
      <c r="Q822" s="108"/>
      <c r="R822" s="108" t="str">
        <f t="shared" si="1"/>
        <v>2024</v>
      </c>
      <c r="S822" s="110">
        <f t="shared" si="2"/>
        <v>6</v>
      </c>
      <c r="T822" s="108" t="str">
        <f t="shared" si="3"/>
        <v>2024-Q2</v>
      </c>
      <c r="U822" s="108" t="str">
        <f t="shared" si="4"/>
        <v>2024-06</v>
      </c>
      <c r="V822" s="112" t="str">
        <f t="shared" si="5"/>
        <v>2024-H1</v>
      </c>
      <c r="W822" s="112"/>
    </row>
    <row r="823">
      <c r="A823" s="146">
        <f>HYPERLINK("https://polkadot.subsquare.io/referenda/815", 815)</f>
        <v>815</v>
      </c>
      <c r="B823" s="147" t="s">
        <v>3118</v>
      </c>
      <c r="C823" s="147" t="s">
        <v>2672</v>
      </c>
      <c r="D823" s="148">
        <v>9286.0</v>
      </c>
      <c r="E823" s="149">
        <v>66603.11006259918</v>
      </c>
      <c r="F823" s="147" t="s">
        <v>2678</v>
      </c>
      <c r="G823" s="150">
        <v>4431.7090568882</v>
      </c>
      <c r="H823" s="150">
        <v>4.317161291187236E7</v>
      </c>
      <c r="I823" s="151">
        <v>45439.0</v>
      </c>
      <c r="J823" s="151">
        <v>45467.0</v>
      </c>
      <c r="K823" s="152">
        <v>53796.368242263794</v>
      </c>
      <c r="L823" s="117"/>
      <c r="M823" s="117"/>
      <c r="N823" s="153"/>
      <c r="O823" s="153"/>
      <c r="P823" s="153"/>
      <c r="Q823" s="153"/>
      <c r="R823" s="153" t="str">
        <f t="shared" si="1"/>
        <v>2024</v>
      </c>
      <c r="S823" s="154">
        <f t="shared" si="2"/>
        <v>6</v>
      </c>
      <c r="T823" s="153" t="str">
        <f t="shared" si="3"/>
        <v>2024-Q2</v>
      </c>
      <c r="U823" s="153" t="str">
        <f t="shared" si="4"/>
        <v>2024-06</v>
      </c>
      <c r="V823" s="155" t="str">
        <f t="shared" si="5"/>
        <v>2024-H1</v>
      </c>
      <c r="W823" s="155"/>
    </row>
    <row r="824">
      <c r="A824" s="139">
        <f>HYPERLINK("https://polkadot.subsquare.io/referenda/816", 816)</f>
        <v>816</v>
      </c>
      <c r="B824" s="140" t="s">
        <v>186</v>
      </c>
      <c r="C824" s="140" t="s">
        <v>2681</v>
      </c>
      <c r="D824" s="141">
        <v>80.0</v>
      </c>
      <c r="E824" s="142">
        <v>573.7937545776367</v>
      </c>
      <c r="F824" s="140" t="s">
        <v>186</v>
      </c>
      <c r="G824" s="143">
        <v>9396264.12615785</v>
      </c>
      <c r="H824" s="143">
        <v>5.0</v>
      </c>
      <c r="I824" s="144">
        <v>45439.0</v>
      </c>
      <c r="J824" s="144">
        <v>45441.0</v>
      </c>
      <c r="K824" s="145">
        <v>564.6889495849609</v>
      </c>
      <c r="L824" s="114" t="s">
        <v>81</v>
      </c>
      <c r="M824" s="114" t="s">
        <v>185</v>
      </c>
      <c r="N824" s="108"/>
      <c r="O824" s="108"/>
      <c r="P824" s="108"/>
      <c r="Q824" s="108"/>
      <c r="R824" s="108" t="str">
        <f t="shared" si="1"/>
        <v>2024</v>
      </c>
      <c r="S824" s="110">
        <f t="shared" si="2"/>
        <v>5</v>
      </c>
      <c r="T824" s="108" t="str">
        <f t="shared" si="3"/>
        <v>2024-Q2</v>
      </c>
      <c r="U824" s="108" t="str">
        <f t="shared" si="4"/>
        <v>2024-05</v>
      </c>
      <c r="V824" s="112" t="str">
        <f t="shared" si="5"/>
        <v>2024-H1</v>
      </c>
      <c r="W824" s="112"/>
    </row>
    <row r="825">
      <c r="A825" s="146">
        <f>HYPERLINK("https://polkadot.subsquare.io/referenda/817", 817)</f>
        <v>817</v>
      </c>
      <c r="B825" s="147" t="s">
        <v>3119</v>
      </c>
      <c r="C825" s="147" t="s">
        <v>2681</v>
      </c>
      <c r="D825" s="148">
        <v>0.0</v>
      </c>
      <c r="E825" s="149">
        <v>0.0</v>
      </c>
      <c r="F825" s="147" t="s">
        <v>2715</v>
      </c>
      <c r="G825" s="150">
        <v>8.618542929292434E7</v>
      </c>
      <c r="H825" s="150">
        <v>0.0</v>
      </c>
      <c r="I825" s="151">
        <v>45439.0</v>
      </c>
      <c r="J825" s="151">
        <v>45457.0</v>
      </c>
      <c r="K825" s="152">
        <v>0.0</v>
      </c>
      <c r="L825" s="117"/>
      <c r="M825" s="117"/>
      <c r="N825" s="153"/>
      <c r="O825" s="153"/>
      <c r="P825" s="153"/>
      <c r="Q825" s="153"/>
      <c r="R825" s="153" t="str">
        <f t="shared" si="1"/>
        <v>2024</v>
      </c>
      <c r="S825" s="154">
        <f t="shared" si="2"/>
        <v>6</v>
      </c>
      <c r="T825" s="153" t="str">
        <f t="shared" si="3"/>
        <v>2024-Q2</v>
      </c>
      <c r="U825" s="153" t="str">
        <f t="shared" si="4"/>
        <v>2024-06</v>
      </c>
      <c r="V825" s="155" t="str">
        <f t="shared" si="5"/>
        <v>2024-H1</v>
      </c>
      <c r="W825" s="155"/>
    </row>
    <row r="826">
      <c r="A826" s="139">
        <f>HYPERLINK("https://polkadot.subsquare.io/referenda/818", 818)</f>
        <v>818</v>
      </c>
      <c r="B826" s="140" t="s">
        <v>518</v>
      </c>
      <c r="C826" s="140" t="s">
        <v>2681</v>
      </c>
      <c r="D826" s="141">
        <v>53335.0</v>
      </c>
      <c r="E826" s="142">
        <v>373230.86069107056</v>
      </c>
      <c r="F826" s="140" t="s">
        <v>2683</v>
      </c>
      <c r="G826" s="143">
        <v>2.1738347371875145E7</v>
      </c>
      <c r="H826" s="143">
        <v>4761507.40152918</v>
      </c>
      <c r="I826" s="144">
        <v>45439.0</v>
      </c>
      <c r="J826" s="144">
        <v>45468.0</v>
      </c>
      <c r="K826" s="145">
        <v>329322.3484969139</v>
      </c>
      <c r="L826" s="114" t="s">
        <v>137</v>
      </c>
      <c r="M826" s="114" t="s">
        <v>243</v>
      </c>
      <c r="N826" s="108"/>
      <c r="O826" s="108"/>
      <c r="P826" s="108"/>
      <c r="Q826" s="108"/>
      <c r="R826" s="108" t="str">
        <f t="shared" si="1"/>
        <v>2024</v>
      </c>
      <c r="S826" s="110">
        <f t="shared" si="2"/>
        <v>6</v>
      </c>
      <c r="T826" s="108" t="str">
        <f t="shared" si="3"/>
        <v>2024-Q2</v>
      </c>
      <c r="U826" s="108" t="str">
        <f t="shared" si="4"/>
        <v>2024-06</v>
      </c>
      <c r="V826" s="112" t="str">
        <f t="shared" si="5"/>
        <v>2024-H1</v>
      </c>
      <c r="W826" s="112"/>
    </row>
    <row r="827">
      <c r="A827" s="146">
        <f>HYPERLINK("https://polkadot.subsquare.io/referenda/819", 819)</f>
        <v>819</v>
      </c>
      <c r="B827" s="147" t="s">
        <v>3120</v>
      </c>
      <c r="C827" s="147" t="s">
        <v>2681</v>
      </c>
      <c r="D827" s="148">
        <v>0.0</v>
      </c>
      <c r="E827" s="149">
        <v>0.0</v>
      </c>
      <c r="F827" s="147" t="s">
        <v>2683</v>
      </c>
      <c r="G827" s="150">
        <v>6.323707081344256E7</v>
      </c>
      <c r="H827" s="150">
        <v>3.729975560359289E7</v>
      </c>
      <c r="I827" s="151">
        <v>45439.0</v>
      </c>
      <c r="J827" s="151">
        <v>45465.0</v>
      </c>
      <c r="K827" s="152">
        <v>0.0</v>
      </c>
      <c r="L827" s="117"/>
      <c r="M827" s="117"/>
      <c r="N827" s="153"/>
      <c r="O827" s="153" t="s">
        <v>2654</v>
      </c>
      <c r="P827" s="153" t="s">
        <v>2654</v>
      </c>
      <c r="Q827" s="153"/>
      <c r="R827" s="153" t="str">
        <f t="shared" si="1"/>
        <v>2024</v>
      </c>
      <c r="S827" s="154">
        <f t="shared" si="2"/>
        <v>6</v>
      </c>
      <c r="T827" s="153" t="str">
        <f t="shared" si="3"/>
        <v>2024-Q2</v>
      </c>
      <c r="U827" s="153" t="str">
        <f t="shared" si="4"/>
        <v>2024-06</v>
      </c>
      <c r="V827" s="155" t="str">
        <f t="shared" si="5"/>
        <v>2024-H1</v>
      </c>
      <c r="W827" s="155"/>
    </row>
    <row r="828">
      <c r="A828" s="139">
        <f>HYPERLINK("https://polkadot.subsquare.io/referenda/820", 820)</f>
        <v>820</v>
      </c>
      <c r="B828" s="140" t="s">
        <v>3121</v>
      </c>
      <c r="C828" s="140" t="s">
        <v>2672</v>
      </c>
      <c r="D828" s="141">
        <v>10000.0</v>
      </c>
      <c r="E828" s="142">
        <v>69978.59954833984</v>
      </c>
      <c r="F828" s="140" t="s">
        <v>2678</v>
      </c>
      <c r="G828" s="143">
        <v>3896.6</v>
      </c>
      <c r="H828" s="143">
        <v>4.3315335471190214E7</v>
      </c>
      <c r="I828" s="144">
        <v>45439.0</v>
      </c>
      <c r="J828" s="144">
        <v>45467.0</v>
      </c>
      <c r="K828" s="145">
        <v>62814.44072723389</v>
      </c>
      <c r="L828" s="114"/>
      <c r="M828" s="114"/>
      <c r="N828" s="108"/>
      <c r="O828" s="108"/>
      <c r="P828" s="108"/>
      <c r="Q828" s="108"/>
      <c r="R828" s="108" t="str">
        <f t="shared" si="1"/>
        <v>2024</v>
      </c>
      <c r="S828" s="110">
        <f t="shared" si="2"/>
        <v>6</v>
      </c>
      <c r="T828" s="108" t="str">
        <f t="shared" si="3"/>
        <v>2024-Q2</v>
      </c>
      <c r="U828" s="108" t="str">
        <f t="shared" si="4"/>
        <v>2024-06</v>
      </c>
      <c r="V828" s="112" t="str">
        <f t="shared" si="5"/>
        <v>2024-H1</v>
      </c>
      <c r="W828" s="112"/>
    </row>
    <row r="829">
      <c r="A829" s="146">
        <f>HYPERLINK("https://polkadot.subsquare.io/referenda/821", 821)</f>
        <v>821</v>
      </c>
      <c r="B829" s="147" t="s">
        <v>519</v>
      </c>
      <c r="C829" s="147" t="s">
        <v>2681</v>
      </c>
      <c r="D829" s="148">
        <v>4504.0</v>
      </c>
      <c r="E829" s="149">
        <v>31470.10943222046</v>
      </c>
      <c r="F829" s="147" t="s">
        <v>2678</v>
      </c>
      <c r="G829" s="150">
        <v>3.366649862889355E7</v>
      </c>
      <c r="H829" s="150">
        <v>9107393.485401953</v>
      </c>
      <c r="I829" s="151">
        <v>45440.0</v>
      </c>
      <c r="J829" s="151">
        <v>45459.0</v>
      </c>
      <c r="K829" s="152">
        <v>26013.53200531006</v>
      </c>
      <c r="L829" s="117" t="s">
        <v>137</v>
      </c>
      <c r="M829" s="117" t="s">
        <v>266</v>
      </c>
      <c r="N829" s="153"/>
      <c r="O829" s="153"/>
      <c r="P829" s="153"/>
      <c r="Q829" s="153"/>
      <c r="R829" s="153" t="str">
        <f t="shared" si="1"/>
        <v>2024</v>
      </c>
      <c r="S829" s="154">
        <f t="shared" si="2"/>
        <v>6</v>
      </c>
      <c r="T829" s="153" t="str">
        <f t="shared" si="3"/>
        <v>2024-Q2</v>
      </c>
      <c r="U829" s="153" t="str">
        <f t="shared" si="4"/>
        <v>2024-06</v>
      </c>
      <c r="V829" s="155" t="str">
        <f t="shared" si="5"/>
        <v>2024-H1</v>
      </c>
      <c r="W829" s="155"/>
    </row>
    <row r="830">
      <c r="A830" s="139">
        <f>HYPERLINK("https://polkadot.subsquare.io/referenda/822", 822)</f>
        <v>822</v>
      </c>
      <c r="B830" s="140" t="s">
        <v>3122</v>
      </c>
      <c r="C830" s="140" t="s">
        <v>2672</v>
      </c>
      <c r="D830" s="141">
        <v>9600000.0</v>
      </c>
      <c r="E830" s="142">
        <v>6.7076609802246094E7</v>
      </c>
      <c r="F830" s="140" t="s">
        <v>2696</v>
      </c>
      <c r="G830" s="143">
        <v>6.070405556605734E7</v>
      </c>
      <c r="H830" s="143">
        <v>8.366618617295426E7</v>
      </c>
      <c r="I830" s="144">
        <v>45440.0</v>
      </c>
      <c r="J830" s="144">
        <v>45471.0</v>
      </c>
      <c r="K830" s="145">
        <v>5.960229949951172E7</v>
      </c>
      <c r="L830" s="114"/>
      <c r="M830" s="114"/>
      <c r="N830" s="108"/>
      <c r="O830" s="108" t="s">
        <v>2654</v>
      </c>
      <c r="P830" s="108" t="s">
        <v>2654</v>
      </c>
      <c r="Q830" s="108"/>
      <c r="R830" s="108" t="str">
        <f t="shared" si="1"/>
        <v>2024</v>
      </c>
      <c r="S830" s="110">
        <f t="shared" si="2"/>
        <v>6</v>
      </c>
      <c r="T830" s="108" t="str">
        <f t="shared" si="3"/>
        <v>2024-Q2</v>
      </c>
      <c r="U830" s="108" t="str">
        <f t="shared" si="4"/>
        <v>2024-06</v>
      </c>
      <c r="V830" s="112" t="str">
        <f t="shared" si="5"/>
        <v>2024-H1</v>
      </c>
      <c r="W830" s="112"/>
    </row>
    <row r="831">
      <c r="A831" s="146">
        <f>HYPERLINK("https://polkadot.subsquare.io/referenda/823", 823)</f>
        <v>823</v>
      </c>
      <c r="B831" s="147" t="s">
        <v>3123</v>
      </c>
      <c r="C831" s="147" t="s">
        <v>2672</v>
      </c>
      <c r="D831" s="148">
        <v>0.0</v>
      </c>
      <c r="E831" s="149">
        <v>0.0</v>
      </c>
      <c r="F831" s="147" t="s">
        <v>186</v>
      </c>
      <c r="G831" s="150">
        <v>101091.347091685</v>
      </c>
      <c r="H831" s="150">
        <v>2.756072715990166E7</v>
      </c>
      <c r="I831" s="151">
        <v>45441.0</v>
      </c>
      <c r="J831" s="151">
        <v>45448.0</v>
      </c>
      <c r="K831" s="152">
        <v>0.0</v>
      </c>
      <c r="L831" s="117"/>
      <c r="M831" s="117"/>
      <c r="N831" s="153"/>
      <c r="O831" s="153"/>
      <c r="P831" s="153"/>
      <c r="Q831" s="153"/>
      <c r="R831" s="153" t="str">
        <f t="shared" si="1"/>
        <v>2024</v>
      </c>
      <c r="S831" s="154">
        <f t="shared" si="2"/>
        <v>6</v>
      </c>
      <c r="T831" s="153" t="str">
        <f t="shared" si="3"/>
        <v>2024-Q2</v>
      </c>
      <c r="U831" s="153" t="str">
        <f t="shared" si="4"/>
        <v>2024-06</v>
      </c>
      <c r="V831" s="155" t="str">
        <f t="shared" si="5"/>
        <v>2024-H1</v>
      </c>
      <c r="W831" s="158" t="s">
        <v>2654</v>
      </c>
    </row>
    <row r="832">
      <c r="A832" s="139">
        <f>HYPERLINK("https://polkadot.subsquare.io/referenda/824", 824)</f>
        <v>824</v>
      </c>
      <c r="B832" s="140" t="s">
        <v>3124</v>
      </c>
      <c r="C832" s="140" t="s">
        <v>2672</v>
      </c>
      <c r="D832" s="141">
        <v>73323.210812</v>
      </c>
      <c r="E832" s="142">
        <v>514013.97538130055</v>
      </c>
      <c r="F832" s="140" t="s">
        <v>2683</v>
      </c>
      <c r="G832" s="143">
        <v>255711.5045491526</v>
      </c>
      <c r="H832" s="143">
        <v>6.544976958510386E7</v>
      </c>
      <c r="I832" s="144">
        <v>45443.0</v>
      </c>
      <c r="J832" s="144">
        <v>45472.0</v>
      </c>
      <c r="K832" s="145">
        <v>477687.5974386725</v>
      </c>
      <c r="L832" s="114"/>
      <c r="M832" s="114"/>
      <c r="N832" s="108"/>
      <c r="O832" s="108"/>
      <c r="P832" s="108"/>
      <c r="Q832" s="108"/>
      <c r="R832" s="108" t="str">
        <f t="shared" si="1"/>
        <v>2024</v>
      </c>
      <c r="S832" s="110">
        <f t="shared" si="2"/>
        <v>6</v>
      </c>
      <c r="T832" s="108" t="str">
        <f t="shared" si="3"/>
        <v>2024-Q2</v>
      </c>
      <c r="U832" s="108" t="str">
        <f t="shared" si="4"/>
        <v>2024-06</v>
      </c>
      <c r="V832" s="112" t="str">
        <f t="shared" si="5"/>
        <v>2024-H1</v>
      </c>
      <c r="W832" s="112"/>
    </row>
    <row r="833">
      <c r="A833" s="146">
        <f>HYPERLINK("https://polkadot.subsquare.io/referenda/825", 825)</f>
        <v>825</v>
      </c>
      <c r="B833" s="147" t="s">
        <v>3125</v>
      </c>
      <c r="C833" s="147" t="s">
        <v>2691</v>
      </c>
      <c r="D833" s="148">
        <v>0.0</v>
      </c>
      <c r="E833" s="149">
        <v>0.0</v>
      </c>
      <c r="F833" s="147" t="s">
        <v>2802</v>
      </c>
      <c r="G833" s="150">
        <v>3950876.7834916604</v>
      </c>
      <c r="H833" s="150">
        <v>5641.2609611098</v>
      </c>
      <c r="I833" s="151">
        <v>45444.0</v>
      </c>
      <c r="J833" s="151">
        <v>45458.0</v>
      </c>
      <c r="K833" s="152">
        <v>0.0</v>
      </c>
      <c r="L833" s="117"/>
      <c r="M833" s="117"/>
      <c r="N833" s="153"/>
      <c r="O833" s="153"/>
      <c r="P833" s="153"/>
      <c r="Q833" s="153"/>
      <c r="R833" s="153" t="str">
        <f t="shared" si="1"/>
        <v>2024</v>
      </c>
      <c r="S833" s="154">
        <f t="shared" si="2"/>
        <v>6</v>
      </c>
      <c r="T833" s="153" t="str">
        <f t="shared" si="3"/>
        <v>2024-Q2</v>
      </c>
      <c r="U833" s="153" t="str">
        <f t="shared" si="4"/>
        <v>2024-06</v>
      </c>
      <c r="V833" s="155" t="str">
        <f t="shared" si="5"/>
        <v>2024-H1</v>
      </c>
      <c r="W833" s="155"/>
    </row>
    <row r="834">
      <c r="A834" s="139">
        <f>HYPERLINK("https://polkadot.subsquare.io/referenda/826", 826)</f>
        <v>826</v>
      </c>
      <c r="B834" s="140" t="s">
        <v>3126</v>
      </c>
      <c r="C834" s="140" t="s">
        <v>2672</v>
      </c>
      <c r="D834" s="141">
        <v>23000.0</v>
      </c>
      <c r="E834" s="142">
        <v>165310.3175163269</v>
      </c>
      <c r="F834" s="140" t="s">
        <v>2683</v>
      </c>
      <c r="G834" s="143">
        <v>147720.2235026052</v>
      </c>
      <c r="H834" s="143">
        <v>4.733991168560557E7</v>
      </c>
      <c r="I834" s="144">
        <v>45444.0</v>
      </c>
      <c r="J834" s="144">
        <v>45472.0</v>
      </c>
      <c r="K834" s="145">
        <v>149840.8842086792</v>
      </c>
      <c r="L834" s="114"/>
      <c r="M834" s="114"/>
      <c r="N834" s="108"/>
      <c r="O834" s="108"/>
      <c r="P834" s="108"/>
      <c r="Q834" s="108"/>
      <c r="R834" s="108" t="str">
        <f t="shared" si="1"/>
        <v>2024</v>
      </c>
      <c r="S834" s="110">
        <f t="shared" si="2"/>
        <v>6</v>
      </c>
      <c r="T834" s="108" t="str">
        <f t="shared" si="3"/>
        <v>2024-Q2</v>
      </c>
      <c r="U834" s="108" t="str">
        <f t="shared" si="4"/>
        <v>2024-06</v>
      </c>
      <c r="V834" s="112" t="str">
        <f t="shared" si="5"/>
        <v>2024-H1</v>
      </c>
      <c r="W834" s="112"/>
    </row>
    <row r="835">
      <c r="A835" s="146">
        <f>HYPERLINK("https://polkadot.subsquare.io/referenda/827", 827)</f>
        <v>827</v>
      </c>
      <c r="B835" s="147" t="s">
        <v>520</v>
      </c>
      <c r="C835" s="147" t="s">
        <v>2681</v>
      </c>
      <c r="D835" s="148">
        <v>408.45</v>
      </c>
      <c r="E835" s="149">
        <v>2935.6956169366836</v>
      </c>
      <c r="F835" s="147" t="s">
        <v>2699</v>
      </c>
      <c r="G835" s="150">
        <v>1.3754766585765146E7</v>
      </c>
      <c r="H835" s="150">
        <v>958.0</v>
      </c>
      <c r="I835" s="151">
        <v>45444.0</v>
      </c>
      <c r="J835" s="151">
        <v>45448.0</v>
      </c>
      <c r="K835" s="152">
        <v>2609.3517499923705</v>
      </c>
      <c r="L835" s="117" t="s">
        <v>83</v>
      </c>
      <c r="M835" s="117" t="s">
        <v>140</v>
      </c>
      <c r="N835" s="153"/>
      <c r="O835" s="153"/>
      <c r="P835" s="153"/>
      <c r="Q835" s="153"/>
      <c r="R835" s="153" t="str">
        <f t="shared" si="1"/>
        <v>2024</v>
      </c>
      <c r="S835" s="154">
        <f t="shared" si="2"/>
        <v>6</v>
      </c>
      <c r="T835" s="153" t="str">
        <f t="shared" si="3"/>
        <v>2024-Q2</v>
      </c>
      <c r="U835" s="153" t="str">
        <f t="shared" si="4"/>
        <v>2024-06</v>
      </c>
      <c r="V835" s="155" t="str">
        <f t="shared" si="5"/>
        <v>2024-H1</v>
      </c>
      <c r="W835" s="155"/>
    </row>
    <row r="836">
      <c r="A836" s="139">
        <f>HYPERLINK("https://polkadot.subsquare.io/referenda/828", 828)</f>
        <v>828</v>
      </c>
      <c r="B836" s="140" t="s">
        <v>3127</v>
      </c>
      <c r="C836" s="140" t="s">
        <v>2691</v>
      </c>
      <c r="D836" s="141">
        <v>0.0</v>
      </c>
      <c r="E836" s="142">
        <v>0.0</v>
      </c>
      <c r="F836" s="140" t="s">
        <v>2687</v>
      </c>
      <c r="G836" s="143">
        <v>0.0</v>
      </c>
      <c r="H836" s="143">
        <v>3062260.0462407796</v>
      </c>
      <c r="I836" s="144">
        <v>45444.0</v>
      </c>
      <c r="J836" s="144">
        <v>45458.0</v>
      </c>
      <c r="K836" s="145">
        <v>0.0</v>
      </c>
      <c r="L836" s="114"/>
      <c r="M836" s="114"/>
      <c r="N836" s="108"/>
      <c r="O836" s="108"/>
      <c r="P836" s="108"/>
      <c r="Q836" s="108"/>
      <c r="R836" s="108" t="str">
        <f t="shared" si="1"/>
        <v>2024</v>
      </c>
      <c r="S836" s="110">
        <f t="shared" si="2"/>
        <v>6</v>
      </c>
      <c r="T836" s="108" t="str">
        <f t="shared" si="3"/>
        <v>2024-Q2</v>
      </c>
      <c r="U836" s="108" t="str">
        <f t="shared" si="4"/>
        <v>2024-06</v>
      </c>
      <c r="V836" s="112" t="str">
        <f t="shared" si="5"/>
        <v>2024-H1</v>
      </c>
      <c r="W836" s="156" t="s">
        <v>2654</v>
      </c>
    </row>
    <row r="837">
      <c r="A837" s="146">
        <f>HYPERLINK("https://polkadot.subsquare.io/referenda/829", 829)</f>
        <v>829</v>
      </c>
      <c r="B837" s="147" t="s">
        <v>3127</v>
      </c>
      <c r="C837" s="147" t="s">
        <v>2691</v>
      </c>
      <c r="D837" s="148">
        <v>53701.995939383596</v>
      </c>
      <c r="E837" s="149">
        <v>385978.0</v>
      </c>
      <c r="F837" s="147" t="s">
        <v>2687</v>
      </c>
      <c r="G837" s="150">
        <v>0.0</v>
      </c>
      <c r="H837" s="150">
        <v>3171961.3933324646</v>
      </c>
      <c r="I837" s="151">
        <v>45444.0</v>
      </c>
      <c r="J837" s="151">
        <v>45458.0</v>
      </c>
      <c r="K837" s="152">
        <v>310163.98537259904</v>
      </c>
      <c r="L837" s="117"/>
      <c r="M837" s="117"/>
      <c r="N837" s="153"/>
      <c r="O837" s="153"/>
      <c r="P837" s="153"/>
      <c r="Q837" s="153"/>
      <c r="R837" s="153" t="str">
        <f t="shared" si="1"/>
        <v>2024</v>
      </c>
      <c r="S837" s="154">
        <f t="shared" si="2"/>
        <v>6</v>
      </c>
      <c r="T837" s="153" t="str">
        <f t="shared" si="3"/>
        <v>2024-Q2</v>
      </c>
      <c r="U837" s="153" t="str">
        <f t="shared" si="4"/>
        <v>2024-06</v>
      </c>
      <c r="V837" s="155" t="str">
        <f t="shared" si="5"/>
        <v>2024-H1</v>
      </c>
      <c r="W837" s="158" t="s">
        <v>2654</v>
      </c>
    </row>
    <row r="838">
      <c r="A838" s="139">
        <f>HYPERLINK("https://polkadot.subsquare.io/referenda/830", 830)</f>
        <v>830</v>
      </c>
      <c r="B838" s="140" t="s">
        <v>521</v>
      </c>
      <c r="C838" s="140" t="s">
        <v>2681</v>
      </c>
      <c r="D838" s="141">
        <v>53701.995939383596</v>
      </c>
      <c r="E838" s="142">
        <v>385978.0</v>
      </c>
      <c r="F838" s="140" t="s">
        <v>2683</v>
      </c>
      <c r="G838" s="143">
        <v>2.8799948869792882E7</v>
      </c>
      <c r="H838" s="143">
        <v>2.7302846867725503E7</v>
      </c>
      <c r="I838" s="144">
        <v>45444.0</v>
      </c>
      <c r="J838" s="144">
        <v>45473.0</v>
      </c>
      <c r="K838" s="145">
        <v>349858.89370991907</v>
      </c>
      <c r="L838" s="114" t="s">
        <v>85</v>
      </c>
      <c r="M838" s="114" t="s">
        <v>511</v>
      </c>
      <c r="N838" s="108"/>
      <c r="O838" s="108"/>
      <c r="P838" s="108"/>
      <c r="Q838" s="108"/>
      <c r="R838" s="108" t="str">
        <f t="shared" si="1"/>
        <v>2024</v>
      </c>
      <c r="S838" s="110">
        <f t="shared" si="2"/>
        <v>6</v>
      </c>
      <c r="T838" s="108" t="str">
        <f t="shared" si="3"/>
        <v>2024-Q2</v>
      </c>
      <c r="U838" s="108" t="str">
        <f t="shared" si="4"/>
        <v>2024-06</v>
      </c>
      <c r="V838" s="112" t="str">
        <f t="shared" si="5"/>
        <v>2024-H1</v>
      </c>
      <c r="W838" s="112"/>
    </row>
    <row r="839">
      <c r="A839" s="146">
        <f>HYPERLINK("https://polkadot.subsquare.io/referenda/831", 831)</f>
        <v>831</v>
      </c>
      <c r="B839" s="147" t="s">
        <v>522</v>
      </c>
      <c r="C839" s="147" t="s">
        <v>2681</v>
      </c>
      <c r="D839" s="148">
        <v>6220.882129141348</v>
      </c>
      <c r="E839" s="149">
        <v>44712.0</v>
      </c>
      <c r="F839" s="147" t="s">
        <v>2678</v>
      </c>
      <c r="G839" s="150">
        <v>1.942837050608435E7</v>
      </c>
      <c r="H839" s="150">
        <v>5817232.455273741</v>
      </c>
      <c r="I839" s="151">
        <v>45445.0</v>
      </c>
      <c r="J839" s="151">
        <v>45470.0</v>
      </c>
      <c r="K839" s="152">
        <v>37775.31146021175</v>
      </c>
      <c r="L839" s="117" t="s">
        <v>81</v>
      </c>
      <c r="M839" s="117" t="s">
        <v>148</v>
      </c>
      <c r="N839" s="153"/>
      <c r="O839" s="153"/>
      <c r="P839" s="153"/>
      <c r="Q839" s="153"/>
      <c r="R839" s="153" t="str">
        <f t="shared" si="1"/>
        <v>2024</v>
      </c>
      <c r="S839" s="154">
        <f t="shared" si="2"/>
        <v>6</v>
      </c>
      <c r="T839" s="153" t="str">
        <f t="shared" si="3"/>
        <v>2024-Q2</v>
      </c>
      <c r="U839" s="153" t="str">
        <f t="shared" si="4"/>
        <v>2024-06</v>
      </c>
      <c r="V839" s="155" t="str">
        <f t="shared" si="5"/>
        <v>2024-H1</v>
      </c>
      <c r="W839" s="155"/>
    </row>
    <row r="840">
      <c r="A840" s="139">
        <f>HYPERLINK("https://polkadot.subsquare.io/referenda/832", 832)</f>
        <v>832</v>
      </c>
      <c r="B840" s="140" t="s">
        <v>3128</v>
      </c>
      <c r="C840" s="140" t="s">
        <v>2681</v>
      </c>
      <c r="D840" s="141">
        <v>0.0</v>
      </c>
      <c r="E840" s="142">
        <v>0.0</v>
      </c>
      <c r="F840" s="140" t="s">
        <v>2687</v>
      </c>
      <c r="G840" s="143">
        <v>6.4898750195877545E7</v>
      </c>
      <c r="H840" s="143">
        <v>5.4</v>
      </c>
      <c r="I840" s="144">
        <v>45445.0</v>
      </c>
      <c r="J840" s="144">
        <v>45474.0</v>
      </c>
      <c r="K840" s="145">
        <v>0.0</v>
      </c>
      <c r="L840" s="114"/>
      <c r="M840" s="114"/>
      <c r="N840" s="108"/>
      <c r="O840" s="108"/>
      <c r="P840" s="108"/>
      <c r="Q840" s="108"/>
      <c r="R840" s="108" t="str">
        <f t="shared" si="1"/>
        <v>2024</v>
      </c>
      <c r="S840" s="110">
        <f t="shared" si="2"/>
        <v>7</v>
      </c>
      <c r="T840" s="108" t="str">
        <f t="shared" si="3"/>
        <v>2024-Q3</v>
      </c>
      <c r="U840" s="108" t="str">
        <f t="shared" si="4"/>
        <v>2024-07</v>
      </c>
      <c r="V840" s="112" t="str">
        <f t="shared" si="5"/>
        <v>2024-H2</v>
      </c>
      <c r="W840" s="112"/>
    </row>
    <row r="841">
      <c r="A841" s="146">
        <f>HYPERLINK("https://polkadot.subsquare.io/referenda/833", 833)</f>
        <v>833</v>
      </c>
      <c r="B841" s="147" t="s">
        <v>524</v>
      </c>
      <c r="C841" s="147" t="s">
        <v>2681</v>
      </c>
      <c r="D841" s="148">
        <v>89945.0</v>
      </c>
      <c r="E841" s="149">
        <v>651986.8218326569</v>
      </c>
      <c r="F841" s="147" t="s">
        <v>2683</v>
      </c>
      <c r="G841" s="150">
        <v>4.933559880294791E7</v>
      </c>
      <c r="H841" s="150">
        <v>4777783.264863747</v>
      </c>
      <c r="I841" s="151">
        <v>45445.0</v>
      </c>
      <c r="J841" s="151">
        <v>45473.0</v>
      </c>
      <c r="K841" s="152">
        <v>585975.5795717239</v>
      </c>
      <c r="L841" s="117" t="s">
        <v>137</v>
      </c>
      <c r="M841" s="157" t="s">
        <v>523</v>
      </c>
      <c r="N841" s="153"/>
      <c r="O841" s="153"/>
      <c r="P841" s="153"/>
      <c r="Q841" s="153"/>
      <c r="R841" s="153" t="str">
        <f t="shared" si="1"/>
        <v>2024</v>
      </c>
      <c r="S841" s="154">
        <f t="shared" si="2"/>
        <v>6</v>
      </c>
      <c r="T841" s="153" t="str">
        <f t="shared" si="3"/>
        <v>2024-Q2</v>
      </c>
      <c r="U841" s="153" t="str">
        <f t="shared" si="4"/>
        <v>2024-06</v>
      </c>
      <c r="V841" s="155" t="str">
        <f t="shared" si="5"/>
        <v>2024-H1</v>
      </c>
      <c r="W841" s="155"/>
    </row>
    <row r="842">
      <c r="A842" s="139">
        <f>HYPERLINK("https://polkadot.subsquare.io/referenda/834", 834)</f>
        <v>834</v>
      </c>
      <c r="B842" s="140" t="s">
        <v>3129</v>
      </c>
      <c r="C842" s="140" t="s">
        <v>2672</v>
      </c>
      <c r="D842" s="141">
        <v>0.0</v>
      </c>
      <c r="E842" s="142">
        <v>0.0</v>
      </c>
      <c r="F842" s="140" t="s">
        <v>3053</v>
      </c>
      <c r="G842" s="143">
        <v>6.91038403E7</v>
      </c>
      <c r="H842" s="143">
        <v>1.003008066652733E8</v>
      </c>
      <c r="I842" s="144">
        <v>45446.0</v>
      </c>
      <c r="J842" s="144">
        <v>45474.0</v>
      </c>
      <c r="K842" s="145">
        <v>0.0</v>
      </c>
      <c r="L842" s="114"/>
      <c r="M842" s="114"/>
      <c r="N842" s="108"/>
      <c r="O842" s="108"/>
      <c r="P842" s="108"/>
      <c r="Q842" s="108"/>
      <c r="R842" s="108" t="str">
        <f t="shared" si="1"/>
        <v>2024</v>
      </c>
      <c r="S842" s="110">
        <f t="shared" si="2"/>
        <v>7</v>
      </c>
      <c r="T842" s="108" t="str">
        <f t="shared" si="3"/>
        <v>2024-Q3</v>
      </c>
      <c r="U842" s="108" t="str">
        <f t="shared" si="4"/>
        <v>2024-07</v>
      </c>
      <c r="V842" s="112" t="str">
        <f t="shared" si="5"/>
        <v>2024-H2</v>
      </c>
      <c r="W842" s="112"/>
    </row>
    <row r="843">
      <c r="A843" s="146">
        <f>HYPERLINK("https://polkadot.subsquare.io/referenda/835", 835)</f>
        <v>835</v>
      </c>
      <c r="B843" s="147" t="s">
        <v>525</v>
      </c>
      <c r="C843" s="147" t="s">
        <v>2681</v>
      </c>
      <c r="D843" s="148">
        <v>4178.0</v>
      </c>
      <c r="E843" s="149">
        <v>29839.33460330963</v>
      </c>
      <c r="F843" s="147" t="s">
        <v>2678</v>
      </c>
      <c r="G843" s="150">
        <v>1.5145920207192047E7</v>
      </c>
      <c r="H843" s="150">
        <v>1.3046086144728048E7</v>
      </c>
      <c r="I843" s="151">
        <v>45446.0</v>
      </c>
      <c r="J843" s="151">
        <v>45472.0</v>
      </c>
      <c r="K843" s="152">
        <v>26447.66407394409</v>
      </c>
      <c r="L843" s="117" t="s">
        <v>137</v>
      </c>
      <c r="M843" s="117" t="s">
        <v>266</v>
      </c>
      <c r="N843" s="153"/>
      <c r="O843" s="153"/>
      <c r="P843" s="153"/>
      <c r="Q843" s="153"/>
      <c r="R843" s="153" t="str">
        <f t="shared" si="1"/>
        <v>2024</v>
      </c>
      <c r="S843" s="154">
        <f t="shared" si="2"/>
        <v>6</v>
      </c>
      <c r="T843" s="153" t="str">
        <f t="shared" si="3"/>
        <v>2024-Q2</v>
      </c>
      <c r="U843" s="153" t="str">
        <f t="shared" si="4"/>
        <v>2024-06</v>
      </c>
      <c r="V843" s="155" t="str">
        <f t="shared" si="5"/>
        <v>2024-H1</v>
      </c>
      <c r="W843" s="155"/>
    </row>
    <row r="844">
      <c r="A844" s="139">
        <f>HYPERLINK("https://polkadot.subsquare.io/referenda/836", 836)</f>
        <v>836</v>
      </c>
      <c r="B844" s="140" t="s">
        <v>3130</v>
      </c>
      <c r="C844" s="140" t="s">
        <v>2672</v>
      </c>
      <c r="D844" s="141">
        <v>6.702E-7</v>
      </c>
      <c r="E844" s="142">
        <v>4.786577800655365E-6</v>
      </c>
      <c r="F844" s="140" t="s">
        <v>2678</v>
      </c>
      <c r="G844" s="143">
        <v>0.0</v>
      </c>
      <c r="H844" s="143">
        <v>2.533842148748424E7</v>
      </c>
      <c r="I844" s="144">
        <v>45446.0</v>
      </c>
      <c r="J844" s="144">
        <v>45475.0</v>
      </c>
      <c r="K844" s="145">
        <v>3.7256846334457395E-6</v>
      </c>
      <c r="L844" s="114"/>
      <c r="M844" s="114"/>
      <c r="N844" s="108"/>
      <c r="O844" s="108"/>
      <c r="P844" s="108"/>
      <c r="Q844" s="108"/>
      <c r="R844" s="108" t="str">
        <f t="shared" si="1"/>
        <v>2024</v>
      </c>
      <c r="S844" s="110">
        <f t="shared" si="2"/>
        <v>7</v>
      </c>
      <c r="T844" s="108" t="str">
        <f t="shared" si="3"/>
        <v>2024-Q3</v>
      </c>
      <c r="U844" s="108" t="str">
        <f t="shared" si="4"/>
        <v>2024-07</v>
      </c>
      <c r="V844" s="112" t="str">
        <f t="shared" si="5"/>
        <v>2024-H2</v>
      </c>
      <c r="W844" s="156" t="s">
        <v>2654</v>
      </c>
    </row>
    <row r="845">
      <c r="A845" s="146">
        <f>HYPERLINK("https://polkadot.subsquare.io/referenda/837", 837)</f>
        <v>837</v>
      </c>
      <c r="B845" s="147" t="s">
        <v>526</v>
      </c>
      <c r="C845" s="147" t="s">
        <v>2681</v>
      </c>
      <c r="D845" s="148">
        <v>12604.0</v>
      </c>
      <c r="E845" s="149">
        <v>90017.94479179382</v>
      </c>
      <c r="F845" s="147" t="s">
        <v>2683</v>
      </c>
      <c r="G845" s="150">
        <v>3.3260842215631638E7</v>
      </c>
      <c r="H845" s="150">
        <v>2.4724120166155975E7</v>
      </c>
      <c r="I845" s="151">
        <v>45447.0</v>
      </c>
      <c r="J845" s="151">
        <v>45478.0</v>
      </c>
      <c r="K845" s="152">
        <v>74927.69299507141</v>
      </c>
      <c r="L845" s="117" t="s">
        <v>137</v>
      </c>
      <c r="M845" s="117" t="s">
        <v>243</v>
      </c>
      <c r="N845" s="153"/>
      <c r="O845" s="153"/>
      <c r="P845" s="153"/>
      <c r="Q845" s="153"/>
      <c r="R845" s="153" t="str">
        <f t="shared" si="1"/>
        <v>2024</v>
      </c>
      <c r="S845" s="154">
        <f t="shared" si="2"/>
        <v>7</v>
      </c>
      <c r="T845" s="153" t="str">
        <f t="shared" si="3"/>
        <v>2024-Q3</v>
      </c>
      <c r="U845" s="153" t="str">
        <f t="shared" si="4"/>
        <v>2024-07</v>
      </c>
      <c r="V845" s="155" t="str">
        <f t="shared" si="5"/>
        <v>2024-H2</v>
      </c>
      <c r="W845" s="155"/>
    </row>
    <row r="846">
      <c r="A846" s="139">
        <f>HYPERLINK("https://polkadot.subsquare.io/referenda/838", 838)</f>
        <v>838</v>
      </c>
      <c r="B846" s="140" t="s">
        <v>527</v>
      </c>
      <c r="C846" s="140" t="s">
        <v>2681</v>
      </c>
      <c r="D846" s="141">
        <v>24800.0</v>
      </c>
      <c r="E846" s="142">
        <v>165112.61711120605</v>
      </c>
      <c r="F846" s="140" t="s">
        <v>2683</v>
      </c>
      <c r="G846" s="143">
        <v>2.197050939096417E7</v>
      </c>
      <c r="H846" s="143">
        <v>9501737.075176442</v>
      </c>
      <c r="I846" s="144">
        <v>45447.0</v>
      </c>
      <c r="J846" s="144">
        <v>45477.0</v>
      </c>
      <c r="K846" s="145">
        <v>154788.60626220703</v>
      </c>
      <c r="L846" s="114" t="s">
        <v>81</v>
      </c>
      <c r="M846" s="163" t="s">
        <v>176</v>
      </c>
      <c r="N846" s="108"/>
      <c r="O846" s="108"/>
      <c r="P846" s="108"/>
      <c r="Q846" s="108"/>
      <c r="R846" s="108" t="str">
        <f t="shared" si="1"/>
        <v>2024</v>
      </c>
      <c r="S846" s="110">
        <f t="shared" si="2"/>
        <v>7</v>
      </c>
      <c r="T846" s="108" t="str">
        <f t="shared" si="3"/>
        <v>2024-Q3</v>
      </c>
      <c r="U846" s="108" t="str">
        <f t="shared" si="4"/>
        <v>2024-07</v>
      </c>
      <c r="V846" s="112" t="str">
        <f t="shared" si="5"/>
        <v>2024-H2</v>
      </c>
      <c r="W846" s="112"/>
    </row>
    <row r="847">
      <c r="A847" s="146">
        <f>HYPERLINK("https://polkadot.subsquare.io/referenda/839", 839)</f>
        <v>839</v>
      </c>
      <c r="B847" s="147" t="s">
        <v>528</v>
      </c>
      <c r="C847" s="147" t="s">
        <v>2681</v>
      </c>
      <c r="D847" s="148">
        <v>6702.0</v>
      </c>
      <c r="E847" s="149">
        <v>44620.353220939636</v>
      </c>
      <c r="F847" s="147" t="s">
        <v>2678</v>
      </c>
      <c r="G847" s="150">
        <v>2.7864662748175625E7</v>
      </c>
      <c r="H847" s="150">
        <v>5843036.974370962</v>
      </c>
      <c r="I847" s="151">
        <v>45447.0</v>
      </c>
      <c r="J847" s="151">
        <v>45475.0</v>
      </c>
      <c r="K847" s="152">
        <v>37971.795959472656</v>
      </c>
      <c r="L847" s="117" t="s">
        <v>84</v>
      </c>
      <c r="M847" s="117" t="s">
        <v>154</v>
      </c>
      <c r="N847" s="153"/>
      <c r="O847" s="153"/>
      <c r="P847" s="153"/>
      <c r="Q847" s="153"/>
      <c r="R847" s="153" t="str">
        <f t="shared" si="1"/>
        <v>2024</v>
      </c>
      <c r="S847" s="154">
        <f t="shared" si="2"/>
        <v>7</v>
      </c>
      <c r="T847" s="153" t="str">
        <f t="shared" si="3"/>
        <v>2024-Q3</v>
      </c>
      <c r="U847" s="153" t="str">
        <f t="shared" si="4"/>
        <v>2024-07</v>
      </c>
      <c r="V847" s="155" t="str">
        <f t="shared" si="5"/>
        <v>2024-H2</v>
      </c>
      <c r="W847" s="155"/>
    </row>
    <row r="848">
      <c r="A848" s="139">
        <f>HYPERLINK("https://polkadot.subsquare.io/referenda/840", 840)</f>
        <v>840</v>
      </c>
      <c r="B848" s="140" t="s">
        <v>3131</v>
      </c>
      <c r="C848" s="140" t="s">
        <v>2672</v>
      </c>
      <c r="D848" s="141">
        <v>26265.0</v>
      </c>
      <c r="E848" s="142">
        <v>174866.2455010414</v>
      </c>
      <c r="F848" s="140" t="s">
        <v>2683</v>
      </c>
      <c r="G848" s="143">
        <v>341749.851087096</v>
      </c>
      <c r="H848" s="143">
        <v>5.082621323849587E7</v>
      </c>
      <c r="I848" s="144">
        <v>45447.0</v>
      </c>
      <c r="J848" s="144">
        <v>45476.0</v>
      </c>
      <c r="K848" s="145">
        <v>148810.68649291992</v>
      </c>
      <c r="L848" s="114"/>
      <c r="M848" s="114"/>
      <c r="N848" s="108"/>
      <c r="O848" s="108"/>
      <c r="P848" s="108"/>
      <c r="Q848" s="108"/>
      <c r="R848" s="108" t="str">
        <f t="shared" si="1"/>
        <v>2024</v>
      </c>
      <c r="S848" s="110">
        <f t="shared" si="2"/>
        <v>7</v>
      </c>
      <c r="T848" s="108" t="str">
        <f t="shared" si="3"/>
        <v>2024-Q3</v>
      </c>
      <c r="U848" s="108" t="str">
        <f t="shared" si="4"/>
        <v>2024-07</v>
      </c>
      <c r="V848" s="112" t="str">
        <f t="shared" si="5"/>
        <v>2024-H2</v>
      </c>
      <c r="W848" s="156" t="s">
        <v>2654</v>
      </c>
    </row>
    <row r="849">
      <c r="A849" s="146">
        <f>HYPERLINK("https://polkadot.subsquare.io/referenda/841", 841)</f>
        <v>841</v>
      </c>
      <c r="B849" s="147" t="s">
        <v>3132</v>
      </c>
      <c r="C849" s="147" t="s">
        <v>2681</v>
      </c>
      <c r="D849" s="148">
        <v>0.0</v>
      </c>
      <c r="E849" s="149">
        <v>0.0</v>
      </c>
      <c r="F849" s="147" t="s">
        <v>2682</v>
      </c>
      <c r="G849" s="150">
        <v>1.329316836791525E8</v>
      </c>
      <c r="H849" s="150">
        <v>10.0</v>
      </c>
      <c r="I849" s="151">
        <v>45448.0</v>
      </c>
      <c r="J849" s="151">
        <v>45472.0</v>
      </c>
      <c r="K849" s="152">
        <v>0.0</v>
      </c>
      <c r="L849" s="117"/>
      <c r="M849" s="117"/>
      <c r="N849" s="153"/>
      <c r="O849" s="153"/>
      <c r="P849" s="153"/>
      <c r="Q849" s="153"/>
      <c r="R849" s="153" t="str">
        <f t="shared" si="1"/>
        <v>2024</v>
      </c>
      <c r="S849" s="154">
        <f t="shared" si="2"/>
        <v>6</v>
      </c>
      <c r="T849" s="153" t="str">
        <f t="shared" si="3"/>
        <v>2024-Q2</v>
      </c>
      <c r="U849" s="153" t="str">
        <f t="shared" si="4"/>
        <v>2024-06</v>
      </c>
      <c r="V849" s="155" t="str">
        <f t="shared" si="5"/>
        <v>2024-H1</v>
      </c>
      <c r="W849" s="155"/>
    </row>
    <row r="850">
      <c r="A850" s="139">
        <f>HYPERLINK("https://polkadot.subsquare.io/referenda/842", 842)</f>
        <v>842</v>
      </c>
      <c r="B850" s="140" t="s">
        <v>529</v>
      </c>
      <c r="C850" s="140" t="s">
        <v>2681</v>
      </c>
      <c r="D850" s="141">
        <v>440.0</v>
      </c>
      <c r="E850" s="142">
        <v>2810.906524658203</v>
      </c>
      <c r="F850" s="140" t="s">
        <v>2699</v>
      </c>
      <c r="G850" s="143">
        <v>1.2980898190504821E7</v>
      </c>
      <c r="H850" s="143">
        <v>5828006.166197433</v>
      </c>
      <c r="I850" s="144">
        <v>45448.0</v>
      </c>
      <c r="J850" s="144">
        <v>45453.0</v>
      </c>
      <c r="K850" s="145">
        <v>2798.431739807129</v>
      </c>
      <c r="L850" s="114" t="s">
        <v>137</v>
      </c>
      <c r="M850" s="114" t="s">
        <v>138</v>
      </c>
      <c r="N850" s="108"/>
      <c r="O850" s="108"/>
      <c r="P850" s="108"/>
      <c r="Q850" s="108"/>
      <c r="R850" s="108" t="str">
        <f t="shared" si="1"/>
        <v>2024</v>
      </c>
      <c r="S850" s="110">
        <f t="shared" si="2"/>
        <v>6</v>
      </c>
      <c r="T850" s="108" t="str">
        <f t="shared" si="3"/>
        <v>2024-Q2</v>
      </c>
      <c r="U850" s="108" t="str">
        <f t="shared" si="4"/>
        <v>2024-06</v>
      </c>
      <c r="V850" s="112" t="str">
        <f t="shared" si="5"/>
        <v>2024-H1</v>
      </c>
      <c r="W850" s="112"/>
    </row>
    <row r="851">
      <c r="A851" s="146">
        <f>HYPERLINK("https://polkadot.subsquare.io/referenda/843", 843)</f>
        <v>843</v>
      </c>
      <c r="B851" s="147" t="s">
        <v>530</v>
      </c>
      <c r="C851" s="147" t="s">
        <v>2681</v>
      </c>
      <c r="D851" s="148">
        <v>8265.0</v>
      </c>
      <c r="E851" s="149">
        <v>52800.323696136475</v>
      </c>
      <c r="F851" s="147" t="s">
        <v>2678</v>
      </c>
      <c r="G851" s="150">
        <v>1.941925958081955E7</v>
      </c>
      <c r="H851" s="150">
        <v>94202.1596156803</v>
      </c>
      <c r="I851" s="151">
        <v>45448.0</v>
      </c>
      <c r="J851" s="151">
        <v>45472.0</v>
      </c>
      <c r="K851" s="152">
        <v>53844.99599933624</v>
      </c>
      <c r="L851" s="117" t="s">
        <v>137</v>
      </c>
      <c r="M851" s="117" t="s">
        <v>368</v>
      </c>
      <c r="N851" s="153"/>
      <c r="O851" s="153"/>
      <c r="P851" s="153"/>
      <c r="Q851" s="153"/>
      <c r="R851" s="153" t="str">
        <f t="shared" si="1"/>
        <v>2024</v>
      </c>
      <c r="S851" s="154">
        <f t="shared" si="2"/>
        <v>6</v>
      </c>
      <c r="T851" s="153" t="str">
        <f t="shared" si="3"/>
        <v>2024-Q2</v>
      </c>
      <c r="U851" s="153" t="str">
        <f t="shared" si="4"/>
        <v>2024-06</v>
      </c>
      <c r="V851" s="155" t="str">
        <f t="shared" si="5"/>
        <v>2024-H1</v>
      </c>
      <c r="W851" s="155"/>
    </row>
    <row r="852">
      <c r="A852" s="139">
        <f>HYPERLINK("https://polkadot.subsquare.io/referenda/844", 844)</f>
        <v>844</v>
      </c>
      <c r="B852" s="140" t="s">
        <v>531</v>
      </c>
      <c r="C852" s="140" t="s">
        <v>2681</v>
      </c>
      <c r="D852" s="141">
        <v>2150.3914</v>
      </c>
      <c r="E852" s="142">
        <v>13737.61185642929</v>
      </c>
      <c r="F852" s="140" t="s">
        <v>2678</v>
      </c>
      <c r="G852" s="143">
        <v>2.8306624080530148E7</v>
      </c>
      <c r="H852" s="143">
        <v>5650098.6042949995</v>
      </c>
      <c r="I852" s="144">
        <v>45448.0</v>
      </c>
      <c r="J852" s="144">
        <v>45471.0</v>
      </c>
      <c r="K852" s="145">
        <v>13350.86169416399</v>
      </c>
      <c r="L852" s="114" t="s">
        <v>137</v>
      </c>
      <c r="M852" s="114" t="s">
        <v>266</v>
      </c>
      <c r="N852" s="108"/>
      <c r="O852" s="108"/>
      <c r="P852" s="108"/>
      <c r="Q852" s="108"/>
      <c r="R852" s="108" t="str">
        <f t="shared" si="1"/>
        <v>2024</v>
      </c>
      <c r="S852" s="110">
        <f t="shared" si="2"/>
        <v>6</v>
      </c>
      <c r="T852" s="108" t="str">
        <f t="shared" si="3"/>
        <v>2024-Q2</v>
      </c>
      <c r="U852" s="108" t="str">
        <f t="shared" si="4"/>
        <v>2024-06</v>
      </c>
      <c r="V852" s="112" t="str">
        <f t="shared" si="5"/>
        <v>2024-H1</v>
      </c>
      <c r="W852" s="112"/>
    </row>
    <row r="853">
      <c r="A853" s="146">
        <f>HYPERLINK("https://polkadot.subsquare.io/referenda/845", 845)</f>
        <v>845</v>
      </c>
      <c r="B853" s="147" t="s">
        <v>3133</v>
      </c>
      <c r="C853" s="147" t="s">
        <v>2672</v>
      </c>
      <c r="D853" s="148">
        <v>0.0</v>
      </c>
      <c r="E853" s="149">
        <v>0.0</v>
      </c>
      <c r="F853" s="147" t="s">
        <v>2699</v>
      </c>
      <c r="G853" s="150">
        <v>26441.2873962073</v>
      </c>
      <c r="H853" s="150">
        <v>2.309169407134122E7</v>
      </c>
      <c r="I853" s="151">
        <v>45448.0</v>
      </c>
      <c r="J853" s="151">
        <v>45456.0</v>
      </c>
      <c r="K853" s="152">
        <v>0.0</v>
      </c>
      <c r="L853" s="117"/>
      <c r="M853" s="117"/>
      <c r="N853" s="153"/>
      <c r="O853" s="153"/>
      <c r="P853" s="153"/>
      <c r="Q853" s="153"/>
      <c r="R853" s="153" t="str">
        <f t="shared" si="1"/>
        <v>2024</v>
      </c>
      <c r="S853" s="154">
        <f t="shared" si="2"/>
        <v>6</v>
      </c>
      <c r="T853" s="153" t="str">
        <f t="shared" si="3"/>
        <v>2024-Q2</v>
      </c>
      <c r="U853" s="153" t="str">
        <f t="shared" si="4"/>
        <v>2024-06</v>
      </c>
      <c r="V853" s="155" t="str">
        <f t="shared" si="5"/>
        <v>2024-H1</v>
      </c>
      <c r="W853" s="158" t="s">
        <v>2654</v>
      </c>
    </row>
    <row r="854">
      <c r="A854" s="139">
        <f>HYPERLINK("https://polkadot.subsquare.io/referenda/846", 846)</f>
        <v>846</v>
      </c>
      <c r="B854" s="140" t="s">
        <v>532</v>
      </c>
      <c r="C854" s="140" t="s">
        <v>2681</v>
      </c>
      <c r="D854" s="141">
        <v>13855.6</v>
      </c>
      <c r="E854" s="142">
        <v>88515.44646148682</v>
      </c>
      <c r="F854" s="140" t="s">
        <v>2683</v>
      </c>
      <c r="G854" s="143">
        <v>3.784836731300163E7</v>
      </c>
      <c r="H854" s="143">
        <v>3.1201894372948196E7</v>
      </c>
      <c r="I854" s="144">
        <v>45449.0</v>
      </c>
      <c r="J854" s="144">
        <v>45478.0</v>
      </c>
      <c r="K854" s="145">
        <v>82368.14844989777</v>
      </c>
      <c r="L854" s="114" t="s">
        <v>137</v>
      </c>
      <c r="M854" s="114" t="s">
        <v>254</v>
      </c>
      <c r="N854" s="108"/>
      <c r="O854" s="108"/>
      <c r="P854" s="108"/>
      <c r="Q854" s="108"/>
      <c r="R854" s="108" t="str">
        <f t="shared" si="1"/>
        <v>2024</v>
      </c>
      <c r="S854" s="110">
        <f t="shared" si="2"/>
        <v>7</v>
      </c>
      <c r="T854" s="108" t="str">
        <f t="shared" si="3"/>
        <v>2024-Q3</v>
      </c>
      <c r="U854" s="108" t="str">
        <f t="shared" si="4"/>
        <v>2024-07</v>
      </c>
      <c r="V854" s="112" t="str">
        <f t="shared" si="5"/>
        <v>2024-H2</v>
      </c>
      <c r="W854" s="112"/>
    </row>
    <row r="855">
      <c r="A855" s="146">
        <f>HYPERLINK("https://polkadot.subsquare.io/referenda/847", 847)</f>
        <v>847</v>
      </c>
      <c r="B855" s="147" t="s">
        <v>533</v>
      </c>
      <c r="C855" s="147" t="s">
        <v>2681</v>
      </c>
      <c r="D855" s="148">
        <v>17822.33</v>
      </c>
      <c r="E855" s="149">
        <v>116250.8306952715</v>
      </c>
      <c r="F855" s="147" t="s">
        <v>2683</v>
      </c>
      <c r="G855" s="150">
        <v>3.049174069755226E7</v>
      </c>
      <c r="H855" s="150">
        <v>37956.8366592061</v>
      </c>
      <c r="I855" s="151">
        <v>45449.0</v>
      </c>
      <c r="J855" s="151">
        <v>45476.0</v>
      </c>
      <c r="K855" s="152">
        <v>111237.64600988389</v>
      </c>
      <c r="L855" s="117" t="s">
        <v>81</v>
      </c>
      <c r="M855" s="117" t="s">
        <v>331</v>
      </c>
      <c r="N855" s="153"/>
      <c r="O855" s="153"/>
      <c r="P855" s="153"/>
      <c r="Q855" s="153"/>
      <c r="R855" s="153" t="str">
        <f t="shared" si="1"/>
        <v>2024</v>
      </c>
      <c r="S855" s="154">
        <f t="shared" si="2"/>
        <v>7</v>
      </c>
      <c r="T855" s="153" t="str">
        <f t="shared" si="3"/>
        <v>2024-Q3</v>
      </c>
      <c r="U855" s="153" t="str">
        <f t="shared" si="4"/>
        <v>2024-07</v>
      </c>
      <c r="V855" s="155" t="str">
        <f t="shared" si="5"/>
        <v>2024-H2</v>
      </c>
      <c r="W855" s="155"/>
    </row>
    <row r="856">
      <c r="A856" s="139">
        <f>HYPERLINK("https://polkadot.subsquare.io/referenda/848", 848)</f>
        <v>848</v>
      </c>
      <c r="B856" s="140" t="s">
        <v>534</v>
      </c>
      <c r="C856" s="140" t="s">
        <v>2681</v>
      </c>
      <c r="D856" s="141">
        <v>348.7</v>
      </c>
      <c r="E856" s="142">
        <v>2274.4873797893524</v>
      </c>
      <c r="F856" s="140" t="s">
        <v>2699</v>
      </c>
      <c r="G856" s="143">
        <v>1.319405825608982E7</v>
      </c>
      <c r="H856" s="143">
        <v>35376.7366592061</v>
      </c>
      <c r="I856" s="144">
        <v>45450.0</v>
      </c>
      <c r="J856" s="144">
        <v>45455.0</v>
      </c>
      <c r="K856" s="145">
        <v>2148.9548344135283</v>
      </c>
      <c r="L856" s="114" t="s">
        <v>137</v>
      </c>
      <c r="M856" s="114" t="s">
        <v>266</v>
      </c>
      <c r="N856" s="108"/>
      <c r="O856" s="108"/>
      <c r="P856" s="108"/>
      <c r="Q856" s="108"/>
      <c r="R856" s="108" t="str">
        <f t="shared" si="1"/>
        <v>2024</v>
      </c>
      <c r="S856" s="110">
        <f t="shared" si="2"/>
        <v>6</v>
      </c>
      <c r="T856" s="108" t="str">
        <f t="shared" si="3"/>
        <v>2024-Q2</v>
      </c>
      <c r="U856" s="108" t="str">
        <f t="shared" si="4"/>
        <v>2024-06</v>
      </c>
      <c r="V856" s="112" t="str">
        <f t="shared" si="5"/>
        <v>2024-H1</v>
      </c>
      <c r="W856" s="112"/>
    </row>
    <row r="857">
      <c r="A857" s="146">
        <f>HYPERLINK("https://polkadot.subsquare.io/referenda/849", 849)</f>
        <v>849</v>
      </c>
      <c r="B857" s="147" t="s">
        <v>535</v>
      </c>
      <c r="C857" s="147" t="s">
        <v>2681</v>
      </c>
      <c r="D857" s="148">
        <v>46194.0</v>
      </c>
      <c r="E857" s="149">
        <v>300604.9959039688</v>
      </c>
      <c r="F857" s="147" t="s">
        <v>2683</v>
      </c>
      <c r="G857" s="150">
        <v>7.307224211055021E7</v>
      </c>
      <c r="H857" s="150">
        <v>18783.3334236112</v>
      </c>
      <c r="I857" s="151">
        <v>45451.0</v>
      </c>
      <c r="J857" s="151">
        <v>45471.0</v>
      </c>
      <c r="K857" s="152">
        <v>286798.81490421295</v>
      </c>
      <c r="L857" s="157" t="s">
        <v>84</v>
      </c>
      <c r="M857" s="157" t="s">
        <v>470</v>
      </c>
      <c r="N857" s="153"/>
      <c r="O857" s="153"/>
      <c r="P857" s="153"/>
      <c r="Q857" s="153"/>
      <c r="R857" s="153" t="str">
        <f t="shared" si="1"/>
        <v>2024</v>
      </c>
      <c r="S857" s="154">
        <f t="shared" si="2"/>
        <v>6</v>
      </c>
      <c r="T857" s="153" t="str">
        <f t="shared" si="3"/>
        <v>2024-Q2</v>
      </c>
      <c r="U857" s="153" t="str">
        <f t="shared" si="4"/>
        <v>2024-06</v>
      </c>
      <c r="V857" s="155" t="str">
        <f t="shared" si="5"/>
        <v>2024-H1</v>
      </c>
      <c r="W857" s="155"/>
    </row>
    <row r="858">
      <c r="A858" s="139">
        <f>HYPERLINK("https://polkadot.subsquare.io/referenda/850", 850)</f>
        <v>850</v>
      </c>
      <c r="B858" s="140" t="s">
        <v>3134</v>
      </c>
      <c r="C858" s="140" t="s">
        <v>2691</v>
      </c>
      <c r="D858" s="141">
        <v>0.0</v>
      </c>
      <c r="E858" s="142">
        <v>0.0</v>
      </c>
      <c r="F858" s="140" t="s">
        <v>3053</v>
      </c>
      <c r="G858" s="143">
        <v>0.0</v>
      </c>
      <c r="H858" s="143">
        <v>2.9885998678728335E7</v>
      </c>
      <c r="I858" s="144">
        <v>45451.0</v>
      </c>
      <c r="J858" s="144">
        <v>45465.0</v>
      </c>
      <c r="K858" s="145">
        <v>0.0</v>
      </c>
      <c r="L858" s="114"/>
      <c r="M858" s="114"/>
      <c r="N858" s="108"/>
      <c r="O858" s="108"/>
      <c r="P858" s="108"/>
      <c r="Q858" s="108"/>
      <c r="R858" s="108" t="str">
        <f t="shared" si="1"/>
        <v>2024</v>
      </c>
      <c r="S858" s="110">
        <f t="shared" si="2"/>
        <v>6</v>
      </c>
      <c r="T858" s="108" t="str">
        <f t="shared" si="3"/>
        <v>2024-Q2</v>
      </c>
      <c r="U858" s="108" t="str">
        <f t="shared" si="4"/>
        <v>2024-06</v>
      </c>
      <c r="V858" s="112" t="str">
        <f t="shared" si="5"/>
        <v>2024-H1</v>
      </c>
      <c r="W858" s="112"/>
    </row>
    <row r="859">
      <c r="A859" s="146">
        <f>HYPERLINK("https://polkadot.subsquare.io/referenda/851", 851)</f>
        <v>851</v>
      </c>
      <c r="B859" s="147" t="s">
        <v>3135</v>
      </c>
      <c r="C859" s="147" t="s">
        <v>2672</v>
      </c>
      <c r="D859" s="148">
        <v>0.0</v>
      </c>
      <c r="E859" s="149">
        <v>0.0</v>
      </c>
      <c r="F859" s="147" t="s">
        <v>3053</v>
      </c>
      <c r="G859" s="150">
        <v>5417265.502133329</v>
      </c>
      <c r="H859" s="150">
        <v>4.775391983550622E7</v>
      </c>
      <c r="I859" s="151">
        <v>45451.0</v>
      </c>
      <c r="J859" s="151">
        <v>45479.0</v>
      </c>
      <c r="K859" s="152">
        <v>0.0</v>
      </c>
      <c r="L859" s="117"/>
      <c r="M859" s="117"/>
      <c r="N859" s="153"/>
      <c r="O859" s="153"/>
      <c r="P859" s="153"/>
      <c r="Q859" s="153"/>
      <c r="R859" s="153" t="str">
        <f t="shared" si="1"/>
        <v>2024</v>
      </c>
      <c r="S859" s="154">
        <f t="shared" si="2"/>
        <v>7</v>
      </c>
      <c r="T859" s="153" t="str">
        <f t="shared" si="3"/>
        <v>2024-Q3</v>
      </c>
      <c r="U859" s="153" t="str">
        <f t="shared" si="4"/>
        <v>2024-07</v>
      </c>
      <c r="V859" s="155" t="str">
        <f t="shared" si="5"/>
        <v>2024-H2</v>
      </c>
      <c r="W859" s="155"/>
    </row>
    <row r="860">
      <c r="A860" s="139">
        <f>HYPERLINK("https://polkadot.subsquare.io/referenda/852", 852)</f>
        <v>852</v>
      </c>
      <c r="B860" s="140" t="s">
        <v>3136</v>
      </c>
      <c r="C860" s="140" t="s">
        <v>2691</v>
      </c>
      <c r="D860" s="141">
        <v>0.0</v>
      </c>
      <c r="E860" s="142">
        <v>0.0</v>
      </c>
      <c r="F860" s="140" t="s">
        <v>2687</v>
      </c>
      <c r="G860" s="143">
        <v>0.0</v>
      </c>
      <c r="H860" s="143">
        <v>3327035.609488497</v>
      </c>
      <c r="I860" s="144">
        <v>45451.0</v>
      </c>
      <c r="J860" s="144">
        <v>45465.0</v>
      </c>
      <c r="K860" s="145">
        <v>0.0</v>
      </c>
      <c r="L860" s="114"/>
      <c r="M860" s="114"/>
      <c r="N860" s="108"/>
      <c r="O860" s="108"/>
      <c r="P860" s="108"/>
      <c r="Q860" s="108"/>
      <c r="R860" s="108" t="str">
        <f t="shared" si="1"/>
        <v>2024</v>
      </c>
      <c r="S860" s="110">
        <f t="shared" si="2"/>
        <v>6</v>
      </c>
      <c r="T860" s="108" t="str">
        <f t="shared" si="3"/>
        <v>2024-Q2</v>
      </c>
      <c r="U860" s="108" t="str">
        <f t="shared" si="4"/>
        <v>2024-06</v>
      </c>
      <c r="V860" s="112" t="str">
        <f t="shared" si="5"/>
        <v>2024-H1</v>
      </c>
      <c r="W860" s="156" t="s">
        <v>2654</v>
      </c>
    </row>
    <row r="861">
      <c r="A861" s="146">
        <f>HYPERLINK("https://polkadot.subsquare.io/referenda/853", 853)</f>
        <v>853</v>
      </c>
      <c r="B861" s="147" t="s">
        <v>3137</v>
      </c>
      <c r="C861" s="147" t="s">
        <v>2672</v>
      </c>
      <c r="D861" s="148">
        <v>7935.0</v>
      </c>
      <c r="E861" s="149">
        <v>50624.48362827301</v>
      </c>
      <c r="F861" s="147" t="s">
        <v>2678</v>
      </c>
      <c r="G861" s="150">
        <v>0.0</v>
      </c>
      <c r="H861" s="150">
        <v>2.506769684437426E7</v>
      </c>
      <c r="I861" s="151">
        <v>45451.0</v>
      </c>
      <c r="J861" s="151">
        <v>45480.0</v>
      </c>
      <c r="K861" s="152">
        <v>48515.22442102432</v>
      </c>
      <c r="L861" s="117"/>
      <c r="M861" s="117"/>
      <c r="N861" s="153"/>
      <c r="O861" s="153"/>
      <c r="P861" s="153"/>
      <c r="Q861" s="153"/>
      <c r="R861" s="153" t="str">
        <f t="shared" si="1"/>
        <v>2024</v>
      </c>
      <c r="S861" s="154">
        <f t="shared" si="2"/>
        <v>7</v>
      </c>
      <c r="T861" s="153" t="str">
        <f t="shared" si="3"/>
        <v>2024-Q3</v>
      </c>
      <c r="U861" s="153" t="str">
        <f t="shared" si="4"/>
        <v>2024-07</v>
      </c>
      <c r="V861" s="155" t="str">
        <f t="shared" si="5"/>
        <v>2024-H2</v>
      </c>
      <c r="W861" s="158" t="s">
        <v>2654</v>
      </c>
    </row>
    <row r="862">
      <c r="A862" s="139">
        <f>HYPERLINK("https://polkadot.subsquare.io/referenda/854", 854)</f>
        <v>854</v>
      </c>
      <c r="B862" s="140" t="s">
        <v>3138</v>
      </c>
      <c r="C862" s="140" t="s">
        <v>2681</v>
      </c>
      <c r="D862" s="141">
        <v>0.0</v>
      </c>
      <c r="E862" s="142">
        <v>0.0</v>
      </c>
      <c r="F862" s="140" t="s">
        <v>3053</v>
      </c>
      <c r="G862" s="143">
        <v>2.9991246777148005E7</v>
      </c>
      <c r="H862" s="143">
        <v>39175.6428592061</v>
      </c>
      <c r="I862" s="144">
        <v>45451.0</v>
      </c>
      <c r="J862" s="144">
        <v>45488.0</v>
      </c>
      <c r="K862" s="145">
        <v>0.0</v>
      </c>
      <c r="L862" s="114"/>
      <c r="M862" s="114"/>
      <c r="N862" s="108"/>
      <c r="O862" s="108"/>
      <c r="P862" s="108"/>
      <c r="Q862" s="108"/>
      <c r="R862" s="108" t="str">
        <f t="shared" si="1"/>
        <v>2024</v>
      </c>
      <c r="S862" s="110">
        <f t="shared" si="2"/>
        <v>7</v>
      </c>
      <c r="T862" s="108" t="str">
        <f t="shared" si="3"/>
        <v>2024-Q3</v>
      </c>
      <c r="U862" s="108" t="str">
        <f t="shared" si="4"/>
        <v>2024-07</v>
      </c>
      <c r="V862" s="112" t="str">
        <f t="shared" si="5"/>
        <v>2024-H2</v>
      </c>
      <c r="W862" s="112"/>
    </row>
    <row r="863">
      <c r="A863" s="146">
        <f>HYPERLINK("https://polkadot.subsquare.io/referenda/855", 855)</f>
        <v>855</v>
      </c>
      <c r="B863" s="147" t="s">
        <v>536</v>
      </c>
      <c r="C863" s="147" t="s">
        <v>2681</v>
      </c>
      <c r="D863" s="148">
        <v>1519.0</v>
      </c>
      <c r="E863" s="149">
        <v>9691.0637216568</v>
      </c>
      <c r="F863" s="147" t="s">
        <v>2678</v>
      </c>
      <c r="G863" s="150">
        <v>4.169707124053409E7</v>
      </c>
      <c r="H863" s="150">
        <v>798430.3637472384</v>
      </c>
      <c r="I863" s="151">
        <v>45452.0</v>
      </c>
      <c r="J863" s="151">
        <v>45469.0</v>
      </c>
      <c r="K863" s="152">
        <v>9223.884477615356</v>
      </c>
      <c r="L863" s="117" t="s">
        <v>137</v>
      </c>
      <c r="M863" s="117" t="s">
        <v>323</v>
      </c>
      <c r="N863" s="153"/>
      <c r="O863" s="153"/>
      <c r="P863" s="153"/>
      <c r="Q863" s="153"/>
      <c r="R863" s="153" t="str">
        <f t="shared" si="1"/>
        <v>2024</v>
      </c>
      <c r="S863" s="154">
        <f t="shared" si="2"/>
        <v>6</v>
      </c>
      <c r="T863" s="153" t="str">
        <f t="shared" si="3"/>
        <v>2024-Q2</v>
      </c>
      <c r="U863" s="153" t="str">
        <f t="shared" si="4"/>
        <v>2024-06</v>
      </c>
      <c r="V863" s="155" t="str">
        <f t="shared" si="5"/>
        <v>2024-H1</v>
      </c>
      <c r="W863" s="155"/>
    </row>
    <row r="864">
      <c r="A864" s="139">
        <f>HYPERLINK("https://polkadot.subsquare.io/referenda/856", 856)</f>
        <v>856</v>
      </c>
      <c r="B864" s="140" t="s">
        <v>538</v>
      </c>
      <c r="C864" s="140" t="s">
        <v>2681</v>
      </c>
      <c r="D864" s="141">
        <v>7496.0</v>
      </c>
      <c r="E864" s="142">
        <v>50535.9095954895</v>
      </c>
      <c r="F864" s="140" t="s">
        <v>2678</v>
      </c>
      <c r="G864" s="143">
        <v>5.208743713188946E7</v>
      </c>
      <c r="H864" s="143">
        <v>16746.8366592061</v>
      </c>
      <c r="I864" s="144">
        <v>45452.0</v>
      </c>
      <c r="J864" s="144">
        <v>45467.0</v>
      </c>
      <c r="K864" s="145">
        <v>47085.70476913452</v>
      </c>
      <c r="L864" s="114" t="s">
        <v>137</v>
      </c>
      <c r="M864" s="114" t="s">
        <v>537</v>
      </c>
      <c r="N864" s="108"/>
      <c r="O864" s="108"/>
      <c r="P864" s="108"/>
      <c r="Q864" s="108"/>
      <c r="R864" s="108" t="str">
        <f t="shared" si="1"/>
        <v>2024</v>
      </c>
      <c r="S864" s="110">
        <f t="shared" si="2"/>
        <v>6</v>
      </c>
      <c r="T864" s="108" t="str">
        <f t="shared" si="3"/>
        <v>2024-Q2</v>
      </c>
      <c r="U864" s="108" t="str">
        <f t="shared" si="4"/>
        <v>2024-06</v>
      </c>
      <c r="V864" s="112" t="str">
        <f t="shared" si="5"/>
        <v>2024-H1</v>
      </c>
      <c r="W864" s="112"/>
    </row>
    <row r="865">
      <c r="A865" s="146">
        <f>HYPERLINK("https://polkadot.subsquare.io/referenda/857", 857)</f>
        <v>857</v>
      </c>
      <c r="B865" s="147" t="s">
        <v>3139</v>
      </c>
      <c r="C865" s="147" t="s">
        <v>2681</v>
      </c>
      <c r="D865" s="148">
        <v>0.0</v>
      </c>
      <c r="E865" s="149">
        <v>0.0</v>
      </c>
      <c r="F865" s="147" t="s">
        <v>2687</v>
      </c>
      <c r="G865" s="150">
        <v>5.537192978383908E7</v>
      </c>
      <c r="H865" s="150">
        <v>5012.0</v>
      </c>
      <c r="I865" s="151">
        <v>45452.0</v>
      </c>
      <c r="J865" s="151">
        <v>45503.0</v>
      </c>
      <c r="K865" s="152">
        <v>0.0</v>
      </c>
      <c r="L865" s="117"/>
      <c r="M865" s="117"/>
      <c r="N865" s="153"/>
      <c r="O865" s="153"/>
      <c r="P865" s="153"/>
      <c r="Q865" s="153"/>
      <c r="R865" s="153" t="str">
        <f t="shared" si="1"/>
        <v>2024</v>
      </c>
      <c r="S865" s="154">
        <f t="shared" si="2"/>
        <v>7</v>
      </c>
      <c r="T865" s="153" t="str">
        <f t="shared" si="3"/>
        <v>2024-Q3</v>
      </c>
      <c r="U865" s="153" t="str">
        <f t="shared" si="4"/>
        <v>2024-07</v>
      </c>
      <c r="V865" s="155" t="str">
        <f t="shared" si="5"/>
        <v>2024-H2</v>
      </c>
      <c r="W865" s="155"/>
    </row>
    <row r="866">
      <c r="A866" s="139">
        <f>HYPERLINK("https://polkadot.subsquare.io/referenda/858", 858)</f>
        <v>858</v>
      </c>
      <c r="B866" s="140" t="s">
        <v>3140</v>
      </c>
      <c r="C866" s="140" t="s">
        <v>2681</v>
      </c>
      <c r="D866" s="141">
        <v>0.0</v>
      </c>
      <c r="E866" s="142">
        <v>0.0</v>
      </c>
      <c r="F866" s="140" t="s">
        <v>2891</v>
      </c>
      <c r="G866" s="143">
        <v>5.2841564359386615E7</v>
      </c>
      <c r="H866" s="143">
        <v>69981.395132878</v>
      </c>
      <c r="I866" s="144">
        <v>45452.0</v>
      </c>
      <c r="J866" s="144">
        <v>45463.0</v>
      </c>
      <c r="K866" s="145">
        <v>0.0</v>
      </c>
      <c r="L866" s="114"/>
      <c r="M866" s="114"/>
      <c r="N866" s="108"/>
      <c r="O866" s="108"/>
      <c r="P866" s="108"/>
      <c r="Q866" s="108"/>
      <c r="R866" s="108" t="str">
        <f t="shared" si="1"/>
        <v>2024</v>
      </c>
      <c r="S866" s="110">
        <f t="shared" si="2"/>
        <v>6</v>
      </c>
      <c r="T866" s="108" t="str">
        <f t="shared" si="3"/>
        <v>2024-Q2</v>
      </c>
      <c r="U866" s="108" t="str">
        <f t="shared" si="4"/>
        <v>2024-06</v>
      </c>
      <c r="V866" s="112" t="str">
        <f t="shared" si="5"/>
        <v>2024-H1</v>
      </c>
      <c r="W866" s="112"/>
    </row>
    <row r="867">
      <c r="A867" s="146">
        <f>HYPERLINK("https://polkadot.subsquare.io/referenda/859", 859)</f>
        <v>859</v>
      </c>
      <c r="B867" s="147" t="s">
        <v>3141</v>
      </c>
      <c r="C867" s="147" t="s">
        <v>2681</v>
      </c>
      <c r="D867" s="148">
        <v>0.0</v>
      </c>
      <c r="E867" s="149">
        <v>0.0</v>
      </c>
      <c r="F867" s="147" t="s">
        <v>2891</v>
      </c>
      <c r="G867" s="150">
        <v>5.369510900747268E7</v>
      </c>
      <c r="H867" s="150">
        <v>525973.7454940305</v>
      </c>
      <c r="I867" s="151">
        <v>45452.0</v>
      </c>
      <c r="J867" s="151">
        <v>45462.0</v>
      </c>
      <c r="K867" s="152">
        <v>0.0</v>
      </c>
      <c r="L867" s="117"/>
      <c r="M867" s="117"/>
      <c r="N867" s="153"/>
      <c r="O867" s="153"/>
      <c r="P867" s="153"/>
      <c r="Q867" s="153"/>
      <c r="R867" s="153" t="str">
        <f t="shared" si="1"/>
        <v>2024</v>
      </c>
      <c r="S867" s="154">
        <f t="shared" si="2"/>
        <v>6</v>
      </c>
      <c r="T867" s="153" t="str">
        <f t="shared" si="3"/>
        <v>2024-Q2</v>
      </c>
      <c r="U867" s="153" t="str">
        <f t="shared" si="4"/>
        <v>2024-06</v>
      </c>
      <c r="V867" s="155" t="str">
        <f t="shared" si="5"/>
        <v>2024-H1</v>
      </c>
      <c r="W867" s="155"/>
    </row>
    <row r="868">
      <c r="A868" s="139">
        <f>HYPERLINK("https://polkadot.subsquare.io/referenda/860", 860)</f>
        <v>860</v>
      </c>
      <c r="B868" s="140" t="s">
        <v>3142</v>
      </c>
      <c r="C868" s="140" t="s">
        <v>2681</v>
      </c>
      <c r="D868" s="141">
        <v>0.0</v>
      </c>
      <c r="E868" s="142">
        <v>0.0</v>
      </c>
      <c r="F868" s="140" t="s">
        <v>2891</v>
      </c>
      <c r="G868" s="143">
        <v>2.9921716146354165E7</v>
      </c>
      <c r="H868" s="143">
        <v>2.1905030843332157E7</v>
      </c>
      <c r="I868" s="144">
        <v>45452.0</v>
      </c>
      <c r="J868" s="144">
        <v>45473.0</v>
      </c>
      <c r="K868" s="145">
        <v>0.0</v>
      </c>
      <c r="L868" s="114"/>
      <c r="M868" s="114"/>
      <c r="N868" s="108"/>
      <c r="O868" s="108"/>
      <c r="P868" s="108"/>
      <c r="Q868" s="108"/>
      <c r="R868" s="108" t="str">
        <f t="shared" si="1"/>
        <v>2024</v>
      </c>
      <c r="S868" s="110">
        <f t="shared" si="2"/>
        <v>6</v>
      </c>
      <c r="T868" s="108" t="str">
        <f t="shared" si="3"/>
        <v>2024-Q2</v>
      </c>
      <c r="U868" s="108" t="str">
        <f t="shared" si="4"/>
        <v>2024-06</v>
      </c>
      <c r="V868" s="112" t="str">
        <f t="shared" si="5"/>
        <v>2024-H1</v>
      </c>
      <c r="W868" s="112"/>
    </row>
    <row r="869">
      <c r="A869" s="146">
        <f>HYPERLINK("https://polkadot.subsquare.io/referenda/861", 861)</f>
        <v>861</v>
      </c>
      <c r="B869" s="147" t="s">
        <v>3143</v>
      </c>
      <c r="C869" s="147" t="s">
        <v>2681</v>
      </c>
      <c r="D869" s="148">
        <v>0.0</v>
      </c>
      <c r="E869" s="149">
        <v>0.0</v>
      </c>
      <c r="F869" s="147" t="s">
        <v>2891</v>
      </c>
      <c r="G869" s="150">
        <v>3.3216673944585253E7</v>
      </c>
      <c r="H869" s="150">
        <v>2.168531844475686E7</v>
      </c>
      <c r="I869" s="151">
        <v>45453.0</v>
      </c>
      <c r="J869" s="151">
        <v>45473.0</v>
      </c>
      <c r="K869" s="152">
        <v>0.0</v>
      </c>
      <c r="L869" s="117"/>
      <c r="M869" s="117"/>
      <c r="N869" s="153"/>
      <c r="O869" s="153"/>
      <c r="P869" s="153"/>
      <c r="Q869" s="153"/>
      <c r="R869" s="153" t="str">
        <f t="shared" si="1"/>
        <v>2024</v>
      </c>
      <c r="S869" s="154">
        <f t="shared" si="2"/>
        <v>6</v>
      </c>
      <c r="T869" s="153" t="str">
        <f t="shared" si="3"/>
        <v>2024-Q2</v>
      </c>
      <c r="U869" s="153" t="str">
        <f t="shared" si="4"/>
        <v>2024-06</v>
      </c>
      <c r="V869" s="155" t="str">
        <f t="shared" si="5"/>
        <v>2024-H1</v>
      </c>
      <c r="W869" s="155"/>
    </row>
    <row r="870">
      <c r="A870" s="139">
        <f>HYPERLINK("https://polkadot.subsquare.io/referenda/862", 862)</f>
        <v>862</v>
      </c>
      <c r="B870" s="140" t="s">
        <v>3144</v>
      </c>
      <c r="C870" s="140" t="s">
        <v>2681</v>
      </c>
      <c r="D870" s="141">
        <v>0.0</v>
      </c>
      <c r="E870" s="142">
        <v>0.0</v>
      </c>
      <c r="F870" s="140" t="s">
        <v>3053</v>
      </c>
      <c r="G870" s="143">
        <v>4.96434955507643E7</v>
      </c>
      <c r="H870" s="143">
        <v>23528.5062</v>
      </c>
      <c r="I870" s="144">
        <v>45453.0</v>
      </c>
      <c r="J870" s="144">
        <v>45490.0</v>
      </c>
      <c r="K870" s="145">
        <v>0.0</v>
      </c>
      <c r="L870" s="114"/>
      <c r="M870" s="114"/>
      <c r="N870" s="108"/>
      <c r="O870" s="108"/>
      <c r="P870" s="108"/>
      <c r="Q870" s="108"/>
      <c r="R870" s="108" t="str">
        <f t="shared" si="1"/>
        <v>2024</v>
      </c>
      <c r="S870" s="110">
        <f t="shared" si="2"/>
        <v>7</v>
      </c>
      <c r="T870" s="108" t="str">
        <f t="shared" si="3"/>
        <v>2024-Q3</v>
      </c>
      <c r="U870" s="108" t="str">
        <f t="shared" si="4"/>
        <v>2024-07</v>
      </c>
      <c r="V870" s="112" t="str">
        <f t="shared" si="5"/>
        <v>2024-H2</v>
      </c>
      <c r="W870" s="112"/>
    </row>
    <row r="871">
      <c r="A871" s="146">
        <f>HYPERLINK("https://polkadot.subsquare.io/referenda/863", 863)</f>
        <v>863</v>
      </c>
      <c r="B871" s="147" t="s">
        <v>3145</v>
      </c>
      <c r="C871" s="147" t="s">
        <v>2681</v>
      </c>
      <c r="D871" s="148">
        <v>0.0</v>
      </c>
      <c r="E871" s="149">
        <v>0.0</v>
      </c>
      <c r="F871" s="147" t="s">
        <v>2891</v>
      </c>
      <c r="G871" s="150">
        <v>3.315065044034099E7</v>
      </c>
      <c r="H871" s="150">
        <v>2.144686405438903E7</v>
      </c>
      <c r="I871" s="151">
        <v>45453.0</v>
      </c>
      <c r="J871" s="151">
        <v>45473.0</v>
      </c>
      <c r="K871" s="152">
        <v>0.0</v>
      </c>
      <c r="L871" s="117"/>
      <c r="M871" s="117"/>
      <c r="N871" s="153"/>
      <c r="O871" s="153"/>
      <c r="P871" s="153"/>
      <c r="Q871" s="153"/>
      <c r="R871" s="153" t="str">
        <f t="shared" si="1"/>
        <v>2024</v>
      </c>
      <c r="S871" s="154">
        <f t="shared" si="2"/>
        <v>6</v>
      </c>
      <c r="T871" s="153" t="str">
        <f t="shared" si="3"/>
        <v>2024-Q2</v>
      </c>
      <c r="U871" s="153" t="str">
        <f t="shared" si="4"/>
        <v>2024-06</v>
      </c>
      <c r="V871" s="155" t="str">
        <f t="shared" si="5"/>
        <v>2024-H1</v>
      </c>
      <c r="W871" s="155"/>
    </row>
    <row r="872">
      <c r="A872" s="139">
        <f>HYPERLINK("https://polkadot.subsquare.io/referenda/864", 864)</f>
        <v>864</v>
      </c>
      <c r="B872" s="140" t="s">
        <v>3146</v>
      </c>
      <c r="C872" s="140" t="s">
        <v>2681</v>
      </c>
      <c r="D872" s="141">
        <v>0.0</v>
      </c>
      <c r="E872" s="142">
        <v>0.0</v>
      </c>
      <c r="F872" s="140" t="s">
        <v>2891</v>
      </c>
      <c r="G872" s="143">
        <v>5.342226577575157E7</v>
      </c>
      <c r="H872" s="143">
        <v>537924.3172470513</v>
      </c>
      <c r="I872" s="144">
        <v>45453.0</v>
      </c>
      <c r="J872" s="144">
        <v>45464.0</v>
      </c>
      <c r="K872" s="145">
        <v>0.0</v>
      </c>
      <c r="L872" s="114"/>
      <c r="M872" s="114"/>
      <c r="N872" s="108"/>
      <c r="O872" s="108"/>
      <c r="P872" s="108"/>
      <c r="Q872" s="108"/>
      <c r="R872" s="108" t="str">
        <f t="shared" si="1"/>
        <v>2024</v>
      </c>
      <c r="S872" s="110">
        <f t="shared" si="2"/>
        <v>6</v>
      </c>
      <c r="T872" s="108" t="str">
        <f t="shared" si="3"/>
        <v>2024-Q2</v>
      </c>
      <c r="U872" s="108" t="str">
        <f t="shared" si="4"/>
        <v>2024-06</v>
      </c>
      <c r="V872" s="112" t="str">
        <f t="shared" si="5"/>
        <v>2024-H1</v>
      </c>
      <c r="W872" s="112"/>
    </row>
    <row r="873">
      <c r="A873" s="146">
        <f>HYPERLINK("https://polkadot.subsquare.io/referenda/865", 865)</f>
        <v>865</v>
      </c>
      <c r="B873" s="147" t="s">
        <v>186</v>
      </c>
      <c r="C873" s="147" t="s">
        <v>2681</v>
      </c>
      <c r="D873" s="148">
        <v>80.0</v>
      </c>
      <c r="E873" s="149">
        <v>508.80577087402344</v>
      </c>
      <c r="F873" s="147" t="s">
        <v>186</v>
      </c>
      <c r="G873" s="150">
        <v>7698865.058179578</v>
      </c>
      <c r="H873" s="150">
        <v>10.0</v>
      </c>
      <c r="I873" s="151">
        <v>45454.0</v>
      </c>
      <c r="J873" s="151">
        <v>45457.0</v>
      </c>
      <c r="K873" s="152">
        <v>485.91320037841797</v>
      </c>
      <c r="L873" s="117" t="s">
        <v>81</v>
      </c>
      <c r="M873" s="117" t="s">
        <v>185</v>
      </c>
      <c r="N873" s="153"/>
      <c r="O873" s="153"/>
      <c r="P873" s="153"/>
      <c r="Q873" s="153"/>
      <c r="R873" s="153" t="str">
        <f t="shared" si="1"/>
        <v>2024</v>
      </c>
      <c r="S873" s="154">
        <f t="shared" si="2"/>
        <v>6</v>
      </c>
      <c r="T873" s="153" t="str">
        <f t="shared" si="3"/>
        <v>2024-Q2</v>
      </c>
      <c r="U873" s="153" t="str">
        <f t="shared" si="4"/>
        <v>2024-06</v>
      </c>
      <c r="V873" s="155" t="str">
        <f t="shared" si="5"/>
        <v>2024-H1</v>
      </c>
      <c r="W873" s="155"/>
    </row>
    <row r="874">
      <c r="A874" s="139">
        <f>HYPERLINK("https://polkadot.subsquare.io/referenda/866", 866)</f>
        <v>866</v>
      </c>
      <c r="B874" s="140" t="s">
        <v>3147</v>
      </c>
      <c r="C874" s="140" t="s">
        <v>2672</v>
      </c>
      <c r="D874" s="141">
        <v>1324503.0</v>
      </c>
      <c r="E874" s="142">
        <v>8423934.624249458</v>
      </c>
      <c r="F874" s="140" t="s">
        <v>2696</v>
      </c>
      <c r="G874" s="143">
        <v>3065.0</v>
      </c>
      <c r="H874" s="143">
        <v>4.3368109156400196E7</v>
      </c>
      <c r="I874" s="144">
        <v>45454.0</v>
      </c>
      <c r="J874" s="144">
        <v>45482.0</v>
      </c>
      <c r="K874" s="145">
        <v>8078419.132184029</v>
      </c>
      <c r="L874" s="114"/>
      <c r="M874" s="114"/>
      <c r="N874" s="108"/>
      <c r="O874" s="108"/>
      <c r="P874" s="108"/>
      <c r="Q874" s="108"/>
      <c r="R874" s="108" t="str">
        <f t="shared" si="1"/>
        <v>2024</v>
      </c>
      <c r="S874" s="110">
        <f t="shared" si="2"/>
        <v>7</v>
      </c>
      <c r="T874" s="108" t="str">
        <f t="shared" si="3"/>
        <v>2024-Q3</v>
      </c>
      <c r="U874" s="108" t="str">
        <f t="shared" si="4"/>
        <v>2024-07</v>
      </c>
      <c r="V874" s="112" t="str">
        <f t="shared" si="5"/>
        <v>2024-H2</v>
      </c>
      <c r="W874" s="156" t="s">
        <v>2654</v>
      </c>
    </row>
    <row r="875">
      <c r="A875" s="146">
        <f>HYPERLINK("https://polkadot.subsquare.io/referenda/867", 867)</f>
        <v>867</v>
      </c>
      <c r="B875" s="147" t="s">
        <v>3148</v>
      </c>
      <c r="C875" s="147" t="s">
        <v>2800</v>
      </c>
      <c r="D875" s="148">
        <v>0.0</v>
      </c>
      <c r="E875" s="149">
        <v>0.0</v>
      </c>
      <c r="F875" s="147" t="s">
        <v>3053</v>
      </c>
      <c r="G875" s="150">
        <v>1500.0</v>
      </c>
      <c r="H875" s="150">
        <v>2.0508056846722465E7</v>
      </c>
      <c r="I875" s="151">
        <v>45454.0</v>
      </c>
      <c r="J875" s="151">
        <v>45458.0</v>
      </c>
      <c r="K875" s="152">
        <v>0.0</v>
      </c>
      <c r="L875" s="117"/>
      <c r="M875" s="117"/>
      <c r="N875" s="153"/>
      <c r="O875" s="153"/>
      <c r="P875" s="153"/>
      <c r="Q875" s="153"/>
      <c r="R875" s="153" t="str">
        <f t="shared" si="1"/>
        <v>2024</v>
      </c>
      <c r="S875" s="154">
        <f t="shared" si="2"/>
        <v>6</v>
      </c>
      <c r="T875" s="153" t="str">
        <f t="shared" si="3"/>
        <v>2024-Q2</v>
      </c>
      <c r="U875" s="153" t="str">
        <f t="shared" si="4"/>
        <v>2024-06</v>
      </c>
      <c r="V875" s="155" t="str">
        <f t="shared" si="5"/>
        <v>2024-H1</v>
      </c>
      <c r="W875" s="158" t="s">
        <v>2654</v>
      </c>
    </row>
    <row r="876">
      <c r="A876" s="139">
        <f>HYPERLINK("https://polkadot.subsquare.io/referenda/868", 868)</f>
        <v>868</v>
      </c>
      <c r="B876" s="140" t="s">
        <v>3149</v>
      </c>
      <c r="C876" s="140" t="s">
        <v>2672</v>
      </c>
      <c r="D876" s="141">
        <v>135527.0</v>
      </c>
      <c r="E876" s="142">
        <v>835220.5386967659</v>
      </c>
      <c r="F876" s="140" t="s">
        <v>2676</v>
      </c>
      <c r="G876" s="143">
        <v>542288.2271781533</v>
      </c>
      <c r="H876" s="143">
        <v>5.010819812765766E7</v>
      </c>
      <c r="I876" s="144">
        <v>45454.0</v>
      </c>
      <c r="J876" s="144">
        <v>45482.0</v>
      </c>
      <c r="K876" s="145">
        <v>826607.3460969925</v>
      </c>
      <c r="L876" s="114"/>
      <c r="M876" s="114"/>
      <c r="N876" s="108"/>
      <c r="O876" s="108"/>
      <c r="P876" s="108"/>
      <c r="Q876" s="108"/>
      <c r="R876" s="108" t="str">
        <f t="shared" si="1"/>
        <v>2024</v>
      </c>
      <c r="S876" s="110">
        <f t="shared" si="2"/>
        <v>7</v>
      </c>
      <c r="T876" s="108" t="str">
        <f t="shared" si="3"/>
        <v>2024-Q3</v>
      </c>
      <c r="U876" s="108" t="str">
        <f t="shared" si="4"/>
        <v>2024-07</v>
      </c>
      <c r="V876" s="112" t="str">
        <f t="shared" si="5"/>
        <v>2024-H2</v>
      </c>
      <c r="W876" s="112"/>
    </row>
    <row r="877">
      <c r="A877" s="146">
        <f>HYPERLINK("https://polkadot.subsquare.io/referenda/869", 869)</f>
        <v>869</v>
      </c>
      <c r="B877" s="147" t="s">
        <v>3150</v>
      </c>
      <c r="C877" s="147" t="s">
        <v>2681</v>
      </c>
      <c r="D877" s="148">
        <v>0.0</v>
      </c>
      <c r="E877" s="149">
        <v>0.0</v>
      </c>
      <c r="F877" s="147" t="s">
        <v>2891</v>
      </c>
      <c r="G877" s="150">
        <v>3.444482280267985E7</v>
      </c>
      <c r="H877" s="150">
        <v>2886290.2186717577</v>
      </c>
      <c r="I877" s="151">
        <v>45454.0</v>
      </c>
      <c r="J877" s="151">
        <v>45467.0</v>
      </c>
      <c r="K877" s="152">
        <v>0.0</v>
      </c>
      <c r="L877" s="117"/>
      <c r="M877" s="117"/>
      <c r="N877" s="153"/>
      <c r="O877" s="153"/>
      <c r="P877" s="153"/>
      <c r="Q877" s="153"/>
      <c r="R877" s="153" t="str">
        <f t="shared" si="1"/>
        <v>2024</v>
      </c>
      <c r="S877" s="154">
        <f t="shared" si="2"/>
        <v>6</v>
      </c>
      <c r="T877" s="153" t="str">
        <f t="shared" si="3"/>
        <v>2024-Q2</v>
      </c>
      <c r="U877" s="153" t="str">
        <f t="shared" si="4"/>
        <v>2024-06</v>
      </c>
      <c r="V877" s="155" t="str">
        <f t="shared" si="5"/>
        <v>2024-H1</v>
      </c>
      <c r="W877" s="155"/>
    </row>
    <row r="878">
      <c r="A878" s="139">
        <f>HYPERLINK("https://polkadot.subsquare.io/referenda/870", 870)</f>
        <v>870</v>
      </c>
      <c r="B878" s="162"/>
      <c r="C878" s="140" t="s">
        <v>2681</v>
      </c>
      <c r="D878" s="141">
        <v>0.0</v>
      </c>
      <c r="E878" s="142">
        <v>0.0</v>
      </c>
      <c r="F878" s="140" t="s">
        <v>2802</v>
      </c>
      <c r="G878" s="143">
        <v>2.1342302071591366E7</v>
      </c>
      <c r="H878" s="143">
        <v>10.0</v>
      </c>
      <c r="I878" s="144">
        <v>45454.0</v>
      </c>
      <c r="J878" s="144">
        <v>45458.0</v>
      </c>
      <c r="K878" s="145">
        <v>0.0</v>
      </c>
      <c r="L878" s="114"/>
      <c r="M878" s="114"/>
      <c r="N878" s="108"/>
      <c r="O878" s="108"/>
      <c r="P878" s="108"/>
      <c r="Q878" s="108"/>
      <c r="R878" s="108" t="str">
        <f t="shared" si="1"/>
        <v>2024</v>
      </c>
      <c r="S878" s="110">
        <f t="shared" si="2"/>
        <v>6</v>
      </c>
      <c r="T878" s="108" t="str">
        <f t="shared" si="3"/>
        <v>2024-Q2</v>
      </c>
      <c r="U878" s="108" t="str">
        <f t="shared" si="4"/>
        <v>2024-06</v>
      </c>
      <c r="V878" s="112" t="str">
        <f t="shared" si="5"/>
        <v>2024-H1</v>
      </c>
      <c r="W878" s="112"/>
    </row>
    <row r="879">
      <c r="A879" s="146">
        <f>HYPERLINK("https://polkadot.subsquare.io/referenda/871", 871)</f>
        <v>871</v>
      </c>
      <c r="B879" s="147" t="s">
        <v>3151</v>
      </c>
      <c r="C879" s="147" t="s">
        <v>2681</v>
      </c>
      <c r="D879" s="148">
        <v>0.0</v>
      </c>
      <c r="E879" s="149">
        <v>0.0</v>
      </c>
      <c r="F879" s="147" t="s">
        <v>2891</v>
      </c>
      <c r="G879" s="150">
        <v>3.0732960823749024E7</v>
      </c>
      <c r="H879" s="150">
        <v>2.3484779307955507E7</v>
      </c>
      <c r="I879" s="151">
        <v>45455.0</v>
      </c>
      <c r="J879" s="151">
        <v>45470.0</v>
      </c>
      <c r="K879" s="152">
        <v>0.0</v>
      </c>
      <c r="L879" s="117"/>
      <c r="M879" s="117"/>
      <c r="N879" s="153"/>
      <c r="O879" s="153"/>
      <c r="P879" s="153"/>
      <c r="Q879" s="153"/>
      <c r="R879" s="153" t="str">
        <f t="shared" si="1"/>
        <v>2024</v>
      </c>
      <c r="S879" s="154">
        <f t="shared" si="2"/>
        <v>6</v>
      </c>
      <c r="T879" s="153" t="str">
        <f t="shared" si="3"/>
        <v>2024-Q2</v>
      </c>
      <c r="U879" s="153" t="str">
        <f t="shared" si="4"/>
        <v>2024-06</v>
      </c>
      <c r="V879" s="155" t="str">
        <f t="shared" si="5"/>
        <v>2024-H1</v>
      </c>
      <c r="W879" s="155"/>
    </row>
    <row r="880">
      <c r="A880" s="139">
        <f>HYPERLINK("https://polkadot.subsquare.io/referenda/872", 872)</f>
        <v>872</v>
      </c>
      <c r="B880" s="140" t="s">
        <v>3152</v>
      </c>
      <c r="C880" s="140" t="s">
        <v>2681</v>
      </c>
      <c r="D880" s="141">
        <v>0.0</v>
      </c>
      <c r="E880" s="142">
        <v>0.0</v>
      </c>
      <c r="F880" s="140" t="s">
        <v>2682</v>
      </c>
      <c r="G880" s="143">
        <v>1.125431398822826E8</v>
      </c>
      <c r="H880" s="143">
        <v>10.0</v>
      </c>
      <c r="I880" s="144">
        <v>45455.0</v>
      </c>
      <c r="J880" s="144">
        <v>45479.0</v>
      </c>
      <c r="K880" s="145">
        <v>0.0</v>
      </c>
      <c r="L880" s="114"/>
      <c r="M880" s="114"/>
      <c r="N880" s="108"/>
      <c r="O880" s="108"/>
      <c r="P880" s="108"/>
      <c r="Q880" s="108"/>
      <c r="R880" s="108" t="str">
        <f t="shared" si="1"/>
        <v>2024</v>
      </c>
      <c r="S880" s="110">
        <f t="shared" si="2"/>
        <v>7</v>
      </c>
      <c r="T880" s="108" t="str">
        <f t="shared" si="3"/>
        <v>2024-Q3</v>
      </c>
      <c r="U880" s="108" t="str">
        <f t="shared" si="4"/>
        <v>2024-07</v>
      </c>
      <c r="V880" s="112" t="str">
        <f t="shared" si="5"/>
        <v>2024-H2</v>
      </c>
      <c r="W880" s="112"/>
    </row>
    <row r="881">
      <c r="A881" s="146">
        <f>HYPERLINK("https://polkadot.subsquare.io/referenda/873", 873)</f>
        <v>873</v>
      </c>
      <c r="B881" s="147" t="s">
        <v>3153</v>
      </c>
      <c r="C881" s="147" t="s">
        <v>2681</v>
      </c>
      <c r="D881" s="148">
        <v>0.0</v>
      </c>
      <c r="E881" s="149">
        <v>0.0</v>
      </c>
      <c r="F881" s="147" t="s">
        <v>2891</v>
      </c>
      <c r="G881" s="150">
        <v>2.985985225971056E7</v>
      </c>
      <c r="H881" s="150">
        <v>2.1512927633711625E7</v>
      </c>
      <c r="I881" s="151">
        <v>45455.0</v>
      </c>
      <c r="J881" s="151">
        <v>45473.0</v>
      </c>
      <c r="K881" s="152">
        <v>0.0</v>
      </c>
      <c r="L881" s="117"/>
      <c r="M881" s="117"/>
      <c r="N881" s="153"/>
      <c r="O881" s="153"/>
      <c r="P881" s="153"/>
      <c r="Q881" s="153"/>
      <c r="R881" s="153" t="str">
        <f t="shared" si="1"/>
        <v>2024</v>
      </c>
      <c r="S881" s="154">
        <f t="shared" si="2"/>
        <v>6</v>
      </c>
      <c r="T881" s="153" t="str">
        <f t="shared" si="3"/>
        <v>2024-Q2</v>
      </c>
      <c r="U881" s="153" t="str">
        <f t="shared" si="4"/>
        <v>2024-06</v>
      </c>
      <c r="V881" s="155" t="str">
        <f t="shared" si="5"/>
        <v>2024-H1</v>
      </c>
      <c r="W881" s="155"/>
    </row>
    <row r="882">
      <c r="A882" s="139">
        <f>HYPERLINK("https://polkadot.subsquare.io/referenda/874", 874)</f>
        <v>874</v>
      </c>
      <c r="B882" s="140" t="s">
        <v>3154</v>
      </c>
      <c r="C882" s="140" t="s">
        <v>2681</v>
      </c>
      <c r="D882" s="141">
        <v>0.0</v>
      </c>
      <c r="E882" s="142">
        <v>0.0</v>
      </c>
      <c r="F882" s="140" t="s">
        <v>2891</v>
      </c>
      <c r="G882" s="143">
        <v>5.2493596645968154E7</v>
      </c>
      <c r="H882" s="143">
        <v>455814.9086820306</v>
      </c>
      <c r="I882" s="144">
        <v>45455.0</v>
      </c>
      <c r="J882" s="144">
        <v>45473.0</v>
      </c>
      <c r="K882" s="145">
        <v>0.0</v>
      </c>
      <c r="L882" s="114"/>
      <c r="M882" s="114"/>
      <c r="N882" s="108"/>
      <c r="O882" s="108"/>
      <c r="P882" s="108"/>
      <c r="Q882" s="108"/>
      <c r="R882" s="108" t="str">
        <f t="shared" si="1"/>
        <v>2024</v>
      </c>
      <c r="S882" s="110">
        <f t="shared" si="2"/>
        <v>6</v>
      </c>
      <c r="T882" s="108" t="str">
        <f t="shared" si="3"/>
        <v>2024-Q2</v>
      </c>
      <c r="U882" s="108" t="str">
        <f t="shared" si="4"/>
        <v>2024-06</v>
      </c>
      <c r="V882" s="112" t="str">
        <f t="shared" si="5"/>
        <v>2024-H1</v>
      </c>
      <c r="W882" s="112"/>
    </row>
    <row r="883">
      <c r="A883" s="146">
        <f>HYPERLINK("https://polkadot.subsquare.io/referenda/875", 875)</f>
        <v>875</v>
      </c>
      <c r="B883" s="147" t="s">
        <v>3155</v>
      </c>
      <c r="C883" s="147" t="s">
        <v>2672</v>
      </c>
      <c r="D883" s="148">
        <v>18677.58</v>
      </c>
      <c r="E883" s="149">
        <v>116193.46928014756</v>
      </c>
      <c r="F883" s="147" t="s">
        <v>2683</v>
      </c>
      <c r="G883" s="150">
        <v>1.2937821604188425E7</v>
      </c>
      <c r="H883" s="150">
        <v>5.493134652911504E7</v>
      </c>
      <c r="I883" s="151">
        <v>45455.0</v>
      </c>
      <c r="J883" s="151">
        <v>45484.0</v>
      </c>
      <c r="K883" s="152">
        <v>116622.96014104845</v>
      </c>
      <c r="L883" s="117"/>
      <c r="M883" s="117"/>
      <c r="N883" s="153"/>
      <c r="O883" s="153"/>
      <c r="P883" s="153"/>
      <c r="Q883" s="153"/>
      <c r="R883" s="153" t="str">
        <f t="shared" si="1"/>
        <v>2024</v>
      </c>
      <c r="S883" s="154">
        <f t="shared" si="2"/>
        <v>7</v>
      </c>
      <c r="T883" s="153" t="str">
        <f t="shared" si="3"/>
        <v>2024-Q3</v>
      </c>
      <c r="U883" s="153" t="str">
        <f t="shared" si="4"/>
        <v>2024-07</v>
      </c>
      <c r="V883" s="155" t="str">
        <f t="shared" si="5"/>
        <v>2024-H2</v>
      </c>
      <c r="W883" s="155"/>
    </row>
    <row r="884">
      <c r="A884" s="139">
        <f>HYPERLINK("https://polkadot.subsquare.io/referenda/876", 876)</f>
        <v>876</v>
      </c>
      <c r="B884" s="140" t="s">
        <v>3156</v>
      </c>
      <c r="C884" s="140" t="s">
        <v>2681</v>
      </c>
      <c r="D884" s="141">
        <v>0.0</v>
      </c>
      <c r="E884" s="142">
        <v>0.0</v>
      </c>
      <c r="F884" s="140" t="s">
        <v>2891</v>
      </c>
      <c r="G884" s="143">
        <v>3.0974740613899987E7</v>
      </c>
      <c r="H884" s="143">
        <v>2.1552730533711627E7</v>
      </c>
      <c r="I884" s="144">
        <v>45455.0</v>
      </c>
      <c r="J884" s="144">
        <v>45473.0</v>
      </c>
      <c r="K884" s="145">
        <v>0.0</v>
      </c>
      <c r="L884" s="114"/>
      <c r="M884" s="114"/>
      <c r="N884" s="108"/>
      <c r="O884" s="108"/>
      <c r="P884" s="108"/>
      <c r="Q884" s="108"/>
      <c r="R884" s="108" t="str">
        <f t="shared" si="1"/>
        <v>2024</v>
      </c>
      <c r="S884" s="110">
        <f t="shared" si="2"/>
        <v>6</v>
      </c>
      <c r="T884" s="108" t="str">
        <f t="shared" si="3"/>
        <v>2024-Q2</v>
      </c>
      <c r="U884" s="108" t="str">
        <f t="shared" si="4"/>
        <v>2024-06</v>
      </c>
      <c r="V884" s="112" t="str">
        <f t="shared" si="5"/>
        <v>2024-H1</v>
      </c>
      <c r="W884" s="112"/>
    </row>
    <row r="885">
      <c r="A885" s="146">
        <f>HYPERLINK("https://polkadot.subsquare.io/referenda/877", 877)</f>
        <v>877</v>
      </c>
      <c r="B885" s="147" t="s">
        <v>3157</v>
      </c>
      <c r="C885" s="147" t="s">
        <v>2672</v>
      </c>
      <c r="D885" s="148">
        <v>6429.820923917001</v>
      </c>
      <c r="E885" s="149">
        <v>40000.0</v>
      </c>
      <c r="F885" s="147" t="s">
        <v>2678</v>
      </c>
      <c r="G885" s="150">
        <v>45364.0075154096</v>
      </c>
      <c r="H885" s="150">
        <v>5.2924320289406955E7</v>
      </c>
      <c r="I885" s="151">
        <v>45456.0</v>
      </c>
      <c r="J885" s="151">
        <v>45484.0</v>
      </c>
      <c r="K885" s="152">
        <v>40688.4070023861</v>
      </c>
      <c r="L885" s="117"/>
      <c r="M885" s="117"/>
      <c r="N885" s="153"/>
      <c r="O885" s="153"/>
      <c r="P885" s="153"/>
      <c r="Q885" s="153"/>
      <c r="R885" s="153" t="str">
        <f t="shared" si="1"/>
        <v>2024</v>
      </c>
      <c r="S885" s="154">
        <f t="shared" si="2"/>
        <v>7</v>
      </c>
      <c r="T885" s="153" t="str">
        <f t="shared" si="3"/>
        <v>2024-Q3</v>
      </c>
      <c r="U885" s="153" t="str">
        <f t="shared" si="4"/>
        <v>2024-07</v>
      </c>
      <c r="V885" s="155" t="str">
        <f t="shared" si="5"/>
        <v>2024-H2</v>
      </c>
      <c r="W885" s="155"/>
    </row>
    <row r="886">
      <c r="A886" s="139">
        <f>HYPERLINK("https://polkadot.subsquare.io/referenda/878", 878)</f>
        <v>878</v>
      </c>
      <c r="B886" s="140" t="s">
        <v>3158</v>
      </c>
      <c r="C886" s="140" t="s">
        <v>2691</v>
      </c>
      <c r="D886" s="141">
        <v>0.0</v>
      </c>
      <c r="E886" s="142">
        <v>0.0</v>
      </c>
      <c r="F886" s="140" t="s">
        <v>2891</v>
      </c>
      <c r="G886" s="143">
        <v>96029.5035491526</v>
      </c>
      <c r="H886" s="143">
        <v>5948677.160152549</v>
      </c>
      <c r="I886" s="144">
        <v>45456.0</v>
      </c>
      <c r="J886" s="144">
        <v>45470.0</v>
      </c>
      <c r="K886" s="145">
        <v>0.0</v>
      </c>
      <c r="L886" s="114"/>
      <c r="M886" s="114"/>
      <c r="N886" s="108"/>
      <c r="O886" s="108"/>
      <c r="P886" s="108"/>
      <c r="Q886" s="108"/>
      <c r="R886" s="108" t="str">
        <f t="shared" si="1"/>
        <v>2024</v>
      </c>
      <c r="S886" s="110">
        <f t="shared" si="2"/>
        <v>6</v>
      </c>
      <c r="T886" s="108" t="str">
        <f t="shared" si="3"/>
        <v>2024-Q2</v>
      </c>
      <c r="U886" s="108" t="str">
        <f t="shared" si="4"/>
        <v>2024-06</v>
      </c>
      <c r="V886" s="112" t="str">
        <f t="shared" si="5"/>
        <v>2024-H1</v>
      </c>
      <c r="W886" s="156" t="s">
        <v>2654</v>
      </c>
    </row>
    <row r="887">
      <c r="A887" s="146">
        <f>HYPERLINK("https://polkadot.subsquare.io/referenda/879", 879)</f>
        <v>879</v>
      </c>
      <c r="B887" s="147" t="s">
        <v>3159</v>
      </c>
      <c r="C887" s="147" t="s">
        <v>2681</v>
      </c>
      <c r="D887" s="148">
        <v>0.0</v>
      </c>
      <c r="E887" s="149">
        <v>0.0</v>
      </c>
      <c r="F887" s="147" t="s">
        <v>2891</v>
      </c>
      <c r="G887" s="150">
        <v>3.4918656859011024E7</v>
      </c>
      <c r="H887" s="150">
        <v>2.3894476806949638E7</v>
      </c>
      <c r="I887" s="151">
        <v>45456.0</v>
      </c>
      <c r="J887" s="151">
        <v>45487.0</v>
      </c>
      <c r="K887" s="152">
        <v>0.0</v>
      </c>
      <c r="L887" s="117"/>
      <c r="M887" s="117"/>
      <c r="N887" s="153"/>
      <c r="O887" s="153"/>
      <c r="P887" s="153"/>
      <c r="Q887" s="153"/>
      <c r="R887" s="153" t="str">
        <f t="shared" si="1"/>
        <v>2024</v>
      </c>
      <c r="S887" s="154">
        <f t="shared" si="2"/>
        <v>7</v>
      </c>
      <c r="T887" s="153" t="str">
        <f t="shared" si="3"/>
        <v>2024-Q3</v>
      </c>
      <c r="U887" s="153" t="str">
        <f t="shared" si="4"/>
        <v>2024-07</v>
      </c>
      <c r="V887" s="155" t="str">
        <f t="shared" si="5"/>
        <v>2024-H2</v>
      </c>
      <c r="W887" s="155"/>
    </row>
    <row r="888">
      <c r="A888" s="139">
        <f>HYPERLINK("https://polkadot.subsquare.io/referenda/880", 880)</f>
        <v>880</v>
      </c>
      <c r="B888" s="140" t="s">
        <v>3160</v>
      </c>
      <c r="C888" s="140" t="s">
        <v>2681</v>
      </c>
      <c r="D888" s="141">
        <v>0.0</v>
      </c>
      <c r="E888" s="142">
        <v>0.0</v>
      </c>
      <c r="F888" s="140" t="s">
        <v>2891</v>
      </c>
      <c r="G888" s="143">
        <v>3.172932455185468E7</v>
      </c>
      <c r="H888" s="143">
        <v>2.350089888349939E7</v>
      </c>
      <c r="I888" s="144">
        <v>45457.0</v>
      </c>
      <c r="J888" s="144">
        <v>45487.0</v>
      </c>
      <c r="K888" s="145">
        <v>0.0</v>
      </c>
      <c r="L888" s="114"/>
      <c r="M888" s="114"/>
      <c r="N888" s="108"/>
      <c r="O888" s="108"/>
      <c r="P888" s="108"/>
      <c r="Q888" s="108"/>
      <c r="R888" s="108" t="str">
        <f t="shared" si="1"/>
        <v>2024</v>
      </c>
      <c r="S888" s="110">
        <f t="shared" si="2"/>
        <v>7</v>
      </c>
      <c r="T888" s="108" t="str">
        <f t="shared" si="3"/>
        <v>2024-Q3</v>
      </c>
      <c r="U888" s="108" t="str">
        <f t="shared" si="4"/>
        <v>2024-07</v>
      </c>
      <c r="V888" s="112" t="str">
        <f t="shared" si="5"/>
        <v>2024-H2</v>
      </c>
      <c r="W888" s="112"/>
    </row>
    <row r="889">
      <c r="A889" s="146">
        <f>HYPERLINK("https://polkadot.subsquare.io/referenda/881", 881)</f>
        <v>881</v>
      </c>
      <c r="B889" s="147" t="s">
        <v>2971</v>
      </c>
      <c r="C889" s="147" t="s">
        <v>2691</v>
      </c>
      <c r="D889" s="148">
        <v>0.0</v>
      </c>
      <c r="E889" s="149">
        <v>0.0</v>
      </c>
      <c r="F889" s="147" t="s">
        <v>2891</v>
      </c>
      <c r="G889" s="150">
        <v>16802.1</v>
      </c>
      <c r="H889" s="150">
        <v>2.3567871443882525E7</v>
      </c>
      <c r="I889" s="151">
        <v>45457.0</v>
      </c>
      <c r="J889" s="151">
        <v>45471.0</v>
      </c>
      <c r="K889" s="152">
        <v>0.0</v>
      </c>
      <c r="L889" s="117"/>
      <c r="M889" s="117"/>
      <c r="N889" s="153"/>
      <c r="O889" s="153"/>
      <c r="P889" s="153"/>
      <c r="Q889" s="153"/>
      <c r="R889" s="153" t="str">
        <f t="shared" si="1"/>
        <v>2024</v>
      </c>
      <c r="S889" s="154">
        <f t="shared" si="2"/>
        <v>6</v>
      </c>
      <c r="T889" s="153" t="str">
        <f t="shared" si="3"/>
        <v>2024-Q2</v>
      </c>
      <c r="U889" s="153" t="str">
        <f t="shared" si="4"/>
        <v>2024-06</v>
      </c>
      <c r="V889" s="155" t="str">
        <f t="shared" si="5"/>
        <v>2024-H1</v>
      </c>
      <c r="W889" s="158" t="s">
        <v>2654</v>
      </c>
    </row>
    <row r="890">
      <c r="A890" s="139">
        <f>HYPERLINK("https://polkadot.subsquare.io/referenda/882", 882)</f>
        <v>882</v>
      </c>
      <c r="B890" s="140" t="s">
        <v>3161</v>
      </c>
      <c r="C890" s="140" t="s">
        <v>2691</v>
      </c>
      <c r="D890" s="141">
        <v>0.0</v>
      </c>
      <c r="E890" s="142">
        <v>0.0</v>
      </c>
      <c r="F890" s="140" t="s">
        <v>2891</v>
      </c>
      <c r="G890" s="143">
        <v>10250.0</v>
      </c>
      <c r="H890" s="143">
        <v>2.3491778633470815E7</v>
      </c>
      <c r="I890" s="144">
        <v>45458.0</v>
      </c>
      <c r="J890" s="144">
        <v>45472.0</v>
      </c>
      <c r="K890" s="145">
        <v>0.0</v>
      </c>
      <c r="L890" s="114"/>
      <c r="M890" s="114"/>
      <c r="N890" s="108"/>
      <c r="O890" s="108"/>
      <c r="P890" s="108"/>
      <c r="Q890" s="108"/>
      <c r="R890" s="108" t="str">
        <f t="shared" si="1"/>
        <v>2024</v>
      </c>
      <c r="S890" s="110">
        <f t="shared" si="2"/>
        <v>6</v>
      </c>
      <c r="T890" s="108" t="str">
        <f t="shared" si="3"/>
        <v>2024-Q2</v>
      </c>
      <c r="U890" s="108" t="str">
        <f t="shared" si="4"/>
        <v>2024-06</v>
      </c>
      <c r="V890" s="112" t="str">
        <f t="shared" si="5"/>
        <v>2024-H1</v>
      </c>
      <c r="W890" s="156" t="s">
        <v>2654</v>
      </c>
    </row>
    <row r="891">
      <c r="A891" s="146">
        <f>HYPERLINK("https://polkadot.subsquare.io/referenda/883", 883)</f>
        <v>883</v>
      </c>
      <c r="B891" s="147" t="s">
        <v>3162</v>
      </c>
      <c r="C891" s="147" t="s">
        <v>2672</v>
      </c>
      <c r="D891" s="148">
        <v>25000.0</v>
      </c>
      <c r="E891" s="149">
        <v>151847.87511825562</v>
      </c>
      <c r="F891" s="147" t="s">
        <v>2683</v>
      </c>
      <c r="G891" s="150">
        <v>1.9083987422196902E7</v>
      </c>
      <c r="H891" s="150">
        <v>3.473199162272547E7</v>
      </c>
      <c r="I891" s="151">
        <v>45458.0</v>
      </c>
      <c r="J891" s="151">
        <v>45486.0</v>
      </c>
      <c r="K891" s="152">
        <v>162463.92726898193</v>
      </c>
      <c r="L891" s="117"/>
      <c r="M891" s="117"/>
      <c r="N891" s="153"/>
      <c r="O891" s="153"/>
      <c r="P891" s="153"/>
      <c r="Q891" s="153"/>
      <c r="R891" s="153" t="str">
        <f t="shared" si="1"/>
        <v>2024</v>
      </c>
      <c r="S891" s="154">
        <f t="shared" si="2"/>
        <v>7</v>
      </c>
      <c r="T891" s="153" t="str">
        <f t="shared" si="3"/>
        <v>2024-Q3</v>
      </c>
      <c r="U891" s="153" t="str">
        <f t="shared" si="4"/>
        <v>2024-07</v>
      </c>
      <c r="V891" s="155" t="str">
        <f t="shared" si="5"/>
        <v>2024-H2</v>
      </c>
      <c r="W891" s="155"/>
    </row>
    <row r="892">
      <c r="A892" s="139">
        <f>HYPERLINK("https://polkadot.subsquare.io/referenda/884", 884)</f>
        <v>884</v>
      </c>
      <c r="B892" s="140" t="s">
        <v>3163</v>
      </c>
      <c r="C892" s="140" t="s">
        <v>2672</v>
      </c>
      <c r="D892" s="141">
        <v>0.0</v>
      </c>
      <c r="E892" s="142">
        <v>0.0</v>
      </c>
      <c r="F892" s="140" t="s">
        <v>2891</v>
      </c>
      <c r="G892" s="143">
        <v>491832.8060161418</v>
      </c>
      <c r="H892" s="143">
        <v>2.4997802409163885E7</v>
      </c>
      <c r="I892" s="144">
        <v>45458.0</v>
      </c>
      <c r="J892" s="144">
        <v>45501.0</v>
      </c>
      <c r="K892" s="145">
        <v>0.0</v>
      </c>
      <c r="L892" s="114"/>
      <c r="M892" s="114"/>
      <c r="N892" s="108"/>
      <c r="O892" s="108"/>
      <c r="P892" s="108"/>
      <c r="Q892" s="108"/>
      <c r="R892" s="108" t="str">
        <f t="shared" si="1"/>
        <v>2024</v>
      </c>
      <c r="S892" s="110">
        <f t="shared" si="2"/>
        <v>7</v>
      </c>
      <c r="T892" s="108" t="str">
        <f t="shared" si="3"/>
        <v>2024-Q3</v>
      </c>
      <c r="U892" s="108" t="str">
        <f t="shared" si="4"/>
        <v>2024-07</v>
      </c>
      <c r="V892" s="112" t="str">
        <f t="shared" si="5"/>
        <v>2024-H2</v>
      </c>
      <c r="W892" s="112"/>
    </row>
    <row r="893">
      <c r="A893" s="146">
        <f>HYPERLINK("https://polkadot.subsquare.io/referenda/885", 885)</f>
        <v>885</v>
      </c>
      <c r="B893" s="147" t="s">
        <v>3164</v>
      </c>
      <c r="C893" s="147" t="s">
        <v>2681</v>
      </c>
      <c r="D893" s="148">
        <v>0.0</v>
      </c>
      <c r="E893" s="149">
        <v>0.0</v>
      </c>
      <c r="F893" s="147" t="s">
        <v>3053</v>
      </c>
      <c r="G893" s="150">
        <v>5.492771246911078E7</v>
      </c>
      <c r="H893" s="150">
        <v>1658636.2</v>
      </c>
      <c r="I893" s="151">
        <v>45458.0</v>
      </c>
      <c r="J893" s="151">
        <v>45487.0</v>
      </c>
      <c r="K893" s="152">
        <v>0.0</v>
      </c>
      <c r="L893" s="117"/>
      <c r="M893" s="117"/>
      <c r="N893" s="153"/>
      <c r="O893" s="153"/>
      <c r="P893" s="153"/>
      <c r="Q893" s="153"/>
      <c r="R893" s="153" t="str">
        <f t="shared" si="1"/>
        <v>2024</v>
      </c>
      <c r="S893" s="154">
        <f t="shared" si="2"/>
        <v>7</v>
      </c>
      <c r="T893" s="153" t="str">
        <f t="shared" si="3"/>
        <v>2024-Q3</v>
      </c>
      <c r="U893" s="153" t="str">
        <f t="shared" si="4"/>
        <v>2024-07</v>
      </c>
      <c r="V893" s="155" t="str">
        <f t="shared" si="5"/>
        <v>2024-H2</v>
      </c>
      <c r="W893" s="155"/>
    </row>
    <row r="894">
      <c r="A894" s="139">
        <f>HYPERLINK("https://polkadot.subsquare.io/referenda/886", 886)</f>
        <v>886</v>
      </c>
      <c r="B894" s="140" t="s">
        <v>539</v>
      </c>
      <c r="C894" s="140" t="s">
        <v>2681</v>
      </c>
      <c r="D894" s="141">
        <v>97920.28</v>
      </c>
      <c r="E894" s="142">
        <v>565553.360956688</v>
      </c>
      <c r="F894" s="140" t="s">
        <v>2683</v>
      </c>
      <c r="G894" s="143">
        <v>5.52858735903843E7</v>
      </c>
      <c r="H894" s="143">
        <v>2.230211722810586E7</v>
      </c>
      <c r="I894" s="144">
        <v>45458.0</v>
      </c>
      <c r="J894" s="144">
        <v>45486.0</v>
      </c>
      <c r="K894" s="145">
        <v>636340.5299231338</v>
      </c>
      <c r="L894" s="114" t="s">
        <v>81</v>
      </c>
      <c r="M894" s="114" t="s">
        <v>146</v>
      </c>
      <c r="N894" s="108"/>
      <c r="O894" s="108"/>
      <c r="P894" s="108"/>
      <c r="Q894" s="108"/>
      <c r="R894" s="108" t="str">
        <f t="shared" si="1"/>
        <v>2024</v>
      </c>
      <c r="S894" s="110">
        <f t="shared" si="2"/>
        <v>7</v>
      </c>
      <c r="T894" s="108" t="str">
        <f t="shared" si="3"/>
        <v>2024-Q3</v>
      </c>
      <c r="U894" s="108" t="str">
        <f t="shared" si="4"/>
        <v>2024-07</v>
      </c>
      <c r="V894" s="112" t="str">
        <f t="shared" si="5"/>
        <v>2024-H2</v>
      </c>
      <c r="W894" s="112"/>
    </row>
    <row r="895">
      <c r="A895" s="146">
        <f>HYPERLINK("https://polkadot.subsquare.io/referenda/887", 887)</f>
        <v>887</v>
      </c>
      <c r="B895" s="147" t="s">
        <v>3165</v>
      </c>
      <c r="C895" s="147" t="s">
        <v>2681</v>
      </c>
      <c r="D895" s="148">
        <v>0.0</v>
      </c>
      <c r="E895" s="149">
        <v>0.0</v>
      </c>
      <c r="F895" s="147" t="s">
        <v>2891</v>
      </c>
      <c r="G895" s="150">
        <v>5.220136340542938E7</v>
      </c>
      <c r="H895" s="150">
        <v>0.0</v>
      </c>
      <c r="I895" s="151">
        <v>45459.0</v>
      </c>
      <c r="J895" s="151">
        <v>45472.0</v>
      </c>
      <c r="K895" s="152">
        <v>0.0</v>
      </c>
      <c r="L895" s="117"/>
      <c r="M895" s="117"/>
      <c r="N895" s="153"/>
      <c r="O895" s="153"/>
      <c r="P895" s="153"/>
      <c r="Q895" s="153"/>
      <c r="R895" s="153" t="str">
        <f t="shared" si="1"/>
        <v>2024</v>
      </c>
      <c r="S895" s="154">
        <f t="shared" si="2"/>
        <v>6</v>
      </c>
      <c r="T895" s="153" t="str">
        <f t="shared" si="3"/>
        <v>2024-Q2</v>
      </c>
      <c r="U895" s="153" t="str">
        <f t="shared" si="4"/>
        <v>2024-06</v>
      </c>
      <c r="V895" s="155" t="str">
        <f t="shared" si="5"/>
        <v>2024-H1</v>
      </c>
      <c r="W895" s="155"/>
    </row>
    <row r="896">
      <c r="A896" s="139">
        <f>HYPERLINK("https://polkadot.subsquare.io/referenda/888", 888)</f>
        <v>888</v>
      </c>
      <c r="B896" s="140" t="s">
        <v>3166</v>
      </c>
      <c r="C896" s="140" t="s">
        <v>2681</v>
      </c>
      <c r="D896" s="141">
        <v>0.0</v>
      </c>
      <c r="E896" s="142">
        <v>0.0</v>
      </c>
      <c r="F896" s="140" t="s">
        <v>2682</v>
      </c>
      <c r="G896" s="143">
        <v>1.1272447543251139E8</v>
      </c>
      <c r="H896" s="143">
        <v>41.483746953</v>
      </c>
      <c r="I896" s="144">
        <v>45459.0</v>
      </c>
      <c r="J896" s="144">
        <v>45470.0</v>
      </c>
      <c r="K896" s="145">
        <v>0.0</v>
      </c>
      <c r="L896" s="114"/>
      <c r="M896" s="114"/>
      <c r="N896" s="108"/>
      <c r="O896" s="108"/>
      <c r="P896" s="108"/>
      <c r="Q896" s="108"/>
      <c r="R896" s="108" t="str">
        <f t="shared" si="1"/>
        <v>2024</v>
      </c>
      <c r="S896" s="110">
        <f t="shared" si="2"/>
        <v>6</v>
      </c>
      <c r="T896" s="108" t="str">
        <f t="shared" si="3"/>
        <v>2024-Q2</v>
      </c>
      <c r="U896" s="108" t="str">
        <f t="shared" si="4"/>
        <v>2024-06</v>
      </c>
      <c r="V896" s="112" t="str">
        <f t="shared" si="5"/>
        <v>2024-H1</v>
      </c>
      <c r="W896" s="112"/>
    </row>
    <row r="897">
      <c r="A897" s="146">
        <f>HYPERLINK("https://polkadot.subsquare.io/referenda/889", 889)</f>
        <v>889</v>
      </c>
      <c r="B897" s="147" t="s">
        <v>3167</v>
      </c>
      <c r="C897" s="147" t="s">
        <v>2672</v>
      </c>
      <c r="D897" s="148">
        <v>0.0</v>
      </c>
      <c r="E897" s="149">
        <v>0.0</v>
      </c>
      <c r="F897" s="147" t="s">
        <v>2891</v>
      </c>
      <c r="G897" s="150">
        <v>31875.5</v>
      </c>
      <c r="H897" s="150">
        <v>2.5309056707816344E7</v>
      </c>
      <c r="I897" s="151">
        <v>45459.0</v>
      </c>
      <c r="J897" s="151">
        <v>45501.0</v>
      </c>
      <c r="K897" s="152">
        <v>0.0</v>
      </c>
      <c r="L897" s="117"/>
      <c r="M897" s="117"/>
      <c r="N897" s="153"/>
      <c r="O897" s="153"/>
      <c r="P897" s="153"/>
      <c r="Q897" s="153"/>
      <c r="R897" s="153" t="str">
        <f t="shared" si="1"/>
        <v>2024</v>
      </c>
      <c r="S897" s="154">
        <f t="shared" si="2"/>
        <v>7</v>
      </c>
      <c r="T897" s="153" t="str">
        <f t="shared" si="3"/>
        <v>2024-Q3</v>
      </c>
      <c r="U897" s="153" t="str">
        <f t="shared" si="4"/>
        <v>2024-07</v>
      </c>
      <c r="V897" s="155" t="str">
        <f t="shared" si="5"/>
        <v>2024-H2</v>
      </c>
      <c r="W897" s="155"/>
    </row>
    <row r="898">
      <c r="A898" s="139">
        <f>HYPERLINK("https://polkadot.subsquare.io/referenda/890", 890)</f>
        <v>890</v>
      </c>
      <c r="B898" s="140" t="s">
        <v>3168</v>
      </c>
      <c r="C898" s="140" t="s">
        <v>2681</v>
      </c>
      <c r="D898" s="141">
        <v>0.0</v>
      </c>
      <c r="E898" s="142">
        <v>0.0</v>
      </c>
      <c r="F898" s="140" t="s">
        <v>2682</v>
      </c>
      <c r="G898" s="143">
        <v>1.770066171190921E8</v>
      </c>
      <c r="H898" s="143">
        <v>10.0</v>
      </c>
      <c r="I898" s="144">
        <v>45459.0</v>
      </c>
      <c r="J898" s="144">
        <v>45468.0</v>
      </c>
      <c r="K898" s="145">
        <v>0.0</v>
      </c>
      <c r="L898" s="114"/>
      <c r="M898" s="114"/>
      <c r="N898" s="108"/>
      <c r="O898" s="108"/>
      <c r="P898" s="108"/>
      <c r="Q898" s="108"/>
      <c r="R898" s="108" t="str">
        <f t="shared" si="1"/>
        <v>2024</v>
      </c>
      <c r="S898" s="110">
        <f t="shared" si="2"/>
        <v>6</v>
      </c>
      <c r="T898" s="108" t="str">
        <f t="shared" si="3"/>
        <v>2024-Q2</v>
      </c>
      <c r="U898" s="108" t="str">
        <f t="shared" si="4"/>
        <v>2024-06</v>
      </c>
      <c r="V898" s="112" t="str">
        <f t="shared" si="5"/>
        <v>2024-H1</v>
      </c>
      <c r="W898" s="112"/>
    </row>
    <row r="899">
      <c r="A899" s="146">
        <f>HYPERLINK("https://polkadot.subsquare.io/referenda/891", 891)</f>
        <v>891</v>
      </c>
      <c r="B899" s="147" t="s">
        <v>3169</v>
      </c>
      <c r="C899" s="147" t="s">
        <v>2691</v>
      </c>
      <c r="D899" s="148">
        <v>0.0</v>
      </c>
      <c r="E899" s="149">
        <v>0.0</v>
      </c>
      <c r="F899" s="147" t="s">
        <v>2891</v>
      </c>
      <c r="G899" s="150">
        <v>712115.9404656086</v>
      </c>
      <c r="H899" s="150">
        <v>2.360654182690565E7</v>
      </c>
      <c r="I899" s="151">
        <v>45459.0</v>
      </c>
      <c r="J899" s="151">
        <v>45473.0</v>
      </c>
      <c r="K899" s="152">
        <v>0.0</v>
      </c>
      <c r="L899" s="117"/>
      <c r="M899" s="117"/>
      <c r="N899" s="153"/>
      <c r="O899" s="153"/>
      <c r="P899" s="153"/>
      <c r="Q899" s="153"/>
      <c r="R899" s="153" t="str">
        <f t="shared" si="1"/>
        <v>2024</v>
      </c>
      <c r="S899" s="154">
        <f t="shared" si="2"/>
        <v>6</v>
      </c>
      <c r="T899" s="153" t="str">
        <f t="shared" si="3"/>
        <v>2024-Q2</v>
      </c>
      <c r="U899" s="153" t="str">
        <f t="shared" si="4"/>
        <v>2024-06</v>
      </c>
      <c r="V899" s="155" t="str">
        <f t="shared" si="5"/>
        <v>2024-H1</v>
      </c>
      <c r="W899" s="158" t="s">
        <v>2654</v>
      </c>
    </row>
    <row r="900">
      <c r="A900" s="139">
        <f>HYPERLINK("https://polkadot.subsquare.io/referenda/892", 892)</f>
        <v>892</v>
      </c>
      <c r="B900" s="140" t="s">
        <v>540</v>
      </c>
      <c r="C900" s="140" t="s">
        <v>2681</v>
      </c>
      <c r="D900" s="141">
        <v>39139.0</v>
      </c>
      <c r="E900" s="142">
        <v>220774.05807971954</v>
      </c>
      <c r="F900" s="140" t="s">
        <v>2683</v>
      </c>
      <c r="G900" s="143">
        <v>5.077895885038168E7</v>
      </c>
      <c r="H900" s="143">
        <v>192749.664890608</v>
      </c>
      <c r="I900" s="144">
        <v>45460.0</v>
      </c>
      <c r="J900" s="144">
        <v>45486.0</v>
      </c>
      <c r="K900" s="145">
        <v>254347.02597522736</v>
      </c>
      <c r="L900" s="114" t="s">
        <v>81</v>
      </c>
      <c r="M900" s="114" t="s">
        <v>185</v>
      </c>
      <c r="N900" s="108"/>
      <c r="O900" s="108"/>
      <c r="P900" s="108"/>
      <c r="Q900" s="108"/>
      <c r="R900" s="108" t="str">
        <f t="shared" si="1"/>
        <v>2024</v>
      </c>
      <c r="S900" s="110">
        <f t="shared" si="2"/>
        <v>7</v>
      </c>
      <c r="T900" s="108" t="str">
        <f t="shared" si="3"/>
        <v>2024-Q3</v>
      </c>
      <c r="U900" s="108" t="str">
        <f t="shared" si="4"/>
        <v>2024-07</v>
      </c>
      <c r="V900" s="112" t="str">
        <f t="shared" si="5"/>
        <v>2024-H2</v>
      </c>
      <c r="W900" s="112"/>
    </row>
    <row r="901">
      <c r="A901" s="146">
        <f>HYPERLINK("https://polkadot.subsquare.io/referenda/893", 893)</f>
        <v>893</v>
      </c>
      <c r="B901" s="147" t="s">
        <v>541</v>
      </c>
      <c r="C901" s="147" t="s">
        <v>2681</v>
      </c>
      <c r="D901" s="148">
        <v>16741.2753</v>
      </c>
      <c r="E901" s="149">
        <v>94433.66681342841</v>
      </c>
      <c r="F901" s="147" t="s">
        <v>2683</v>
      </c>
      <c r="G901" s="150">
        <v>3.1071944884705897E7</v>
      </c>
      <c r="H901" s="150">
        <v>1.0080122739189742E7</v>
      </c>
      <c r="I901" s="151">
        <v>45460.0</v>
      </c>
      <c r="J901" s="151">
        <v>45487.0</v>
      </c>
      <c r="K901" s="152">
        <v>104798.05621402932</v>
      </c>
      <c r="L901" s="117" t="s">
        <v>137</v>
      </c>
      <c r="M901" s="157" t="s">
        <v>266</v>
      </c>
      <c r="N901" s="153"/>
      <c r="O901" s="153"/>
      <c r="P901" s="153"/>
      <c r="Q901" s="153"/>
      <c r="R901" s="153" t="str">
        <f t="shared" si="1"/>
        <v>2024</v>
      </c>
      <c r="S901" s="154">
        <f t="shared" si="2"/>
        <v>7</v>
      </c>
      <c r="T901" s="153" t="str">
        <f t="shared" si="3"/>
        <v>2024-Q3</v>
      </c>
      <c r="U901" s="153" t="str">
        <f t="shared" si="4"/>
        <v>2024-07</v>
      </c>
      <c r="V901" s="155" t="str">
        <f t="shared" si="5"/>
        <v>2024-H2</v>
      </c>
      <c r="W901" s="155"/>
    </row>
    <row r="902">
      <c r="A902" s="139">
        <f>HYPERLINK("https://polkadot.subsquare.io/referenda/894", 894)</f>
        <v>894</v>
      </c>
      <c r="B902" s="140" t="s">
        <v>3170</v>
      </c>
      <c r="C902" s="140" t="s">
        <v>2691</v>
      </c>
      <c r="D902" s="141">
        <v>0.0</v>
      </c>
      <c r="E902" s="142">
        <v>0.0</v>
      </c>
      <c r="F902" s="140" t="s">
        <v>3053</v>
      </c>
      <c r="G902" s="143">
        <v>1.7054234560637236E7</v>
      </c>
      <c r="H902" s="143">
        <v>1.1942977909799276E7</v>
      </c>
      <c r="I902" s="144">
        <v>45460.0</v>
      </c>
      <c r="J902" s="144">
        <v>45474.0</v>
      </c>
      <c r="K902" s="145">
        <v>0.0</v>
      </c>
      <c r="L902" s="114"/>
      <c r="M902" s="114"/>
      <c r="N902" s="108"/>
      <c r="O902" s="108"/>
      <c r="P902" s="108"/>
      <c r="Q902" s="108"/>
      <c r="R902" s="108" t="str">
        <f t="shared" si="1"/>
        <v>2024</v>
      </c>
      <c r="S902" s="110">
        <f t="shared" si="2"/>
        <v>7</v>
      </c>
      <c r="T902" s="108" t="str">
        <f t="shared" si="3"/>
        <v>2024-Q3</v>
      </c>
      <c r="U902" s="108" t="str">
        <f t="shared" si="4"/>
        <v>2024-07</v>
      </c>
      <c r="V902" s="112" t="str">
        <f t="shared" si="5"/>
        <v>2024-H2</v>
      </c>
      <c r="W902" s="112"/>
    </row>
    <row r="903">
      <c r="A903" s="146">
        <f>HYPERLINK("https://polkadot.subsquare.io/referenda/895", 895)</f>
        <v>895</v>
      </c>
      <c r="B903" s="147" t="s">
        <v>542</v>
      </c>
      <c r="C903" s="147" t="s">
        <v>2681</v>
      </c>
      <c r="D903" s="148">
        <v>598000.0</v>
      </c>
      <c r="E903" s="149">
        <v>3373179.864883423</v>
      </c>
      <c r="F903" s="147" t="s">
        <v>2676</v>
      </c>
      <c r="G903" s="150">
        <v>8.017412290095802E7</v>
      </c>
      <c r="H903" s="150">
        <v>4.3064068548630334E7</v>
      </c>
      <c r="I903" s="151">
        <v>45460.0</v>
      </c>
      <c r="J903" s="151">
        <v>45485.0</v>
      </c>
      <c r="K903" s="152">
        <v>3886137.140274048</v>
      </c>
      <c r="L903" s="117" t="s">
        <v>137</v>
      </c>
      <c r="M903" s="157" t="s">
        <v>431</v>
      </c>
      <c r="N903" s="153"/>
      <c r="O903" s="153"/>
      <c r="P903" s="153"/>
      <c r="Q903" s="153"/>
      <c r="R903" s="153" t="str">
        <f t="shared" si="1"/>
        <v>2024</v>
      </c>
      <c r="S903" s="154">
        <f t="shared" si="2"/>
        <v>7</v>
      </c>
      <c r="T903" s="153" t="str">
        <f t="shared" si="3"/>
        <v>2024-Q3</v>
      </c>
      <c r="U903" s="153" t="str">
        <f t="shared" si="4"/>
        <v>2024-07</v>
      </c>
      <c r="V903" s="155" t="str">
        <f t="shared" si="5"/>
        <v>2024-H2</v>
      </c>
      <c r="W903" s="155"/>
    </row>
    <row r="904">
      <c r="A904" s="139">
        <f>HYPERLINK("https://polkadot.subsquare.io/referenda/896", 896)</f>
        <v>896</v>
      </c>
      <c r="B904" s="140" t="s">
        <v>3171</v>
      </c>
      <c r="C904" s="140" t="s">
        <v>2681</v>
      </c>
      <c r="D904" s="141">
        <v>0.0</v>
      </c>
      <c r="E904" s="142">
        <v>0.0</v>
      </c>
      <c r="F904" s="140" t="s">
        <v>2682</v>
      </c>
      <c r="G904" s="143">
        <v>1.1294653892117849E8</v>
      </c>
      <c r="H904" s="143">
        <v>10.0</v>
      </c>
      <c r="I904" s="144">
        <v>45461.0</v>
      </c>
      <c r="J904" s="144">
        <v>45472.0</v>
      </c>
      <c r="K904" s="145">
        <v>0.0</v>
      </c>
      <c r="L904" s="114"/>
      <c r="M904" s="114"/>
      <c r="N904" s="108"/>
      <c r="O904" s="108"/>
      <c r="P904" s="108"/>
      <c r="Q904" s="108"/>
      <c r="R904" s="108" t="str">
        <f t="shared" si="1"/>
        <v>2024</v>
      </c>
      <c r="S904" s="110">
        <f t="shared" si="2"/>
        <v>6</v>
      </c>
      <c r="T904" s="108" t="str">
        <f t="shared" si="3"/>
        <v>2024-Q2</v>
      </c>
      <c r="U904" s="108" t="str">
        <f t="shared" si="4"/>
        <v>2024-06</v>
      </c>
      <c r="V904" s="112" t="str">
        <f t="shared" si="5"/>
        <v>2024-H1</v>
      </c>
      <c r="W904" s="112"/>
    </row>
    <row r="905">
      <c r="A905" s="146">
        <f>HYPERLINK("https://polkadot.subsquare.io/referenda/897", 897)</f>
        <v>897</v>
      </c>
      <c r="B905" s="147" t="s">
        <v>543</v>
      </c>
      <c r="C905" s="147" t="s">
        <v>2681</v>
      </c>
      <c r="D905" s="148">
        <v>134899.0</v>
      </c>
      <c r="E905" s="149">
        <v>760934.097981453</v>
      </c>
      <c r="F905" s="147" t="s">
        <v>2676</v>
      </c>
      <c r="G905" s="150">
        <v>4.673127682493523E7</v>
      </c>
      <c r="H905" s="150">
        <v>3.975491512571219E7</v>
      </c>
      <c r="I905" s="151">
        <v>45461.0</v>
      </c>
      <c r="J905" s="151">
        <v>45499.0</v>
      </c>
      <c r="K905" s="152">
        <v>771814.6473407745</v>
      </c>
      <c r="L905" s="117" t="s">
        <v>82</v>
      </c>
      <c r="M905" s="117" t="s">
        <v>150</v>
      </c>
      <c r="N905" s="153"/>
      <c r="O905" s="153"/>
      <c r="P905" s="153"/>
      <c r="Q905" s="153"/>
      <c r="R905" s="153" t="str">
        <f t="shared" si="1"/>
        <v>2024</v>
      </c>
      <c r="S905" s="154">
        <f t="shared" si="2"/>
        <v>7</v>
      </c>
      <c r="T905" s="153" t="str">
        <f t="shared" si="3"/>
        <v>2024-Q3</v>
      </c>
      <c r="U905" s="153" t="str">
        <f t="shared" si="4"/>
        <v>2024-07</v>
      </c>
      <c r="V905" s="155" t="str">
        <f t="shared" si="5"/>
        <v>2024-H2</v>
      </c>
      <c r="W905" s="155"/>
    </row>
    <row r="906">
      <c r="A906" s="139">
        <f>HYPERLINK("https://polkadot.subsquare.io/referenda/898", 898)</f>
        <v>898</v>
      </c>
      <c r="B906" s="140" t="s">
        <v>3172</v>
      </c>
      <c r="C906" s="140" t="s">
        <v>2672</v>
      </c>
      <c r="D906" s="141">
        <v>34000.0</v>
      </c>
      <c r="E906" s="142">
        <v>191786.14616394043</v>
      </c>
      <c r="F906" s="140" t="s">
        <v>2683</v>
      </c>
      <c r="G906" s="143">
        <v>12521.31</v>
      </c>
      <c r="H906" s="143">
        <v>5.803476569148749E7</v>
      </c>
      <c r="I906" s="144">
        <v>45461.0</v>
      </c>
      <c r="J906" s="144">
        <v>45489.0</v>
      </c>
      <c r="K906" s="145">
        <v>215768.5947418213</v>
      </c>
      <c r="L906" s="114"/>
      <c r="M906" s="114"/>
      <c r="N906" s="108"/>
      <c r="O906" s="108"/>
      <c r="P906" s="108"/>
      <c r="Q906" s="108"/>
      <c r="R906" s="108" t="str">
        <f t="shared" si="1"/>
        <v>2024</v>
      </c>
      <c r="S906" s="110">
        <f t="shared" si="2"/>
        <v>7</v>
      </c>
      <c r="T906" s="108" t="str">
        <f t="shared" si="3"/>
        <v>2024-Q3</v>
      </c>
      <c r="U906" s="108" t="str">
        <f t="shared" si="4"/>
        <v>2024-07</v>
      </c>
      <c r="V906" s="112" t="str">
        <f t="shared" si="5"/>
        <v>2024-H2</v>
      </c>
      <c r="W906" s="156" t="s">
        <v>2654</v>
      </c>
    </row>
    <row r="907">
      <c r="A907" s="146">
        <f>HYPERLINK("https://polkadot.subsquare.io/referenda/899", 899)</f>
        <v>899</v>
      </c>
      <c r="B907" s="147" t="s">
        <v>3173</v>
      </c>
      <c r="C907" s="147" t="s">
        <v>2672</v>
      </c>
      <c r="D907" s="148">
        <v>164989.27</v>
      </c>
      <c r="E907" s="149">
        <v>925765.0315320491</v>
      </c>
      <c r="F907" s="147" t="s">
        <v>2676</v>
      </c>
      <c r="G907" s="150">
        <v>6.296512044949929E7</v>
      </c>
      <c r="H907" s="150">
        <v>6.322939609743233E7</v>
      </c>
      <c r="I907" s="151">
        <v>45461.0</v>
      </c>
      <c r="J907" s="151">
        <v>45491.0</v>
      </c>
      <c r="K907" s="152">
        <v>1045558.4641002415</v>
      </c>
      <c r="L907" s="117"/>
      <c r="M907" s="117"/>
      <c r="N907" s="153"/>
      <c r="O907" s="153"/>
      <c r="P907" s="153"/>
      <c r="Q907" s="153"/>
      <c r="R907" s="153" t="str">
        <f t="shared" si="1"/>
        <v>2024</v>
      </c>
      <c r="S907" s="154">
        <f t="shared" si="2"/>
        <v>7</v>
      </c>
      <c r="T907" s="153" t="str">
        <f t="shared" si="3"/>
        <v>2024-Q3</v>
      </c>
      <c r="U907" s="153" t="str">
        <f t="shared" si="4"/>
        <v>2024-07</v>
      </c>
      <c r="V907" s="155" t="str">
        <f t="shared" si="5"/>
        <v>2024-H2</v>
      </c>
      <c r="W907" s="155"/>
    </row>
    <row r="908">
      <c r="A908" s="139">
        <f>HYPERLINK("https://polkadot.subsquare.io/referenda/900", 900)</f>
        <v>900</v>
      </c>
      <c r="B908" s="140" t="s">
        <v>3174</v>
      </c>
      <c r="C908" s="140" t="s">
        <v>2681</v>
      </c>
      <c r="D908" s="141">
        <v>0.0</v>
      </c>
      <c r="E908" s="142">
        <v>0.0</v>
      </c>
      <c r="F908" s="140" t="s">
        <v>2891</v>
      </c>
      <c r="G908" s="143">
        <v>2.919863110064184E7</v>
      </c>
      <c r="H908" s="143">
        <v>3756171.3466196456</v>
      </c>
      <c r="I908" s="144">
        <v>45461.0</v>
      </c>
      <c r="J908" s="144">
        <v>45481.0</v>
      </c>
      <c r="K908" s="145">
        <v>0.0</v>
      </c>
      <c r="L908" s="114"/>
      <c r="M908" s="114"/>
      <c r="N908" s="108"/>
      <c r="O908" s="108"/>
      <c r="P908" s="108"/>
      <c r="Q908" s="108"/>
      <c r="R908" s="108" t="str">
        <f t="shared" si="1"/>
        <v>2024</v>
      </c>
      <c r="S908" s="110">
        <f t="shared" si="2"/>
        <v>7</v>
      </c>
      <c r="T908" s="108" t="str">
        <f t="shared" si="3"/>
        <v>2024-Q3</v>
      </c>
      <c r="U908" s="108" t="str">
        <f t="shared" si="4"/>
        <v>2024-07</v>
      </c>
      <c r="V908" s="112" t="str">
        <f t="shared" si="5"/>
        <v>2024-H2</v>
      </c>
      <c r="W908" s="112"/>
    </row>
    <row r="909">
      <c r="A909" s="146">
        <f>HYPERLINK("https://polkadot.subsquare.io/referenda/901", 901)</f>
        <v>901</v>
      </c>
      <c r="B909" s="147" t="s">
        <v>3175</v>
      </c>
      <c r="C909" s="147" t="s">
        <v>2672</v>
      </c>
      <c r="D909" s="148">
        <v>42.0</v>
      </c>
      <c r="E909" s="149">
        <v>235.66460609436035</v>
      </c>
      <c r="F909" s="147" t="s">
        <v>186</v>
      </c>
      <c r="G909" s="150">
        <v>113644.5035491526</v>
      </c>
      <c r="H909" s="150">
        <v>2.9034323458923686E7</v>
      </c>
      <c r="I909" s="151">
        <v>45461.0</v>
      </c>
      <c r="J909" s="151">
        <v>45468.0</v>
      </c>
      <c r="K909" s="152">
        <v>259.3332452774048</v>
      </c>
      <c r="L909" s="117"/>
      <c r="M909" s="117"/>
      <c r="N909" s="153"/>
      <c r="O909" s="153"/>
      <c r="P909" s="153"/>
      <c r="Q909" s="153"/>
      <c r="R909" s="153" t="str">
        <f t="shared" si="1"/>
        <v>2024</v>
      </c>
      <c r="S909" s="154">
        <f t="shared" si="2"/>
        <v>6</v>
      </c>
      <c r="T909" s="153" t="str">
        <f t="shared" si="3"/>
        <v>2024-Q2</v>
      </c>
      <c r="U909" s="153" t="str">
        <f t="shared" si="4"/>
        <v>2024-06</v>
      </c>
      <c r="V909" s="155" t="str">
        <f t="shared" si="5"/>
        <v>2024-H1</v>
      </c>
      <c r="W909" s="158" t="s">
        <v>2654</v>
      </c>
    </row>
    <row r="910">
      <c r="A910" s="139">
        <f>HYPERLINK("https://polkadot.subsquare.io/referenda/902", 902)</f>
        <v>902</v>
      </c>
      <c r="B910" s="140" t="s">
        <v>3176</v>
      </c>
      <c r="C910" s="140" t="s">
        <v>2681</v>
      </c>
      <c r="D910" s="141">
        <v>0.0</v>
      </c>
      <c r="E910" s="142">
        <v>0.0</v>
      </c>
      <c r="F910" s="140" t="s">
        <v>2891</v>
      </c>
      <c r="G910" s="143">
        <v>2.9564057638391156E7</v>
      </c>
      <c r="H910" s="143">
        <v>2.1873725982819647E7</v>
      </c>
      <c r="I910" s="144">
        <v>45461.0</v>
      </c>
      <c r="J910" s="144">
        <v>45488.0</v>
      </c>
      <c r="K910" s="145">
        <v>0.0</v>
      </c>
      <c r="L910" s="114"/>
      <c r="M910" s="114"/>
      <c r="N910" s="108"/>
      <c r="O910" s="108"/>
      <c r="P910" s="108"/>
      <c r="Q910" s="108"/>
      <c r="R910" s="108" t="str">
        <f t="shared" si="1"/>
        <v>2024</v>
      </c>
      <c r="S910" s="110">
        <f t="shared" si="2"/>
        <v>7</v>
      </c>
      <c r="T910" s="108" t="str">
        <f t="shared" si="3"/>
        <v>2024-Q3</v>
      </c>
      <c r="U910" s="108" t="str">
        <f t="shared" si="4"/>
        <v>2024-07</v>
      </c>
      <c r="V910" s="112" t="str">
        <f t="shared" si="5"/>
        <v>2024-H2</v>
      </c>
      <c r="W910" s="112"/>
    </row>
    <row r="911">
      <c r="A911" s="146">
        <f>HYPERLINK("https://polkadot.subsquare.io/referenda/903", 903)</f>
        <v>903</v>
      </c>
      <c r="B911" s="147" t="s">
        <v>3177</v>
      </c>
      <c r="C911" s="147" t="s">
        <v>2672</v>
      </c>
      <c r="D911" s="148">
        <v>139470.9</v>
      </c>
      <c r="E911" s="149">
        <v>782579.8740506172</v>
      </c>
      <c r="F911" s="147" t="s">
        <v>2676</v>
      </c>
      <c r="G911" s="150">
        <v>7.458957652638148E7</v>
      </c>
      <c r="H911" s="150">
        <v>8.65092469118502E7</v>
      </c>
      <c r="I911" s="151">
        <v>45462.0</v>
      </c>
      <c r="J911" s="151">
        <v>45490.0</v>
      </c>
      <c r="K911" s="152">
        <v>885101.1794228554</v>
      </c>
      <c r="L911" s="117"/>
      <c r="M911" s="117"/>
      <c r="N911" s="153"/>
      <c r="O911" s="153"/>
      <c r="P911" s="153"/>
      <c r="Q911" s="153"/>
      <c r="R911" s="153" t="str">
        <f t="shared" si="1"/>
        <v>2024</v>
      </c>
      <c r="S911" s="154">
        <f t="shared" si="2"/>
        <v>7</v>
      </c>
      <c r="T911" s="153" t="str">
        <f t="shared" si="3"/>
        <v>2024-Q3</v>
      </c>
      <c r="U911" s="153" t="str">
        <f t="shared" si="4"/>
        <v>2024-07</v>
      </c>
      <c r="V911" s="155" t="str">
        <f t="shared" si="5"/>
        <v>2024-H2</v>
      </c>
      <c r="W911" s="155"/>
    </row>
    <row r="912">
      <c r="A912" s="139">
        <f>HYPERLINK("https://polkadot.subsquare.io/referenda/904", 904)</f>
        <v>904</v>
      </c>
      <c r="B912" s="140" t="s">
        <v>544</v>
      </c>
      <c r="C912" s="140" t="s">
        <v>2681</v>
      </c>
      <c r="D912" s="141">
        <v>724.78</v>
      </c>
      <c r="E912" s="142">
        <v>4066.7855525016785</v>
      </c>
      <c r="F912" s="140" t="s">
        <v>2699</v>
      </c>
      <c r="G912" s="143">
        <v>1.2985389954747396E7</v>
      </c>
      <c r="H912" s="143">
        <v>5748232.335227015</v>
      </c>
      <c r="I912" s="144">
        <v>45462.0</v>
      </c>
      <c r="J912" s="144">
        <v>45467.0</v>
      </c>
      <c r="K912" s="145">
        <v>4552.665035028457</v>
      </c>
      <c r="L912" s="114" t="s">
        <v>81</v>
      </c>
      <c r="M912" s="114" t="s">
        <v>179</v>
      </c>
      <c r="N912" s="108"/>
      <c r="O912" s="108"/>
      <c r="P912" s="108"/>
      <c r="Q912" s="108"/>
      <c r="R912" s="108" t="str">
        <f t="shared" si="1"/>
        <v>2024</v>
      </c>
      <c r="S912" s="110">
        <f t="shared" si="2"/>
        <v>6</v>
      </c>
      <c r="T912" s="108" t="str">
        <f t="shared" si="3"/>
        <v>2024-Q2</v>
      </c>
      <c r="U912" s="108" t="str">
        <f t="shared" si="4"/>
        <v>2024-06</v>
      </c>
      <c r="V912" s="112" t="str">
        <f t="shared" si="5"/>
        <v>2024-H1</v>
      </c>
      <c r="W912" s="112"/>
    </row>
    <row r="913">
      <c r="A913" s="146">
        <f>HYPERLINK("https://polkadot.subsquare.io/referenda/905", 905)</f>
        <v>905</v>
      </c>
      <c r="B913" s="147" t="s">
        <v>545</v>
      </c>
      <c r="C913" s="147" t="s">
        <v>2681</v>
      </c>
      <c r="D913" s="148">
        <v>70835.0</v>
      </c>
      <c r="E913" s="149">
        <v>407150.3692126274</v>
      </c>
      <c r="F913" s="147" t="s">
        <v>2683</v>
      </c>
      <c r="G913" s="150">
        <v>4.180861837168637E7</v>
      </c>
      <c r="H913" s="150">
        <v>1.2440978047780747E7</v>
      </c>
      <c r="I913" s="151">
        <v>45462.0</v>
      </c>
      <c r="J913" s="151">
        <v>45486.0</v>
      </c>
      <c r="K913" s="152">
        <v>449393.0377960205</v>
      </c>
      <c r="L913" s="117" t="s">
        <v>81</v>
      </c>
      <c r="M913" s="117" t="s">
        <v>331</v>
      </c>
      <c r="N913" s="153"/>
      <c r="O913" s="153"/>
      <c r="P913" s="153"/>
      <c r="Q913" s="153"/>
      <c r="R913" s="153" t="str">
        <f t="shared" si="1"/>
        <v>2024</v>
      </c>
      <c r="S913" s="154">
        <f t="shared" si="2"/>
        <v>7</v>
      </c>
      <c r="T913" s="153" t="str">
        <f t="shared" si="3"/>
        <v>2024-Q3</v>
      </c>
      <c r="U913" s="153" t="str">
        <f t="shared" si="4"/>
        <v>2024-07</v>
      </c>
      <c r="V913" s="155" t="str">
        <f t="shared" si="5"/>
        <v>2024-H2</v>
      </c>
      <c r="W913" s="155"/>
    </row>
    <row r="914">
      <c r="A914" s="139">
        <f>HYPERLINK("https://polkadot.subsquare.io/referenda/906", 906)</f>
        <v>906</v>
      </c>
      <c r="B914" s="140" t="s">
        <v>3178</v>
      </c>
      <c r="C914" s="140" t="s">
        <v>2691</v>
      </c>
      <c r="D914" s="141">
        <v>0.0</v>
      </c>
      <c r="E914" s="142">
        <v>0.0</v>
      </c>
      <c r="F914" s="140" t="s">
        <v>2891</v>
      </c>
      <c r="G914" s="143">
        <v>1.0</v>
      </c>
      <c r="H914" s="143">
        <v>5814775.371009293</v>
      </c>
      <c r="I914" s="144">
        <v>45462.0</v>
      </c>
      <c r="J914" s="144">
        <v>45476.0</v>
      </c>
      <c r="K914" s="145">
        <v>0.0</v>
      </c>
      <c r="L914" s="114"/>
      <c r="M914" s="114"/>
      <c r="N914" s="108"/>
      <c r="O914" s="108"/>
      <c r="P914" s="108"/>
      <c r="Q914" s="108"/>
      <c r="R914" s="108" t="str">
        <f t="shared" si="1"/>
        <v>2024</v>
      </c>
      <c r="S914" s="110">
        <f t="shared" si="2"/>
        <v>7</v>
      </c>
      <c r="T914" s="108" t="str">
        <f t="shared" si="3"/>
        <v>2024-Q3</v>
      </c>
      <c r="U914" s="108" t="str">
        <f t="shared" si="4"/>
        <v>2024-07</v>
      </c>
      <c r="V914" s="112" t="str">
        <f t="shared" si="5"/>
        <v>2024-H2</v>
      </c>
      <c r="W914" s="156" t="s">
        <v>2654</v>
      </c>
    </row>
    <row r="915">
      <c r="A915" s="146">
        <f>HYPERLINK("https://polkadot.subsquare.io/referenda/907", 907)</f>
        <v>907</v>
      </c>
      <c r="B915" s="147" t="s">
        <v>3179</v>
      </c>
      <c r="C915" s="147" t="s">
        <v>2691</v>
      </c>
      <c r="D915" s="148">
        <v>0.0</v>
      </c>
      <c r="E915" s="149">
        <v>0.0</v>
      </c>
      <c r="F915" s="147" t="s">
        <v>2891</v>
      </c>
      <c r="G915" s="150">
        <v>16808.2</v>
      </c>
      <c r="H915" s="150">
        <v>2.3789253926238313E7</v>
      </c>
      <c r="I915" s="151">
        <v>45462.0</v>
      </c>
      <c r="J915" s="151">
        <v>45476.0</v>
      </c>
      <c r="K915" s="152">
        <v>0.0</v>
      </c>
      <c r="L915" s="117"/>
      <c r="M915" s="117"/>
      <c r="N915" s="153"/>
      <c r="O915" s="153"/>
      <c r="P915" s="153"/>
      <c r="Q915" s="153"/>
      <c r="R915" s="153" t="str">
        <f t="shared" si="1"/>
        <v>2024</v>
      </c>
      <c r="S915" s="154">
        <f t="shared" si="2"/>
        <v>7</v>
      </c>
      <c r="T915" s="153" t="str">
        <f t="shared" si="3"/>
        <v>2024-Q3</v>
      </c>
      <c r="U915" s="153" t="str">
        <f t="shared" si="4"/>
        <v>2024-07</v>
      </c>
      <c r="V915" s="155" t="str">
        <f t="shared" si="5"/>
        <v>2024-H2</v>
      </c>
      <c r="W915" s="155"/>
    </row>
    <row r="916">
      <c r="A916" s="139">
        <f>HYPERLINK("https://polkadot.subsquare.io/referenda/908", 908)</f>
        <v>908</v>
      </c>
      <c r="B916" s="140" t="s">
        <v>3180</v>
      </c>
      <c r="C916" s="140" t="s">
        <v>2691</v>
      </c>
      <c r="D916" s="141">
        <v>0.0</v>
      </c>
      <c r="E916" s="142">
        <v>0.0</v>
      </c>
      <c r="F916" s="140" t="s">
        <v>3053</v>
      </c>
      <c r="G916" s="143">
        <v>4267288.736659206</v>
      </c>
      <c r="H916" s="143">
        <v>1.2872261933265276E7</v>
      </c>
      <c r="I916" s="144">
        <v>45463.0</v>
      </c>
      <c r="J916" s="144">
        <v>45477.0</v>
      </c>
      <c r="K916" s="145">
        <v>0.0</v>
      </c>
      <c r="L916" s="114"/>
      <c r="M916" s="114"/>
      <c r="N916" s="108"/>
      <c r="O916" s="108"/>
      <c r="P916" s="108"/>
      <c r="Q916" s="108"/>
      <c r="R916" s="108" t="str">
        <f t="shared" si="1"/>
        <v>2024</v>
      </c>
      <c r="S916" s="110">
        <f t="shared" si="2"/>
        <v>7</v>
      </c>
      <c r="T916" s="108" t="str">
        <f t="shared" si="3"/>
        <v>2024-Q3</v>
      </c>
      <c r="U916" s="108" t="str">
        <f t="shared" si="4"/>
        <v>2024-07</v>
      </c>
      <c r="V916" s="112" t="str">
        <f t="shared" si="5"/>
        <v>2024-H2</v>
      </c>
      <c r="W916" s="112"/>
    </row>
    <row r="917">
      <c r="A917" s="146">
        <f>HYPERLINK("https://polkadot.subsquare.io/referenda/909", 909)</f>
        <v>909</v>
      </c>
      <c r="B917" s="147" t="s">
        <v>3181</v>
      </c>
      <c r="C917" s="147" t="s">
        <v>2681</v>
      </c>
      <c r="D917" s="148">
        <v>0.0</v>
      </c>
      <c r="E917" s="149">
        <v>0.0</v>
      </c>
      <c r="F917" s="147" t="s">
        <v>2891</v>
      </c>
      <c r="G917" s="150">
        <v>3.499809522072946E7</v>
      </c>
      <c r="H917" s="150">
        <v>252865.3221141733</v>
      </c>
      <c r="I917" s="151">
        <v>45463.0</v>
      </c>
      <c r="J917" s="151">
        <v>45486.0</v>
      </c>
      <c r="K917" s="152">
        <v>0.0</v>
      </c>
      <c r="L917" s="117"/>
      <c r="M917" s="117"/>
      <c r="N917" s="153"/>
      <c r="O917" s="153"/>
      <c r="P917" s="153"/>
      <c r="Q917" s="153"/>
      <c r="R917" s="153" t="str">
        <f t="shared" si="1"/>
        <v>2024</v>
      </c>
      <c r="S917" s="154">
        <f t="shared" si="2"/>
        <v>7</v>
      </c>
      <c r="T917" s="153" t="str">
        <f t="shared" si="3"/>
        <v>2024-Q3</v>
      </c>
      <c r="U917" s="153" t="str">
        <f t="shared" si="4"/>
        <v>2024-07</v>
      </c>
      <c r="V917" s="155" t="str">
        <f t="shared" si="5"/>
        <v>2024-H2</v>
      </c>
      <c r="W917" s="155"/>
    </row>
    <row r="918">
      <c r="A918" s="139">
        <f>HYPERLINK("https://polkadot.subsquare.io/referenda/910", 910)</f>
        <v>910</v>
      </c>
      <c r="B918" s="140" t="s">
        <v>3182</v>
      </c>
      <c r="C918" s="140" t="s">
        <v>2681</v>
      </c>
      <c r="D918" s="141">
        <v>0.0</v>
      </c>
      <c r="E918" s="142">
        <v>0.0</v>
      </c>
      <c r="F918" s="140" t="s">
        <v>2891</v>
      </c>
      <c r="G918" s="143">
        <v>3.3818971071207E7</v>
      </c>
      <c r="H918" s="143">
        <v>2.416233963430201E7</v>
      </c>
      <c r="I918" s="144">
        <v>45464.0</v>
      </c>
      <c r="J918" s="144">
        <v>45484.0</v>
      </c>
      <c r="K918" s="145">
        <v>0.0</v>
      </c>
      <c r="L918" s="114"/>
      <c r="M918" s="114"/>
      <c r="N918" s="108"/>
      <c r="O918" s="108"/>
      <c r="P918" s="108"/>
      <c r="Q918" s="108"/>
      <c r="R918" s="108" t="str">
        <f t="shared" si="1"/>
        <v>2024</v>
      </c>
      <c r="S918" s="110">
        <f t="shared" si="2"/>
        <v>7</v>
      </c>
      <c r="T918" s="108" t="str">
        <f t="shared" si="3"/>
        <v>2024-Q3</v>
      </c>
      <c r="U918" s="108" t="str">
        <f t="shared" si="4"/>
        <v>2024-07</v>
      </c>
      <c r="V918" s="112" t="str">
        <f t="shared" si="5"/>
        <v>2024-H2</v>
      </c>
      <c r="W918" s="112"/>
    </row>
    <row r="919">
      <c r="A919" s="146">
        <f>HYPERLINK("https://polkadot.subsquare.io/referenda/911", 911)</f>
        <v>911</v>
      </c>
      <c r="B919" s="147" t="s">
        <v>546</v>
      </c>
      <c r="C919" s="147" t="s">
        <v>2681</v>
      </c>
      <c r="D919" s="148">
        <v>27843.0</v>
      </c>
      <c r="E919" s="149">
        <v>162672.58729934692</v>
      </c>
      <c r="F919" s="147" t="s">
        <v>2683</v>
      </c>
      <c r="G919" s="150">
        <v>4.422981833195496E7</v>
      </c>
      <c r="H919" s="150">
        <v>83613.8828504351</v>
      </c>
      <c r="I919" s="151">
        <v>45465.0</v>
      </c>
      <c r="J919" s="151">
        <v>45489.0</v>
      </c>
      <c r="K919" s="152">
        <v>169663.35563993454</v>
      </c>
      <c r="L919" s="117" t="s">
        <v>81</v>
      </c>
      <c r="M919" s="157" t="s">
        <v>148</v>
      </c>
      <c r="N919" s="153"/>
      <c r="O919" s="153"/>
      <c r="P919" s="153"/>
      <c r="Q919" s="153"/>
      <c r="R919" s="153" t="str">
        <f t="shared" si="1"/>
        <v>2024</v>
      </c>
      <c r="S919" s="154">
        <f t="shared" si="2"/>
        <v>7</v>
      </c>
      <c r="T919" s="153" t="str">
        <f t="shared" si="3"/>
        <v>2024-Q3</v>
      </c>
      <c r="U919" s="153" t="str">
        <f t="shared" si="4"/>
        <v>2024-07</v>
      </c>
      <c r="V919" s="155" t="str">
        <f t="shared" si="5"/>
        <v>2024-H2</v>
      </c>
      <c r="W919" s="155"/>
    </row>
    <row r="920">
      <c r="A920" s="139">
        <f>HYPERLINK("https://polkadot.subsquare.io/referenda/912", 912)</f>
        <v>912</v>
      </c>
      <c r="B920" s="140" t="s">
        <v>3183</v>
      </c>
      <c r="C920" s="140" t="s">
        <v>2800</v>
      </c>
      <c r="D920" s="141">
        <v>0.0156</v>
      </c>
      <c r="E920" s="142">
        <v>0.0911429214477539</v>
      </c>
      <c r="F920" s="140" t="s">
        <v>186</v>
      </c>
      <c r="G920" s="143">
        <v>25.0</v>
      </c>
      <c r="H920" s="143">
        <v>4.726284809076761E7</v>
      </c>
      <c r="I920" s="144">
        <v>45465.0</v>
      </c>
      <c r="J920" s="144">
        <v>45469.0</v>
      </c>
      <c r="K920" s="145">
        <v>0.09632377681732178</v>
      </c>
      <c r="L920" s="114"/>
      <c r="M920" s="114"/>
      <c r="N920" s="108"/>
      <c r="O920" s="108"/>
      <c r="P920" s="108"/>
      <c r="Q920" s="108"/>
      <c r="R920" s="108" t="str">
        <f t="shared" si="1"/>
        <v>2024</v>
      </c>
      <c r="S920" s="110">
        <f t="shared" si="2"/>
        <v>6</v>
      </c>
      <c r="T920" s="108" t="str">
        <f t="shared" si="3"/>
        <v>2024-Q2</v>
      </c>
      <c r="U920" s="108" t="str">
        <f t="shared" si="4"/>
        <v>2024-06</v>
      </c>
      <c r="V920" s="112" t="str">
        <f t="shared" si="5"/>
        <v>2024-H1</v>
      </c>
      <c r="W920" s="112"/>
    </row>
    <row r="921">
      <c r="A921" s="146">
        <f>HYPERLINK("https://polkadot.subsquare.io/referenda/913", 913)</f>
        <v>913</v>
      </c>
      <c r="B921" s="147" t="s">
        <v>3184</v>
      </c>
      <c r="C921" s="147" t="s">
        <v>2681</v>
      </c>
      <c r="D921" s="148">
        <v>0.0</v>
      </c>
      <c r="E921" s="149">
        <v>0.0</v>
      </c>
      <c r="F921" s="147" t="s">
        <v>2802</v>
      </c>
      <c r="G921" s="150">
        <v>3.0562661664434727E7</v>
      </c>
      <c r="H921" s="150">
        <v>17381.7366592061</v>
      </c>
      <c r="I921" s="151">
        <v>45465.0</v>
      </c>
      <c r="J921" s="151">
        <v>45469.0</v>
      </c>
      <c r="K921" s="152">
        <v>0.0</v>
      </c>
      <c r="L921" s="117"/>
      <c r="M921" s="117"/>
      <c r="N921" s="153"/>
      <c r="O921" s="153"/>
      <c r="P921" s="153"/>
      <c r="Q921" s="153"/>
      <c r="R921" s="153" t="str">
        <f t="shared" si="1"/>
        <v>2024</v>
      </c>
      <c r="S921" s="154">
        <f t="shared" si="2"/>
        <v>6</v>
      </c>
      <c r="T921" s="153" t="str">
        <f t="shared" si="3"/>
        <v>2024-Q2</v>
      </c>
      <c r="U921" s="153" t="str">
        <f t="shared" si="4"/>
        <v>2024-06</v>
      </c>
      <c r="V921" s="155" t="str">
        <f t="shared" si="5"/>
        <v>2024-H1</v>
      </c>
      <c r="W921" s="158" t="s">
        <v>2654</v>
      </c>
    </row>
    <row r="922">
      <c r="A922" s="139">
        <f>HYPERLINK("https://polkadot.subsquare.io/referenda/914", 914)</f>
        <v>914</v>
      </c>
      <c r="B922" s="140" t="s">
        <v>547</v>
      </c>
      <c r="C922" s="140" t="s">
        <v>2681</v>
      </c>
      <c r="D922" s="141">
        <v>1000.0</v>
      </c>
      <c r="E922" s="142">
        <v>5842.494964599609</v>
      </c>
      <c r="F922" s="140" t="s">
        <v>2699</v>
      </c>
      <c r="G922" s="143">
        <v>1.4262022395099157E7</v>
      </c>
      <c r="H922" s="143">
        <v>8613446.516742706</v>
      </c>
      <c r="I922" s="144">
        <v>45465.0</v>
      </c>
      <c r="J922" s="144">
        <v>45470.0</v>
      </c>
      <c r="K922" s="145">
        <v>6072.34001159668</v>
      </c>
      <c r="L922" s="114" t="s">
        <v>82</v>
      </c>
      <c r="M922" s="114" t="s">
        <v>176</v>
      </c>
      <c r="N922" s="108"/>
      <c r="O922" s="108"/>
      <c r="P922" s="108"/>
      <c r="Q922" s="108"/>
      <c r="R922" s="108" t="str">
        <f t="shared" si="1"/>
        <v>2024</v>
      </c>
      <c r="S922" s="110">
        <f t="shared" si="2"/>
        <v>6</v>
      </c>
      <c r="T922" s="108" t="str">
        <f t="shared" si="3"/>
        <v>2024-Q2</v>
      </c>
      <c r="U922" s="108" t="str">
        <f t="shared" si="4"/>
        <v>2024-06</v>
      </c>
      <c r="V922" s="112" t="str">
        <f t="shared" si="5"/>
        <v>2024-H1</v>
      </c>
      <c r="W922" s="112"/>
    </row>
    <row r="923">
      <c r="A923" s="146">
        <f>HYPERLINK("https://polkadot.subsquare.io/referenda/915", 915)</f>
        <v>915</v>
      </c>
      <c r="B923" s="147" t="s">
        <v>548</v>
      </c>
      <c r="C923" s="147" t="s">
        <v>2681</v>
      </c>
      <c r="D923" s="148">
        <v>8381.094462911777</v>
      </c>
      <c r="E923" s="149">
        <v>48554.0</v>
      </c>
      <c r="F923" s="147" t="s">
        <v>2683</v>
      </c>
      <c r="G923" s="150">
        <v>2.625018893959899E7</v>
      </c>
      <c r="H923" s="150">
        <v>20854.6166592061</v>
      </c>
      <c r="I923" s="151">
        <v>45466.0</v>
      </c>
      <c r="J923" s="151">
        <v>45492.0</v>
      </c>
      <c r="K923" s="152">
        <v>53804.46502957929</v>
      </c>
      <c r="L923" s="117" t="s">
        <v>81</v>
      </c>
      <c r="M923" s="117" t="s">
        <v>179</v>
      </c>
      <c r="N923" s="153"/>
      <c r="O923" s="153"/>
      <c r="P923" s="153"/>
      <c r="Q923" s="153"/>
      <c r="R923" s="153" t="str">
        <f t="shared" si="1"/>
        <v>2024</v>
      </c>
      <c r="S923" s="154">
        <f t="shared" si="2"/>
        <v>7</v>
      </c>
      <c r="T923" s="153" t="str">
        <f t="shared" si="3"/>
        <v>2024-Q3</v>
      </c>
      <c r="U923" s="153" t="str">
        <f t="shared" si="4"/>
        <v>2024-07</v>
      </c>
      <c r="V923" s="155" t="str">
        <f t="shared" si="5"/>
        <v>2024-H2</v>
      </c>
      <c r="W923" s="155"/>
    </row>
    <row r="924">
      <c r="A924" s="139">
        <f>HYPERLINK("https://polkadot.subsquare.io/referenda/916", 916)</f>
        <v>916</v>
      </c>
      <c r="B924" s="140" t="s">
        <v>3185</v>
      </c>
      <c r="C924" s="140" t="s">
        <v>2672</v>
      </c>
      <c r="D924" s="141">
        <v>17081.0</v>
      </c>
      <c r="E924" s="142">
        <v>98954.96079540253</v>
      </c>
      <c r="F924" s="140" t="s">
        <v>2683</v>
      </c>
      <c r="G924" s="143">
        <v>4509341.639131336</v>
      </c>
      <c r="H924" s="143">
        <v>4.838430726086274E7</v>
      </c>
      <c r="I924" s="144">
        <v>45466.0</v>
      </c>
      <c r="J924" s="144">
        <v>45494.0</v>
      </c>
      <c r="K924" s="145">
        <v>98188.16337442398</v>
      </c>
      <c r="L924" s="114"/>
      <c r="M924" s="114"/>
      <c r="N924" s="108"/>
      <c r="O924" s="108"/>
      <c r="P924" s="108"/>
      <c r="Q924" s="108"/>
      <c r="R924" s="108" t="str">
        <f t="shared" si="1"/>
        <v>2024</v>
      </c>
      <c r="S924" s="110">
        <f t="shared" si="2"/>
        <v>7</v>
      </c>
      <c r="T924" s="108" t="str">
        <f t="shared" si="3"/>
        <v>2024-Q3</v>
      </c>
      <c r="U924" s="108" t="str">
        <f t="shared" si="4"/>
        <v>2024-07</v>
      </c>
      <c r="V924" s="112" t="str">
        <f t="shared" si="5"/>
        <v>2024-H2</v>
      </c>
      <c r="W924" s="112"/>
    </row>
    <row r="925">
      <c r="A925" s="146">
        <f>HYPERLINK("https://polkadot.subsquare.io/referenda/917", 917)</f>
        <v>917</v>
      </c>
      <c r="B925" s="147" t="s">
        <v>3186</v>
      </c>
      <c r="C925" s="147" t="s">
        <v>2800</v>
      </c>
      <c r="D925" s="148">
        <v>0.0</v>
      </c>
      <c r="E925" s="149">
        <v>0.0</v>
      </c>
      <c r="F925" s="147" t="s">
        <v>2676</v>
      </c>
      <c r="G925" s="150">
        <v>130990.7676965972</v>
      </c>
      <c r="H925" s="150">
        <v>4528903.200800433</v>
      </c>
      <c r="I925" s="151">
        <v>45466.0</v>
      </c>
      <c r="J925" s="151">
        <v>45473.0</v>
      </c>
      <c r="K925" s="152">
        <v>0.0</v>
      </c>
      <c r="L925" s="117"/>
      <c r="M925" s="117"/>
      <c r="N925" s="153"/>
      <c r="O925" s="153"/>
      <c r="P925" s="153"/>
      <c r="Q925" s="153"/>
      <c r="R925" s="153" t="str">
        <f t="shared" si="1"/>
        <v>2024</v>
      </c>
      <c r="S925" s="154">
        <f t="shared" si="2"/>
        <v>6</v>
      </c>
      <c r="T925" s="153" t="str">
        <f t="shared" si="3"/>
        <v>2024-Q2</v>
      </c>
      <c r="U925" s="153" t="str">
        <f t="shared" si="4"/>
        <v>2024-06</v>
      </c>
      <c r="V925" s="155" t="str">
        <f t="shared" si="5"/>
        <v>2024-H1</v>
      </c>
      <c r="W925" s="155"/>
    </row>
    <row r="926">
      <c r="A926" s="139">
        <f>HYPERLINK("https://polkadot.subsquare.io/referenda/918", 918)</f>
        <v>918</v>
      </c>
      <c r="B926" s="140" t="s">
        <v>549</v>
      </c>
      <c r="C926" s="140" t="s">
        <v>2681</v>
      </c>
      <c r="D926" s="141">
        <v>33884.0</v>
      </c>
      <c r="E926" s="142">
        <v>196299.3906440735</v>
      </c>
      <c r="F926" s="140" t="s">
        <v>2683</v>
      </c>
      <c r="G926" s="143">
        <v>4.25851524793277E7</v>
      </c>
      <c r="H926" s="143">
        <v>1.3389748163220853E7</v>
      </c>
      <c r="I926" s="144">
        <v>45466.0</v>
      </c>
      <c r="J926" s="144">
        <v>45495.0</v>
      </c>
      <c r="K926" s="145">
        <v>194778.2757320404</v>
      </c>
      <c r="L926" s="114" t="s">
        <v>81</v>
      </c>
      <c r="M926" s="163" t="s">
        <v>362</v>
      </c>
      <c r="N926" s="108"/>
      <c r="O926" s="108"/>
      <c r="P926" s="108"/>
      <c r="Q926" s="108"/>
      <c r="R926" s="108" t="str">
        <f t="shared" si="1"/>
        <v>2024</v>
      </c>
      <c r="S926" s="110">
        <f t="shared" si="2"/>
        <v>7</v>
      </c>
      <c r="T926" s="108" t="str">
        <f t="shared" si="3"/>
        <v>2024-Q3</v>
      </c>
      <c r="U926" s="108" t="str">
        <f t="shared" si="4"/>
        <v>2024-07</v>
      </c>
      <c r="V926" s="112" t="str">
        <f t="shared" si="5"/>
        <v>2024-H2</v>
      </c>
      <c r="W926" s="112"/>
    </row>
    <row r="927">
      <c r="A927" s="146">
        <f>HYPERLINK("https://polkadot.subsquare.io/referenda/919", 919)</f>
        <v>919</v>
      </c>
      <c r="B927" s="147" t="s">
        <v>3187</v>
      </c>
      <c r="C927" s="147" t="s">
        <v>2672</v>
      </c>
      <c r="D927" s="148">
        <v>0.0</v>
      </c>
      <c r="E927" s="149">
        <v>0.0</v>
      </c>
      <c r="F927" s="147" t="s">
        <v>2696</v>
      </c>
      <c r="G927" s="150">
        <v>2.3767840837128732E7</v>
      </c>
      <c r="H927" s="150">
        <v>5.302582849092888E7</v>
      </c>
      <c r="I927" s="151">
        <v>45467.0</v>
      </c>
      <c r="J927" s="151">
        <v>45495.0</v>
      </c>
      <c r="K927" s="152">
        <v>0.0</v>
      </c>
      <c r="L927" s="117"/>
      <c r="M927" s="117"/>
      <c r="N927" s="153"/>
      <c r="O927" s="153"/>
      <c r="P927" s="153"/>
      <c r="Q927" s="153"/>
      <c r="R927" s="153" t="str">
        <f t="shared" si="1"/>
        <v>2024</v>
      </c>
      <c r="S927" s="154">
        <f t="shared" si="2"/>
        <v>7</v>
      </c>
      <c r="T927" s="153" t="str">
        <f t="shared" si="3"/>
        <v>2024-Q3</v>
      </c>
      <c r="U927" s="153" t="str">
        <f t="shared" si="4"/>
        <v>2024-07</v>
      </c>
      <c r="V927" s="155" t="str">
        <f t="shared" si="5"/>
        <v>2024-H2</v>
      </c>
      <c r="W927" s="155"/>
    </row>
    <row r="928">
      <c r="A928" s="139">
        <f>HYPERLINK("https://polkadot.subsquare.io/referenda/920", 920)</f>
        <v>920</v>
      </c>
      <c r="B928" s="140" t="s">
        <v>3188</v>
      </c>
      <c r="C928" s="140" t="s">
        <v>2672</v>
      </c>
      <c r="D928" s="141">
        <v>500000.0</v>
      </c>
      <c r="E928" s="142">
        <v>3140722.0363616943</v>
      </c>
      <c r="F928" s="140" t="s">
        <v>2676</v>
      </c>
      <c r="G928" s="143">
        <v>7.789642531161715E7</v>
      </c>
      <c r="H928" s="143">
        <v>9.148724684579974E7</v>
      </c>
      <c r="I928" s="144">
        <v>45467.0</v>
      </c>
      <c r="J928" s="144">
        <v>45496.0</v>
      </c>
      <c r="K928" s="145">
        <v>2876999.616622925</v>
      </c>
      <c r="L928" s="114"/>
      <c r="M928" s="114"/>
      <c r="N928" s="108"/>
      <c r="O928" s="108"/>
      <c r="P928" s="108"/>
      <c r="Q928" s="108"/>
      <c r="R928" s="108" t="str">
        <f t="shared" si="1"/>
        <v>2024</v>
      </c>
      <c r="S928" s="110">
        <f t="shared" si="2"/>
        <v>7</v>
      </c>
      <c r="T928" s="108" t="str">
        <f t="shared" si="3"/>
        <v>2024-Q3</v>
      </c>
      <c r="U928" s="108" t="str">
        <f t="shared" si="4"/>
        <v>2024-07</v>
      </c>
      <c r="V928" s="112" t="str">
        <f t="shared" si="5"/>
        <v>2024-H2</v>
      </c>
      <c r="W928" s="112"/>
    </row>
    <row r="929">
      <c r="A929" s="146">
        <f>HYPERLINK("https://polkadot.subsquare.io/referenda/921", 921)</f>
        <v>921</v>
      </c>
      <c r="B929" s="147" t="s">
        <v>3189</v>
      </c>
      <c r="C929" s="147" t="s">
        <v>2672</v>
      </c>
      <c r="D929" s="148">
        <v>0.0</v>
      </c>
      <c r="E929" s="149">
        <v>0.0</v>
      </c>
      <c r="F929" s="147" t="s">
        <v>2891</v>
      </c>
      <c r="G929" s="150">
        <v>8815862.310485724</v>
      </c>
      <c r="H929" s="150">
        <v>2.32155516350598E7</v>
      </c>
      <c r="I929" s="151">
        <v>45467.0</v>
      </c>
      <c r="J929" s="151">
        <v>45510.0</v>
      </c>
      <c r="K929" s="152">
        <v>0.0</v>
      </c>
      <c r="L929" s="117"/>
      <c r="M929" s="117"/>
      <c r="N929" s="153"/>
      <c r="O929" s="153"/>
      <c r="P929" s="153"/>
      <c r="Q929" s="153"/>
      <c r="R929" s="153" t="str">
        <f t="shared" si="1"/>
        <v>2024</v>
      </c>
      <c r="S929" s="154">
        <f t="shared" si="2"/>
        <v>8</v>
      </c>
      <c r="T929" s="153" t="str">
        <f t="shared" si="3"/>
        <v>2024-Q3</v>
      </c>
      <c r="U929" s="153" t="str">
        <f t="shared" si="4"/>
        <v>2024-08</v>
      </c>
      <c r="V929" s="155" t="str">
        <f t="shared" si="5"/>
        <v>2024-H2</v>
      </c>
      <c r="W929" s="155"/>
    </row>
    <row r="930">
      <c r="A930" s="139">
        <f>HYPERLINK("https://polkadot.subsquare.io/referenda/922", 922)</f>
        <v>922</v>
      </c>
      <c r="B930" s="140" t="s">
        <v>550</v>
      </c>
      <c r="C930" s="140" t="s">
        <v>2681</v>
      </c>
      <c r="D930" s="141">
        <v>37573.39</v>
      </c>
      <c r="E930" s="142">
        <v>232000.69439937113</v>
      </c>
      <c r="F930" s="140" t="s">
        <v>2683</v>
      </c>
      <c r="G930" s="143">
        <v>3.045598777091937E7</v>
      </c>
      <c r="H930" s="143">
        <v>2.2348215841664053E7</v>
      </c>
      <c r="I930" s="144">
        <v>45468.0</v>
      </c>
      <c r="J930" s="144">
        <v>45498.0</v>
      </c>
      <c r="K930" s="145">
        <v>214973.37083482742</v>
      </c>
      <c r="L930" s="114" t="s">
        <v>81</v>
      </c>
      <c r="M930" s="163" t="s">
        <v>152</v>
      </c>
      <c r="N930" s="108"/>
      <c r="O930" s="108"/>
      <c r="P930" s="108"/>
      <c r="Q930" s="108"/>
      <c r="R930" s="108" t="str">
        <f t="shared" si="1"/>
        <v>2024</v>
      </c>
      <c r="S930" s="110">
        <f t="shared" si="2"/>
        <v>7</v>
      </c>
      <c r="T930" s="108" t="str">
        <f t="shared" si="3"/>
        <v>2024-Q3</v>
      </c>
      <c r="U930" s="108" t="str">
        <f t="shared" si="4"/>
        <v>2024-07</v>
      </c>
      <c r="V930" s="112" t="str">
        <f t="shared" si="5"/>
        <v>2024-H2</v>
      </c>
      <c r="W930" s="112"/>
    </row>
    <row r="931">
      <c r="A931" s="146">
        <f>HYPERLINK("https://polkadot.subsquare.io/referenda/923", 923)</f>
        <v>923</v>
      </c>
      <c r="B931" s="147" t="s">
        <v>3190</v>
      </c>
      <c r="C931" s="147" t="s">
        <v>2800</v>
      </c>
      <c r="D931" s="148">
        <v>0.0</v>
      </c>
      <c r="E931" s="149">
        <v>0.0</v>
      </c>
      <c r="F931" s="147" t="s">
        <v>2696</v>
      </c>
      <c r="G931" s="150">
        <v>8568846.540208358</v>
      </c>
      <c r="H931" s="150">
        <v>2.899921392353888E7</v>
      </c>
      <c r="I931" s="151">
        <v>45469.0</v>
      </c>
      <c r="J931" s="151">
        <v>45473.0</v>
      </c>
      <c r="K931" s="152">
        <v>0.0</v>
      </c>
      <c r="L931" s="117"/>
      <c r="M931" s="117"/>
      <c r="N931" s="153"/>
      <c r="O931" s="153"/>
      <c r="P931" s="153"/>
      <c r="Q931" s="153"/>
      <c r="R931" s="153" t="str">
        <f t="shared" si="1"/>
        <v>2024</v>
      </c>
      <c r="S931" s="154">
        <f t="shared" si="2"/>
        <v>6</v>
      </c>
      <c r="T931" s="153" t="str">
        <f t="shared" si="3"/>
        <v>2024-Q2</v>
      </c>
      <c r="U931" s="153" t="str">
        <f t="shared" si="4"/>
        <v>2024-06</v>
      </c>
      <c r="V931" s="155" t="str">
        <f t="shared" si="5"/>
        <v>2024-H1</v>
      </c>
      <c r="W931" s="155"/>
    </row>
    <row r="932">
      <c r="A932" s="139">
        <f>HYPERLINK("https://polkadot.subsquare.io/referenda/924", 924)</f>
        <v>924</v>
      </c>
      <c r="B932" s="140" t="s">
        <v>3191</v>
      </c>
      <c r="C932" s="140" t="s">
        <v>2681</v>
      </c>
      <c r="D932" s="141">
        <v>0.0</v>
      </c>
      <c r="E932" s="142">
        <v>0.0</v>
      </c>
      <c r="F932" s="140" t="s">
        <v>2891</v>
      </c>
      <c r="G932" s="143">
        <v>3.264959107145469E7</v>
      </c>
      <c r="H932" s="143">
        <v>3353228.802269163</v>
      </c>
      <c r="I932" s="144">
        <v>45469.0</v>
      </c>
      <c r="J932" s="144">
        <v>45487.0</v>
      </c>
      <c r="K932" s="145">
        <v>0.0</v>
      </c>
      <c r="L932" s="114"/>
      <c r="M932" s="114"/>
      <c r="N932" s="108"/>
      <c r="O932" s="108"/>
      <c r="P932" s="108"/>
      <c r="Q932" s="108"/>
      <c r="R932" s="108" t="str">
        <f t="shared" si="1"/>
        <v>2024</v>
      </c>
      <c r="S932" s="110">
        <f t="shared" si="2"/>
        <v>7</v>
      </c>
      <c r="T932" s="108" t="str">
        <f t="shared" si="3"/>
        <v>2024-Q3</v>
      </c>
      <c r="U932" s="108" t="str">
        <f t="shared" si="4"/>
        <v>2024-07</v>
      </c>
      <c r="V932" s="112" t="str">
        <f t="shared" si="5"/>
        <v>2024-H2</v>
      </c>
      <c r="W932" s="112"/>
    </row>
    <row r="933">
      <c r="A933" s="146">
        <f>HYPERLINK("https://polkadot.subsquare.io/referenda/925", 925)</f>
        <v>925</v>
      </c>
      <c r="B933" s="147" t="s">
        <v>551</v>
      </c>
      <c r="C933" s="147" t="s">
        <v>2681</v>
      </c>
      <c r="D933" s="148">
        <v>141395.0</v>
      </c>
      <c r="E933" s="149">
        <v>873057.7194285393</v>
      </c>
      <c r="F933" s="147" t="s">
        <v>2676</v>
      </c>
      <c r="G933" s="150">
        <v>6.586257964394606E7</v>
      </c>
      <c r="H933" s="150">
        <v>1.3176841218994653E7</v>
      </c>
      <c r="I933" s="151">
        <v>45469.0</v>
      </c>
      <c r="J933" s="151">
        <v>45497.0</v>
      </c>
      <c r="K933" s="152">
        <v>824486.0903048515</v>
      </c>
      <c r="L933" s="117" t="s">
        <v>81</v>
      </c>
      <c r="M933" s="117" t="s">
        <v>185</v>
      </c>
      <c r="N933" s="153"/>
      <c r="O933" s="153"/>
      <c r="P933" s="153"/>
      <c r="Q933" s="153"/>
      <c r="R933" s="153" t="str">
        <f t="shared" si="1"/>
        <v>2024</v>
      </c>
      <c r="S933" s="154">
        <f t="shared" si="2"/>
        <v>7</v>
      </c>
      <c r="T933" s="153" t="str">
        <f t="shared" si="3"/>
        <v>2024-Q3</v>
      </c>
      <c r="U933" s="153" t="str">
        <f t="shared" si="4"/>
        <v>2024-07</v>
      </c>
      <c r="V933" s="155" t="str">
        <f t="shared" si="5"/>
        <v>2024-H2</v>
      </c>
      <c r="W933" s="155"/>
    </row>
    <row r="934">
      <c r="A934" s="139">
        <f>HYPERLINK("https://polkadot.subsquare.io/referenda/926", 926)</f>
        <v>926</v>
      </c>
      <c r="B934" s="140" t="s">
        <v>3192</v>
      </c>
      <c r="C934" s="140" t="s">
        <v>2672</v>
      </c>
      <c r="D934" s="141">
        <v>0.0</v>
      </c>
      <c r="E934" s="142">
        <v>0.0</v>
      </c>
      <c r="F934" s="140" t="s">
        <v>2891</v>
      </c>
      <c r="G934" s="143">
        <v>6520141.744506969</v>
      </c>
      <c r="H934" s="143">
        <v>2.1390143523506284E7</v>
      </c>
      <c r="I934" s="144">
        <v>45469.0</v>
      </c>
      <c r="J934" s="144">
        <v>45501.0</v>
      </c>
      <c r="K934" s="145">
        <v>0.0</v>
      </c>
      <c r="L934" s="114"/>
      <c r="M934" s="114"/>
      <c r="N934" s="108"/>
      <c r="O934" s="108"/>
      <c r="P934" s="108"/>
      <c r="Q934" s="108"/>
      <c r="R934" s="108" t="str">
        <f t="shared" si="1"/>
        <v>2024</v>
      </c>
      <c r="S934" s="110">
        <f t="shared" si="2"/>
        <v>7</v>
      </c>
      <c r="T934" s="108" t="str">
        <f t="shared" si="3"/>
        <v>2024-Q3</v>
      </c>
      <c r="U934" s="108" t="str">
        <f t="shared" si="4"/>
        <v>2024-07</v>
      </c>
      <c r="V934" s="112" t="str">
        <f t="shared" si="5"/>
        <v>2024-H2</v>
      </c>
      <c r="W934" s="112"/>
    </row>
    <row r="935">
      <c r="A935" s="146">
        <f>HYPERLINK("https://polkadot.subsquare.io/referenda/927", 927)</f>
        <v>927</v>
      </c>
      <c r="B935" s="147" t="s">
        <v>3193</v>
      </c>
      <c r="C935" s="147" t="s">
        <v>2672</v>
      </c>
      <c r="D935" s="148">
        <v>99995.0</v>
      </c>
      <c r="E935" s="149">
        <v>607203.63945961</v>
      </c>
      <c r="F935" s="147" t="s">
        <v>2683</v>
      </c>
      <c r="G935" s="150">
        <v>1.838659518221967E7</v>
      </c>
      <c r="H935" s="150">
        <v>7.464605180505179E7</v>
      </c>
      <c r="I935" s="151">
        <v>45469.0</v>
      </c>
      <c r="J935" s="151">
        <v>45498.0</v>
      </c>
      <c r="K935" s="152">
        <v>583079.2220377922</v>
      </c>
      <c r="L935" s="117"/>
      <c r="M935" s="117"/>
      <c r="N935" s="153"/>
      <c r="O935" s="153"/>
      <c r="P935" s="153"/>
      <c r="Q935" s="153"/>
      <c r="R935" s="153" t="str">
        <f t="shared" si="1"/>
        <v>2024</v>
      </c>
      <c r="S935" s="154">
        <f t="shared" si="2"/>
        <v>7</v>
      </c>
      <c r="T935" s="153" t="str">
        <f t="shared" si="3"/>
        <v>2024-Q3</v>
      </c>
      <c r="U935" s="153" t="str">
        <f t="shared" si="4"/>
        <v>2024-07</v>
      </c>
      <c r="V935" s="155" t="str">
        <f t="shared" si="5"/>
        <v>2024-H2</v>
      </c>
      <c r="W935" s="158" t="s">
        <v>2654</v>
      </c>
    </row>
    <row r="936">
      <c r="A936" s="139">
        <f>HYPERLINK("https://polkadot.subsquare.io/referenda/928", 928)</f>
        <v>928</v>
      </c>
      <c r="B936" s="140" t="s">
        <v>3194</v>
      </c>
      <c r="C936" s="140" t="s">
        <v>2681</v>
      </c>
      <c r="D936" s="141">
        <v>0.0</v>
      </c>
      <c r="E936" s="142">
        <v>0.0</v>
      </c>
      <c r="F936" s="140" t="s">
        <v>2802</v>
      </c>
      <c r="G936" s="143">
        <v>3.1364133254728504E7</v>
      </c>
      <c r="H936" s="143">
        <v>98636.7601980858</v>
      </c>
      <c r="I936" s="144">
        <v>45469.0</v>
      </c>
      <c r="J936" s="144">
        <v>45473.0</v>
      </c>
      <c r="K936" s="145">
        <v>0.0</v>
      </c>
      <c r="L936" s="114"/>
      <c r="M936" s="114"/>
      <c r="N936" s="108"/>
      <c r="O936" s="108"/>
      <c r="P936" s="108"/>
      <c r="Q936" s="108"/>
      <c r="R936" s="108" t="str">
        <f t="shared" si="1"/>
        <v>2024</v>
      </c>
      <c r="S936" s="110">
        <f t="shared" si="2"/>
        <v>6</v>
      </c>
      <c r="T936" s="108" t="str">
        <f t="shared" si="3"/>
        <v>2024-Q2</v>
      </c>
      <c r="U936" s="108" t="str">
        <f t="shared" si="4"/>
        <v>2024-06</v>
      </c>
      <c r="V936" s="112" t="str">
        <f t="shared" si="5"/>
        <v>2024-H1</v>
      </c>
      <c r="W936" s="112"/>
    </row>
    <row r="937">
      <c r="A937" s="146">
        <f>HYPERLINK("https://polkadot.subsquare.io/referenda/929", 929)</f>
        <v>929</v>
      </c>
      <c r="B937" s="147" t="s">
        <v>3195</v>
      </c>
      <c r="C937" s="147" t="s">
        <v>2681</v>
      </c>
      <c r="D937" s="148">
        <v>0.0</v>
      </c>
      <c r="E937" s="149">
        <v>0.0</v>
      </c>
      <c r="F937" s="147" t="s">
        <v>2802</v>
      </c>
      <c r="G937" s="150">
        <v>3.2647400784457095E7</v>
      </c>
      <c r="H937" s="150">
        <v>167870.2049574174</v>
      </c>
      <c r="I937" s="151">
        <v>45470.0</v>
      </c>
      <c r="J937" s="151">
        <v>45473.0</v>
      </c>
      <c r="K937" s="152">
        <v>0.0</v>
      </c>
      <c r="L937" s="117"/>
      <c r="M937" s="117"/>
      <c r="N937" s="153"/>
      <c r="O937" s="153"/>
      <c r="P937" s="153"/>
      <c r="Q937" s="153"/>
      <c r="R937" s="153" t="str">
        <f t="shared" si="1"/>
        <v>2024</v>
      </c>
      <c r="S937" s="154">
        <f t="shared" si="2"/>
        <v>6</v>
      </c>
      <c r="T937" s="153" t="str">
        <f t="shared" si="3"/>
        <v>2024-Q2</v>
      </c>
      <c r="U937" s="153" t="str">
        <f t="shared" si="4"/>
        <v>2024-06</v>
      </c>
      <c r="V937" s="155" t="str">
        <f t="shared" si="5"/>
        <v>2024-H1</v>
      </c>
      <c r="W937" s="155"/>
    </row>
    <row r="938">
      <c r="A938" s="139">
        <f>HYPERLINK("https://polkadot.subsquare.io/referenda/930", 930)</f>
        <v>930</v>
      </c>
      <c r="B938" s="140" t="s">
        <v>2971</v>
      </c>
      <c r="C938" s="140" t="s">
        <v>2672</v>
      </c>
      <c r="D938" s="141">
        <v>28755.0</v>
      </c>
      <c r="E938" s="142">
        <v>182025.50992012024</v>
      </c>
      <c r="F938" s="140" t="s">
        <v>2683</v>
      </c>
      <c r="G938" s="143">
        <v>0.0</v>
      </c>
      <c r="H938" s="143">
        <v>6.234945963080625E7</v>
      </c>
      <c r="I938" s="144">
        <v>45471.0</v>
      </c>
      <c r="J938" s="144">
        <v>45499.0</v>
      </c>
      <c r="K938" s="145">
        <v>162582.69772052765</v>
      </c>
      <c r="L938" s="114"/>
      <c r="M938" s="114"/>
      <c r="N938" s="108"/>
      <c r="O938" s="108"/>
      <c r="P938" s="108"/>
      <c r="Q938" s="108"/>
      <c r="R938" s="108" t="str">
        <f t="shared" si="1"/>
        <v>2024</v>
      </c>
      <c r="S938" s="110">
        <f t="shared" si="2"/>
        <v>7</v>
      </c>
      <c r="T938" s="108" t="str">
        <f t="shared" si="3"/>
        <v>2024-Q3</v>
      </c>
      <c r="U938" s="108" t="str">
        <f t="shared" si="4"/>
        <v>2024-07</v>
      </c>
      <c r="V938" s="112" t="str">
        <f t="shared" si="5"/>
        <v>2024-H2</v>
      </c>
      <c r="W938" s="156" t="s">
        <v>2654</v>
      </c>
    </row>
    <row r="939">
      <c r="A939" s="146">
        <f>HYPERLINK("https://polkadot.subsquare.io/referenda/931", 931)</f>
        <v>931</v>
      </c>
      <c r="B939" s="147" t="s">
        <v>552</v>
      </c>
      <c r="C939" s="147" t="s">
        <v>2681</v>
      </c>
      <c r="D939" s="148">
        <v>16677.616320548717</v>
      </c>
      <c r="E939" s="149">
        <v>105572.99999999999</v>
      </c>
      <c r="F939" s="147" t="s">
        <v>2683</v>
      </c>
      <c r="G939" s="150">
        <v>3.183094912919754E7</v>
      </c>
      <c r="H939" s="150">
        <v>9948148.595583422</v>
      </c>
      <c r="I939" s="151">
        <v>45472.0</v>
      </c>
      <c r="J939" s="151">
        <v>45505.0</v>
      </c>
      <c r="K939" s="152">
        <v>84116.32449450248</v>
      </c>
      <c r="L939" s="117" t="s">
        <v>137</v>
      </c>
      <c r="M939" s="157" t="s">
        <v>431</v>
      </c>
      <c r="N939" s="153"/>
      <c r="O939" s="153"/>
      <c r="P939" s="153"/>
      <c r="Q939" s="153"/>
      <c r="R939" s="153" t="str">
        <f t="shared" si="1"/>
        <v>2024</v>
      </c>
      <c r="S939" s="154">
        <f t="shared" si="2"/>
        <v>8</v>
      </c>
      <c r="T939" s="153" t="str">
        <f t="shared" si="3"/>
        <v>2024-Q3</v>
      </c>
      <c r="U939" s="153" t="str">
        <f t="shared" si="4"/>
        <v>2024-08</v>
      </c>
      <c r="V939" s="155" t="str">
        <f t="shared" si="5"/>
        <v>2024-H2</v>
      </c>
      <c r="W939" s="155"/>
    </row>
    <row r="940">
      <c r="A940" s="139">
        <f>HYPERLINK("https://polkadot.subsquare.io/referenda/932", 932)</f>
        <v>932</v>
      </c>
      <c r="B940" s="140" t="s">
        <v>3196</v>
      </c>
      <c r="C940" s="140" t="s">
        <v>2681</v>
      </c>
      <c r="D940" s="141">
        <v>0.0</v>
      </c>
      <c r="E940" s="142">
        <v>0.0</v>
      </c>
      <c r="F940" s="140" t="s">
        <v>3053</v>
      </c>
      <c r="G940" s="143">
        <v>4.4705331452646196E7</v>
      </c>
      <c r="H940" s="143">
        <v>5005.1</v>
      </c>
      <c r="I940" s="144">
        <v>45472.0</v>
      </c>
      <c r="J940" s="144">
        <v>45502.0</v>
      </c>
      <c r="K940" s="145">
        <v>0.0</v>
      </c>
      <c r="L940" s="114"/>
      <c r="M940" s="114"/>
      <c r="N940" s="108"/>
      <c r="O940" s="108"/>
      <c r="P940" s="108"/>
      <c r="Q940" s="108"/>
      <c r="R940" s="108" t="str">
        <f t="shared" si="1"/>
        <v>2024</v>
      </c>
      <c r="S940" s="110">
        <f t="shared" si="2"/>
        <v>7</v>
      </c>
      <c r="T940" s="108" t="str">
        <f t="shared" si="3"/>
        <v>2024-Q3</v>
      </c>
      <c r="U940" s="108" t="str">
        <f t="shared" si="4"/>
        <v>2024-07</v>
      </c>
      <c r="V940" s="112" t="str">
        <f t="shared" si="5"/>
        <v>2024-H2</v>
      </c>
      <c r="W940" s="112"/>
    </row>
    <row r="941">
      <c r="A941" s="146">
        <f>HYPERLINK("https://polkadot.subsquare.io/referenda/933", 933)</f>
        <v>933</v>
      </c>
      <c r="B941" s="147" t="s">
        <v>553</v>
      </c>
      <c r="C941" s="147" t="s">
        <v>2681</v>
      </c>
      <c r="D941" s="148">
        <v>27759.78012921434</v>
      </c>
      <c r="E941" s="149">
        <v>180850.0</v>
      </c>
      <c r="F941" s="147" t="s">
        <v>2683</v>
      </c>
      <c r="G941" s="150">
        <v>5.599536818435215E7</v>
      </c>
      <c r="H941" s="150">
        <v>4912259.553760478</v>
      </c>
      <c r="I941" s="151">
        <v>45472.0</v>
      </c>
      <c r="J941" s="151">
        <v>45494.0</v>
      </c>
      <c r="K941" s="152">
        <v>159573.90238073803</v>
      </c>
      <c r="L941" s="117" t="s">
        <v>81</v>
      </c>
      <c r="M941" s="117" t="s">
        <v>146</v>
      </c>
      <c r="N941" s="153"/>
      <c r="O941" s="153"/>
      <c r="P941" s="153"/>
      <c r="Q941" s="153"/>
      <c r="R941" s="153" t="str">
        <f t="shared" si="1"/>
        <v>2024</v>
      </c>
      <c r="S941" s="154">
        <f t="shared" si="2"/>
        <v>7</v>
      </c>
      <c r="T941" s="153" t="str">
        <f t="shared" si="3"/>
        <v>2024-Q3</v>
      </c>
      <c r="U941" s="153" t="str">
        <f t="shared" si="4"/>
        <v>2024-07</v>
      </c>
      <c r="V941" s="155" t="str">
        <f t="shared" si="5"/>
        <v>2024-H2</v>
      </c>
      <c r="W941" s="155"/>
    </row>
    <row r="942">
      <c r="A942" s="139">
        <f>HYPERLINK("https://polkadot.subsquare.io/referenda/934", 934)</f>
        <v>934</v>
      </c>
      <c r="B942" s="140" t="s">
        <v>3197</v>
      </c>
      <c r="C942" s="140" t="s">
        <v>2681</v>
      </c>
      <c r="D942" s="141">
        <v>0.0</v>
      </c>
      <c r="E942" s="142">
        <v>0.0</v>
      </c>
      <c r="F942" s="140" t="s">
        <v>2891</v>
      </c>
      <c r="G942" s="143">
        <v>5.081961894285834E7</v>
      </c>
      <c r="H942" s="143">
        <v>2127530.640755456</v>
      </c>
      <c r="I942" s="144">
        <v>45473.0</v>
      </c>
      <c r="J942" s="144">
        <v>45498.0</v>
      </c>
      <c r="K942" s="145">
        <v>0.0</v>
      </c>
      <c r="L942" s="114"/>
      <c r="M942" s="114"/>
      <c r="N942" s="108"/>
      <c r="O942" s="108"/>
      <c r="P942" s="108"/>
      <c r="Q942" s="108"/>
      <c r="R942" s="108" t="str">
        <f t="shared" si="1"/>
        <v>2024</v>
      </c>
      <c r="S942" s="110">
        <f t="shared" si="2"/>
        <v>7</v>
      </c>
      <c r="T942" s="108" t="str">
        <f t="shared" si="3"/>
        <v>2024-Q3</v>
      </c>
      <c r="U942" s="108" t="str">
        <f t="shared" si="4"/>
        <v>2024-07</v>
      </c>
      <c r="V942" s="112" t="str">
        <f t="shared" si="5"/>
        <v>2024-H2</v>
      </c>
      <c r="W942" s="112"/>
    </row>
    <row r="943">
      <c r="A943" s="146">
        <f>HYPERLINK("https://polkadot.subsquare.io/referenda/935", 935)</f>
        <v>935</v>
      </c>
      <c r="B943" s="147" t="s">
        <v>3198</v>
      </c>
      <c r="C943" s="147" t="s">
        <v>2672</v>
      </c>
      <c r="D943" s="148">
        <v>50258.89931502318</v>
      </c>
      <c r="E943" s="149">
        <v>305038.0</v>
      </c>
      <c r="F943" s="147" t="s">
        <v>2683</v>
      </c>
      <c r="G943" s="150">
        <v>9311400.620263318</v>
      </c>
      <c r="H943" s="150">
        <v>4.012680658389802E7</v>
      </c>
      <c r="I943" s="151">
        <v>45473.0</v>
      </c>
      <c r="J943" s="151">
        <v>45502.0</v>
      </c>
      <c r="K943" s="152">
        <v>270660.76830976986</v>
      </c>
      <c r="L943" s="117"/>
      <c r="M943" s="117"/>
      <c r="N943" s="153"/>
      <c r="O943" s="153"/>
      <c r="P943" s="153"/>
      <c r="Q943" s="153"/>
      <c r="R943" s="153" t="str">
        <f t="shared" si="1"/>
        <v>2024</v>
      </c>
      <c r="S943" s="154">
        <f t="shared" si="2"/>
        <v>7</v>
      </c>
      <c r="T943" s="153" t="str">
        <f t="shared" si="3"/>
        <v>2024-Q3</v>
      </c>
      <c r="U943" s="153" t="str">
        <f t="shared" si="4"/>
        <v>2024-07</v>
      </c>
      <c r="V943" s="155" t="str">
        <f t="shared" si="5"/>
        <v>2024-H2</v>
      </c>
      <c r="W943" s="155"/>
    </row>
    <row r="944">
      <c r="A944" s="139">
        <f>HYPERLINK("https://polkadot.subsquare.io/referenda/936", 936)</f>
        <v>936</v>
      </c>
      <c r="B944" s="140" t="s">
        <v>3199</v>
      </c>
      <c r="C944" s="140" t="s">
        <v>2672</v>
      </c>
      <c r="D944" s="141">
        <v>0.0</v>
      </c>
      <c r="E944" s="142">
        <v>0.0</v>
      </c>
      <c r="F944" s="140" t="s">
        <v>2696</v>
      </c>
      <c r="G944" s="143">
        <v>9335971.723523442</v>
      </c>
      <c r="H944" s="143">
        <v>6.712854741213138E7</v>
      </c>
      <c r="I944" s="144">
        <v>45473.0</v>
      </c>
      <c r="J944" s="144">
        <v>45502.0</v>
      </c>
      <c r="K944" s="145">
        <v>0.0</v>
      </c>
      <c r="L944" s="114"/>
      <c r="M944" s="114"/>
      <c r="N944" s="108"/>
      <c r="O944" s="108"/>
      <c r="P944" s="108"/>
      <c r="Q944" s="108"/>
      <c r="R944" s="108" t="str">
        <f t="shared" si="1"/>
        <v>2024</v>
      </c>
      <c r="S944" s="110">
        <f t="shared" si="2"/>
        <v>7</v>
      </c>
      <c r="T944" s="108" t="str">
        <f t="shared" si="3"/>
        <v>2024-Q3</v>
      </c>
      <c r="U944" s="108" t="str">
        <f t="shared" si="4"/>
        <v>2024-07</v>
      </c>
      <c r="V944" s="112" t="str">
        <f t="shared" si="5"/>
        <v>2024-H2</v>
      </c>
      <c r="W944" s="112"/>
    </row>
    <row r="945">
      <c r="A945" s="146">
        <f>HYPERLINK("https://polkadot.subsquare.io/referenda/937", 937)</f>
        <v>937</v>
      </c>
      <c r="B945" s="147" t="s">
        <v>3200</v>
      </c>
      <c r="C945" s="147" t="s">
        <v>2681</v>
      </c>
      <c r="D945" s="148">
        <v>0.0</v>
      </c>
      <c r="E945" s="149">
        <v>0.0</v>
      </c>
      <c r="F945" s="147" t="s">
        <v>3053</v>
      </c>
      <c r="G945" s="150">
        <v>4.815068734285921E7</v>
      </c>
      <c r="H945" s="150">
        <v>3.705543908161274E7</v>
      </c>
      <c r="I945" s="151">
        <v>45474.0</v>
      </c>
      <c r="J945" s="151">
        <v>45502.0</v>
      </c>
      <c r="K945" s="152">
        <v>0.0</v>
      </c>
      <c r="L945" s="117"/>
      <c r="M945" s="117"/>
      <c r="N945" s="153"/>
      <c r="O945" s="153"/>
      <c r="P945" s="153"/>
      <c r="Q945" s="153"/>
      <c r="R945" s="153" t="str">
        <f t="shared" si="1"/>
        <v>2024</v>
      </c>
      <c r="S945" s="154">
        <f t="shared" si="2"/>
        <v>7</v>
      </c>
      <c r="T945" s="153" t="str">
        <f t="shared" si="3"/>
        <v>2024-Q3</v>
      </c>
      <c r="U945" s="153" t="str">
        <f t="shared" si="4"/>
        <v>2024-07</v>
      </c>
      <c r="V945" s="155" t="str">
        <f t="shared" si="5"/>
        <v>2024-H2</v>
      </c>
      <c r="W945" s="155"/>
    </row>
    <row r="946">
      <c r="A946" s="139">
        <f>HYPERLINK("https://polkadot.subsquare.io/referenda/938", 938)</f>
        <v>938</v>
      </c>
      <c r="B946" s="140" t="s">
        <v>554</v>
      </c>
      <c r="C946" s="140" t="s">
        <v>2681</v>
      </c>
      <c r="D946" s="141">
        <v>7579.086436742526</v>
      </c>
      <c r="E946" s="142">
        <v>46000.0</v>
      </c>
      <c r="F946" s="140" t="s">
        <v>2683</v>
      </c>
      <c r="G946" s="143">
        <v>1.8101668504312247E7</v>
      </c>
      <c r="H946" s="143">
        <v>1.2054974531761313E7</v>
      </c>
      <c r="I946" s="144">
        <v>45474.0</v>
      </c>
      <c r="J946" s="144">
        <v>45505.0</v>
      </c>
      <c r="K946" s="145">
        <v>35499.24475464701</v>
      </c>
      <c r="L946" s="114" t="s">
        <v>137</v>
      </c>
      <c r="M946" s="163" t="s">
        <v>138</v>
      </c>
      <c r="N946" s="108"/>
      <c r="O946" s="108"/>
      <c r="P946" s="108"/>
      <c r="Q946" s="108"/>
      <c r="R946" s="108" t="str">
        <f t="shared" si="1"/>
        <v>2024</v>
      </c>
      <c r="S946" s="110">
        <f t="shared" si="2"/>
        <v>8</v>
      </c>
      <c r="T946" s="108" t="str">
        <f t="shared" si="3"/>
        <v>2024-Q3</v>
      </c>
      <c r="U946" s="108" t="str">
        <f t="shared" si="4"/>
        <v>2024-08</v>
      </c>
      <c r="V946" s="112" t="str">
        <f t="shared" si="5"/>
        <v>2024-H2</v>
      </c>
      <c r="W946" s="112"/>
    </row>
    <row r="947">
      <c r="A947" s="146">
        <f>HYPERLINK("https://polkadot.subsquare.io/referenda/939", 939)</f>
        <v>939</v>
      </c>
      <c r="B947" s="147" t="s">
        <v>3201</v>
      </c>
      <c r="C947" s="147" t="s">
        <v>2691</v>
      </c>
      <c r="D947" s="148">
        <v>0.0</v>
      </c>
      <c r="E947" s="149">
        <v>0.0</v>
      </c>
      <c r="F947" s="147" t="s">
        <v>2891</v>
      </c>
      <c r="G947" s="150">
        <v>4000.0</v>
      </c>
      <c r="H947" s="150">
        <v>5794953.267740667</v>
      </c>
      <c r="I947" s="151">
        <v>45474.0</v>
      </c>
      <c r="J947" s="151">
        <v>45488.0</v>
      </c>
      <c r="K947" s="152">
        <v>0.0</v>
      </c>
      <c r="L947" s="117"/>
      <c r="M947" s="117"/>
      <c r="N947" s="153"/>
      <c r="O947" s="153"/>
      <c r="P947" s="153"/>
      <c r="Q947" s="153"/>
      <c r="R947" s="153" t="str">
        <f t="shared" si="1"/>
        <v>2024</v>
      </c>
      <c r="S947" s="154">
        <f t="shared" si="2"/>
        <v>7</v>
      </c>
      <c r="T947" s="153" t="str">
        <f t="shared" si="3"/>
        <v>2024-Q3</v>
      </c>
      <c r="U947" s="153" t="str">
        <f t="shared" si="4"/>
        <v>2024-07</v>
      </c>
      <c r="V947" s="155" t="str">
        <f t="shared" si="5"/>
        <v>2024-H2</v>
      </c>
      <c r="W947" s="158" t="s">
        <v>2654</v>
      </c>
    </row>
    <row r="948">
      <c r="A948" s="139">
        <f>HYPERLINK("https://polkadot.subsquare.io/referenda/940", 940)</f>
        <v>940</v>
      </c>
      <c r="B948" s="140" t="s">
        <v>3202</v>
      </c>
      <c r="C948" s="140" t="s">
        <v>2691</v>
      </c>
      <c r="D948" s="141">
        <v>0.0</v>
      </c>
      <c r="E948" s="142">
        <v>0.0</v>
      </c>
      <c r="F948" s="140" t="s">
        <v>2891</v>
      </c>
      <c r="G948" s="143">
        <v>15180.0</v>
      </c>
      <c r="H948" s="143">
        <v>5766703.29924283</v>
      </c>
      <c r="I948" s="144">
        <v>45474.0</v>
      </c>
      <c r="J948" s="144">
        <v>45488.0</v>
      </c>
      <c r="K948" s="145">
        <v>0.0</v>
      </c>
      <c r="L948" s="114"/>
      <c r="M948" s="114"/>
      <c r="N948" s="108"/>
      <c r="O948" s="108"/>
      <c r="P948" s="108"/>
      <c r="Q948" s="108"/>
      <c r="R948" s="108" t="str">
        <f t="shared" si="1"/>
        <v>2024</v>
      </c>
      <c r="S948" s="110">
        <f t="shared" si="2"/>
        <v>7</v>
      </c>
      <c r="T948" s="108" t="str">
        <f t="shared" si="3"/>
        <v>2024-Q3</v>
      </c>
      <c r="U948" s="108" t="str">
        <f t="shared" si="4"/>
        <v>2024-07</v>
      </c>
      <c r="V948" s="112" t="str">
        <f t="shared" si="5"/>
        <v>2024-H2</v>
      </c>
      <c r="W948" s="156" t="s">
        <v>2654</v>
      </c>
    </row>
    <row r="949">
      <c r="A949" s="146">
        <f>HYPERLINK("https://polkadot.subsquare.io/referenda/941", 941)</f>
        <v>941</v>
      </c>
      <c r="B949" s="147" t="s">
        <v>3203</v>
      </c>
      <c r="C949" s="147" t="s">
        <v>2775</v>
      </c>
      <c r="D949" s="148">
        <v>0.0</v>
      </c>
      <c r="E949" s="149">
        <v>0.0</v>
      </c>
      <c r="F949" s="147" t="s">
        <v>2891</v>
      </c>
      <c r="G949" s="150">
        <v>3.1100449816806424E7</v>
      </c>
      <c r="H949" s="150">
        <v>2.525487938281826E7</v>
      </c>
      <c r="I949" s="151">
        <v>45474.0</v>
      </c>
      <c r="J949" s="151">
        <v>45503.0</v>
      </c>
      <c r="K949" s="152">
        <v>0.0</v>
      </c>
      <c r="L949" s="117"/>
      <c r="M949" s="117"/>
      <c r="N949" s="153"/>
      <c r="O949" s="153"/>
      <c r="P949" s="153"/>
      <c r="Q949" s="153"/>
      <c r="R949" s="153" t="str">
        <f t="shared" si="1"/>
        <v>2024</v>
      </c>
      <c r="S949" s="154">
        <f t="shared" si="2"/>
        <v>7</v>
      </c>
      <c r="T949" s="153" t="str">
        <f t="shared" si="3"/>
        <v>2024-Q3</v>
      </c>
      <c r="U949" s="153" t="str">
        <f t="shared" si="4"/>
        <v>2024-07</v>
      </c>
      <c r="V949" s="155" t="str">
        <f t="shared" si="5"/>
        <v>2024-H2</v>
      </c>
      <c r="W949" s="155"/>
    </row>
    <row r="950">
      <c r="A950" s="139">
        <f>HYPERLINK("https://polkadot.subsquare.io/referenda/942", 942)</f>
        <v>942</v>
      </c>
      <c r="B950" s="140" t="s">
        <v>555</v>
      </c>
      <c r="C950" s="140" t="s">
        <v>2681</v>
      </c>
      <c r="D950" s="141">
        <v>35635.496039612284</v>
      </c>
      <c r="E950" s="142">
        <v>198100.0</v>
      </c>
      <c r="F950" s="140" t="s">
        <v>2683</v>
      </c>
      <c r="G950" s="143">
        <v>2.8985474102104615E7</v>
      </c>
      <c r="H950" s="143">
        <v>1.8082205926292293E7</v>
      </c>
      <c r="I950" s="144">
        <v>45474.0</v>
      </c>
      <c r="J950" s="144">
        <v>45501.0</v>
      </c>
      <c r="K950" s="145">
        <v>191908.91302106448</v>
      </c>
      <c r="L950" s="114" t="s">
        <v>81</v>
      </c>
      <c r="M950" s="114" t="s">
        <v>158</v>
      </c>
      <c r="N950" s="108"/>
      <c r="O950" s="108"/>
      <c r="P950" s="108"/>
      <c r="Q950" s="108"/>
      <c r="R950" s="108" t="str">
        <f t="shared" si="1"/>
        <v>2024</v>
      </c>
      <c r="S950" s="110">
        <f t="shared" si="2"/>
        <v>7</v>
      </c>
      <c r="T950" s="108" t="str">
        <f t="shared" si="3"/>
        <v>2024-Q3</v>
      </c>
      <c r="U950" s="108" t="str">
        <f t="shared" si="4"/>
        <v>2024-07</v>
      </c>
      <c r="V950" s="112" t="str">
        <f t="shared" si="5"/>
        <v>2024-H2</v>
      </c>
      <c r="W950" s="112"/>
    </row>
    <row r="951">
      <c r="A951" s="146">
        <f>HYPERLINK("https://polkadot.subsquare.io/referenda/943", 943)</f>
        <v>943</v>
      </c>
      <c r="B951" s="147" t="s">
        <v>556</v>
      </c>
      <c r="C951" s="147" t="s">
        <v>2681</v>
      </c>
      <c r="D951" s="148">
        <v>86022.0619187487</v>
      </c>
      <c r="E951" s="149">
        <v>478202.13999999996</v>
      </c>
      <c r="F951" s="147" t="s">
        <v>2676</v>
      </c>
      <c r="G951" s="150">
        <v>3.114909616528476E7</v>
      </c>
      <c r="H951" s="150">
        <v>1.915749768483795E7</v>
      </c>
      <c r="I951" s="151">
        <v>45474.0</v>
      </c>
      <c r="J951" s="151">
        <v>45510.0</v>
      </c>
      <c r="K951" s="152">
        <v>419863.6382987325</v>
      </c>
      <c r="L951" s="117" t="s">
        <v>82</v>
      </c>
      <c r="M951" s="117" t="s">
        <v>150</v>
      </c>
      <c r="N951" s="153"/>
      <c r="O951" s="153"/>
      <c r="P951" s="153"/>
      <c r="Q951" s="153"/>
      <c r="R951" s="153" t="str">
        <f t="shared" si="1"/>
        <v>2024</v>
      </c>
      <c r="S951" s="154">
        <f t="shared" si="2"/>
        <v>8</v>
      </c>
      <c r="T951" s="153" t="str">
        <f t="shared" si="3"/>
        <v>2024-Q3</v>
      </c>
      <c r="U951" s="153" t="str">
        <f t="shared" si="4"/>
        <v>2024-08</v>
      </c>
      <c r="V951" s="155" t="str">
        <f t="shared" si="5"/>
        <v>2024-H2</v>
      </c>
      <c r="W951" s="155"/>
    </row>
    <row r="952">
      <c r="A952" s="139">
        <f>HYPERLINK("https://polkadot.subsquare.io/referenda/944", 944)</f>
        <v>944</v>
      </c>
      <c r="B952" s="140" t="s">
        <v>558</v>
      </c>
      <c r="C952" s="140" t="s">
        <v>2681</v>
      </c>
      <c r="D952" s="141">
        <v>1011087.5028339707</v>
      </c>
      <c r="E952" s="142">
        <v>5620700.048310282</v>
      </c>
      <c r="F952" s="140" t="s">
        <v>2676</v>
      </c>
      <c r="G952" s="143">
        <v>9.474276885776511E7</v>
      </c>
      <c r="H952" s="143">
        <v>5.049148129406148E7</v>
      </c>
      <c r="I952" s="144">
        <v>45474.0</v>
      </c>
      <c r="J952" s="144">
        <v>45503.0</v>
      </c>
      <c r="K952" s="145">
        <v>5178992.419358541</v>
      </c>
      <c r="L952" s="114" t="s">
        <v>81</v>
      </c>
      <c r="M952" s="114" t="s">
        <v>557</v>
      </c>
      <c r="N952" s="108"/>
      <c r="O952" s="108"/>
      <c r="P952" s="108"/>
      <c r="Q952" s="108"/>
      <c r="R952" s="108" t="str">
        <f t="shared" si="1"/>
        <v>2024</v>
      </c>
      <c r="S952" s="110">
        <f t="shared" si="2"/>
        <v>7</v>
      </c>
      <c r="T952" s="108" t="str">
        <f t="shared" si="3"/>
        <v>2024-Q3</v>
      </c>
      <c r="U952" s="108" t="str">
        <f t="shared" si="4"/>
        <v>2024-07</v>
      </c>
      <c r="V952" s="112" t="str">
        <f t="shared" si="5"/>
        <v>2024-H2</v>
      </c>
      <c r="W952" s="112"/>
    </row>
    <row r="953">
      <c r="A953" s="146">
        <f>HYPERLINK("https://polkadot.subsquare.io/referenda/945", 945)</f>
        <v>945</v>
      </c>
      <c r="B953" s="159"/>
      <c r="C953" s="147" t="s">
        <v>2691</v>
      </c>
      <c r="D953" s="148">
        <v>0.0</v>
      </c>
      <c r="E953" s="149">
        <v>0.0</v>
      </c>
      <c r="F953" s="147" t="s">
        <v>2678</v>
      </c>
      <c r="G953" s="150">
        <v>0.0</v>
      </c>
      <c r="H953" s="150">
        <v>2.4980470300454736E7</v>
      </c>
      <c r="I953" s="151">
        <v>45474.0</v>
      </c>
      <c r="J953" s="151">
        <v>45488.0</v>
      </c>
      <c r="K953" s="152">
        <v>0.0</v>
      </c>
      <c r="L953" s="117"/>
      <c r="M953" s="117"/>
      <c r="N953" s="153"/>
      <c r="O953" s="153"/>
      <c r="P953" s="153"/>
      <c r="Q953" s="153"/>
      <c r="R953" s="153" t="str">
        <f t="shared" si="1"/>
        <v>2024</v>
      </c>
      <c r="S953" s="154">
        <f t="shared" si="2"/>
        <v>7</v>
      </c>
      <c r="T953" s="153" t="str">
        <f t="shared" si="3"/>
        <v>2024-Q3</v>
      </c>
      <c r="U953" s="153" t="str">
        <f t="shared" si="4"/>
        <v>2024-07</v>
      </c>
      <c r="V953" s="155" t="str">
        <f t="shared" si="5"/>
        <v>2024-H2</v>
      </c>
      <c r="W953" s="155"/>
    </row>
    <row r="954">
      <c r="A954" s="139">
        <f>HYPERLINK("https://polkadot.subsquare.io/referenda/946", 946)</f>
        <v>946</v>
      </c>
      <c r="B954" s="140" t="s">
        <v>3204</v>
      </c>
      <c r="C954" s="140" t="s">
        <v>2672</v>
      </c>
      <c r="D954" s="141">
        <v>0.0</v>
      </c>
      <c r="E954" s="142">
        <v>0.0</v>
      </c>
      <c r="F954" s="140" t="s">
        <v>3053</v>
      </c>
      <c r="G954" s="143">
        <v>3.1823241022766776E7</v>
      </c>
      <c r="H954" s="143">
        <v>5.9505441298735864E7</v>
      </c>
      <c r="I954" s="144">
        <v>45475.0</v>
      </c>
      <c r="J954" s="144">
        <v>45508.0</v>
      </c>
      <c r="K954" s="145">
        <v>0.0</v>
      </c>
      <c r="L954" s="114"/>
      <c r="M954" s="114"/>
      <c r="N954" s="108"/>
      <c r="O954" s="108"/>
      <c r="P954" s="108"/>
      <c r="Q954" s="108"/>
      <c r="R954" s="108" t="str">
        <f t="shared" si="1"/>
        <v>2024</v>
      </c>
      <c r="S954" s="110">
        <f t="shared" si="2"/>
        <v>8</v>
      </c>
      <c r="T954" s="108" t="str">
        <f t="shared" si="3"/>
        <v>2024-Q3</v>
      </c>
      <c r="U954" s="108" t="str">
        <f t="shared" si="4"/>
        <v>2024-08</v>
      </c>
      <c r="V954" s="112" t="str">
        <f t="shared" si="5"/>
        <v>2024-H2</v>
      </c>
      <c r="W954" s="112"/>
    </row>
    <row r="955">
      <c r="A955" s="146">
        <f>HYPERLINK("https://polkadot.subsquare.io/referenda/947", 947)</f>
        <v>947</v>
      </c>
      <c r="B955" s="147" t="s">
        <v>559</v>
      </c>
      <c r="C955" s="147" t="s">
        <v>2681</v>
      </c>
      <c r="D955" s="148">
        <v>50.0</v>
      </c>
      <c r="E955" s="149">
        <v>283.28704833984375</v>
      </c>
      <c r="F955" s="147" t="s">
        <v>186</v>
      </c>
      <c r="G955" s="150">
        <v>9740932.885919372</v>
      </c>
      <c r="H955" s="150">
        <v>4582696.179555808</v>
      </c>
      <c r="I955" s="151">
        <v>45475.0</v>
      </c>
      <c r="J955" s="151">
        <v>45478.0</v>
      </c>
      <c r="K955" s="152">
        <v>295.3131437301636</v>
      </c>
      <c r="L955" s="117" t="s">
        <v>137</v>
      </c>
      <c r="M955" s="117" t="s">
        <v>138</v>
      </c>
      <c r="N955" s="153"/>
      <c r="O955" s="153"/>
      <c r="P955" s="153"/>
      <c r="Q955" s="153"/>
      <c r="R955" s="153" t="str">
        <f t="shared" si="1"/>
        <v>2024</v>
      </c>
      <c r="S955" s="154">
        <f t="shared" si="2"/>
        <v>7</v>
      </c>
      <c r="T955" s="153" t="str">
        <f t="shared" si="3"/>
        <v>2024-Q3</v>
      </c>
      <c r="U955" s="153" t="str">
        <f t="shared" si="4"/>
        <v>2024-07</v>
      </c>
      <c r="V955" s="155" t="str">
        <f t="shared" si="5"/>
        <v>2024-H2</v>
      </c>
      <c r="W955" s="155"/>
    </row>
    <row r="956">
      <c r="A956" s="139">
        <f>HYPERLINK("https://polkadot.subsquare.io/referenda/948", 948)</f>
        <v>948</v>
      </c>
      <c r="B956" s="140" t="s">
        <v>560</v>
      </c>
      <c r="C956" s="140" t="s">
        <v>2681</v>
      </c>
      <c r="D956" s="141">
        <v>15378.0</v>
      </c>
      <c r="E956" s="142">
        <v>87127.76458740234</v>
      </c>
      <c r="F956" s="140" t="s">
        <v>2683</v>
      </c>
      <c r="G956" s="143">
        <v>4.292524341600219E7</v>
      </c>
      <c r="H956" s="143">
        <v>19638.7</v>
      </c>
      <c r="I956" s="144">
        <v>45475.0</v>
      </c>
      <c r="J956" s="144">
        <v>45498.0</v>
      </c>
      <c r="K956" s="145">
        <v>87984.08918380737</v>
      </c>
      <c r="L956" s="114" t="s">
        <v>81</v>
      </c>
      <c r="M956" s="114" t="s">
        <v>202</v>
      </c>
      <c r="N956" s="108"/>
      <c r="O956" s="108"/>
      <c r="P956" s="108"/>
      <c r="Q956" s="108"/>
      <c r="R956" s="108" t="str">
        <f t="shared" si="1"/>
        <v>2024</v>
      </c>
      <c r="S956" s="110">
        <f t="shared" si="2"/>
        <v>7</v>
      </c>
      <c r="T956" s="108" t="str">
        <f t="shared" si="3"/>
        <v>2024-Q3</v>
      </c>
      <c r="U956" s="108" t="str">
        <f t="shared" si="4"/>
        <v>2024-07</v>
      </c>
      <c r="V956" s="112" t="str">
        <f t="shared" si="5"/>
        <v>2024-H2</v>
      </c>
      <c r="W956" s="112"/>
    </row>
    <row r="957">
      <c r="A957" s="146">
        <f>HYPERLINK("https://polkadot.subsquare.io/referenda/949", 949)</f>
        <v>949</v>
      </c>
      <c r="B957" s="147" t="s">
        <v>2971</v>
      </c>
      <c r="C957" s="147" t="s">
        <v>2672</v>
      </c>
      <c r="D957" s="148">
        <v>0.0</v>
      </c>
      <c r="E957" s="149">
        <v>0.0</v>
      </c>
      <c r="F957" s="147" t="s">
        <v>2891</v>
      </c>
      <c r="G957" s="150">
        <v>1125511.6518042728</v>
      </c>
      <c r="H957" s="150">
        <v>2.0152115202814568E7</v>
      </c>
      <c r="I957" s="151">
        <v>45475.0</v>
      </c>
      <c r="J957" s="151">
        <v>45530.0</v>
      </c>
      <c r="K957" s="152">
        <v>0.0</v>
      </c>
      <c r="L957" s="117"/>
      <c r="M957" s="117"/>
      <c r="N957" s="153"/>
      <c r="O957" s="153"/>
      <c r="P957" s="153"/>
      <c r="Q957" s="153"/>
      <c r="R957" s="153" t="str">
        <f t="shared" si="1"/>
        <v>2024</v>
      </c>
      <c r="S957" s="154">
        <f t="shared" si="2"/>
        <v>8</v>
      </c>
      <c r="T957" s="153" t="str">
        <f t="shared" si="3"/>
        <v>2024-Q3</v>
      </c>
      <c r="U957" s="153" t="str">
        <f t="shared" si="4"/>
        <v>2024-08</v>
      </c>
      <c r="V957" s="155" t="str">
        <f t="shared" si="5"/>
        <v>2024-H2</v>
      </c>
      <c r="W957" s="158" t="s">
        <v>2654</v>
      </c>
    </row>
    <row r="958">
      <c r="A958" s="139">
        <f>HYPERLINK("https://polkadot.subsquare.io/referenda/950", 950)</f>
        <v>950</v>
      </c>
      <c r="B958" s="140" t="s">
        <v>3205</v>
      </c>
      <c r="C958" s="140" t="s">
        <v>2672</v>
      </c>
      <c r="D958" s="141">
        <v>260000.0</v>
      </c>
      <c r="E958" s="142">
        <v>1473092.6513671875</v>
      </c>
      <c r="F958" s="140" t="s">
        <v>2676</v>
      </c>
      <c r="G958" s="143">
        <v>2.9713857204188425E7</v>
      </c>
      <c r="H958" s="143">
        <v>7.58361038378705E7</v>
      </c>
      <c r="I958" s="144">
        <v>45476.0</v>
      </c>
      <c r="J958" s="144">
        <v>45504.0</v>
      </c>
      <c r="K958" s="145">
        <v>1331772.0031738281</v>
      </c>
      <c r="L958" s="114"/>
      <c r="M958" s="114"/>
      <c r="N958" s="108"/>
      <c r="O958" s="108"/>
      <c r="P958" s="108"/>
      <c r="Q958" s="108"/>
      <c r="R958" s="108" t="str">
        <f t="shared" si="1"/>
        <v>2024</v>
      </c>
      <c r="S958" s="110">
        <f t="shared" si="2"/>
        <v>7</v>
      </c>
      <c r="T958" s="108" t="str">
        <f t="shared" si="3"/>
        <v>2024-Q3</v>
      </c>
      <c r="U958" s="108" t="str">
        <f t="shared" si="4"/>
        <v>2024-07</v>
      </c>
      <c r="V958" s="112" t="str">
        <f t="shared" si="5"/>
        <v>2024-H2</v>
      </c>
      <c r="W958" s="112"/>
    </row>
    <row r="959">
      <c r="A959" s="146">
        <f>HYPERLINK("https://polkadot.subsquare.io/referenda/951", 951)</f>
        <v>951</v>
      </c>
      <c r="B959" s="147" t="s">
        <v>3206</v>
      </c>
      <c r="C959" s="147" t="s">
        <v>2672</v>
      </c>
      <c r="D959" s="148">
        <v>96156.88454391209</v>
      </c>
      <c r="E959" s="149">
        <v>544800.0</v>
      </c>
      <c r="F959" s="147" t="s">
        <v>2683</v>
      </c>
      <c r="G959" s="150">
        <v>1.714440946958107E7</v>
      </c>
      <c r="H959" s="150">
        <v>6.1175529510543786E7</v>
      </c>
      <c r="I959" s="151">
        <v>45476.0</v>
      </c>
      <c r="J959" s="151">
        <v>45505.0</v>
      </c>
      <c r="K959" s="152">
        <v>450383.671931809</v>
      </c>
      <c r="L959" s="117"/>
      <c r="M959" s="117"/>
      <c r="N959" s="153"/>
      <c r="O959" s="153"/>
      <c r="P959" s="153"/>
      <c r="Q959" s="153"/>
      <c r="R959" s="153" t="str">
        <f t="shared" si="1"/>
        <v>2024</v>
      </c>
      <c r="S959" s="154">
        <f t="shared" si="2"/>
        <v>8</v>
      </c>
      <c r="T959" s="153" t="str">
        <f t="shared" si="3"/>
        <v>2024-Q3</v>
      </c>
      <c r="U959" s="153" t="str">
        <f t="shared" si="4"/>
        <v>2024-08</v>
      </c>
      <c r="V959" s="155" t="str">
        <f t="shared" si="5"/>
        <v>2024-H2</v>
      </c>
      <c r="W959" s="155"/>
    </row>
    <row r="960">
      <c r="A960" s="139">
        <f>HYPERLINK("https://polkadot.subsquare.io/referenda/952", 952)</f>
        <v>952</v>
      </c>
      <c r="B960" s="140" t="s">
        <v>3207</v>
      </c>
      <c r="C960" s="140" t="s">
        <v>2691</v>
      </c>
      <c r="D960" s="141">
        <v>0.0</v>
      </c>
      <c r="E960" s="142">
        <v>0.0</v>
      </c>
      <c r="F960" s="140" t="s">
        <v>2891</v>
      </c>
      <c r="G960" s="143">
        <v>0.0</v>
      </c>
      <c r="H960" s="143">
        <v>5640435.882994104</v>
      </c>
      <c r="I960" s="144">
        <v>45476.0</v>
      </c>
      <c r="J960" s="144">
        <v>45490.0</v>
      </c>
      <c r="K960" s="145">
        <v>0.0</v>
      </c>
      <c r="L960" s="114"/>
      <c r="M960" s="114"/>
      <c r="N960" s="108"/>
      <c r="O960" s="108"/>
      <c r="P960" s="108"/>
      <c r="Q960" s="108"/>
      <c r="R960" s="108" t="str">
        <f t="shared" si="1"/>
        <v>2024</v>
      </c>
      <c r="S960" s="110">
        <f t="shared" si="2"/>
        <v>7</v>
      </c>
      <c r="T960" s="108" t="str">
        <f t="shared" si="3"/>
        <v>2024-Q3</v>
      </c>
      <c r="U960" s="108" t="str">
        <f t="shared" si="4"/>
        <v>2024-07</v>
      </c>
      <c r="V960" s="112" t="str">
        <f t="shared" si="5"/>
        <v>2024-H2</v>
      </c>
      <c r="W960" s="156" t="s">
        <v>2654</v>
      </c>
    </row>
    <row r="961">
      <c r="A961" s="146">
        <f>HYPERLINK("https://polkadot.subsquare.io/referenda/953", 953)</f>
        <v>953</v>
      </c>
      <c r="B961" s="147" t="s">
        <v>3208</v>
      </c>
      <c r="C961" s="147" t="s">
        <v>2681</v>
      </c>
      <c r="D961" s="148">
        <v>0.0</v>
      </c>
      <c r="E961" s="149">
        <v>0.0</v>
      </c>
      <c r="F961" s="147" t="s">
        <v>2891</v>
      </c>
      <c r="G961" s="150">
        <v>3.019877696062692E7</v>
      </c>
      <c r="H961" s="150">
        <v>2.4831296950877078E7</v>
      </c>
      <c r="I961" s="151">
        <v>45476.0</v>
      </c>
      <c r="J961" s="151">
        <v>45503.0</v>
      </c>
      <c r="K961" s="152">
        <v>0.0</v>
      </c>
      <c r="L961" s="117"/>
      <c r="M961" s="117"/>
      <c r="N961" s="153"/>
      <c r="O961" s="153"/>
      <c r="P961" s="153"/>
      <c r="Q961" s="153"/>
      <c r="R961" s="153" t="str">
        <f t="shared" si="1"/>
        <v>2024</v>
      </c>
      <c r="S961" s="154">
        <f t="shared" si="2"/>
        <v>7</v>
      </c>
      <c r="T961" s="153" t="str">
        <f t="shared" si="3"/>
        <v>2024-Q3</v>
      </c>
      <c r="U961" s="153" t="str">
        <f t="shared" si="4"/>
        <v>2024-07</v>
      </c>
      <c r="V961" s="155" t="str">
        <f t="shared" si="5"/>
        <v>2024-H2</v>
      </c>
      <c r="W961" s="155"/>
    </row>
    <row r="962">
      <c r="A962" s="139">
        <f>HYPERLINK("https://polkadot.subsquare.io/referenda/954", 954)</f>
        <v>954</v>
      </c>
      <c r="B962" s="140" t="s">
        <v>3209</v>
      </c>
      <c r="C962" s="140" t="s">
        <v>2672</v>
      </c>
      <c r="D962" s="141">
        <v>9987.0</v>
      </c>
      <c r="E962" s="142">
        <v>62333.62140083313</v>
      </c>
      <c r="F962" s="140" t="s">
        <v>2678</v>
      </c>
      <c r="G962" s="143">
        <v>40266.0</v>
      </c>
      <c r="H962" s="143">
        <v>6.6972766347056925E7</v>
      </c>
      <c r="I962" s="144">
        <v>45476.0</v>
      </c>
      <c r="J962" s="144">
        <v>45504.0</v>
      </c>
      <c r="K962" s="145">
        <v>50371.0912027359</v>
      </c>
      <c r="L962" s="114"/>
      <c r="M962" s="114"/>
      <c r="N962" s="108"/>
      <c r="O962" s="108"/>
      <c r="P962" s="108"/>
      <c r="Q962" s="108"/>
      <c r="R962" s="108" t="str">
        <f t="shared" si="1"/>
        <v>2024</v>
      </c>
      <c r="S962" s="110">
        <f t="shared" si="2"/>
        <v>7</v>
      </c>
      <c r="T962" s="108" t="str">
        <f t="shared" si="3"/>
        <v>2024-Q3</v>
      </c>
      <c r="U962" s="108" t="str">
        <f t="shared" si="4"/>
        <v>2024-07</v>
      </c>
      <c r="V962" s="112" t="str">
        <f t="shared" si="5"/>
        <v>2024-H2</v>
      </c>
      <c r="W962" s="112"/>
    </row>
    <row r="963">
      <c r="A963" s="146">
        <f>HYPERLINK("https://polkadot.subsquare.io/referenda/955", 955)</f>
        <v>955</v>
      </c>
      <c r="B963" s="159"/>
      <c r="C963" s="147" t="s">
        <v>2681</v>
      </c>
      <c r="D963" s="148">
        <v>80.0</v>
      </c>
      <c r="E963" s="149">
        <v>499.3180847167969</v>
      </c>
      <c r="F963" s="147" t="s">
        <v>186</v>
      </c>
      <c r="G963" s="150">
        <v>1.4466678391418938E7</v>
      </c>
      <c r="H963" s="150">
        <v>2020558.5138999878</v>
      </c>
      <c r="I963" s="151">
        <v>45476.0</v>
      </c>
      <c r="J963" s="151">
        <v>45480.0</v>
      </c>
      <c r="K963" s="152">
        <v>489.1263961791992</v>
      </c>
      <c r="L963" s="117" t="s">
        <v>81</v>
      </c>
      <c r="M963" s="117" t="s">
        <v>185</v>
      </c>
      <c r="N963" s="153"/>
      <c r="O963" s="153"/>
      <c r="P963" s="153"/>
      <c r="Q963" s="153"/>
      <c r="R963" s="153" t="str">
        <f t="shared" si="1"/>
        <v>2024</v>
      </c>
      <c r="S963" s="154">
        <f t="shared" si="2"/>
        <v>7</v>
      </c>
      <c r="T963" s="153" t="str">
        <f t="shared" si="3"/>
        <v>2024-Q3</v>
      </c>
      <c r="U963" s="153" t="str">
        <f t="shared" si="4"/>
        <v>2024-07</v>
      </c>
      <c r="V963" s="155" t="str">
        <f t="shared" si="5"/>
        <v>2024-H2</v>
      </c>
      <c r="W963" s="155"/>
    </row>
    <row r="964">
      <c r="A964" s="139">
        <f>HYPERLINK("https://polkadot.subsquare.io/referenda/956", 956)</f>
        <v>956</v>
      </c>
      <c r="B964" s="140" t="s">
        <v>3210</v>
      </c>
      <c r="C964" s="140" t="s">
        <v>2691</v>
      </c>
      <c r="D964" s="141">
        <v>2350.0</v>
      </c>
      <c r="E964" s="142">
        <v>14667.468738555908</v>
      </c>
      <c r="F964" s="140" t="s">
        <v>2678</v>
      </c>
      <c r="G964" s="143">
        <v>106.01</v>
      </c>
      <c r="H964" s="143">
        <v>2.9216324088831674E7</v>
      </c>
      <c r="I964" s="144">
        <v>45476.0</v>
      </c>
      <c r="J964" s="144">
        <v>45490.0</v>
      </c>
      <c r="K964" s="145">
        <v>14892.255663871765</v>
      </c>
      <c r="L964" s="114"/>
      <c r="M964" s="114"/>
      <c r="N964" s="108"/>
      <c r="O964" s="108"/>
      <c r="P964" s="108"/>
      <c r="Q964" s="108"/>
      <c r="R964" s="108" t="str">
        <f t="shared" si="1"/>
        <v>2024</v>
      </c>
      <c r="S964" s="110">
        <f t="shared" si="2"/>
        <v>7</v>
      </c>
      <c r="T964" s="108" t="str">
        <f t="shared" si="3"/>
        <v>2024-Q3</v>
      </c>
      <c r="U964" s="108" t="str">
        <f t="shared" si="4"/>
        <v>2024-07</v>
      </c>
      <c r="V964" s="112" t="str">
        <f t="shared" si="5"/>
        <v>2024-H2</v>
      </c>
      <c r="W964" s="112"/>
    </row>
    <row r="965">
      <c r="A965" s="146">
        <f>HYPERLINK("https://polkadot.subsquare.io/referenda/957", 957)</f>
        <v>957</v>
      </c>
      <c r="B965" s="147" t="s">
        <v>3211</v>
      </c>
      <c r="C965" s="147" t="s">
        <v>2672</v>
      </c>
      <c r="D965" s="148">
        <v>9106.82015969656</v>
      </c>
      <c r="E965" s="149">
        <v>56840.0</v>
      </c>
      <c r="F965" s="147" t="s">
        <v>2683</v>
      </c>
      <c r="G965" s="150">
        <v>23334.194168017</v>
      </c>
      <c r="H965" s="150">
        <v>2.2386375496318866E7</v>
      </c>
      <c r="I965" s="151">
        <v>45476.0</v>
      </c>
      <c r="J965" s="151">
        <v>45505.0</v>
      </c>
      <c r="K965" s="152">
        <v>45931.75816871826</v>
      </c>
      <c r="L965" s="117"/>
      <c r="M965" s="117"/>
      <c r="N965" s="153"/>
      <c r="O965" s="153"/>
      <c r="P965" s="153"/>
      <c r="Q965" s="153"/>
      <c r="R965" s="153" t="str">
        <f t="shared" si="1"/>
        <v>2024</v>
      </c>
      <c r="S965" s="154">
        <f t="shared" si="2"/>
        <v>8</v>
      </c>
      <c r="T965" s="153" t="str">
        <f t="shared" si="3"/>
        <v>2024-Q3</v>
      </c>
      <c r="U965" s="153" t="str">
        <f t="shared" si="4"/>
        <v>2024-08</v>
      </c>
      <c r="V965" s="155" t="str">
        <f t="shared" si="5"/>
        <v>2024-H2</v>
      </c>
      <c r="W965" s="155"/>
    </row>
    <row r="966">
      <c r="A966" s="139">
        <f>HYPERLINK("https://polkadot.subsquare.io/referenda/958", 958)</f>
        <v>958</v>
      </c>
      <c r="B966" s="140" t="s">
        <v>3212</v>
      </c>
      <c r="C966" s="140" t="s">
        <v>2672</v>
      </c>
      <c r="D966" s="141">
        <v>150.0</v>
      </c>
      <c r="E966" s="142">
        <v>936.2214088439941</v>
      </c>
      <c r="F966" s="140" t="s">
        <v>186</v>
      </c>
      <c r="G966" s="143">
        <v>620716.7720727368</v>
      </c>
      <c r="H966" s="143">
        <v>3.305881498292406E7</v>
      </c>
      <c r="I966" s="144">
        <v>45477.0</v>
      </c>
      <c r="J966" s="144">
        <v>45484.0</v>
      </c>
      <c r="K966" s="145">
        <v>936.6012096405029</v>
      </c>
      <c r="L966" s="114"/>
      <c r="M966" s="114"/>
      <c r="N966" s="108"/>
      <c r="O966" s="108"/>
      <c r="P966" s="108"/>
      <c r="Q966" s="108"/>
      <c r="R966" s="108" t="str">
        <f t="shared" si="1"/>
        <v>2024</v>
      </c>
      <c r="S966" s="110">
        <f t="shared" si="2"/>
        <v>7</v>
      </c>
      <c r="T966" s="108" t="str">
        <f t="shared" si="3"/>
        <v>2024-Q3</v>
      </c>
      <c r="U966" s="108" t="str">
        <f t="shared" si="4"/>
        <v>2024-07</v>
      </c>
      <c r="V966" s="112" t="str">
        <f t="shared" si="5"/>
        <v>2024-H2</v>
      </c>
      <c r="W966" s="112"/>
    </row>
    <row r="967">
      <c r="A967" s="146">
        <f>HYPERLINK("https://polkadot.subsquare.io/referenda/959", 959)</f>
        <v>959</v>
      </c>
      <c r="B967" s="147" t="s">
        <v>3213</v>
      </c>
      <c r="C967" s="147" t="s">
        <v>2681</v>
      </c>
      <c r="D967" s="148">
        <v>0.0</v>
      </c>
      <c r="E967" s="149">
        <v>0.0</v>
      </c>
      <c r="F967" s="147" t="s">
        <v>3053</v>
      </c>
      <c r="G967" s="150">
        <v>2.8987939452572685E7</v>
      </c>
      <c r="H967" s="150">
        <v>1.6467215472350204E7</v>
      </c>
      <c r="I967" s="151">
        <v>45477.0</v>
      </c>
      <c r="J967" s="151">
        <v>45508.0</v>
      </c>
      <c r="K967" s="152">
        <v>0.0</v>
      </c>
      <c r="L967" s="117"/>
      <c r="M967" s="117"/>
      <c r="N967" s="153"/>
      <c r="O967" s="153"/>
      <c r="P967" s="153"/>
      <c r="Q967" s="153"/>
      <c r="R967" s="153" t="str">
        <f t="shared" si="1"/>
        <v>2024</v>
      </c>
      <c r="S967" s="154">
        <f t="shared" si="2"/>
        <v>8</v>
      </c>
      <c r="T967" s="153" t="str">
        <f t="shared" si="3"/>
        <v>2024-Q3</v>
      </c>
      <c r="U967" s="153" t="str">
        <f t="shared" si="4"/>
        <v>2024-08</v>
      </c>
      <c r="V967" s="155" t="str">
        <f t="shared" si="5"/>
        <v>2024-H2</v>
      </c>
      <c r="W967" s="155"/>
    </row>
    <row r="968">
      <c r="A968" s="139">
        <f>HYPERLINK("https://polkadot.subsquare.io/referenda/960", 960)</f>
        <v>960</v>
      </c>
      <c r="B968" s="140" t="s">
        <v>3214</v>
      </c>
      <c r="C968" s="140" t="s">
        <v>2672</v>
      </c>
      <c r="D968" s="141">
        <v>400.0</v>
      </c>
      <c r="E968" s="142">
        <v>2362.5051498413086</v>
      </c>
      <c r="F968" s="140" t="s">
        <v>2699</v>
      </c>
      <c r="G968" s="143">
        <v>16801.3</v>
      </c>
      <c r="H968" s="143">
        <v>3.1334985175350077E7</v>
      </c>
      <c r="I968" s="144">
        <v>45478.0</v>
      </c>
      <c r="J968" s="144">
        <v>45485.0</v>
      </c>
      <c r="K968" s="145">
        <v>2531.231117248535</v>
      </c>
      <c r="L968" s="114"/>
      <c r="M968" s="114"/>
      <c r="N968" s="108"/>
      <c r="O968" s="108"/>
      <c r="P968" s="108"/>
      <c r="Q968" s="108"/>
      <c r="R968" s="108" t="str">
        <f t="shared" si="1"/>
        <v>2024</v>
      </c>
      <c r="S968" s="110">
        <f t="shared" si="2"/>
        <v>7</v>
      </c>
      <c r="T968" s="108" t="str">
        <f t="shared" si="3"/>
        <v>2024-Q3</v>
      </c>
      <c r="U968" s="108" t="str">
        <f t="shared" si="4"/>
        <v>2024-07</v>
      </c>
      <c r="V968" s="112" t="str">
        <f t="shared" si="5"/>
        <v>2024-H2</v>
      </c>
      <c r="W968" s="112"/>
    </row>
    <row r="969">
      <c r="A969" s="146">
        <f>HYPERLINK("https://polkadot.subsquare.io/referenda/961", 961)</f>
        <v>961</v>
      </c>
      <c r="B969" s="147" t="s">
        <v>561</v>
      </c>
      <c r="C969" s="147" t="s">
        <v>2681</v>
      </c>
      <c r="D969" s="148">
        <v>770.0</v>
      </c>
      <c r="E969" s="149">
        <v>4577.461409568787</v>
      </c>
      <c r="F969" s="147" t="s">
        <v>2699</v>
      </c>
      <c r="G969" s="150">
        <v>4.182155646233633E7</v>
      </c>
      <c r="H969" s="150">
        <v>8727174.485836402</v>
      </c>
      <c r="I969" s="151">
        <v>45478.0</v>
      </c>
      <c r="J969" s="151">
        <v>45482.0</v>
      </c>
      <c r="K969" s="152">
        <v>4696.390066146851</v>
      </c>
      <c r="L969" s="117" t="s">
        <v>137</v>
      </c>
      <c r="M969" s="117" t="s">
        <v>266</v>
      </c>
      <c r="N969" s="153"/>
      <c r="O969" s="153"/>
      <c r="P969" s="153"/>
      <c r="Q969" s="153"/>
      <c r="R969" s="153" t="str">
        <f t="shared" si="1"/>
        <v>2024</v>
      </c>
      <c r="S969" s="154">
        <f t="shared" si="2"/>
        <v>7</v>
      </c>
      <c r="T969" s="153" t="str">
        <f t="shared" si="3"/>
        <v>2024-Q3</v>
      </c>
      <c r="U969" s="153" t="str">
        <f t="shared" si="4"/>
        <v>2024-07</v>
      </c>
      <c r="V969" s="155" t="str">
        <f t="shared" si="5"/>
        <v>2024-H2</v>
      </c>
      <c r="W969" s="155"/>
    </row>
    <row r="970">
      <c r="A970" s="139">
        <f>HYPERLINK("https://polkadot.subsquare.io/referenda/962", 962)</f>
        <v>962</v>
      </c>
      <c r="B970" s="140" t="s">
        <v>3215</v>
      </c>
      <c r="C970" s="140" t="s">
        <v>2672</v>
      </c>
      <c r="D970" s="141">
        <v>7685.83</v>
      </c>
      <c r="E970" s="142">
        <v>45690.37691624164</v>
      </c>
      <c r="F970" s="140" t="s">
        <v>2678</v>
      </c>
      <c r="G970" s="143">
        <v>0.0</v>
      </c>
      <c r="H970" s="143">
        <v>2.940499871007718E7</v>
      </c>
      <c r="I970" s="144">
        <v>45479.0</v>
      </c>
      <c r="J970" s="144">
        <v>45507.0</v>
      </c>
      <c r="K970" s="145">
        <v>34639.51149627208</v>
      </c>
      <c r="L970" s="114"/>
      <c r="M970" s="114"/>
      <c r="N970" s="108"/>
      <c r="O970" s="108"/>
      <c r="P970" s="108"/>
      <c r="Q970" s="108"/>
      <c r="R970" s="108" t="str">
        <f t="shared" si="1"/>
        <v>2024</v>
      </c>
      <c r="S970" s="110">
        <f t="shared" si="2"/>
        <v>8</v>
      </c>
      <c r="T970" s="108" t="str">
        <f t="shared" si="3"/>
        <v>2024-Q3</v>
      </c>
      <c r="U970" s="108" t="str">
        <f t="shared" si="4"/>
        <v>2024-08</v>
      </c>
      <c r="V970" s="112" t="str">
        <f t="shared" si="5"/>
        <v>2024-H2</v>
      </c>
      <c r="W970" s="156" t="s">
        <v>2654</v>
      </c>
    </row>
    <row r="971">
      <c r="A971" s="146">
        <f>HYPERLINK("https://polkadot.subsquare.io/referenda/963", 963)</f>
        <v>963</v>
      </c>
      <c r="B971" s="147" t="s">
        <v>3216</v>
      </c>
      <c r="C971" s="147" t="s">
        <v>2681</v>
      </c>
      <c r="D971" s="148">
        <v>0.0</v>
      </c>
      <c r="E971" s="149">
        <v>0.0</v>
      </c>
      <c r="F971" s="147" t="s">
        <v>2891</v>
      </c>
      <c r="G971" s="150">
        <v>3.22845124855428E7</v>
      </c>
      <c r="H971" s="150">
        <v>5638661.053746552</v>
      </c>
      <c r="I971" s="151">
        <v>45479.0</v>
      </c>
      <c r="J971" s="151">
        <v>45498.0</v>
      </c>
      <c r="K971" s="152">
        <v>0.0</v>
      </c>
      <c r="L971" s="117"/>
      <c r="M971" s="117"/>
      <c r="N971" s="153"/>
      <c r="O971" s="153"/>
      <c r="P971" s="153"/>
      <c r="Q971" s="153"/>
      <c r="R971" s="153" t="str">
        <f t="shared" si="1"/>
        <v>2024</v>
      </c>
      <c r="S971" s="154">
        <f t="shared" si="2"/>
        <v>7</v>
      </c>
      <c r="T971" s="153" t="str">
        <f t="shared" si="3"/>
        <v>2024-Q3</v>
      </c>
      <c r="U971" s="153" t="str">
        <f t="shared" si="4"/>
        <v>2024-07</v>
      </c>
      <c r="V971" s="155" t="str">
        <f t="shared" si="5"/>
        <v>2024-H2</v>
      </c>
      <c r="W971" s="155"/>
    </row>
    <row r="972">
      <c r="A972" s="139">
        <f>HYPERLINK("https://polkadot.subsquare.io/referenda/964", 964)</f>
        <v>964</v>
      </c>
      <c r="B972" s="140" t="s">
        <v>3217</v>
      </c>
      <c r="C972" s="140" t="s">
        <v>2672</v>
      </c>
      <c r="D972" s="141">
        <v>7531.108582106518</v>
      </c>
      <c r="E972" s="142">
        <v>46045.8</v>
      </c>
      <c r="F972" s="140" t="s">
        <v>2683</v>
      </c>
      <c r="G972" s="143">
        <v>0.0</v>
      </c>
      <c r="H972" s="143">
        <v>3.062206697650188E7</v>
      </c>
      <c r="I972" s="144">
        <v>45479.0</v>
      </c>
      <c r="J972" s="144">
        <v>45507.0</v>
      </c>
      <c r="K972" s="145">
        <v>33942.19262064762</v>
      </c>
      <c r="L972" s="114"/>
      <c r="M972" s="114"/>
      <c r="N972" s="108"/>
      <c r="O972" s="108"/>
      <c r="P972" s="108"/>
      <c r="Q972" s="108"/>
      <c r="R972" s="108" t="str">
        <f t="shared" si="1"/>
        <v>2024</v>
      </c>
      <c r="S972" s="110">
        <f t="shared" si="2"/>
        <v>8</v>
      </c>
      <c r="T972" s="108" t="str">
        <f t="shared" si="3"/>
        <v>2024-Q3</v>
      </c>
      <c r="U972" s="108" t="str">
        <f t="shared" si="4"/>
        <v>2024-08</v>
      </c>
      <c r="V972" s="112" t="str">
        <f t="shared" si="5"/>
        <v>2024-H2</v>
      </c>
      <c r="W972" s="156" t="s">
        <v>2654</v>
      </c>
    </row>
    <row r="973">
      <c r="A973" s="146">
        <f>HYPERLINK("https://polkadot.subsquare.io/referenda/965", 965)</f>
        <v>965</v>
      </c>
      <c r="B973" s="147" t="s">
        <v>562</v>
      </c>
      <c r="C973" s="147" t="s">
        <v>2681</v>
      </c>
      <c r="D973" s="148">
        <v>7531.108582106518</v>
      </c>
      <c r="E973" s="149">
        <v>46045.8</v>
      </c>
      <c r="F973" s="147" t="s">
        <v>2683</v>
      </c>
      <c r="G973" s="150">
        <v>4.2618192408359155E7</v>
      </c>
      <c r="H973" s="150">
        <v>5571703.547091685</v>
      </c>
      <c r="I973" s="151">
        <v>45479.0</v>
      </c>
      <c r="J973" s="151">
        <v>45505.0</v>
      </c>
      <c r="K973" s="152">
        <v>35274.52405529336</v>
      </c>
      <c r="L973" s="117" t="s">
        <v>81</v>
      </c>
      <c r="M973" s="117" t="s">
        <v>158</v>
      </c>
      <c r="N973" s="153"/>
      <c r="O973" s="153"/>
      <c r="P973" s="153"/>
      <c r="Q973" s="153"/>
      <c r="R973" s="153" t="str">
        <f t="shared" si="1"/>
        <v>2024</v>
      </c>
      <c r="S973" s="154">
        <f t="shared" si="2"/>
        <v>8</v>
      </c>
      <c r="T973" s="153" t="str">
        <f t="shared" si="3"/>
        <v>2024-Q3</v>
      </c>
      <c r="U973" s="153" t="str">
        <f t="shared" si="4"/>
        <v>2024-08</v>
      </c>
      <c r="V973" s="155" t="str">
        <f t="shared" si="5"/>
        <v>2024-H2</v>
      </c>
      <c r="W973" s="155"/>
    </row>
    <row r="974">
      <c r="A974" s="139">
        <f>HYPERLINK("https://polkadot.subsquare.io/referenda/966", 966)</f>
        <v>966</v>
      </c>
      <c r="B974" s="140" t="s">
        <v>3218</v>
      </c>
      <c r="C974" s="140" t="s">
        <v>2681</v>
      </c>
      <c r="D974" s="141">
        <v>0.0</v>
      </c>
      <c r="E974" s="142">
        <v>0.0</v>
      </c>
      <c r="F974" s="140" t="s">
        <v>3053</v>
      </c>
      <c r="G974" s="143">
        <v>5.2340210788594946E7</v>
      </c>
      <c r="H974" s="143">
        <v>1.32285111351963E7</v>
      </c>
      <c r="I974" s="144">
        <v>45479.0</v>
      </c>
      <c r="J974" s="144">
        <v>45508.0</v>
      </c>
      <c r="K974" s="145">
        <v>0.0</v>
      </c>
      <c r="L974" s="114"/>
      <c r="M974" s="114"/>
      <c r="N974" s="108"/>
      <c r="O974" s="108"/>
      <c r="P974" s="108"/>
      <c r="Q974" s="108"/>
      <c r="R974" s="108" t="str">
        <f t="shared" si="1"/>
        <v>2024</v>
      </c>
      <c r="S974" s="110">
        <f t="shared" si="2"/>
        <v>8</v>
      </c>
      <c r="T974" s="108" t="str">
        <f t="shared" si="3"/>
        <v>2024-Q3</v>
      </c>
      <c r="U974" s="108" t="str">
        <f t="shared" si="4"/>
        <v>2024-08</v>
      </c>
      <c r="V974" s="112" t="str">
        <f t="shared" si="5"/>
        <v>2024-H2</v>
      </c>
      <c r="W974" s="112"/>
    </row>
    <row r="975">
      <c r="A975" s="146">
        <f>HYPERLINK("https://polkadot.subsquare.io/referenda/967", 967)</f>
        <v>967</v>
      </c>
      <c r="B975" s="147" t="s">
        <v>3219</v>
      </c>
      <c r="C975" s="147" t="s">
        <v>2681</v>
      </c>
      <c r="D975" s="148">
        <v>0.0</v>
      </c>
      <c r="E975" s="149">
        <v>0.0</v>
      </c>
      <c r="F975" s="147" t="s">
        <v>3053</v>
      </c>
      <c r="G975" s="150">
        <v>3.32143054E7</v>
      </c>
      <c r="H975" s="150">
        <v>1.6104508265335433E7</v>
      </c>
      <c r="I975" s="151">
        <v>45479.0</v>
      </c>
      <c r="J975" s="151">
        <v>45509.0</v>
      </c>
      <c r="K975" s="152">
        <v>0.0</v>
      </c>
      <c r="L975" s="117"/>
      <c r="M975" s="117"/>
      <c r="N975" s="153"/>
      <c r="O975" s="153"/>
      <c r="P975" s="153"/>
      <c r="Q975" s="153"/>
      <c r="R975" s="153" t="str">
        <f t="shared" si="1"/>
        <v>2024</v>
      </c>
      <c r="S975" s="154">
        <f t="shared" si="2"/>
        <v>8</v>
      </c>
      <c r="T975" s="153" t="str">
        <f t="shared" si="3"/>
        <v>2024-Q3</v>
      </c>
      <c r="U975" s="153" t="str">
        <f t="shared" si="4"/>
        <v>2024-08</v>
      </c>
      <c r="V975" s="155" t="str">
        <f t="shared" si="5"/>
        <v>2024-H2</v>
      </c>
      <c r="W975" s="155"/>
    </row>
    <row r="976">
      <c r="A976" s="139">
        <f>HYPERLINK("https://polkadot.subsquare.io/referenda/968", 968)</f>
        <v>968</v>
      </c>
      <c r="B976" s="140" t="s">
        <v>3186</v>
      </c>
      <c r="C976" s="140" t="s">
        <v>2681</v>
      </c>
      <c r="D976" s="141">
        <v>400000.0</v>
      </c>
      <c r="E976" s="142">
        <v>2445631.980895996</v>
      </c>
      <c r="F976" s="140" t="s">
        <v>2676</v>
      </c>
      <c r="G976" s="143">
        <v>6.894933109778328E7</v>
      </c>
      <c r="H976" s="143">
        <v>33525.1</v>
      </c>
      <c r="I976" s="144">
        <v>45480.0</v>
      </c>
      <c r="J976" s="144">
        <v>45508.0</v>
      </c>
      <c r="K976" s="145">
        <v>1802772.7127075195</v>
      </c>
      <c r="L976" s="114"/>
      <c r="M976" s="114"/>
      <c r="N976" s="113" t="s">
        <v>2654</v>
      </c>
      <c r="O976" s="113" t="s">
        <v>2654</v>
      </c>
      <c r="P976" s="108"/>
      <c r="Q976" s="108"/>
      <c r="R976" s="108" t="str">
        <f t="shared" si="1"/>
        <v>2024</v>
      </c>
      <c r="S976" s="110">
        <f t="shared" si="2"/>
        <v>8</v>
      </c>
      <c r="T976" s="108" t="str">
        <f t="shared" si="3"/>
        <v>2024-Q3</v>
      </c>
      <c r="U976" s="108" t="str">
        <f t="shared" si="4"/>
        <v>2024-08</v>
      </c>
      <c r="V976" s="112" t="str">
        <f t="shared" si="5"/>
        <v>2024-H2</v>
      </c>
      <c r="W976" s="112"/>
    </row>
    <row r="977">
      <c r="A977" s="146">
        <f>HYPERLINK("https://polkadot.subsquare.io/referenda/969", 969)</f>
        <v>969</v>
      </c>
      <c r="B977" s="147" t="s">
        <v>3220</v>
      </c>
      <c r="C977" s="147" t="s">
        <v>2681</v>
      </c>
      <c r="D977" s="148">
        <v>0.0</v>
      </c>
      <c r="E977" s="149">
        <v>0.0</v>
      </c>
      <c r="F977" s="147" t="s">
        <v>2891</v>
      </c>
      <c r="G977" s="150">
        <v>3.703132546132515E7</v>
      </c>
      <c r="H977" s="150">
        <v>130696.2</v>
      </c>
      <c r="I977" s="151">
        <v>45480.0</v>
      </c>
      <c r="J977" s="151">
        <v>45499.0</v>
      </c>
      <c r="K977" s="152">
        <v>0.0</v>
      </c>
      <c r="L977" s="117"/>
      <c r="M977" s="117"/>
      <c r="N977" s="153"/>
      <c r="O977" s="153"/>
      <c r="P977" s="153"/>
      <c r="Q977" s="153"/>
      <c r="R977" s="153" t="str">
        <f t="shared" si="1"/>
        <v>2024</v>
      </c>
      <c r="S977" s="154">
        <f t="shared" si="2"/>
        <v>7</v>
      </c>
      <c r="T977" s="153" t="str">
        <f t="shared" si="3"/>
        <v>2024-Q3</v>
      </c>
      <c r="U977" s="153" t="str">
        <f t="shared" si="4"/>
        <v>2024-07</v>
      </c>
      <c r="V977" s="155" t="str">
        <f t="shared" si="5"/>
        <v>2024-H2</v>
      </c>
      <c r="W977" s="155"/>
    </row>
    <row r="978">
      <c r="A978" s="139">
        <f>HYPERLINK("https://polkadot.subsquare.io/referenda/970", 970)</f>
        <v>970</v>
      </c>
      <c r="B978" s="140" t="s">
        <v>563</v>
      </c>
      <c r="C978" s="140" t="s">
        <v>2681</v>
      </c>
      <c r="D978" s="141">
        <v>868.0</v>
      </c>
      <c r="E978" s="142">
        <v>5293.828506469727</v>
      </c>
      <c r="F978" s="140" t="s">
        <v>2699</v>
      </c>
      <c r="G978" s="143">
        <v>1.437159864334295E7</v>
      </c>
      <c r="H978" s="143">
        <v>20710.0</v>
      </c>
      <c r="I978" s="144">
        <v>45480.0</v>
      </c>
      <c r="J978" s="144">
        <v>45484.0</v>
      </c>
      <c r="K978" s="145">
        <v>5492.771524429321</v>
      </c>
      <c r="L978" s="114" t="s">
        <v>81</v>
      </c>
      <c r="M978" s="114" t="s">
        <v>152</v>
      </c>
      <c r="N978" s="108"/>
      <c r="O978" s="108"/>
      <c r="P978" s="108"/>
      <c r="Q978" s="108"/>
      <c r="R978" s="108" t="str">
        <f t="shared" si="1"/>
        <v>2024</v>
      </c>
      <c r="S978" s="110">
        <f t="shared" si="2"/>
        <v>7</v>
      </c>
      <c r="T978" s="108" t="str">
        <f t="shared" si="3"/>
        <v>2024-Q3</v>
      </c>
      <c r="U978" s="108" t="str">
        <f t="shared" si="4"/>
        <v>2024-07</v>
      </c>
      <c r="V978" s="112" t="str">
        <f t="shared" si="5"/>
        <v>2024-H2</v>
      </c>
      <c r="W978" s="112"/>
    </row>
    <row r="979">
      <c r="A979" s="146">
        <f>HYPERLINK("https://polkadot.subsquare.io/referenda/971", 971)</f>
        <v>971</v>
      </c>
      <c r="B979" s="147" t="s">
        <v>186</v>
      </c>
      <c r="C979" s="147" t="s">
        <v>2681</v>
      </c>
      <c r="D979" s="148">
        <v>20.0</v>
      </c>
      <c r="E979" s="149">
        <v>121.97761535644531</v>
      </c>
      <c r="F979" s="147" t="s">
        <v>186</v>
      </c>
      <c r="G979" s="150">
        <v>1.1820083629383178E7</v>
      </c>
      <c r="H979" s="150">
        <v>5328.0</v>
      </c>
      <c r="I979" s="151">
        <v>45480.0</v>
      </c>
      <c r="J979" s="151">
        <v>45484.0</v>
      </c>
      <c r="K979" s="152">
        <v>124.88016128540039</v>
      </c>
      <c r="L979" s="117" t="s">
        <v>81</v>
      </c>
      <c r="M979" s="117" t="s">
        <v>185</v>
      </c>
      <c r="N979" s="153"/>
      <c r="O979" s="153"/>
      <c r="P979" s="153"/>
      <c r="Q979" s="153"/>
      <c r="R979" s="153" t="str">
        <f t="shared" si="1"/>
        <v>2024</v>
      </c>
      <c r="S979" s="154">
        <f t="shared" si="2"/>
        <v>7</v>
      </c>
      <c r="T979" s="153" t="str">
        <f t="shared" si="3"/>
        <v>2024-Q3</v>
      </c>
      <c r="U979" s="153" t="str">
        <f t="shared" si="4"/>
        <v>2024-07</v>
      </c>
      <c r="V979" s="155" t="str">
        <f t="shared" si="5"/>
        <v>2024-H2</v>
      </c>
      <c r="W979" s="155"/>
    </row>
    <row r="980">
      <c r="A980" s="139">
        <f>HYPERLINK("https://polkadot.subsquare.io/referenda/972", 972)</f>
        <v>972</v>
      </c>
      <c r="B980" s="140" t="s">
        <v>3221</v>
      </c>
      <c r="C980" s="140" t="s">
        <v>2681</v>
      </c>
      <c r="D980" s="141">
        <v>0.0</v>
      </c>
      <c r="E980" s="142">
        <v>0.0</v>
      </c>
      <c r="F980" s="140" t="s">
        <v>2682</v>
      </c>
      <c r="G980" s="143">
        <v>1.2731431257480343E8</v>
      </c>
      <c r="H980" s="143">
        <v>10010.0</v>
      </c>
      <c r="I980" s="144">
        <v>45480.0</v>
      </c>
      <c r="J980" s="144">
        <v>45489.0</v>
      </c>
      <c r="K980" s="145">
        <v>0.0</v>
      </c>
      <c r="L980" s="114"/>
      <c r="M980" s="114"/>
      <c r="N980" s="108"/>
      <c r="O980" s="108"/>
      <c r="P980" s="108"/>
      <c r="Q980" s="108"/>
      <c r="R980" s="108" t="str">
        <f t="shared" si="1"/>
        <v>2024</v>
      </c>
      <c r="S980" s="110">
        <f t="shared" si="2"/>
        <v>7</v>
      </c>
      <c r="T980" s="108" t="str">
        <f t="shared" si="3"/>
        <v>2024-Q3</v>
      </c>
      <c r="U980" s="108" t="str">
        <f t="shared" si="4"/>
        <v>2024-07</v>
      </c>
      <c r="V980" s="112" t="str">
        <f t="shared" si="5"/>
        <v>2024-H2</v>
      </c>
      <c r="W980" s="112"/>
    </row>
    <row r="981">
      <c r="A981" s="146">
        <f>HYPERLINK("https://polkadot.subsquare.io/referenda/973", 973)</f>
        <v>973</v>
      </c>
      <c r="B981" s="147" t="s">
        <v>3222</v>
      </c>
      <c r="C981" s="147" t="s">
        <v>2681</v>
      </c>
      <c r="D981" s="148">
        <v>0.0</v>
      </c>
      <c r="E981" s="149">
        <v>0.0</v>
      </c>
      <c r="F981" s="147" t="s">
        <v>2682</v>
      </c>
      <c r="G981" s="150">
        <v>9.531929846509185E7</v>
      </c>
      <c r="H981" s="150">
        <v>2043085.5138999878</v>
      </c>
      <c r="I981" s="151">
        <v>45481.0</v>
      </c>
      <c r="J981" s="151">
        <v>45496.0</v>
      </c>
      <c r="K981" s="152">
        <v>0.0</v>
      </c>
      <c r="L981" s="117"/>
      <c r="M981" s="117"/>
      <c r="N981" s="153"/>
      <c r="O981" s="153"/>
      <c r="P981" s="153"/>
      <c r="Q981" s="153"/>
      <c r="R981" s="153" t="str">
        <f t="shared" si="1"/>
        <v>2024</v>
      </c>
      <c r="S981" s="154">
        <f t="shared" si="2"/>
        <v>7</v>
      </c>
      <c r="T981" s="153" t="str">
        <f t="shared" si="3"/>
        <v>2024-Q3</v>
      </c>
      <c r="U981" s="153" t="str">
        <f t="shared" si="4"/>
        <v>2024-07</v>
      </c>
      <c r="V981" s="155" t="str">
        <f t="shared" si="5"/>
        <v>2024-H2</v>
      </c>
      <c r="W981" s="155"/>
    </row>
    <row r="982">
      <c r="A982" s="139">
        <f>HYPERLINK("https://polkadot.subsquare.io/referenda/974", 974)</f>
        <v>974</v>
      </c>
      <c r="B982" s="140" t="s">
        <v>3223</v>
      </c>
      <c r="C982" s="140" t="s">
        <v>2672</v>
      </c>
      <c r="D982" s="141">
        <v>0.0</v>
      </c>
      <c r="E982" s="142">
        <v>0.0</v>
      </c>
      <c r="F982" s="140" t="s">
        <v>3053</v>
      </c>
      <c r="G982" s="143">
        <v>3.8242723337224916E7</v>
      </c>
      <c r="H982" s="143">
        <v>6.516622196752669E7</v>
      </c>
      <c r="I982" s="144">
        <v>45481.0</v>
      </c>
      <c r="J982" s="144">
        <v>45509.0</v>
      </c>
      <c r="K982" s="145">
        <v>0.0</v>
      </c>
      <c r="L982" s="114"/>
      <c r="M982" s="114"/>
      <c r="N982" s="108"/>
      <c r="O982" s="108"/>
      <c r="P982" s="108"/>
      <c r="Q982" s="108"/>
      <c r="R982" s="108" t="str">
        <f t="shared" si="1"/>
        <v>2024</v>
      </c>
      <c r="S982" s="110">
        <f t="shared" si="2"/>
        <v>8</v>
      </c>
      <c r="T982" s="108" t="str">
        <f t="shared" si="3"/>
        <v>2024-Q3</v>
      </c>
      <c r="U982" s="108" t="str">
        <f t="shared" si="4"/>
        <v>2024-08</v>
      </c>
      <c r="V982" s="112" t="str">
        <f t="shared" si="5"/>
        <v>2024-H2</v>
      </c>
      <c r="W982" s="112"/>
    </row>
    <row r="983">
      <c r="A983" s="146">
        <f>HYPERLINK("https://polkadot.subsquare.io/referenda/975", 975)</f>
        <v>975</v>
      </c>
      <c r="B983" s="147" t="s">
        <v>3224</v>
      </c>
      <c r="C983" s="147" t="s">
        <v>2672</v>
      </c>
      <c r="D983" s="148">
        <v>10000.0</v>
      </c>
      <c r="E983" s="149">
        <v>59048.92921447754</v>
      </c>
      <c r="F983" s="147" t="s">
        <v>2678</v>
      </c>
      <c r="G983" s="150">
        <v>83415.6006392736</v>
      </c>
      <c r="H983" s="150">
        <v>2.4784879915610105E7</v>
      </c>
      <c r="I983" s="151">
        <v>45481.0</v>
      </c>
      <c r="J983" s="151">
        <v>45509.0</v>
      </c>
      <c r="K983" s="152">
        <v>48808.8321685791</v>
      </c>
      <c r="L983" s="117"/>
      <c r="M983" s="117"/>
      <c r="N983" s="153"/>
      <c r="O983" s="153"/>
      <c r="P983" s="153"/>
      <c r="Q983" s="153"/>
      <c r="R983" s="153" t="str">
        <f t="shared" si="1"/>
        <v>2024</v>
      </c>
      <c r="S983" s="154">
        <f t="shared" si="2"/>
        <v>8</v>
      </c>
      <c r="T983" s="153" t="str">
        <f t="shared" si="3"/>
        <v>2024-Q3</v>
      </c>
      <c r="U983" s="153" t="str">
        <f t="shared" si="4"/>
        <v>2024-08</v>
      </c>
      <c r="V983" s="155" t="str">
        <f t="shared" si="5"/>
        <v>2024-H2</v>
      </c>
      <c r="W983" s="155"/>
    </row>
    <row r="984">
      <c r="A984" s="139">
        <f>HYPERLINK("https://polkadot.subsquare.io/referenda/976", 976)</f>
        <v>976</v>
      </c>
      <c r="B984" s="140" t="s">
        <v>3225</v>
      </c>
      <c r="C984" s="140" t="s">
        <v>2691</v>
      </c>
      <c r="D984" s="141">
        <v>0.0</v>
      </c>
      <c r="E984" s="142">
        <v>0.0</v>
      </c>
      <c r="F984" s="140" t="s">
        <v>3053</v>
      </c>
      <c r="G984" s="143">
        <v>4734.20002</v>
      </c>
      <c r="H984" s="143">
        <v>1.8697657937415715E7</v>
      </c>
      <c r="I984" s="144">
        <v>45481.0</v>
      </c>
      <c r="J984" s="144">
        <v>45495.0</v>
      </c>
      <c r="K984" s="145">
        <v>0.0</v>
      </c>
      <c r="L984" s="114"/>
      <c r="M984" s="114"/>
      <c r="N984" s="108"/>
      <c r="O984" s="108"/>
      <c r="P984" s="108"/>
      <c r="Q984" s="108"/>
      <c r="R984" s="108" t="str">
        <f t="shared" si="1"/>
        <v>2024</v>
      </c>
      <c r="S984" s="110">
        <f t="shared" si="2"/>
        <v>7</v>
      </c>
      <c r="T984" s="108" t="str">
        <f t="shared" si="3"/>
        <v>2024-Q3</v>
      </c>
      <c r="U984" s="108" t="str">
        <f t="shared" si="4"/>
        <v>2024-07</v>
      </c>
      <c r="V984" s="112" t="str">
        <f t="shared" si="5"/>
        <v>2024-H2</v>
      </c>
      <c r="W984" s="112"/>
    </row>
    <row r="985">
      <c r="A985" s="146">
        <f>HYPERLINK("https://polkadot.subsquare.io/referenda/977", 977)</f>
        <v>977</v>
      </c>
      <c r="B985" s="147" t="s">
        <v>3226</v>
      </c>
      <c r="C985" s="147" t="s">
        <v>2691</v>
      </c>
      <c r="D985" s="148">
        <v>10.0</v>
      </c>
      <c r="E985" s="149">
        <v>59.04892921447754</v>
      </c>
      <c r="F985" s="147" t="s">
        <v>186</v>
      </c>
      <c r="G985" s="150">
        <v>15006.0</v>
      </c>
      <c r="H985" s="150">
        <v>3.366302156629117E7</v>
      </c>
      <c r="I985" s="151">
        <v>45481.0</v>
      </c>
      <c r="J985" s="151">
        <v>45495.0</v>
      </c>
      <c r="K985" s="152">
        <v>57.539992332458496</v>
      </c>
      <c r="L985" s="117"/>
      <c r="M985" s="117"/>
      <c r="N985" s="153"/>
      <c r="O985" s="153"/>
      <c r="P985" s="153"/>
      <c r="Q985" s="153"/>
      <c r="R985" s="153" t="str">
        <f t="shared" si="1"/>
        <v>2024</v>
      </c>
      <c r="S985" s="154">
        <f t="shared" si="2"/>
        <v>7</v>
      </c>
      <c r="T985" s="153" t="str">
        <f t="shared" si="3"/>
        <v>2024-Q3</v>
      </c>
      <c r="U985" s="153" t="str">
        <f t="shared" si="4"/>
        <v>2024-07</v>
      </c>
      <c r="V985" s="155" t="str">
        <f t="shared" si="5"/>
        <v>2024-H2</v>
      </c>
      <c r="W985" s="158" t="s">
        <v>2654</v>
      </c>
    </row>
    <row r="986">
      <c r="A986" s="139">
        <f>HYPERLINK("https://polkadot.subsquare.io/referenda/978", 978)</f>
        <v>978</v>
      </c>
      <c r="B986" s="140" t="s">
        <v>3078</v>
      </c>
      <c r="C986" s="140" t="s">
        <v>2691</v>
      </c>
      <c r="D986" s="141">
        <v>0.0</v>
      </c>
      <c r="E986" s="142">
        <v>0.0</v>
      </c>
      <c r="F986" s="140" t="s">
        <v>3053</v>
      </c>
      <c r="G986" s="143">
        <v>0.1</v>
      </c>
      <c r="H986" s="143">
        <v>2.5695092032748822E7</v>
      </c>
      <c r="I986" s="144">
        <v>45481.0</v>
      </c>
      <c r="J986" s="144">
        <v>45495.0</v>
      </c>
      <c r="K986" s="145">
        <v>0.0</v>
      </c>
      <c r="L986" s="114"/>
      <c r="M986" s="114"/>
      <c r="N986" s="108"/>
      <c r="O986" s="108"/>
      <c r="P986" s="108"/>
      <c r="Q986" s="108"/>
      <c r="R986" s="108" t="str">
        <f t="shared" si="1"/>
        <v>2024</v>
      </c>
      <c r="S986" s="110">
        <f t="shared" si="2"/>
        <v>7</v>
      </c>
      <c r="T986" s="108" t="str">
        <f t="shared" si="3"/>
        <v>2024-Q3</v>
      </c>
      <c r="U986" s="108" t="str">
        <f t="shared" si="4"/>
        <v>2024-07</v>
      </c>
      <c r="V986" s="112" t="str">
        <f t="shared" si="5"/>
        <v>2024-H2</v>
      </c>
      <c r="W986" s="156" t="s">
        <v>2654</v>
      </c>
    </row>
    <row r="987">
      <c r="A987" s="146">
        <f>HYPERLINK("https://polkadot.subsquare.io/referenda/979", 979)</f>
        <v>979</v>
      </c>
      <c r="B987" s="147" t="s">
        <v>3227</v>
      </c>
      <c r="C987" s="147" t="s">
        <v>2672</v>
      </c>
      <c r="D987" s="148">
        <v>14232.0</v>
      </c>
      <c r="E987" s="149">
        <v>84038.43605804443</v>
      </c>
      <c r="F987" s="147" t="s">
        <v>2683</v>
      </c>
      <c r="G987" s="150">
        <v>11386.0</v>
      </c>
      <c r="H987" s="150">
        <v>3.0524377217494633E7</v>
      </c>
      <c r="I987" s="151">
        <v>45482.0</v>
      </c>
      <c r="J987" s="151">
        <v>45510.0</v>
      </c>
      <c r="K987" s="152">
        <v>69464.72994232178</v>
      </c>
      <c r="L987" s="117"/>
      <c r="M987" s="117"/>
      <c r="N987" s="153"/>
      <c r="O987" s="153"/>
      <c r="P987" s="153"/>
      <c r="Q987" s="153"/>
      <c r="R987" s="153" t="str">
        <f t="shared" si="1"/>
        <v>2024</v>
      </c>
      <c r="S987" s="154">
        <f t="shared" si="2"/>
        <v>8</v>
      </c>
      <c r="T987" s="153" t="str">
        <f t="shared" si="3"/>
        <v>2024-Q3</v>
      </c>
      <c r="U987" s="153" t="str">
        <f t="shared" si="4"/>
        <v>2024-08</v>
      </c>
      <c r="V987" s="155" t="str">
        <f t="shared" si="5"/>
        <v>2024-H2</v>
      </c>
      <c r="W987" s="158" t="s">
        <v>2654</v>
      </c>
    </row>
    <row r="988">
      <c r="A988" s="139">
        <f>HYPERLINK("https://polkadot.subsquare.io/referenda/980", 980)</f>
        <v>980</v>
      </c>
      <c r="B988" s="162"/>
      <c r="C988" s="140" t="s">
        <v>2691</v>
      </c>
      <c r="D988" s="141">
        <v>0.0</v>
      </c>
      <c r="E988" s="142">
        <v>0.0</v>
      </c>
      <c r="F988" s="140" t="s">
        <v>2891</v>
      </c>
      <c r="G988" s="143">
        <v>0.0</v>
      </c>
      <c r="H988" s="143">
        <v>4361712.270338599</v>
      </c>
      <c r="I988" s="144">
        <v>45482.0</v>
      </c>
      <c r="J988" s="144">
        <v>45496.0</v>
      </c>
      <c r="K988" s="145">
        <v>0.0</v>
      </c>
      <c r="L988" s="114"/>
      <c r="M988" s="114"/>
      <c r="N988" s="108"/>
      <c r="O988" s="108"/>
      <c r="P988" s="108"/>
      <c r="Q988" s="108"/>
      <c r="R988" s="108" t="str">
        <f t="shared" si="1"/>
        <v>2024</v>
      </c>
      <c r="S988" s="110">
        <f t="shared" si="2"/>
        <v>7</v>
      </c>
      <c r="T988" s="108" t="str">
        <f t="shared" si="3"/>
        <v>2024-Q3</v>
      </c>
      <c r="U988" s="108" t="str">
        <f t="shared" si="4"/>
        <v>2024-07</v>
      </c>
      <c r="V988" s="112" t="str">
        <f t="shared" si="5"/>
        <v>2024-H2</v>
      </c>
      <c r="W988" s="112"/>
    </row>
    <row r="989">
      <c r="A989" s="146">
        <f>HYPERLINK("https://polkadot.subsquare.io/referenda/981", 981)</f>
        <v>981</v>
      </c>
      <c r="B989" s="147" t="s">
        <v>3228</v>
      </c>
      <c r="C989" s="147" t="s">
        <v>2681</v>
      </c>
      <c r="D989" s="148">
        <v>0.0</v>
      </c>
      <c r="E989" s="149">
        <v>0.0</v>
      </c>
      <c r="F989" s="147" t="s">
        <v>2891</v>
      </c>
      <c r="G989" s="150">
        <v>2.9577739344875216E7</v>
      </c>
      <c r="H989" s="150">
        <v>7378618.592853783</v>
      </c>
      <c r="I989" s="151">
        <v>45482.0</v>
      </c>
      <c r="J989" s="151">
        <v>45513.0</v>
      </c>
      <c r="K989" s="152">
        <v>0.0</v>
      </c>
      <c r="L989" s="117"/>
      <c r="M989" s="117"/>
      <c r="N989" s="153"/>
      <c r="O989" s="153"/>
      <c r="P989" s="153"/>
      <c r="Q989" s="153"/>
      <c r="R989" s="153" t="str">
        <f t="shared" si="1"/>
        <v>2024</v>
      </c>
      <c r="S989" s="154">
        <f t="shared" si="2"/>
        <v>8</v>
      </c>
      <c r="T989" s="153" t="str">
        <f t="shared" si="3"/>
        <v>2024-Q3</v>
      </c>
      <c r="U989" s="153" t="str">
        <f t="shared" si="4"/>
        <v>2024-08</v>
      </c>
      <c r="V989" s="155" t="str">
        <f t="shared" si="5"/>
        <v>2024-H2</v>
      </c>
      <c r="W989" s="155"/>
    </row>
    <row r="990">
      <c r="A990" s="139">
        <f>HYPERLINK("https://polkadot.subsquare.io/referenda/982", 982)</f>
        <v>982</v>
      </c>
      <c r="B990" s="140" t="s">
        <v>3229</v>
      </c>
      <c r="C990" s="140" t="s">
        <v>2691</v>
      </c>
      <c r="D990" s="141">
        <v>0.0</v>
      </c>
      <c r="E990" s="142">
        <v>0.0</v>
      </c>
      <c r="F990" s="140" t="s">
        <v>2699</v>
      </c>
      <c r="G990" s="143">
        <v>0.0</v>
      </c>
      <c r="H990" s="143">
        <v>2.7647118075518582E7</v>
      </c>
      <c r="I990" s="144">
        <v>45482.0</v>
      </c>
      <c r="J990" s="144">
        <v>45496.0</v>
      </c>
      <c r="K990" s="145">
        <v>0.0</v>
      </c>
      <c r="L990" s="114"/>
      <c r="M990" s="114"/>
      <c r="N990" s="108"/>
      <c r="O990" s="108"/>
      <c r="P990" s="108"/>
      <c r="Q990" s="108"/>
      <c r="R990" s="108" t="str">
        <f t="shared" si="1"/>
        <v>2024</v>
      </c>
      <c r="S990" s="110">
        <f t="shared" si="2"/>
        <v>7</v>
      </c>
      <c r="T990" s="108" t="str">
        <f t="shared" si="3"/>
        <v>2024-Q3</v>
      </c>
      <c r="U990" s="108" t="str">
        <f t="shared" si="4"/>
        <v>2024-07</v>
      </c>
      <c r="V990" s="112" t="str">
        <f t="shared" si="5"/>
        <v>2024-H2</v>
      </c>
      <c r="W990" s="156" t="s">
        <v>2654</v>
      </c>
    </row>
    <row r="991">
      <c r="A991" s="146">
        <f>HYPERLINK("https://polkadot.subsquare.io/referenda/983", 983)</f>
        <v>983</v>
      </c>
      <c r="B991" s="147" t="s">
        <v>3230</v>
      </c>
      <c r="C991" s="147" t="s">
        <v>2681</v>
      </c>
      <c r="D991" s="148">
        <v>0.0</v>
      </c>
      <c r="E991" s="149">
        <v>0.0</v>
      </c>
      <c r="F991" s="147" t="s">
        <v>2682</v>
      </c>
      <c r="G991" s="150">
        <v>2.1563985409844562E7</v>
      </c>
      <c r="H991" s="150">
        <v>5010.0</v>
      </c>
      <c r="I991" s="151">
        <v>45482.0</v>
      </c>
      <c r="J991" s="151">
        <v>45496.0</v>
      </c>
      <c r="K991" s="152">
        <v>0.0</v>
      </c>
      <c r="L991" s="117"/>
      <c r="M991" s="117"/>
      <c r="N991" s="153"/>
      <c r="O991" s="153"/>
      <c r="P991" s="153"/>
      <c r="Q991" s="153"/>
      <c r="R991" s="153" t="str">
        <f t="shared" si="1"/>
        <v>2024</v>
      </c>
      <c r="S991" s="154">
        <f t="shared" si="2"/>
        <v>7</v>
      </c>
      <c r="T991" s="153" t="str">
        <f t="shared" si="3"/>
        <v>2024-Q3</v>
      </c>
      <c r="U991" s="153" t="str">
        <f t="shared" si="4"/>
        <v>2024-07</v>
      </c>
      <c r="V991" s="155" t="str">
        <f t="shared" si="5"/>
        <v>2024-H2</v>
      </c>
      <c r="W991" s="155"/>
    </row>
    <row r="992">
      <c r="A992" s="139">
        <f>HYPERLINK("https://polkadot.subsquare.io/referenda/984", 984)</f>
        <v>984</v>
      </c>
      <c r="B992" s="140" t="s">
        <v>3231</v>
      </c>
      <c r="C992" s="140" t="s">
        <v>2681</v>
      </c>
      <c r="D992" s="141">
        <v>0.0</v>
      </c>
      <c r="E992" s="142">
        <v>0.0</v>
      </c>
      <c r="F992" s="140" t="s">
        <v>2891</v>
      </c>
      <c r="G992" s="143">
        <v>4.7853378682593554E7</v>
      </c>
      <c r="H992" s="143">
        <v>4542338.345821117</v>
      </c>
      <c r="I992" s="144">
        <v>45483.0</v>
      </c>
      <c r="J992" s="144">
        <v>45510.0</v>
      </c>
      <c r="K992" s="145">
        <v>0.0</v>
      </c>
      <c r="L992" s="114"/>
      <c r="M992" s="114"/>
      <c r="N992" s="108"/>
      <c r="O992" s="108"/>
      <c r="P992" s="108"/>
      <c r="Q992" s="108"/>
      <c r="R992" s="108" t="str">
        <f t="shared" si="1"/>
        <v>2024</v>
      </c>
      <c r="S992" s="110">
        <f t="shared" si="2"/>
        <v>8</v>
      </c>
      <c r="T992" s="108" t="str">
        <f t="shared" si="3"/>
        <v>2024-Q3</v>
      </c>
      <c r="U992" s="108" t="str">
        <f t="shared" si="4"/>
        <v>2024-08</v>
      </c>
      <c r="V992" s="112" t="str">
        <f t="shared" si="5"/>
        <v>2024-H2</v>
      </c>
      <c r="W992" s="112"/>
    </row>
    <row r="993">
      <c r="A993" s="146">
        <f>HYPERLINK("https://polkadot.subsquare.io/referenda/985", 985)</f>
        <v>985</v>
      </c>
      <c r="B993" s="147" t="s">
        <v>564</v>
      </c>
      <c r="C993" s="147" t="s">
        <v>2681</v>
      </c>
      <c r="D993" s="148">
        <v>17215.35027143376</v>
      </c>
      <c r="E993" s="149">
        <v>105000.0</v>
      </c>
      <c r="F993" s="147" t="s">
        <v>2683</v>
      </c>
      <c r="G993" s="150">
        <v>4.285255670083053E7</v>
      </c>
      <c r="H993" s="150">
        <v>2.699060073678769E7</v>
      </c>
      <c r="I993" s="151">
        <v>45483.0</v>
      </c>
      <c r="J993" s="151">
        <v>45509.0</v>
      </c>
      <c r="K993" s="152">
        <v>78685.56409265727</v>
      </c>
      <c r="L993" s="117" t="s">
        <v>81</v>
      </c>
      <c r="M993" s="157" t="s">
        <v>179</v>
      </c>
      <c r="N993" s="153"/>
      <c r="O993" s="153"/>
      <c r="P993" s="153"/>
      <c r="Q993" s="153"/>
      <c r="R993" s="153" t="str">
        <f t="shared" si="1"/>
        <v>2024</v>
      </c>
      <c r="S993" s="154">
        <f t="shared" si="2"/>
        <v>8</v>
      </c>
      <c r="T993" s="153" t="str">
        <f t="shared" si="3"/>
        <v>2024-Q3</v>
      </c>
      <c r="U993" s="153" t="str">
        <f t="shared" si="4"/>
        <v>2024-08</v>
      </c>
      <c r="V993" s="155" t="str">
        <f t="shared" si="5"/>
        <v>2024-H2</v>
      </c>
      <c r="W993" s="155"/>
    </row>
    <row r="994">
      <c r="A994" s="139">
        <f>HYPERLINK("https://polkadot.subsquare.io/referenda/986", 986)</f>
        <v>986</v>
      </c>
      <c r="B994" s="140" t="s">
        <v>3232</v>
      </c>
      <c r="C994" s="140" t="s">
        <v>2672</v>
      </c>
      <c r="D994" s="141">
        <v>386545.0</v>
      </c>
      <c r="E994" s="142">
        <v>2357618.3092451096</v>
      </c>
      <c r="F994" s="140" t="s">
        <v>2676</v>
      </c>
      <c r="G994" s="143">
        <v>1.3699937689</v>
      </c>
      <c r="H994" s="143">
        <v>3.2028640026424035E7</v>
      </c>
      <c r="I994" s="144">
        <v>45483.0</v>
      </c>
      <c r="J994" s="144">
        <v>45511.0</v>
      </c>
      <c r="K994" s="145">
        <v>1838435.8683919907</v>
      </c>
      <c r="L994" s="114"/>
      <c r="M994" s="114"/>
      <c r="N994" s="108"/>
      <c r="O994" s="108"/>
      <c r="P994" s="108"/>
      <c r="Q994" s="108"/>
      <c r="R994" s="108" t="str">
        <f t="shared" si="1"/>
        <v>2024</v>
      </c>
      <c r="S994" s="110">
        <f t="shared" si="2"/>
        <v>8</v>
      </c>
      <c r="T994" s="108" t="str">
        <f t="shared" si="3"/>
        <v>2024-Q3</v>
      </c>
      <c r="U994" s="108" t="str">
        <f t="shared" si="4"/>
        <v>2024-08</v>
      </c>
      <c r="V994" s="112" t="str">
        <f t="shared" si="5"/>
        <v>2024-H2</v>
      </c>
      <c r="W994" s="156" t="s">
        <v>2654</v>
      </c>
    </row>
    <row r="995">
      <c r="A995" s="146">
        <f>HYPERLINK("https://polkadot.subsquare.io/referenda/987", 987)</f>
        <v>987</v>
      </c>
      <c r="B995" s="147" t="s">
        <v>186</v>
      </c>
      <c r="C995" s="147" t="s">
        <v>2681</v>
      </c>
      <c r="D995" s="148">
        <v>80.0</v>
      </c>
      <c r="E995" s="149">
        <v>499.52064514160156</v>
      </c>
      <c r="F995" s="147" t="s">
        <v>186</v>
      </c>
      <c r="G995" s="150">
        <v>2.0783294551735915E7</v>
      </c>
      <c r="H995" s="150">
        <v>15815.0</v>
      </c>
      <c r="I995" s="151">
        <v>45483.0</v>
      </c>
      <c r="J995" s="151">
        <v>45487.0</v>
      </c>
      <c r="K995" s="152">
        <v>507.537841796875</v>
      </c>
      <c r="L995" s="117" t="s">
        <v>81</v>
      </c>
      <c r="M995" s="117" t="s">
        <v>185</v>
      </c>
      <c r="N995" s="153"/>
      <c r="O995" s="153"/>
      <c r="P995" s="153"/>
      <c r="Q995" s="153"/>
      <c r="R995" s="153" t="str">
        <f t="shared" si="1"/>
        <v>2024</v>
      </c>
      <c r="S995" s="154">
        <f t="shared" si="2"/>
        <v>7</v>
      </c>
      <c r="T995" s="153" t="str">
        <f t="shared" si="3"/>
        <v>2024-Q3</v>
      </c>
      <c r="U995" s="153" t="str">
        <f t="shared" si="4"/>
        <v>2024-07</v>
      </c>
      <c r="V995" s="155" t="str">
        <f t="shared" si="5"/>
        <v>2024-H2</v>
      </c>
      <c r="W995" s="155"/>
    </row>
    <row r="996">
      <c r="A996" s="139">
        <f>HYPERLINK("https://polkadot.subsquare.io/referenda/988", 988)</f>
        <v>988</v>
      </c>
      <c r="B996" s="140" t="s">
        <v>3233</v>
      </c>
      <c r="C996" s="140" t="s">
        <v>2672</v>
      </c>
      <c r="D996" s="141">
        <v>77903.48999999999</v>
      </c>
      <c r="E996" s="142">
        <v>486430.0197947788</v>
      </c>
      <c r="F996" s="140" t="s">
        <v>2683</v>
      </c>
      <c r="G996" s="143">
        <v>1.7818485914200198E7</v>
      </c>
      <c r="H996" s="143">
        <v>3.146947261461733E7</v>
      </c>
      <c r="I996" s="144">
        <v>45484.0</v>
      </c>
      <c r="J996" s="144">
        <v>45512.0</v>
      </c>
      <c r="K996" s="145">
        <v>370514.61094805715</v>
      </c>
      <c r="L996" s="114"/>
      <c r="M996" s="114"/>
      <c r="N996" s="108"/>
      <c r="O996" s="108"/>
      <c r="P996" s="108"/>
      <c r="Q996" s="108"/>
      <c r="R996" s="108" t="str">
        <f t="shared" si="1"/>
        <v>2024</v>
      </c>
      <c r="S996" s="110">
        <f t="shared" si="2"/>
        <v>8</v>
      </c>
      <c r="T996" s="108" t="str">
        <f t="shared" si="3"/>
        <v>2024-Q3</v>
      </c>
      <c r="U996" s="108" t="str">
        <f t="shared" si="4"/>
        <v>2024-08</v>
      </c>
      <c r="V996" s="112" t="str">
        <f t="shared" si="5"/>
        <v>2024-H2</v>
      </c>
      <c r="W996" s="112"/>
    </row>
    <row r="997">
      <c r="A997" s="146">
        <f>HYPERLINK("https://polkadot.subsquare.io/referenda/989", 989)</f>
        <v>989</v>
      </c>
      <c r="B997" s="147" t="s">
        <v>3234</v>
      </c>
      <c r="C997" s="147" t="s">
        <v>2672</v>
      </c>
      <c r="D997" s="148">
        <v>386546.0</v>
      </c>
      <c r="E997" s="149">
        <v>2446093.1586198807</v>
      </c>
      <c r="F997" s="147" t="s">
        <v>2676</v>
      </c>
      <c r="G997" s="150">
        <v>3.1689444334927734E7</v>
      </c>
      <c r="H997" s="150">
        <v>6.324291113811525E7</v>
      </c>
      <c r="I997" s="151">
        <v>45484.0</v>
      </c>
      <c r="J997" s="151">
        <v>45514.0</v>
      </c>
      <c r="K997" s="152">
        <v>1758584.3870744705</v>
      </c>
      <c r="L997" s="117"/>
      <c r="M997" s="117"/>
      <c r="N997" s="153"/>
      <c r="O997" s="153"/>
      <c r="P997" s="153"/>
      <c r="Q997" s="153"/>
      <c r="R997" s="153" t="str">
        <f t="shared" si="1"/>
        <v>2024</v>
      </c>
      <c r="S997" s="154">
        <f t="shared" si="2"/>
        <v>8</v>
      </c>
      <c r="T997" s="153" t="str">
        <f t="shared" si="3"/>
        <v>2024-Q3</v>
      </c>
      <c r="U997" s="153" t="str">
        <f t="shared" si="4"/>
        <v>2024-08</v>
      </c>
      <c r="V997" s="155" t="str">
        <f t="shared" si="5"/>
        <v>2024-H2</v>
      </c>
      <c r="W997" s="155"/>
    </row>
    <row r="998">
      <c r="A998" s="139">
        <f>HYPERLINK("https://polkadot.subsquare.io/referenda/990", 990)</f>
        <v>990</v>
      </c>
      <c r="B998" s="140" t="s">
        <v>3235</v>
      </c>
      <c r="C998" s="140" t="s">
        <v>2672</v>
      </c>
      <c r="D998" s="141">
        <v>0.0</v>
      </c>
      <c r="E998" s="142">
        <v>0.0</v>
      </c>
      <c r="F998" s="140" t="s">
        <v>3053</v>
      </c>
      <c r="G998" s="143">
        <v>1.2711859240654344E7</v>
      </c>
      <c r="H998" s="143">
        <v>4.005570731403502E7</v>
      </c>
      <c r="I998" s="144">
        <v>45485.0</v>
      </c>
      <c r="J998" s="144">
        <v>45516.0</v>
      </c>
      <c r="K998" s="145">
        <v>0.0</v>
      </c>
      <c r="L998" s="114"/>
      <c r="M998" s="114"/>
      <c r="N998" s="108"/>
      <c r="O998" s="108"/>
      <c r="P998" s="108"/>
      <c r="Q998" s="108"/>
      <c r="R998" s="108" t="str">
        <f t="shared" si="1"/>
        <v>2024</v>
      </c>
      <c r="S998" s="110">
        <f t="shared" si="2"/>
        <v>8</v>
      </c>
      <c r="T998" s="108" t="str">
        <f t="shared" si="3"/>
        <v>2024-Q3</v>
      </c>
      <c r="U998" s="108" t="str">
        <f t="shared" si="4"/>
        <v>2024-08</v>
      </c>
      <c r="V998" s="112" t="str">
        <f t="shared" si="5"/>
        <v>2024-H2</v>
      </c>
      <c r="W998" s="112"/>
    </row>
    <row r="999">
      <c r="A999" s="146">
        <f>HYPERLINK("https://polkadot.subsquare.io/referenda/991", 991)</f>
        <v>991</v>
      </c>
      <c r="B999" s="147" t="s">
        <v>3236</v>
      </c>
      <c r="C999" s="147" t="s">
        <v>2681</v>
      </c>
      <c r="D999" s="148">
        <v>0.0</v>
      </c>
      <c r="E999" s="149">
        <v>0.0</v>
      </c>
      <c r="F999" s="147" t="s">
        <v>2891</v>
      </c>
      <c r="G999" s="150">
        <v>2.484511062944059E7</v>
      </c>
      <c r="H999" s="150">
        <v>202272.1321141733</v>
      </c>
      <c r="I999" s="151">
        <v>45486.0</v>
      </c>
      <c r="J999" s="151">
        <v>45502.0</v>
      </c>
      <c r="K999" s="152">
        <v>0.0</v>
      </c>
      <c r="L999" s="117"/>
      <c r="M999" s="117"/>
      <c r="N999" s="153"/>
      <c r="O999" s="153"/>
      <c r="P999" s="153"/>
      <c r="Q999" s="153"/>
      <c r="R999" s="153" t="str">
        <f t="shared" si="1"/>
        <v>2024</v>
      </c>
      <c r="S999" s="154">
        <f t="shared" si="2"/>
        <v>7</v>
      </c>
      <c r="T999" s="153" t="str">
        <f t="shared" si="3"/>
        <v>2024-Q3</v>
      </c>
      <c r="U999" s="153" t="str">
        <f t="shared" si="4"/>
        <v>2024-07</v>
      </c>
      <c r="V999" s="155" t="str">
        <f t="shared" si="5"/>
        <v>2024-H2</v>
      </c>
      <c r="W999" s="155"/>
    </row>
    <row r="1000">
      <c r="A1000" s="139">
        <f>HYPERLINK("https://polkadot.subsquare.io/referenda/992", 992)</f>
        <v>992</v>
      </c>
      <c r="B1000" s="140" t="s">
        <v>3237</v>
      </c>
      <c r="C1000" s="140" t="s">
        <v>2691</v>
      </c>
      <c r="D1000" s="141">
        <v>31532.0</v>
      </c>
      <c r="E1000" s="142">
        <v>200046.04034423828</v>
      </c>
      <c r="F1000" s="140" t="s">
        <v>2683</v>
      </c>
      <c r="G1000" s="143">
        <v>19779.7082379344</v>
      </c>
      <c r="H1000" s="143">
        <v>2.607773187635434E7</v>
      </c>
      <c r="I1000" s="144">
        <v>45486.0</v>
      </c>
      <c r="J1000" s="144">
        <v>45500.0</v>
      </c>
      <c r="K1000" s="145">
        <v>174125.1266899109</v>
      </c>
      <c r="L1000" s="114"/>
      <c r="M1000" s="114"/>
      <c r="N1000" s="108"/>
      <c r="O1000" s="108"/>
      <c r="P1000" s="108"/>
      <c r="Q1000" s="108"/>
      <c r="R1000" s="108" t="str">
        <f t="shared" si="1"/>
        <v>2024</v>
      </c>
      <c r="S1000" s="110">
        <f t="shared" si="2"/>
        <v>7</v>
      </c>
      <c r="T1000" s="108" t="str">
        <f t="shared" si="3"/>
        <v>2024-Q3</v>
      </c>
      <c r="U1000" s="108" t="str">
        <f t="shared" si="4"/>
        <v>2024-07</v>
      </c>
      <c r="V1000" s="112" t="str">
        <f t="shared" si="5"/>
        <v>2024-H2</v>
      </c>
      <c r="W1000" s="112"/>
    </row>
    <row r="1001">
      <c r="A1001" s="146">
        <f>HYPERLINK("https://polkadot.subsquare.io/referenda/993", 993)</f>
        <v>993</v>
      </c>
      <c r="B1001" s="147" t="s">
        <v>3238</v>
      </c>
      <c r="C1001" s="147" t="s">
        <v>2681</v>
      </c>
      <c r="D1001" s="148">
        <v>0.0</v>
      </c>
      <c r="E1001" s="149">
        <v>0.0</v>
      </c>
      <c r="F1001" s="147" t="s">
        <v>2891</v>
      </c>
      <c r="G1001" s="150">
        <v>4.940814509543248E7</v>
      </c>
      <c r="H1001" s="150">
        <v>3742506.536428896</v>
      </c>
      <c r="I1001" s="151">
        <v>45486.0</v>
      </c>
      <c r="J1001" s="151">
        <v>45513.0</v>
      </c>
      <c r="K1001" s="152">
        <v>0.0</v>
      </c>
      <c r="L1001" s="117"/>
      <c r="M1001" s="117"/>
      <c r="N1001" s="153"/>
      <c r="O1001" s="153"/>
      <c r="P1001" s="153"/>
      <c r="Q1001" s="153"/>
      <c r="R1001" s="153" t="str">
        <f t="shared" si="1"/>
        <v>2024</v>
      </c>
      <c r="S1001" s="154">
        <f t="shared" si="2"/>
        <v>8</v>
      </c>
      <c r="T1001" s="153" t="str">
        <f t="shared" si="3"/>
        <v>2024-Q3</v>
      </c>
      <c r="U1001" s="153" t="str">
        <f t="shared" si="4"/>
        <v>2024-08</v>
      </c>
      <c r="V1001" s="155" t="str">
        <f t="shared" si="5"/>
        <v>2024-H2</v>
      </c>
      <c r="W1001" s="155"/>
    </row>
    <row r="1002">
      <c r="A1002" s="139">
        <f>HYPERLINK("https://polkadot.subsquare.io/referenda/994", 994)</f>
        <v>994</v>
      </c>
      <c r="B1002" s="140" t="s">
        <v>3239</v>
      </c>
      <c r="C1002" s="140" t="s">
        <v>2672</v>
      </c>
      <c r="D1002" s="141">
        <v>0.0</v>
      </c>
      <c r="E1002" s="142">
        <v>0.0</v>
      </c>
      <c r="F1002" s="140" t="s">
        <v>2891</v>
      </c>
      <c r="G1002" s="143">
        <v>2.2616070936989058E7</v>
      </c>
      <c r="H1002" s="143">
        <v>3.712956391638175E7</v>
      </c>
      <c r="I1002" s="144">
        <v>45487.0</v>
      </c>
      <c r="J1002" s="144">
        <v>45527.0</v>
      </c>
      <c r="K1002" s="145">
        <v>0.0</v>
      </c>
      <c r="L1002" s="114"/>
      <c r="M1002" s="114"/>
      <c r="N1002" s="108"/>
      <c r="O1002" s="108"/>
      <c r="P1002" s="108"/>
      <c r="Q1002" s="108"/>
      <c r="R1002" s="108" t="str">
        <f t="shared" si="1"/>
        <v>2024</v>
      </c>
      <c r="S1002" s="110">
        <f t="shared" si="2"/>
        <v>8</v>
      </c>
      <c r="T1002" s="108" t="str">
        <f t="shared" si="3"/>
        <v>2024-Q3</v>
      </c>
      <c r="U1002" s="108" t="str">
        <f t="shared" si="4"/>
        <v>2024-08</v>
      </c>
      <c r="V1002" s="112" t="str">
        <f t="shared" si="5"/>
        <v>2024-H2</v>
      </c>
      <c r="W1002" s="112"/>
    </row>
    <row r="1003">
      <c r="A1003" s="146">
        <f>HYPERLINK("https://polkadot.subsquare.io/referenda/995", 995)</f>
        <v>995</v>
      </c>
      <c r="B1003" s="147" t="s">
        <v>565</v>
      </c>
      <c r="C1003" s="147" t="s">
        <v>2681</v>
      </c>
      <c r="D1003" s="148">
        <v>49257.65</v>
      </c>
      <c r="E1003" s="149">
        <v>312501.517162323</v>
      </c>
      <c r="F1003" s="147" t="s">
        <v>2683</v>
      </c>
      <c r="G1003" s="150">
        <v>3.360922878593484E7</v>
      </c>
      <c r="H1003" s="150">
        <v>25358.2</v>
      </c>
      <c r="I1003" s="151">
        <v>45487.0</v>
      </c>
      <c r="J1003" s="151">
        <v>45512.0</v>
      </c>
      <c r="K1003" s="152">
        <v>234272.93213648797</v>
      </c>
      <c r="L1003" s="117" t="s">
        <v>84</v>
      </c>
      <c r="M1003" s="117" t="s">
        <v>152</v>
      </c>
      <c r="N1003" s="153"/>
      <c r="O1003" s="153"/>
      <c r="P1003" s="153"/>
      <c r="Q1003" s="153"/>
      <c r="R1003" s="153" t="str">
        <f t="shared" si="1"/>
        <v>2024</v>
      </c>
      <c r="S1003" s="154">
        <f t="shared" si="2"/>
        <v>8</v>
      </c>
      <c r="T1003" s="153" t="str">
        <f t="shared" si="3"/>
        <v>2024-Q3</v>
      </c>
      <c r="U1003" s="153" t="str">
        <f t="shared" si="4"/>
        <v>2024-08</v>
      </c>
      <c r="V1003" s="155" t="str">
        <f t="shared" si="5"/>
        <v>2024-H2</v>
      </c>
      <c r="W1003" s="155"/>
    </row>
    <row r="1004">
      <c r="A1004" s="139">
        <f>HYPERLINK("https://polkadot.subsquare.io/referenda/996", 996)</f>
        <v>996</v>
      </c>
      <c r="B1004" s="140" t="s">
        <v>3240</v>
      </c>
      <c r="C1004" s="140" t="s">
        <v>2672</v>
      </c>
      <c r="D1004" s="141">
        <v>76800.0</v>
      </c>
      <c r="E1004" s="142">
        <v>487236.328125</v>
      </c>
      <c r="F1004" s="140" t="s">
        <v>2683</v>
      </c>
      <c r="G1004" s="143">
        <v>1033254.0</v>
      </c>
      <c r="H1004" s="143">
        <v>5.167207041180262E7</v>
      </c>
      <c r="I1004" s="144">
        <v>45487.0</v>
      </c>
      <c r="J1004" s="144">
        <v>45516.0</v>
      </c>
      <c r="K1004" s="145">
        <v>336870.00732421875</v>
      </c>
      <c r="L1004" s="114"/>
      <c r="M1004" s="114"/>
      <c r="N1004" s="108"/>
      <c r="O1004" s="108"/>
      <c r="P1004" s="108"/>
      <c r="Q1004" s="108"/>
      <c r="R1004" s="108" t="str">
        <f t="shared" si="1"/>
        <v>2024</v>
      </c>
      <c r="S1004" s="110">
        <f t="shared" si="2"/>
        <v>8</v>
      </c>
      <c r="T1004" s="108" t="str">
        <f t="shared" si="3"/>
        <v>2024-Q3</v>
      </c>
      <c r="U1004" s="108" t="str">
        <f t="shared" si="4"/>
        <v>2024-08</v>
      </c>
      <c r="V1004" s="112" t="str">
        <f t="shared" si="5"/>
        <v>2024-H2</v>
      </c>
      <c r="W1004" s="112"/>
    </row>
    <row r="1005">
      <c r="A1005" s="146">
        <f>HYPERLINK("https://polkadot.subsquare.io/referenda/997", 997)</f>
        <v>997</v>
      </c>
      <c r="B1005" s="147" t="s">
        <v>566</v>
      </c>
      <c r="C1005" s="147" t="s">
        <v>2681</v>
      </c>
      <c r="D1005" s="148">
        <v>6983.1592999098075</v>
      </c>
      <c r="E1005" s="149">
        <v>44302.72</v>
      </c>
      <c r="F1005" s="147" t="s">
        <v>2683</v>
      </c>
      <c r="G1005" s="150">
        <v>4.69377313054947E7</v>
      </c>
      <c r="H1005" s="150">
        <v>64007.9725822371</v>
      </c>
      <c r="I1005" s="151">
        <v>45487.0</v>
      </c>
      <c r="J1005" s="151">
        <v>45510.0</v>
      </c>
      <c r="K1005" s="152">
        <v>33433.06989126331</v>
      </c>
      <c r="L1005" s="117" t="s">
        <v>81</v>
      </c>
      <c r="M1005" s="117" t="s">
        <v>362</v>
      </c>
      <c r="N1005" s="153"/>
      <c r="O1005" s="153"/>
      <c r="P1005" s="153"/>
      <c r="Q1005" s="153"/>
      <c r="R1005" s="153" t="str">
        <f t="shared" si="1"/>
        <v>2024</v>
      </c>
      <c r="S1005" s="154">
        <f t="shared" si="2"/>
        <v>8</v>
      </c>
      <c r="T1005" s="153" t="str">
        <f t="shared" si="3"/>
        <v>2024-Q3</v>
      </c>
      <c r="U1005" s="153" t="str">
        <f t="shared" si="4"/>
        <v>2024-08</v>
      </c>
      <c r="V1005" s="155" t="str">
        <f t="shared" si="5"/>
        <v>2024-H2</v>
      </c>
      <c r="W1005" s="155"/>
    </row>
    <row r="1006">
      <c r="A1006" s="139">
        <f>HYPERLINK("https://polkadot.subsquare.io/referenda/998", 998)</f>
        <v>998</v>
      </c>
      <c r="B1006" s="140" t="s">
        <v>3241</v>
      </c>
      <c r="C1006" s="140" t="s">
        <v>2672</v>
      </c>
      <c r="D1006" s="141">
        <v>32918.29421201371</v>
      </c>
      <c r="E1006" s="142">
        <v>208841.0</v>
      </c>
      <c r="F1006" s="140" t="s">
        <v>2683</v>
      </c>
      <c r="G1006" s="143">
        <v>1.1973099886054438E7</v>
      </c>
      <c r="H1006" s="143">
        <v>6.508864600559431E7</v>
      </c>
      <c r="I1006" s="144">
        <v>45487.0</v>
      </c>
      <c r="J1006" s="144">
        <v>45515.0</v>
      </c>
      <c r="K1006" s="145">
        <v>144390.4428685136</v>
      </c>
      <c r="L1006" s="114"/>
      <c r="M1006" s="114"/>
      <c r="N1006" s="108"/>
      <c r="O1006" s="108"/>
      <c r="P1006" s="108"/>
      <c r="Q1006" s="108"/>
      <c r="R1006" s="108" t="str">
        <f t="shared" si="1"/>
        <v>2024</v>
      </c>
      <c r="S1006" s="110">
        <f t="shared" si="2"/>
        <v>8</v>
      </c>
      <c r="T1006" s="108" t="str">
        <f t="shared" si="3"/>
        <v>2024-Q3</v>
      </c>
      <c r="U1006" s="108" t="str">
        <f t="shared" si="4"/>
        <v>2024-08</v>
      </c>
      <c r="V1006" s="112" t="str">
        <f t="shared" si="5"/>
        <v>2024-H2</v>
      </c>
      <c r="W1006" s="112"/>
    </row>
    <row r="1007">
      <c r="A1007" s="146">
        <f>HYPERLINK("https://polkadot.subsquare.io/referenda/999", 999)</f>
        <v>999</v>
      </c>
      <c r="B1007" s="147" t="s">
        <v>3242</v>
      </c>
      <c r="C1007" s="147" t="s">
        <v>2691</v>
      </c>
      <c r="D1007" s="148">
        <v>0.0</v>
      </c>
      <c r="E1007" s="149">
        <v>0.0</v>
      </c>
      <c r="F1007" s="147" t="s">
        <v>3053</v>
      </c>
      <c r="G1007" s="150">
        <v>4.045969286637053E7</v>
      </c>
      <c r="H1007" s="150">
        <v>5010.0</v>
      </c>
      <c r="I1007" s="151">
        <v>45487.0</v>
      </c>
      <c r="J1007" s="151">
        <v>45501.0</v>
      </c>
      <c r="K1007" s="152">
        <v>0.0</v>
      </c>
      <c r="L1007" s="117"/>
      <c r="M1007" s="117"/>
      <c r="N1007" s="153"/>
      <c r="O1007" s="153"/>
      <c r="P1007" s="153"/>
      <c r="Q1007" s="153"/>
      <c r="R1007" s="153" t="str">
        <f t="shared" si="1"/>
        <v>2024</v>
      </c>
      <c r="S1007" s="154">
        <f t="shared" si="2"/>
        <v>7</v>
      </c>
      <c r="T1007" s="153" t="str">
        <f t="shared" si="3"/>
        <v>2024-Q3</v>
      </c>
      <c r="U1007" s="153" t="str">
        <f t="shared" si="4"/>
        <v>2024-07</v>
      </c>
      <c r="V1007" s="155" t="str">
        <f t="shared" si="5"/>
        <v>2024-H2</v>
      </c>
      <c r="W1007" s="155"/>
    </row>
    <row r="1008">
      <c r="A1008" s="139">
        <f>HYPERLINK("https://polkadot.subsquare.io/referenda/1000", 1000)</f>
        <v>1000</v>
      </c>
      <c r="B1008" s="140" t="s">
        <v>3243</v>
      </c>
      <c r="C1008" s="140" t="s">
        <v>2691</v>
      </c>
      <c r="D1008" s="141">
        <v>0.0</v>
      </c>
      <c r="E1008" s="142">
        <v>0.0</v>
      </c>
      <c r="F1008" s="140" t="s">
        <v>3053</v>
      </c>
      <c r="G1008" s="143">
        <v>4.140217040859899E7</v>
      </c>
      <c r="H1008" s="143">
        <v>5000.1</v>
      </c>
      <c r="I1008" s="144">
        <v>45487.0</v>
      </c>
      <c r="J1008" s="144">
        <v>45501.0</v>
      </c>
      <c r="K1008" s="145">
        <v>0.0</v>
      </c>
      <c r="L1008" s="114"/>
      <c r="M1008" s="114"/>
      <c r="N1008" s="108"/>
      <c r="O1008" s="108"/>
      <c r="P1008" s="108"/>
      <c r="Q1008" s="108"/>
      <c r="R1008" s="108" t="str">
        <f t="shared" si="1"/>
        <v>2024</v>
      </c>
      <c r="S1008" s="110">
        <f t="shared" si="2"/>
        <v>7</v>
      </c>
      <c r="T1008" s="108" t="str">
        <f t="shared" si="3"/>
        <v>2024-Q3</v>
      </c>
      <c r="U1008" s="108" t="str">
        <f t="shared" si="4"/>
        <v>2024-07</v>
      </c>
      <c r="V1008" s="112" t="str">
        <f t="shared" si="5"/>
        <v>2024-H2</v>
      </c>
      <c r="W1008" s="112"/>
    </row>
    <row r="1009">
      <c r="A1009" s="146">
        <f>HYPERLINK("https://polkadot.subsquare.io/referenda/1001", 1001)</f>
        <v>1001</v>
      </c>
      <c r="B1009" s="147" t="s">
        <v>567</v>
      </c>
      <c r="C1009" s="147" t="s">
        <v>2681</v>
      </c>
      <c r="D1009" s="148">
        <v>28179.53948390753</v>
      </c>
      <c r="E1009" s="149">
        <v>176400.0</v>
      </c>
      <c r="F1009" s="147" t="s">
        <v>2683</v>
      </c>
      <c r="G1009" s="150">
        <v>4.707503801226264E7</v>
      </c>
      <c r="H1009" s="150">
        <v>10010.0</v>
      </c>
      <c r="I1009" s="151">
        <v>45487.0</v>
      </c>
      <c r="J1009" s="151">
        <v>45509.0</v>
      </c>
      <c r="K1009" s="152">
        <v>137541.0413257891</v>
      </c>
      <c r="L1009" s="117" t="s">
        <v>81</v>
      </c>
      <c r="M1009" s="117" t="s">
        <v>148</v>
      </c>
      <c r="N1009" s="153"/>
      <c r="O1009" s="153"/>
      <c r="P1009" s="153"/>
      <c r="Q1009" s="153"/>
      <c r="R1009" s="153" t="str">
        <f t="shared" si="1"/>
        <v>2024</v>
      </c>
      <c r="S1009" s="154">
        <f t="shared" si="2"/>
        <v>8</v>
      </c>
      <c r="T1009" s="153" t="str">
        <f t="shared" si="3"/>
        <v>2024-Q3</v>
      </c>
      <c r="U1009" s="153" t="str">
        <f t="shared" si="4"/>
        <v>2024-08</v>
      </c>
      <c r="V1009" s="155" t="str">
        <f t="shared" si="5"/>
        <v>2024-H2</v>
      </c>
      <c r="W1009" s="155"/>
    </row>
    <row r="1010">
      <c r="A1010" s="139">
        <f>HYPERLINK("https://polkadot.subsquare.io/referenda/1002", 1002)</f>
        <v>1002</v>
      </c>
      <c r="B1010" s="140" t="s">
        <v>3244</v>
      </c>
      <c r="C1010" s="140" t="s">
        <v>2681</v>
      </c>
      <c r="D1010" s="141">
        <v>0.0</v>
      </c>
      <c r="E1010" s="142">
        <v>0.0</v>
      </c>
      <c r="F1010" s="140" t="s">
        <v>2682</v>
      </c>
      <c r="G1010" s="143">
        <v>1.1836558841470054E8</v>
      </c>
      <c r="H1010" s="143">
        <v>25328.0</v>
      </c>
      <c r="I1010" s="144">
        <v>45487.0</v>
      </c>
      <c r="J1010" s="144">
        <v>45507.0</v>
      </c>
      <c r="K1010" s="145">
        <v>0.0</v>
      </c>
      <c r="L1010" s="114"/>
      <c r="M1010" s="114"/>
      <c r="N1010" s="108"/>
      <c r="O1010" s="108"/>
      <c r="P1010" s="108"/>
      <c r="Q1010" s="108"/>
      <c r="R1010" s="108" t="str">
        <f t="shared" si="1"/>
        <v>2024</v>
      </c>
      <c r="S1010" s="110">
        <f t="shared" si="2"/>
        <v>8</v>
      </c>
      <c r="T1010" s="108" t="str">
        <f t="shared" si="3"/>
        <v>2024-Q3</v>
      </c>
      <c r="U1010" s="108" t="str">
        <f t="shared" si="4"/>
        <v>2024-08</v>
      </c>
      <c r="V1010" s="112" t="str">
        <f t="shared" si="5"/>
        <v>2024-H2</v>
      </c>
      <c r="W1010" s="112"/>
    </row>
    <row r="1011">
      <c r="A1011" s="146">
        <f>HYPERLINK("https://polkadot.subsquare.io/referenda/1003", 1003)</f>
        <v>1003</v>
      </c>
      <c r="B1011" s="159"/>
      <c r="C1011" s="147" t="s">
        <v>2691</v>
      </c>
      <c r="D1011" s="148">
        <v>0.0</v>
      </c>
      <c r="E1011" s="149">
        <v>0.0</v>
      </c>
      <c r="F1011" s="147" t="s">
        <v>2802</v>
      </c>
      <c r="G1011" s="150">
        <v>1607321.109797351</v>
      </c>
      <c r="H1011" s="150">
        <v>2140819.908582237</v>
      </c>
      <c r="I1011" s="151">
        <v>45487.0</v>
      </c>
      <c r="J1011" s="151">
        <v>45502.0</v>
      </c>
      <c r="K1011" s="152">
        <v>0.0</v>
      </c>
      <c r="L1011" s="117"/>
      <c r="M1011" s="117"/>
      <c r="N1011" s="153"/>
      <c r="O1011" s="153"/>
      <c r="P1011" s="153"/>
      <c r="Q1011" s="153"/>
      <c r="R1011" s="153" t="str">
        <f t="shared" si="1"/>
        <v>2024</v>
      </c>
      <c r="S1011" s="154">
        <f t="shared" si="2"/>
        <v>7</v>
      </c>
      <c r="T1011" s="153" t="str">
        <f t="shared" si="3"/>
        <v>2024-Q3</v>
      </c>
      <c r="U1011" s="153" t="str">
        <f t="shared" si="4"/>
        <v>2024-07</v>
      </c>
      <c r="V1011" s="155" t="str">
        <f t="shared" si="5"/>
        <v>2024-H2</v>
      </c>
      <c r="W1011" s="155"/>
    </row>
    <row r="1012">
      <c r="A1012" s="139">
        <f>HYPERLINK("https://polkadot.subsquare.io/referenda/1004", 1004)</f>
        <v>1004</v>
      </c>
      <c r="B1012" s="162"/>
      <c r="C1012" s="140" t="s">
        <v>2691</v>
      </c>
      <c r="D1012" s="141">
        <v>0.0</v>
      </c>
      <c r="E1012" s="142">
        <v>0.0</v>
      </c>
      <c r="F1012" s="140" t="s">
        <v>3053</v>
      </c>
      <c r="G1012" s="143">
        <v>0.0</v>
      </c>
      <c r="H1012" s="143">
        <v>2.5513900208870046E7</v>
      </c>
      <c r="I1012" s="144">
        <v>45488.0</v>
      </c>
      <c r="J1012" s="144">
        <v>45502.0</v>
      </c>
      <c r="K1012" s="145">
        <v>0.0</v>
      </c>
      <c r="L1012" s="114"/>
      <c r="M1012" s="114"/>
      <c r="N1012" s="108"/>
      <c r="O1012" s="108"/>
      <c r="P1012" s="108"/>
      <c r="Q1012" s="108"/>
      <c r="R1012" s="108" t="str">
        <f t="shared" si="1"/>
        <v>2024</v>
      </c>
      <c r="S1012" s="110">
        <f t="shared" si="2"/>
        <v>7</v>
      </c>
      <c r="T1012" s="108" t="str">
        <f t="shared" si="3"/>
        <v>2024-Q3</v>
      </c>
      <c r="U1012" s="108" t="str">
        <f t="shared" si="4"/>
        <v>2024-07</v>
      </c>
      <c r="V1012" s="112" t="str">
        <f t="shared" si="5"/>
        <v>2024-H2</v>
      </c>
      <c r="W1012" s="112"/>
    </row>
    <row r="1013">
      <c r="A1013" s="146">
        <f>HYPERLINK("https://polkadot.subsquare.io/referenda/1005", 1005)</f>
        <v>1005</v>
      </c>
      <c r="B1013" s="147" t="s">
        <v>3245</v>
      </c>
      <c r="C1013" s="147" t="s">
        <v>2691</v>
      </c>
      <c r="D1013" s="148">
        <v>0.16410732827358065</v>
      </c>
      <c r="E1013" s="149">
        <v>1.0</v>
      </c>
      <c r="F1013" s="147" t="s">
        <v>186</v>
      </c>
      <c r="G1013" s="150">
        <v>0.0</v>
      </c>
      <c r="H1013" s="150">
        <v>2.925645881205421E7</v>
      </c>
      <c r="I1013" s="151">
        <v>45488.0</v>
      </c>
      <c r="J1013" s="151">
        <v>45502.0</v>
      </c>
      <c r="K1013" s="152">
        <v>0.8768170713088954</v>
      </c>
      <c r="L1013" s="117"/>
      <c r="M1013" s="117"/>
      <c r="N1013" s="153"/>
      <c r="O1013" s="153"/>
      <c r="P1013" s="153"/>
      <c r="Q1013" s="153"/>
      <c r="R1013" s="153" t="str">
        <f t="shared" si="1"/>
        <v>2024</v>
      </c>
      <c r="S1013" s="154">
        <f t="shared" si="2"/>
        <v>7</v>
      </c>
      <c r="T1013" s="153" t="str">
        <f t="shared" si="3"/>
        <v>2024-Q3</v>
      </c>
      <c r="U1013" s="153" t="str">
        <f t="shared" si="4"/>
        <v>2024-07</v>
      </c>
      <c r="V1013" s="155" t="str">
        <f t="shared" si="5"/>
        <v>2024-H2</v>
      </c>
      <c r="W1013" s="155"/>
    </row>
    <row r="1014">
      <c r="A1014" s="139">
        <f>HYPERLINK("https://polkadot.subsquare.io/referenda/1006", 1006)</f>
        <v>1006</v>
      </c>
      <c r="B1014" s="140" t="s">
        <v>3246</v>
      </c>
      <c r="C1014" s="140" t="s">
        <v>2681</v>
      </c>
      <c r="D1014" s="141">
        <v>26503.51</v>
      </c>
      <c r="E1014" s="142">
        <v>168194.8561301708</v>
      </c>
      <c r="F1014" s="140" t="s">
        <v>2683</v>
      </c>
      <c r="G1014" s="143">
        <v>5.0711450429356776E7</v>
      </c>
      <c r="H1014" s="143">
        <v>1.8078374008910637E7</v>
      </c>
      <c r="I1014" s="144">
        <v>45489.0</v>
      </c>
      <c r="J1014" s="144">
        <v>45511.0</v>
      </c>
      <c r="K1014" s="145">
        <v>126890.08858859062</v>
      </c>
      <c r="L1014" s="163" t="s">
        <v>84</v>
      </c>
      <c r="M1014" s="163" t="s">
        <v>171</v>
      </c>
      <c r="N1014" s="113" t="s">
        <v>2654</v>
      </c>
      <c r="O1014" s="108"/>
      <c r="P1014" s="108"/>
      <c r="Q1014" s="108"/>
      <c r="R1014" s="108" t="str">
        <f t="shared" si="1"/>
        <v>2024</v>
      </c>
      <c r="S1014" s="110">
        <f t="shared" si="2"/>
        <v>8</v>
      </c>
      <c r="T1014" s="108" t="str">
        <f t="shared" si="3"/>
        <v>2024-Q3</v>
      </c>
      <c r="U1014" s="108" t="str">
        <f t="shared" si="4"/>
        <v>2024-08</v>
      </c>
      <c r="V1014" s="112" t="str">
        <f t="shared" si="5"/>
        <v>2024-H2</v>
      </c>
      <c r="W1014" s="112"/>
    </row>
    <row r="1015">
      <c r="A1015" s="146">
        <f>HYPERLINK("https://polkadot.subsquare.io/referenda/1007", 1007)</f>
        <v>1007</v>
      </c>
      <c r="B1015" s="147" t="s">
        <v>3247</v>
      </c>
      <c r="C1015" s="147" t="s">
        <v>2681</v>
      </c>
      <c r="D1015" s="148">
        <v>0.0</v>
      </c>
      <c r="E1015" s="149">
        <v>0.0</v>
      </c>
      <c r="F1015" s="147" t="s">
        <v>2682</v>
      </c>
      <c r="G1015" s="150">
        <v>5.2701645617995776E7</v>
      </c>
      <c r="H1015" s="150">
        <v>5010.0</v>
      </c>
      <c r="I1015" s="151">
        <v>45490.0</v>
      </c>
      <c r="J1015" s="151">
        <v>45502.0</v>
      </c>
      <c r="K1015" s="152">
        <v>0.0</v>
      </c>
      <c r="L1015" s="117"/>
      <c r="M1015" s="117"/>
      <c r="N1015" s="153"/>
      <c r="O1015" s="153"/>
      <c r="P1015" s="153"/>
      <c r="Q1015" s="153"/>
      <c r="R1015" s="153" t="str">
        <f t="shared" si="1"/>
        <v>2024</v>
      </c>
      <c r="S1015" s="154">
        <f t="shared" si="2"/>
        <v>7</v>
      </c>
      <c r="T1015" s="153" t="str">
        <f t="shared" si="3"/>
        <v>2024-Q3</v>
      </c>
      <c r="U1015" s="153" t="str">
        <f t="shared" si="4"/>
        <v>2024-07</v>
      </c>
      <c r="V1015" s="155" t="str">
        <f t="shared" si="5"/>
        <v>2024-H2</v>
      </c>
      <c r="W1015" s="155"/>
    </row>
    <row r="1016">
      <c r="A1016" s="139">
        <f>HYPERLINK("https://polkadot.subsquare.io/referenda/1008", 1008)</f>
        <v>1008</v>
      </c>
      <c r="B1016" s="140" t="s">
        <v>3248</v>
      </c>
      <c r="C1016" s="140" t="s">
        <v>2672</v>
      </c>
      <c r="D1016" s="141">
        <v>0.0</v>
      </c>
      <c r="E1016" s="142">
        <v>0.0</v>
      </c>
      <c r="F1016" s="140" t="s">
        <v>2736</v>
      </c>
      <c r="G1016" s="143">
        <v>5250.0</v>
      </c>
      <c r="H1016" s="143">
        <v>2.0992180354435064E7</v>
      </c>
      <c r="I1016" s="144">
        <v>45490.0</v>
      </c>
      <c r="J1016" s="144">
        <v>45518.0</v>
      </c>
      <c r="K1016" s="145">
        <v>0.0</v>
      </c>
      <c r="L1016" s="114"/>
      <c r="M1016" s="114"/>
      <c r="N1016" s="108"/>
      <c r="O1016" s="108"/>
      <c r="P1016" s="108"/>
      <c r="Q1016" s="108"/>
      <c r="R1016" s="108" t="str">
        <f t="shared" si="1"/>
        <v>2024</v>
      </c>
      <c r="S1016" s="110">
        <f t="shared" si="2"/>
        <v>8</v>
      </c>
      <c r="T1016" s="108" t="str">
        <f t="shared" si="3"/>
        <v>2024-Q3</v>
      </c>
      <c r="U1016" s="108" t="str">
        <f t="shared" si="4"/>
        <v>2024-08</v>
      </c>
      <c r="V1016" s="112" t="str">
        <f t="shared" si="5"/>
        <v>2024-H2</v>
      </c>
      <c r="W1016" s="156" t="s">
        <v>2654</v>
      </c>
    </row>
    <row r="1017">
      <c r="A1017" s="146">
        <f>HYPERLINK("https://polkadot.subsquare.io/referenda/1009", 1009)</f>
        <v>1009</v>
      </c>
      <c r="B1017" s="147" t="s">
        <v>3249</v>
      </c>
      <c r="C1017" s="147" t="s">
        <v>2691</v>
      </c>
      <c r="D1017" s="148">
        <v>0.0</v>
      </c>
      <c r="E1017" s="149">
        <v>0.0</v>
      </c>
      <c r="F1017" s="147" t="s">
        <v>2676</v>
      </c>
      <c r="G1017" s="150">
        <v>5001.0</v>
      </c>
      <c r="H1017" s="150">
        <v>2.8234797104413066E7</v>
      </c>
      <c r="I1017" s="151">
        <v>45490.0</v>
      </c>
      <c r="J1017" s="151">
        <v>45504.0</v>
      </c>
      <c r="K1017" s="152">
        <v>0.0</v>
      </c>
      <c r="L1017" s="117"/>
      <c r="M1017" s="117"/>
      <c r="N1017" s="153"/>
      <c r="O1017" s="153"/>
      <c r="P1017" s="153"/>
      <c r="Q1017" s="153"/>
      <c r="R1017" s="153" t="str">
        <f t="shared" si="1"/>
        <v>2024</v>
      </c>
      <c r="S1017" s="154">
        <f t="shared" si="2"/>
        <v>7</v>
      </c>
      <c r="T1017" s="153" t="str">
        <f t="shared" si="3"/>
        <v>2024-Q3</v>
      </c>
      <c r="U1017" s="153" t="str">
        <f t="shared" si="4"/>
        <v>2024-07</v>
      </c>
      <c r="V1017" s="155" t="str">
        <f t="shared" si="5"/>
        <v>2024-H2</v>
      </c>
      <c r="W1017" s="155"/>
    </row>
    <row r="1018">
      <c r="A1018" s="139">
        <f>HYPERLINK("https://polkadot.subsquare.io/referenda/1010", 1010)</f>
        <v>1010</v>
      </c>
      <c r="B1018" s="140" t="s">
        <v>3250</v>
      </c>
      <c r="C1018" s="140" t="s">
        <v>2691</v>
      </c>
      <c r="D1018" s="141">
        <v>0.0</v>
      </c>
      <c r="E1018" s="142">
        <v>0.0</v>
      </c>
      <c r="F1018" s="140" t="s">
        <v>3053</v>
      </c>
      <c r="G1018" s="143">
        <v>1079241.2539981725</v>
      </c>
      <c r="H1018" s="143">
        <v>1.596382826006326E7</v>
      </c>
      <c r="I1018" s="144">
        <v>45490.0</v>
      </c>
      <c r="J1018" s="144">
        <v>45504.0</v>
      </c>
      <c r="K1018" s="145">
        <v>0.0</v>
      </c>
      <c r="L1018" s="114"/>
      <c r="M1018" s="114"/>
      <c r="N1018" s="108"/>
      <c r="O1018" s="108"/>
      <c r="P1018" s="108"/>
      <c r="Q1018" s="108"/>
      <c r="R1018" s="108" t="str">
        <f t="shared" si="1"/>
        <v>2024</v>
      </c>
      <c r="S1018" s="110">
        <f t="shared" si="2"/>
        <v>7</v>
      </c>
      <c r="T1018" s="108" t="str">
        <f t="shared" si="3"/>
        <v>2024-Q3</v>
      </c>
      <c r="U1018" s="108" t="str">
        <f t="shared" si="4"/>
        <v>2024-07</v>
      </c>
      <c r="V1018" s="112" t="str">
        <f t="shared" si="5"/>
        <v>2024-H2</v>
      </c>
      <c r="W1018" s="112"/>
    </row>
    <row r="1019">
      <c r="A1019" s="146">
        <f>HYPERLINK("https://polkadot.subsquare.io/referenda/1011", 1011)</f>
        <v>1011</v>
      </c>
      <c r="B1019" s="147" t="s">
        <v>3251</v>
      </c>
      <c r="C1019" s="147" t="s">
        <v>2672</v>
      </c>
      <c r="D1019" s="148">
        <v>99393.0</v>
      </c>
      <c r="E1019" s="149">
        <v>629866.3690209389</v>
      </c>
      <c r="F1019" s="147" t="s">
        <v>2683</v>
      </c>
      <c r="G1019" s="150">
        <v>4322283.397091685</v>
      </c>
      <c r="H1019" s="150">
        <v>5.1909537129117414E7</v>
      </c>
      <c r="I1019" s="151">
        <v>45490.0</v>
      </c>
      <c r="J1019" s="151">
        <v>45518.0</v>
      </c>
      <c r="K1019" s="152">
        <v>433825.0189189911</v>
      </c>
      <c r="L1019" s="117"/>
      <c r="M1019" s="117"/>
      <c r="N1019" s="153"/>
      <c r="O1019" s="153"/>
      <c r="P1019" s="153"/>
      <c r="Q1019" s="153"/>
      <c r="R1019" s="153" t="str">
        <f t="shared" si="1"/>
        <v>2024</v>
      </c>
      <c r="S1019" s="154">
        <f t="shared" si="2"/>
        <v>8</v>
      </c>
      <c r="T1019" s="153" t="str">
        <f t="shared" si="3"/>
        <v>2024-Q3</v>
      </c>
      <c r="U1019" s="153" t="str">
        <f t="shared" si="4"/>
        <v>2024-08</v>
      </c>
      <c r="V1019" s="155" t="str">
        <f t="shared" si="5"/>
        <v>2024-H2</v>
      </c>
      <c r="W1019" s="158" t="s">
        <v>2654</v>
      </c>
    </row>
    <row r="1020">
      <c r="A1020" s="139">
        <f>HYPERLINK("https://polkadot.subsquare.io/referenda/1012", 1012)</f>
        <v>1012</v>
      </c>
      <c r="B1020" s="162"/>
      <c r="C1020" s="140" t="s">
        <v>2691</v>
      </c>
      <c r="D1020" s="141">
        <v>2777.282430111532</v>
      </c>
      <c r="E1020" s="142">
        <v>17600.0</v>
      </c>
      <c r="F1020" s="140" t="s">
        <v>2683</v>
      </c>
      <c r="G1020" s="143">
        <v>5004.0</v>
      </c>
      <c r="H1020" s="143">
        <v>2.1942353803478725E7</v>
      </c>
      <c r="I1020" s="144">
        <v>45490.0</v>
      </c>
      <c r="J1020" s="144">
        <v>45504.0</v>
      </c>
      <c r="K1020" s="145">
        <v>14007.68464833323</v>
      </c>
      <c r="L1020" s="114"/>
      <c r="M1020" s="114"/>
      <c r="N1020" s="108"/>
      <c r="O1020" s="108"/>
      <c r="P1020" s="108"/>
      <c r="Q1020" s="108"/>
      <c r="R1020" s="108" t="str">
        <f t="shared" si="1"/>
        <v>2024</v>
      </c>
      <c r="S1020" s="110">
        <f t="shared" si="2"/>
        <v>7</v>
      </c>
      <c r="T1020" s="108" t="str">
        <f t="shared" si="3"/>
        <v>2024-Q3</v>
      </c>
      <c r="U1020" s="108" t="str">
        <f t="shared" si="4"/>
        <v>2024-07</v>
      </c>
      <c r="V1020" s="112" t="str">
        <f t="shared" si="5"/>
        <v>2024-H2</v>
      </c>
      <c r="W1020" s="112"/>
    </row>
    <row r="1021">
      <c r="A1021" s="146">
        <f>HYPERLINK("https://polkadot.subsquare.io/referenda/1013", 1013)</f>
        <v>1013</v>
      </c>
      <c r="B1021" s="147" t="s">
        <v>3252</v>
      </c>
      <c r="C1021" s="147" t="s">
        <v>2672</v>
      </c>
      <c r="D1021" s="148">
        <v>0.0</v>
      </c>
      <c r="E1021" s="149">
        <v>0.0</v>
      </c>
      <c r="F1021" s="147" t="s">
        <v>2696</v>
      </c>
      <c r="G1021" s="150">
        <v>55301.1161</v>
      </c>
      <c r="H1021" s="150">
        <v>3.884572976046336E7</v>
      </c>
      <c r="I1021" s="151">
        <v>45490.0</v>
      </c>
      <c r="J1021" s="151">
        <v>45519.0</v>
      </c>
      <c r="K1021" s="152">
        <v>0.0</v>
      </c>
      <c r="L1021" s="117"/>
      <c r="M1021" s="117"/>
      <c r="N1021" s="153"/>
      <c r="O1021" s="153"/>
      <c r="P1021" s="153"/>
      <c r="Q1021" s="153"/>
      <c r="R1021" s="153" t="str">
        <f t="shared" si="1"/>
        <v>2024</v>
      </c>
      <c r="S1021" s="154">
        <f t="shared" si="2"/>
        <v>8</v>
      </c>
      <c r="T1021" s="153" t="str">
        <f t="shared" si="3"/>
        <v>2024-Q3</v>
      </c>
      <c r="U1021" s="153" t="str">
        <f t="shared" si="4"/>
        <v>2024-08</v>
      </c>
      <c r="V1021" s="155" t="str">
        <f t="shared" si="5"/>
        <v>2024-H2</v>
      </c>
      <c r="W1021" s="155"/>
    </row>
    <row r="1022">
      <c r="A1022" s="139">
        <f>HYPERLINK("https://polkadot.subsquare.io/referenda/1014", 1014)</f>
        <v>1014</v>
      </c>
      <c r="B1022" s="140" t="s">
        <v>3253</v>
      </c>
      <c r="C1022" s="140" t="s">
        <v>2681</v>
      </c>
      <c r="D1022" s="141">
        <v>0.0</v>
      </c>
      <c r="E1022" s="142">
        <v>0.0</v>
      </c>
      <c r="F1022" s="140" t="s">
        <v>2736</v>
      </c>
      <c r="G1022" s="143">
        <v>3.784979681634601E7</v>
      </c>
      <c r="H1022" s="143">
        <v>1.828384394149814E7</v>
      </c>
      <c r="I1022" s="144">
        <v>45491.0</v>
      </c>
      <c r="J1022" s="144">
        <v>45518.0</v>
      </c>
      <c r="K1022" s="145">
        <v>0.0</v>
      </c>
      <c r="L1022" s="114"/>
      <c r="M1022" s="114"/>
      <c r="N1022" s="108"/>
      <c r="O1022" s="108"/>
      <c r="P1022" s="108"/>
      <c r="Q1022" s="108"/>
      <c r="R1022" s="108" t="str">
        <f t="shared" si="1"/>
        <v>2024</v>
      </c>
      <c r="S1022" s="110">
        <f t="shared" si="2"/>
        <v>8</v>
      </c>
      <c r="T1022" s="108" t="str">
        <f t="shared" si="3"/>
        <v>2024-Q3</v>
      </c>
      <c r="U1022" s="108" t="str">
        <f t="shared" si="4"/>
        <v>2024-08</v>
      </c>
      <c r="V1022" s="112" t="str">
        <f t="shared" si="5"/>
        <v>2024-H2</v>
      </c>
      <c r="W1022" s="112"/>
    </row>
    <row r="1023">
      <c r="A1023" s="146">
        <f>HYPERLINK("https://polkadot.subsquare.io/referenda/1015", 1015)</f>
        <v>1015</v>
      </c>
      <c r="B1023" s="147" t="s">
        <v>3254</v>
      </c>
      <c r="C1023" s="147" t="s">
        <v>2691</v>
      </c>
      <c r="D1023" s="148">
        <v>0.0</v>
      </c>
      <c r="E1023" s="149">
        <v>0.0</v>
      </c>
      <c r="F1023" s="147" t="s">
        <v>2891</v>
      </c>
      <c r="G1023" s="150">
        <v>19.0</v>
      </c>
      <c r="H1023" s="150">
        <v>5963602.51717663</v>
      </c>
      <c r="I1023" s="151">
        <v>45491.0</v>
      </c>
      <c r="J1023" s="151">
        <v>45505.0</v>
      </c>
      <c r="K1023" s="152">
        <v>0.0</v>
      </c>
      <c r="L1023" s="117"/>
      <c r="M1023" s="117"/>
      <c r="N1023" s="153"/>
      <c r="O1023" s="153"/>
      <c r="P1023" s="153"/>
      <c r="Q1023" s="153"/>
      <c r="R1023" s="153" t="str">
        <f t="shared" si="1"/>
        <v>2024</v>
      </c>
      <c r="S1023" s="154">
        <f t="shared" si="2"/>
        <v>8</v>
      </c>
      <c r="T1023" s="153" t="str">
        <f t="shared" si="3"/>
        <v>2024-Q3</v>
      </c>
      <c r="U1023" s="153" t="str">
        <f t="shared" si="4"/>
        <v>2024-08</v>
      </c>
      <c r="V1023" s="155" t="str">
        <f t="shared" si="5"/>
        <v>2024-H2</v>
      </c>
      <c r="W1023" s="158" t="s">
        <v>2654</v>
      </c>
    </row>
    <row r="1024">
      <c r="A1024" s="139">
        <f>HYPERLINK("https://polkadot.subsquare.io/referenda/1016", 1016)</f>
        <v>1016</v>
      </c>
      <c r="B1024" s="140" t="s">
        <v>2971</v>
      </c>
      <c r="C1024" s="140" t="s">
        <v>2672</v>
      </c>
      <c r="D1024" s="141">
        <v>0.0</v>
      </c>
      <c r="E1024" s="142">
        <v>0.0</v>
      </c>
      <c r="F1024" s="140" t="s">
        <v>2678</v>
      </c>
      <c r="G1024" s="143">
        <v>0.0</v>
      </c>
      <c r="H1024" s="143">
        <v>3.4355758659686185E7</v>
      </c>
      <c r="I1024" s="144">
        <v>45492.0</v>
      </c>
      <c r="J1024" s="144">
        <v>45520.0</v>
      </c>
      <c r="K1024" s="145">
        <v>0.0</v>
      </c>
      <c r="L1024" s="114"/>
      <c r="M1024" s="114"/>
      <c r="N1024" s="108"/>
      <c r="O1024" s="108"/>
      <c r="P1024" s="108"/>
      <c r="Q1024" s="108"/>
      <c r="R1024" s="108" t="str">
        <f t="shared" si="1"/>
        <v>2024</v>
      </c>
      <c r="S1024" s="110">
        <f t="shared" si="2"/>
        <v>8</v>
      </c>
      <c r="T1024" s="108" t="str">
        <f t="shared" si="3"/>
        <v>2024-Q3</v>
      </c>
      <c r="U1024" s="108" t="str">
        <f t="shared" si="4"/>
        <v>2024-08</v>
      </c>
      <c r="V1024" s="112" t="str">
        <f t="shared" si="5"/>
        <v>2024-H2</v>
      </c>
      <c r="W1024" s="156" t="s">
        <v>2654</v>
      </c>
    </row>
    <row r="1025">
      <c r="A1025" s="146">
        <f>HYPERLINK("https://polkadot.subsquare.io/referenda/1017", 1017)</f>
        <v>1017</v>
      </c>
      <c r="B1025" s="147" t="s">
        <v>3255</v>
      </c>
      <c r="C1025" s="147" t="s">
        <v>2691</v>
      </c>
      <c r="D1025" s="148">
        <v>0.0</v>
      </c>
      <c r="E1025" s="149">
        <v>0.0</v>
      </c>
      <c r="F1025" s="147" t="s">
        <v>2891</v>
      </c>
      <c r="G1025" s="150">
        <v>1268.5</v>
      </c>
      <c r="H1025" s="150">
        <v>2.0967789327900674E7</v>
      </c>
      <c r="I1025" s="151">
        <v>45492.0</v>
      </c>
      <c r="J1025" s="151">
        <v>45506.0</v>
      </c>
      <c r="K1025" s="152">
        <v>0.0</v>
      </c>
      <c r="L1025" s="117"/>
      <c r="M1025" s="117"/>
      <c r="N1025" s="153"/>
      <c r="O1025" s="153"/>
      <c r="P1025" s="153"/>
      <c r="Q1025" s="153"/>
      <c r="R1025" s="153" t="str">
        <f t="shared" si="1"/>
        <v>2024</v>
      </c>
      <c r="S1025" s="154">
        <f t="shared" si="2"/>
        <v>8</v>
      </c>
      <c r="T1025" s="153" t="str">
        <f t="shared" si="3"/>
        <v>2024-Q3</v>
      </c>
      <c r="U1025" s="153" t="str">
        <f t="shared" si="4"/>
        <v>2024-08</v>
      </c>
      <c r="V1025" s="155" t="str">
        <f t="shared" si="5"/>
        <v>2024-H2</v>
      </c>
      <c r="W1025" s="155"/>
    </row>
    <row r="1026">
      <c r="A1026" s="139">
        <f>HYPERLINK("https://polkadot.subsquare.io/referenda/1018", 1018)</f>
        <v>1018</v>
      </c>
      <c r="B1026" s="140" t="s">
        <v>3256</v>
      </c>
      <c r="C1026" s="140" t="s">
        <v>2691</v>
      </c>
      <c r="D1026" s="141">
        <v>0.0</v>
      </c>
      <c r="E1026" s="142">
        <v>0.0</v>
      </c>
      <c r="F1026" s="140" t="s">
        <v>2891</v>
      </c>
      <c r="G1026" s="143">
        <v>0.0</v>
      </c>
      <c r="H1026" s="143">
        <v>3037648.1970005576</v>
      </c>
      <c r="I1026" s="144">
        <v>45492.0</v>
      </c>
      <c r="J1026" s="144">
        <v>45506.0</v>
      </c>
      <c r="K1026" s="145">
        <v>0.0</v>
      </c>
      <c r="L1026" s="114"/>
      <c r="M1026" s="114"/>
      <c r="N1026" s="108"/>
      <c r="O1026" s="108"/>
      <c r="P1026" s="108"/>
      <c r="Q1026" s="108"/>
      <c r="R1026" s="108" t="str">
        <f t="shared" si="1"/>
        <v>2024</v>
      </c>
      <c r="S1026" s="110">
        <f t="shared" si="2"/>
        <v>8</v>
      </c>
      <c r="T1026" s="108" t="str">
        <f t="shared" si="3"/>
        <v>2024-Q3</v>
      </c>
      <c r="U1026" s="108" t="str">
        <f t="shared" si="4"/>
        <v>2024-08</v>
      </c>
      <c r="V1026" s="112" t="str">
        <f t="shared" si="5"/>
        <v>2024-H2</v>
      </c>
      <c r="W1026" s="156" t="s">
        <v>2654</v>
      </c>
    </row>
    <row r="1027">
      <c r="A1027" s="146">
        <f>HYPERLINK("https://polkadot.subsquare.io/referenda/1019", 1019)</f>
        <v>1019</v>
      </c>
      <c r="B1027" s="147" t="s">
        <v>568</v>
      </c>
      <c r="C1027" s="147" t="s">
        <v>2681</v>
      </c>
      <c r="D1027" s="148">
        <v>500.0</v>
      </c>
      <c r="E1027" s="149">
        <v>3053.5645484924316</v>
      </c>
      <c r="F1027" s="147" t="s">
        <v>2699</v>
      </c>
      <c r="G1027" s="150">
        <v>1.5898960173307216E7</v>
      </c>
      <c r="H1027" s="150">
        <v>1.0013145593903597E7</v>
      </c>
      <c r="I1027" s="151">
        <v>45492.0</v>
      </c>
      <c r="J1027" s="151">
        <v>45497.0</v>
      </c>
      <c r="K1027" s="152">
        <v>2915.541887283325</v>
      </c>
      <c r="L1027" s="157" t="s">
        <v>84</v>
      </c>
      <c r="M1027" s="157" t="s">
        <v>148</v>
      </c>
      <c r="N1027" s="153"/>
      <c r="O1027" s="153"/>
      <c r="P1027" s="153"/>
      <c r="Q1027" s="153"/>
      <c r="R1027" s="153" t="str">
        <f t="shared" si="1"/>
        <v>2024</v>
      </c>
      <c r="S1027" s="154">
        <f t="shared" si="2"/>
        <v>7</v>
      </c>
      <c r="T1027" s="153" t="str">
        <f t="shared" si="3"/>
        <v>2024-Q3</v>
      </c>
      <c r="U1027" s="153" t="str">
        <f t="shared" si="4"/>
        <v>2024-07</v>
      </c>
      <c r="V1027" s="155" t="str">
        <f t="shared" si="5"/>
        <v>2024-H2</v>
      </c>
      <c r="W1027" s="155"/>
    </row>
    <row r="1028">
      <c r="A1028" s="139">
        <f>HYPERLINK("https://polkadot.subsquare.io/referenda/1020", 1020)</f>
        <v>1020</v>
      </c>
      <c r="B1028" s="140" t="s">
        <v>3257</v>
      </c>
      <c r="C1028" s="140" t="s">
        <v>2691</v>
      </c>
      <c r="D1028" s="141">
        <v>0.0</v>
      </c>
      <c r="E1028" s="142">
        <v>0.0</v>
      </c>
      <c r="F1028" s="140" t="s">
        <v>2891</v>
      </c>
      <c r="G1028" s="143">
        <v>5930.0</v>
      </c>
      <c r="H1028" s="143">
        <v>2.1083345427900676E7</v>
      </c>
      <c r="I1028" s="144">
        <v>45492.0</v>
      </c>
      <c r="J1028" s="144">
        <v>45506.0</v>
      </c>
      <c r="K1028" s="145">
        <v>0.0</v>
      </c>
      <c r="L1028" s="114"/>
      <c r="M1028" s="114"/>
      <c r="N1028" s="108"/>
      <c r="O1028" s="108"/>
      <c r="P1028" s="108"/>
      <c r="Q1028" s="108"/>
      <c r="R1028" s="108" t="str">
        <f t="shared" si="1"/>
        <v>2024</v>
      </c>
      <c r="S1028" s="110">
        <f t="shared" si="2"/>
        <v>8</v>
      </c>
      <c r="T1028" s="108" t="str">
        <f t="shared" si="3"/>
        <v>2024-Q3</v>
      </c>
      <c r="U1028" s="108" t="str">
        <f t="shared" si="4"/>
        <v>2024-08</v>
      </c>
      <c r="V1028" s="112" t="str">
        <f t="shared" si="5"/>
        <v>2024-H2</v>
      </c>
      <c r="W1028" s="112"/>
    </row>
    <row r="1029">
      <c r="A1029" s="146">
        <f>HYPERLINK("https://polkadot.subsquare.io/referenda/1021", 1021)</f>
        <v>1021</v>
      </c>
      <c r="B1029" s="147" t="s">
        <v>186</v>
      </c>
      <c r="C1029" s="147" t="s">
        <v>2681</v>
      </c>
      <c r="D1029" s="148">
        <v>80.0</v>
      </c>
      <c r="E1029" s="149">
        <v>488.57032775878906</v>
      </c>
      <c r="F1029" s="147" t="s">
        <v>186</v>
      </c>
      <c r="G1029" s="150">
        <v>1.6210102142908735E7</v>
      </c>
      <c r="H1029" s="150">
        <v>16183.0</v>
      </c>
      <c r="I1029" s="151">
        <v>45493.0</v>
      </c>
      <c r="J1029" s="151">
        <v>45496.0</v>
      </c>
      <c r="K1029" s="152">
        <v>460.31993865966797</v>
      </c>
      <c r="L1029" s="117" t="s">
        <v>81</v>
      </c>
      <c r="M1029" s="117" t="s">
        <v>185</v>
      </c>
      <c r="N1029" s="153"/>
      <c r="O1029" s="153"/>
      <c r="P1029" s="153"/>
      <c r="Q1029" s="153"/>
      <c r="R1029" s="153" t="str">
        <f t="shared" si="1"/>
        <v>2024</v>
      </c>
      <c r="S1029" s="154">
        <f t="shared" si="2"/>
        <v>7</v>
      </c>
      <c r="T1029" s="153" t="str">
        <f t="shared" si="3"/>
        <v>2024-Q3</v>
      </c>
      <c r="U1029" s="153" t="str">
        <f t="shared" si="4"/>
        <v>2024-07</v>
      </c>
      <c r="V1029" s="155" t="str">
        <f t="shared" si="5"/>
        <v>2024-H2</v>
      </c>
      <c r="W1029" s="155"/>
    </row>
    <row r="1030">
      <c r="A1030" s="139">
        <f>HYPERLINK("https://polkadot.subsquare.io/referenda/1022", 1022)</f>
        <v>1022</v>
      </c>
      <c r="B1030" s="140" t="s">
        <v>3258</v>
      </c>
      <c r="C1030" s="140" t="s">
        <v>2672</v>
      </c>
      <c r="D1030" s="141">
        <v>1.0E-10</v>
      </c>
      <c r="E1030" s="142">
        <v>5.918869972229004E-10</v>
      </c>
      <c r="F1030" s="140" t="s">
        <v>186</v>
      </c>
      <c r="G1030" s="143">
        <v>4295337.041259702</v>
      </c>
      <c r="H1030" s="143">
        <v>2.3342658834099025E7</v>
      </c>
      <c r="I1030" s="144">
        <v>45493.0</v>
      </c>
      <c r="J1030" s="144">
        <v>45500.0</v>
      </c>
      <c r="K1030" s="145">
        <v>5.522171974182129E-10</v>
      </c>
      <c r="L1030" s="114"/>
      <c r="M1030" s="114"/>
      <c r="N1030" s="108"/>
      <c r="O1030" s="108"/>
      <c r="P1030" s="108"/>
      <c r="Q1030" s="108"/>
      <c r="R1030" s="108" t="str">
        <f t="shared" si="1"/>
        <v>2024</v>
      </c>
      <c r="S1030" s="110">
        <f t="shared" si="2"/>
        <v>7</v>
      </c>
      <c r="T1030" s="108" t="str">
        <f t="shared" si="3"/>
        <v>2024-Q3</v>
      </c>
      <c r="U1030" s="108" t="str">
        <f t="shared" si="4"/>
        <v>2024-07</v>
      </c>
      <c r="V1030" s="112" t="str">
        <f t="shared" si="5"/>
        <v>2024-H2</v>
      </c>
      <c r="W1030" s="112"/>
    </row>
    <row r="1031">
      <c r="A1031" s="146">
        <f>HYPERLINK("https://polkadot.subsquare.io/referenda/1023", 1023)</f>
        <v>1023</v>
      </c>
      <c r="B1031" s="147" t="s">
        <v>3259</v>
      </c>
      <c r="C1031" s="147" t="s">
        <v>2672</v>
      </c>
      <c r="D1031" s="148">
        <v>3950.0</v>
      </c>
      <c r="E1031" s="149">
        <v>23379.536390304565</v>
      </c>
      <c r="F1031" s="147" t="s">
        <v>2678</v>
      </c>
      <c r="G1031" s="150">
        <v>11.1</v>
      </c>
      <c r="H1031" s="150">
        <v>5.6843668107027516E7</v>
      </c>
      <c r="I1031" s="151">
        <v>45493.0</v>
      </c>
      <c r="J1031" s="151">
        <v>45521.0</v>
      </c>
      <c r="K1031" s="152">
        <v>17908.060336112976</v>
      </c>
      <c r="L1031" s="117"/>
      <c r="M1031" s="117"/>
      <c r="N1031" s="153"/>
      <c r="O1031" s="153"/>
      <c r="P1031" s="153"/>
      <c r="Q1031" s="153"/>
      <c r="R1031" s="153" t="str">
        <f t="shared" si="1"/>
        <v>2024</v>
      </c>
      <c r="S1031" s="154">
        <f t="shared" si="2"/>
        <v>8</v>
      </c>
      <c r="T1031" s="153" t="str">
        <f t="shared" si="3"/>
        <v>2024-Q3</v>
      </c>
      <c r="U1031" s="153" t="str">
        <f t="shared" si="4"/>
        <v>2024-08</v>
      </c>
      <c r="V1031" s="155" t="str">
        <f t="shared" si="5"/>
        <v>2024-H2</v>
      </c>
      <c r="W1031" s="155"/>
    </row>
    <row r="1032">
      <c r="A1032" s="139">
        <f>HYPERLINK("https://polkadot.subsquare.io/referenda/1024", 1024)</f>
        <v>1024</v>
      </c>
      <c r="B1032" s="140" t="s">
        <v>3260</v>
      </c>
      <c r="C1032" s="140" t="s">
        <v>2672</v>
      </c>
      <c r="D1032" s="141">
        <v>19000.0</v>
      </c>
      <c r="E1032" s="142">
        <v>112458.52947235107</v>
      </c>
      <c r="F1032" s="140" t="s">
        <v>2683</v>
      </c>
      <c r="G1032" s="143">
        <v>3.751909734940234E7</v>
      </c>
      <c r="H1032" s="143">
        <v>5.6663366704520874E7</v>
      </c>
      <c r="I1032" s="144">
        <v>45494.0</v>
      </c>
      <c r="J1032" s="144">
        <v>45522.0</v>
      </c>
      <c r="K1032" s="145">
        <v>88726.48620605469</v>
      </c>
      <c r="L1032" s="114"/>
      <c r="M1032" s="114"/>
      <c r="N1032" s="108"/>
      <c r="O1032" s="108"/>
      <c r="P1032" s="108"/>
      <c r="Q1032" s="108"/>
      <c r="R1032" s="108" t="str">
        <f t="shared" si="1"/>
        <v>2024</v>
      </c>
      <c r="S1032" s="110">
        <f t="shared" si="2"/>
        <v>8</v>
      </c>
      <c r="T1032" s="108" t="str">
        <f t="shared" si="3"/>
        <v>2024-Q3</v>
      </c>
      <c r="U1032" s="108" t="str">
        <f t="shared" si="4"/>
        <v>2024-08</v>
      </c>
      <c r="V1032" s="112" t="str">
        <f t="shared" si="5"/>
        <v>2024-H2</v>
      </c>
      <c r="W1032" s="112"/>
    </row>
    <row r="1033">
      <c r="A1033" s="146">
        <f>HYPERLINK("https://polkadot.subsquare.io/referenda/1025", 1025)</f>
        <v>1025</v>
      </c>
      <c r="B1033" s="147" t="s">
        <v>569</v>
      </c>
      <c r="C1033" s="147" t="s">
        <v>2681</v>
      </c>
      <c r="D1033" s="148">
        <v>34.792381103747694</v>
      </c>
      <c r="E1033" s="149">
        <v>200.00000000000003</v>
      </c>
      <c r="F1033" s="147" t="s">
        <v>186</v>
      </c>
      <c r="G1033" s="150">
        <v>9353907.860771323</v>
      </c>
      <c r="H1033" s="150">
        <v>0.0</v>
      </c>
      <c r="I1033" s="151">
        <v>45494.0</v>
      </c>
      <c r="J1033" s="151">
        <v>45498.0</v>
      </c>
      <c r="K1033" s="152">
        <v>199.06203420140145</v>
      </c>
      <c r="L1033" s="157" t="s">
        <v>85</v>
      </c>
      <c r="M1033" s="157" t="s">
        <v>148</v>
      </c>
      <c r="N1033" s="153"/>
      <c r="O1033" s="153"/>
      <c r="P1033" s="153"/>
      <c r="Q1033" s="153"/>
      <c r="R1033" s="153" t="str">
        <f t="shared" si="1"/>
        <v>2024</v>
      </c>
      <c r="S1033" s="154">
        <f t="shared" si="2"/>
        <v>7</v>
      </c>
      <c r="T1033" s="153" t="str">
        <f t="shared" si="3"/>
        <v>2024-Q3</v>
      </c>
      <c r="U1033" s="153" t="str">
        <f t="shared" si="4"/>
        <v>2024-07</v>
      </c>
      <c r="V1033" s="155" t="str">
        <f t="shared" si="5"/>
        <v>2024-H2</v>
      </c>
      <c r="W1033" s="155"/>
    </row>
    <row r="1034">
      <c r="A1034" s="139">
        <f>HYPERLINK("https://polkadot.subsquare.io/referenda/1026", 1026)</f>
        <v>1026</v>
      </c>
      <c r="B1034" s="140" t="s">
        <v>3261</v>
      </c>
      <c r="C1034" s="140" t="s">
        <v>2681</v>
      </c>
      <c r="D1034" s="141">
        <v>0.0</v>
      </c>
      <c r="E1034" s="142">
        <v>0.0</v>
      </c>
      <c r="F1034" s="140" t="s">
        <v>2696</v>
      </c>
      <c r="G1034" s="143">
        <v>1.2087105943842551E8</v>
      </c>
      <c r="H1034" s="143">
        <v>2900428.017457536</v>
      </c>
      <c r="I1034" s="144">
        <v>45495.0</v>
      </c>
      <c r="J1034" s="144">
        <v>45529.0</v>
      </c>
      <c r="K1034" s="145">
        <v>0.0</v>
      </c>
      <c r="L1034" s="114"/>
      <c r="M1034" s="114"/>
      <c r="N1034" s="108"/>
      <c r="O1034" s="108"/>
      <c r="P1034" s="108"/>
      <c r="Q1034" s="108"/>
      <c r="R1034" s="108" t="str">
        <f t="shared" si="1"/>
        <v>2024</v>
      </c>
      <c r="S1034" s="110">
        <f t="shared" si="2"/>
        <v>8</v>
      </c>
      <c r="T1034" s="108" t="str">
        <f t="shared" si="3"/>
        <v>2024-Q3</v>
      </c>
      <c r="U1034" s="108" t="str">
        <f t="shared" si="4"/>
        <v>2024-08</v>
      </c>
      <c r="V1034" s="112" t="str">
        <f t="shared" si="5"/>
        <v>2024-H2</v>
      </c>
      <c r="W1034" s="112"/>
    </row>
    <row r="1035">
      <c r="A1035" s="146">
        <f>HYPERLINK("https://polkadot.subsquare.io/referenda/1027", 1027)</f>
        <v>1027</v>
      </c>
      <c r="B1035" s="147" t="s">
        <v>3262</v>
      </c>
      <c r="C1035" s="147" t="s">
        <v>2672</v>
      </c>
      <c r="D1035" s="148">
        <v>0.0</v>
      </c>
      <c r="E1035" s="149">
        <v>0.0</v>
      </c>
      <c r="F1035" s="147" t="s">
        <v>186</v>
      </c>
      <c r="G1035" s="150">
        <v>0.0</v>
      </c>
      <c r="H1035" s="150">
        <v>3.414248755660847E7</v>
      </c>
      <c r="I1035" s="151">
        <v>45495.0</v>
      </c>
      <c r="J1035" s="151">
        <v>45502.0</v>
      </c>
      <c r="K1035" s="152">
        <v>0.0</v>
      </c>
      <c r="L1035" s="117"/>
      <c r="M1035" s="117"/>
      <c r="N1035" s="153"/>
      <c r="O1035" s="153"/>
      <c r="P1035" s="153"/>
      <c r="Q1035" s="153"/>
      <c r="R1035" s="153" t="str">
        <f t="shared" si="1"/>
        <v>2024</v>
      </c>
      <c r="S1035" s="154">
        <f t="shared" si="2"/>
        <v>7</v>
      </c>
      <c r="T1035" s="153" t="str">
        <f t="shared" si="3"/>
        <v>2024-Q3</v>
      </c>
      <c r="U1035" s="153" t="str">
        <f t="shared" si="4"/>
        <v>2024-07</v>
      </c>
      <c r="V1035" s="155" t="str">
        <f t="shared" si="5"/>
        <v>2024-H2</v>
      </c>
      <c r="W1035" s="158" t="s">
        <v>2654</v>
      </c>
    </row>
    <row r="1036">
      <c r="A1036" s="139">
        <f>HYPERLINK("https://polkadot.subsquare.io/referenda/1028", 1028)</f>
        <v>1028</v>
      </c>
      <c r="B1036" s="140" t="s">
        <v>3263</v>
      </c>
      <c r="C1036" s="140" t="s">
        <v>2775</v>
      </c>
      <c r="D1036" s="141">
        <v>0.0</v>
      </c>
      <c r="E1036" s="142">
        <v>0.0</v>
      </c>
      <c r="F1036" s="140" t="s">
        <v>3053</v>
      </c>
      <c r="G1036" s="143">
        <v>5.301870255827736E7</v>
      </c>
      <c r="H1036" s="143">
        <v>2.899138676083084E7</v>
      </c>
      <c r="I1036" s="144">
        <v>45495.0</v>
      </c>
      <c r="J1036" s="144">
        <v>45532.0</v>
      </c>
      <c r="K1036" s="145">
        <v>0.0</v>
      </c>
      <c r="L1036" s="114"/>
      <c r="M1036" s="114"/>
      <c r="N1036" s="108"/>
      <c r="O1036" s="108"/>
      <c r="P1036" s="108"/>
      <c r="Q1036" s="108"/>
      <c r="R1036" s="108" t="str">
        <f t="shared" si="1"/>
        <v>2024</v>
      </c>
      <c r="S1036" s="110">
        <f t="shared" si="2"/>
        <v>8</v>
      </c>
      <c r="T1036" s="108" t="str">
        <f t="shared" si="3"/>
        <v>2024-Q3</v>
      </c>
      <c r="U1036" s="108" t="str">
        <f t="shared" si="4"/>
        <v>2024-08</v>
      </c>
      <c r="V1036" s="112" t="str">
        <f t="shared" si="5"/>
        <v>2024-H2</v>
      </c>
      <c r="W1036" s="112"/>
    </row>
    <row r="1037">
      <c r="A1037" s="146">
        <f>HYPERLINK("https://polkadot.subsquare.io/referenda/1029", 1029)</f>
        <v>1029</v>
      </c>
      <c r="B1037" s="147" t="s">
        <v>3264</v>
      </c>
      <c r="C1037" s="147" t="s">
        <v>2672</v>
      </c>
      <c r="D1037" s="148">
        <v>162813.42</v>
      </c>
      <c r="E1037" s="149">
        <v>936828.2938421345</v>
      </c>
      <c r="F1037" s="147" t="s">
        <v>2676</v>
      </c>
      <c r="G1037" s="150">
        <v>4.794423852298371E7</v>
      </c>
      <c r="H1037" s="150">
        <v>9.19030994241154E7</v>
      </c>
      <c r="I1037" s="151">
        <v>45495.0</v>
      </c>
      <c r="J1037" s="151">
        <v>45524.0</v>
      </c>
      <c r="K1037" s="152">
        <v>764195.8477973271</v>
      </c>
      <c r="L1037" s="117"/>
      <c r="M1037" s="117"/>
      <c r="N1037" s="153"/>
      <c r="O1037" s="153"/>
      <c r="P1037" s="153"/>
      <c r="Q1037" s="153"/>
      <c r="R1037" s="153" t="str">
        <f t="shared" si="1"/>
        <v>2024</v>
      </c>
      <c r="S1037" s="154">
        <f t="shared" si="2"/>
        <v>8</v>
      </c>
      <c r="T1037" s="153" t="str">
        <f t="shared" si="3"/>
        <v>2024-Q3</v>
      </c>
      <c r="U1037" s="153" t="str">
        <f t="shared" si="4"/>
        <v>2024-08</v>
      </c>
      <c r="V1037" s="155" t="str">
        <f t="shared" si="5"/>
        <v>2024-H2</v>
      </c>
      <c r="W1037" s="155"/>
    </row>
    <row r="1038">
      <c r="A1038" s="139">
        <f>HYPERLINK("https://polkadot.subsquare.io/referenda/1030", 1030)</f>
        <v>1030</v>
      </c>
      <c r="B1038" s="140" t="s">
        <v>3265</v>
      </c>
      <c r="C1038" s="140" t="s">
        <v>2672</v>
      </c>
      <c r="D1038" s="141">
        <v>12500.0</v>
      </c>
      <c r="E1038" s="142">
        <v>71924.99041557312</v>
      </c>
      <c r="F1038" s="140" t="s">
        <v>2683</v>
      </c>
      <c r="G1038" s="143">
        <v>3.523737657779649E7</v>
      </c>
      <c r="H1038" s="143">
        <v>3.5677251953819685E7</v>
      </c>
      <c r="I1038" s="144">
        <v>45495.0</v>
      </c>
      <c r="J1038" s="144">
        <v>45524.0</v>
      </c>
      <c r="K1038" s="145">
        <v>58671.13471031189</v>
      </c>
      <c r="L1038" s="114"/>
      <c r="M1038" s="114"/>
      <c r="N1038" s="108"/>
      <c r="O1038" s="108"/>
      <c r="P1038" s="108"/>
      <c r="Q1038" s="108"/>
      <c r="R1038" s="108" t="str">
        <f t="shared" si="1"/>
        <v>2024</v>
      </c>
      <c r="S1038" s="110">
        <f t="shared" si="2"/>
        <v>8</v>
      </c>
      <c r="T1038" s="108" t="str">
        <f t="shared" si="3"/>
        <v>2024-Q3</v>
      </c>
      <c r="U1038" s="108" t="str">
        <f t="shared" si="4"/>
        <v>2024-08</v>
      </c>
      <c r="V1038" s="112" t="str">
        <f t="shared" si="5"/>
        <v>2024-H2</v>
      </c>
      <c r="W1038" s="112"/>
    </row>
    <row r="1039">
      <c r="A1039" s="146">
        <f>HYPERLINK("https://polkadot.subsquare.io/referenda/1031", 1031)</f>
        <v>1031</v>
      </c>
      <c r="B1039" s="147" t="s">
        <v>186</v>
      </c>
      <c r="C1039" s="147" t="s">
        <v>2681</v>
      </c>
      <c r="D1039" s="148">
        <v>80.0</v>
      </c>
      <c r="E1039" s="149">
        <v>460.31993865966797</v>
      </c>
      <c r="F1039" s="147" t="s">
        <v>186</v>
      </c>
      <c r="G1039" s="150">
        <v>1.6146934306015544E7</v>
      </c>
      <c r="H1039" s="150">
        <v>5005.0</v>
      </c>
      <c r="I1039" s="151">
        <v>45496.0</v>
      </c>
      <c r="J1039" s="151">
        <v>45498.0</v>
      </c>
      <c r="K1039" s="152">
        <v>457.7140808105469</v>
      </c>
      <c r="L1039" s="117" t="s">
        <v>81</v>
      </c>
      <c r="M1039" s="117" t="s">
        <v>185</v>
      </c>
      <c r="N1039" s="153"/>
      <c r="O1039" s="153"/>
      <c r="P1039" s="153"/>
      <c r="Q1039" s="153"/>
      <c r="R1039" s="153" t="str">
        <f t="shared" si="1"/>
        <v>2024</v>
      </c>
      <c r="S1039" s="154">
        <f t="shared" si="2"/>
        <v>7</v>
      </c>
      <c r="T1039" s="153" t="str">
        <f t="shared" si="3"/>
        <v>2024-Q3</v>
      </c>
      <c r="U1039" s="153" t="str">
        <f t="shared" si="4"/>
        <v>2024-07</v>
      </c>
      <c r="V1039" s="155" t="str">
        <f t="shared" si="5"/>
        <v>2024-H2</v>
      </c>
      <c r="W1039" s="155"/>
    </row>
    <row r="1040">
      <c r="A1040" s="139">
        <f>HYPERLINK("https://polkadot.subsquare.io/referenda/1032", 1032)</f>
        <v>1032</v>
      </c>
      <c r="B1040" s="140" t="s">
        <v>3266</v>
      </c>
      <c r="C1040" s="140" t="s">
        <v>2681</v>
      </c>
      <c r="D1040" s="141">
        <v>0.0</v>
      </c>
      <c r="E1040" s="142">
        <v>0.0</v>
      </c>
      <c r="F1040" s="140" t="s">
        <v>2683</v>
      </c>
      <c r="G1040" s="143">
        <v>4.736488322219491E7</v>
      </c>
      <c r="H1040" s="143">
        <v>3096529.444589304</v>
      </c>
      <c r="I1040" s="144">
        <v>45496.0</v>
      </c>
      <c r="J1040" s="144">
        <v>45518.0</v>
      </c>
      <c r="K1040" s="145">
        <v>0.0</v>
      </c>
      <c r="L1040" s="114"/>
      <c r="M1040" s="114"/>
      <c r="N1040" s="108"/>
      <c r="O1040" s="108"/>
      <c r="P1040" s="108"/>
      <c r="Q1040" s="108"/>
      <c r="R1040" s="108" t="str">
        <f t="shared" si="1"/>
        <v>2024</v>
      </c>
      <c r="S1040" s="110">
        <f t="shared" si="2"/>
        <v>8</v>
      </c>
      <c r="T1040" s="108" t="str">
        <f t="shared" si="3"/>
        <v>2024-Q3</v>
      </c>
      <c r="U1040" s="108" t="str">
        <f t="shared" si="4"/>
        <v>2024-08</v>
      </c>
      <c r="V1040" s="112" t="str">
        <f t="shared" si="5"/>
        <v>2024-H2</v>
      </c>
      <c r="W1040" s="112"/>
    </row>
    <row r="1041">
      <c r="A1041" s="146">
        <f>HYPERLINK("https://polkadot.subsquare.io/referenda/1033", 1033)</f>
        <v>1033</v>
      </c>
      <c r="B1041" s="147" t="s">
        <v>3267</v>
      </c>
      <c r="C1041" s="147" t="s">
        <v>2681</v>
      </c>
      <c r="D1041" s="148">
        <v>0.0</v>
      </c>
      <c r="E1041" s="149">
        <v>0.0</v>
      </c>
      <c r="F1041" s="147" t="s">
        <v>2696</v>
      </c>
      <c r="G1041" s="150">
        <v>3.342422625274793E7</v>
      </c>
      <c r="H1041" s="150">
        <v>4977454.910556596</v>
      </c>
      <c r="I1041" s="151">
        <v>45496.0</v>
      </c>
      <c r="J1041" s="151">
        <v>45532.0</v>
      </c>
      <c r="K1041" s="152">
        <v>0.0</v>
      </c>
      <c r="L1041" s="117"/>
      <c r="M1041" s="117"/>
      <c r="N1041" s="153"/>
      <c r="O1041" s="153"/>
      <c r="P1041" s="153"/>
      <c r="Q1041" s="153"/>
      <c r="R1041" s="153" t="str">
        <f t="shared" si="1"/>
        <v>2024</v>
      </c>
      <c r="S1041" s="154">
        <f t="shared" si="2"/>
        <v>8</v>
      </c>
      <c r="T1041" s="153" t="str">
        <f t="shared" si="3"/>
        <v>2024-Q3</v>
      </c>
      <c r="U1041" s="153" t="str">
        <f t="shared" si="4"/>
        <v>2024-08</v>
      </c>
      <c r="V1041" s="155" t="str">
        <f t="shared" si="5"/>
        <v>2024-H2</v>
      </c>
      <c r="W1041" s="155"/>
    </row>
    <row r="1042">
      <c r="A1042" s="139">
        <f>HYPERLINK("https://polkadot.subsquare.io/referenda/1034", 1034)</f>
        <v>1034</v>
      </c>
      <c r="B1042" s="140" t="s">
        <v>3268</v>
      </c>
      <c r="C1042" s="140" t="s">
        <v>2672</v>
      </c>
      <c r="D1042" s="141">
        <v>0.0</v>
      </c>
      <c r="E1042" s="142">
        <v>0.0</v>
      </c>
      <c r="F1042" s="140" t="s">
        <v>186</v>
      </c>
      <c r="G1042" s="143">
        <v>4235012.669099883</v>
      </c>
      <c r="H1042" s="143">
        <v>1.7378840650662657E7</v>
      </c>
      <c r="I1042" s="144">
        <v>45497.0</v>
      </c>
      <c r="J1042" s="144">
        <v>45504.0</v>
      </c>
      <c r="K1042" s="145">
        <v>0.0</v>
      </c>
      <c r="L1042" s="114"/>
      <c r="M1042" s="114"/>
      <c r="N1042" s="108"/>
      <c r="O1042" s="108"/>
      <c r="P1042" s="108"/>
      <c r="Q1042" s="108"/>
      <c r="R1042" s="108" t="str">
        <f t="shared" si="1"/>
        <v>2024</v>
      </c>
      <c r="S1042" s="110">
        <f t="shared" si="2"/>
        <v>7</v>
      </c>
      <c r="T1042" s="108" t="str">
        <f t="shared" si="3"/>
        <v>2024-Q3</v>
      </c>
      <c r="U1042" s="108" t="str">
        <f t="shared" si="4"/>
        <v>2024-07</v>
      </c>
      <c r="V1042" s="112" t="str">
        <f t="shared" si="5"/>
        <v>2024-H2</v>
      </c>
      <c r="W1042" s="112"/>
    </row>
    <row r="1043">
      <c r="A1043" s="146">
        <f>HYPERLINK("https://polkadot.subsquare.io/referenda/1035", 1035)</f>
        <v>1035</v>
      </c>
      <c r="B1043" s="147" t="s">
        <v>570</v>
      </c>
      <c r="C1043" s="147" t="s">
        <v>2681</v>
      </c>
      <c r="D1043" s="148">
        <v>30981.0</v>
      </c>
      <c r="E1043" s="149">
        <v>180652.8064198494</v>
      </c>
      <c r="F1043" s="147" t="s">
        <v>2683</v>
      </c>
      <c r="G1043" s="150">
        <v>4.695526879164066E7</v>
      </c>
      <c r="H1043" s="150">
        <v>8268259.7</v>
      </c>
      <c r="I1043" s="151">
        <v>45497.0</v>
      </c>
      <c r="J1043" s="151">
        <v>45523.0</v>
      </c>
      <c r="K1043" s="152">
        <v>144675.54048156738</v>
      </c>
      <c r="L1043" s="117" t="s">
        <v>81</v>
      </c>
      <c r="M1043" s="117" t="s">
        <v>179</v>
      </c>
      <c r="N1043" s="153"/>
      <c r="O1043" s="153"/>
      <c r="P1043" s="153"/>
      <c r="Q1043" s="153"/>
      <c r="R1043" s="153" t="str">
        <f t="shared" si="1"/>
        <v>2024</v>
      </c>
      <c r="S1043" s="154">
        <f t="shared" si="2"/>
        <v>8</v>
      </c>
      <c r="T1043" s="153" t="str">
        <f t="shared" si="3"/>
        <v>2024-Q3</v>
      </c>
      <c r="U1043" s="153" t="str">
        <f t="shared" si="4"/>
        <v>2024-08</v>
      </c>
      <c r="V1043" s="155" t="str">
        <f t="shared" si="5"/>
        <v>2024-H2</v>
      </c>
      <c r="W1043" s="155"/>
    </row>
    <row r="1044">
      <c r="A1044" s="139">
        <f>HYPERLINK("https://polkadot.subsquare.io/referenda/1036", 1036)</f>
        <v>1036</v>
      </c>
      <c r="B1044" s="140" t="s">
        <v>3269</v>
      </c>
      <c r="C1044" s="140" t="s">
        <v>2691</v>
      </c>
      <c r="D1044" s="141">
        <v>4170.0</v>
      </c>
      <c r="E1044" s="142">
        <v>23858.346462249756</v>
      </c>
      <c r="F1044" s="140" t="s">
        <v>2678</v>
      </c>
      <c r="G1044" s="143">
        <v>0.0</v>
      </c>
      <c r="H1044" s="143">
        <v>1.6802770710943364E7</v>
      </c>
      <c r="I1044" s="144">
        <v>45499.0</v>
      </c>
      <c r="J1044" s="144">
        <v>45513.0</v>
      </c>
      <c r="K1044" s="145">
        <v>18749.66338634491</v>
      </c>
      <c r="L1044" s="114"/>
      <c r="M1044" s="114"/>
      <c r="N1044" s="108"/>
      <c r="O1044" s="108"/>
      <c r="P1044" s="108"/>
      <c r="Q1044" s="108"/>
      <c r="R1044" s="108" t="str">
        <f t="shared" si="1"/>
        <v>2024</v>
      </c>
      <c r="S1044" s="110">
        <f t="shared" si="2"/>
        <v>8</v>
      </c>
      <c r="T1044" s="108" t="str">
        <f t="shared" si="3"/>
        <v>2024-Q3</v>
      </c>
      <c r="U1044" s="108" t="str">
        <f t="shared" si="4"/>
        <v>2024-08</v>
      </c>
      <c r="V1044" s="112" t="str">
        <f t="shared" si="5"/>
        <v>2024-H2</v>
      </c>
      <c r="W1044" s="112"/>
    </row>
    <row r="1045">
      <c r="A1045" s="146">
        <f>HYPERLINK("https://polkadot.subsquare.io/referenda/1037", 1037)</f>
        <v>1037</v>
      </c>
      <c r="B1045" s="147" t="s">
        <v>571</v>
      </c>
      <c r="C1045" s="147" t="s">
        <v>2681</v>
      </c>
      <c r="D1045" s="148">
        <v>9928.0</v>
      </c>
      <c r="E1045" s="149">
        <v>56133.5775680542</v>
      </c>
      <c r="F1045" s="147" t="s">
        <v>2678</v>
      </c>
      <c r="G1045" s="150">
        <v>4.2568815529078335E7</v>
      </c>
      <c r="H1045" s="150">
        <v>1.1924586890376067E7</v>
      </c>
      <c r="I1045" s="151">
        <v>45499.0</v>
      </c>
      <c r="J1045" s="151">
        <v>45516.0</v>
      </c>
      <c r="K1045" s="152">
        <v>43547.46657180786</v>
      </c>
      <c r="L1045" s="117" t="s">
        <v>137</v>
      </c>
      <c r="M1045" s="117" t="s">
        <v>138</v>
      </c>
      <c r="N1045" s="153"/>
      <c r="O1045" s="153"/>
      <c r="P1045" s="153"/>
      <c r="Q1045" s="153"/>
      <c r="R1045" s="153" t="str">
        <f t="shared" si="1"/>
        <v>2024</v>
      </c>
      <c r="S1045" s="154">
        <f t="shared" si="2"/>
        <v>8</v>
      </c>
      <c r="T1045" s="153" t="str">
        <f t="shared" si="3"/>
        <v>2024-Q3</v>
      </c>
      <c r="U1045" s="153" t="str">
        <f t="shared" si="4"/>
        <v>2024-08</v>
      </c>
      <c r="V1045" s="155" t="str">
        <f t="shared" si="5"/>
        <v>2024-H2</v>
      </c>
      <c r="W1045" s="155"/>
    </row>
    <row r="1046">
      <c r="A1046" s="139">
        <f>HYPERLINK("https://polkadot.subsquare.io/referenda/1038", 1038)</f>
        <v>1038</v>
      </c>
      <c r="B1046" s="140" t="s">
        <v>3270</v>
      </c>
      <c r="C1046" s="140" t="s">
        <v>2691</v>
      </c>
      <c r="D1046" s="141">
        <v>95000.0</v>
      </c>
      <c r="E1046" s="142">
        <v>537136.3687515259</v>
      </c>
      <c r="F1046" s="140" t="s">
        <v>2683</v>
      </c>
      <c r="G1046" s="143">
        <v>15115.0</v>
      </c>
      <c r="H1046" s="143">
        <v>3.068899757756223E7</v>
      </c>
      <c r="I1046" s="144">
        <v>45500.0</v>
      </c>
      <c r="J1046" s="144">
        <v>45514.0</v>
      </c>
      <c r="K1046" s="145">
        <v>435790.2669906616</v>
      </c>
      <c r="L1046" s="114"/>
      <c r="M1046" s="114"/>
      <c r="N1046" s="108"/>
      <c r="O1046" s="108"/>
      <c r="P1046" s="108"/>
      <c r="Q1046" s="108"/>
      <c r="R1046" s="108" t="str">
        <f t="shared" si="1"/>
        <v>2024</v>
      </c>
      <c r="S1046" s="110">
        <f t="shared" si="2"/>
        <v>8</v>
      </c>
      <c r="T1046" s="108" t="str">
        <f t="shared" si="3"/>
        <v>2024-Q3</v>
      </c>
      <c r="U1046" s="108" t="str">
        <f t="shared" si="4"/>
        <v>2024-08</v>
      </c>
      <c r="V1046" s="112" t="str">
        <f t="shared" si="5"/>
        <v>2024-H2</v>
      </c>
      <c r="W1046" s="112"/>
    </row>
    <row r="1047">
      <c r="A1047" s="146">
        <f>HYPERLINK("https://polkadot.subsquare.io/referenda/1039", 1039)</f>
        <v>1039</v>
      </c>
      <c r="B1047" s="147" t="s">
        <v>3271</v>
      </c>
      <c r="C1047" s="147" t="s">
        <v>2672</v>
      </c>
      <c r="D1047" s="148">
        <v>400000.0</v>
      </c>
      <c r="E1047" s="149">
        <v>2261626.8157958984</v>
      </c>
      <c r="F1047" s="147" t="s">
        <v>2676</v>
      </c>
      <c r="G1047" s="150">
        <v>1.4513679410218088E7</v>
      </c>
      <c r="H1047" s="150">
        <v>4.4508855179522246E7</v>
      </c>
      <c r="I1047" s="151">
        <v>45500.0</v>
      </c>
      <c r="J1047" s="151">
        <v>45528.0</v>
      </c>
      <c r="K1047" s="152">
        <v>1752346.8017578125</v>
      </c>
      <c r="L1047" s="117"/>
      <c r="M1047" s="117"/>
      <c r="N1047" s="153"/>
      <c r="O1047" s="153"/>
      <c r="P1047" s="153"/>
      <c r="Q1047" s="153"/>
      <c r="R1047" s="153" t="str">
        <f t="shared" si="1"/>
        <v>2024</v>
      </c>
      <c r="S1047" s="154">
        <f t="shared" si="2"/>
        <v>8</v>
      </c>
      <c r="T1047" s="153" t="str">
        <f t="shared" si="3"/>
        <v>2024-Q3</v>
      </c>
      <c r="U1047" s="153" t="str">
        <f t="shared" si="4"/>
        <v>2024-08</v>
      </c>
      <c r="V1047" s="155" t="str">
        <f t="shared" si="5"/>
        <v>2024-H2</v>
      </c>
      <c r="W1047" s="155"/>
    </row>
    <row r="1048">
      <c r="A1048" s="139">
        <f>HYPERLINK("https://polkadot.subsquare.io/referenda/1040", 1040)</f>
        <v>1040</v>
      </c>
      <c r="B1048" s="140" t="s">
        <v>3272</v>
      </c>
      <c r="C1048" s="140" t="s">
        <v>2672</v>
      </c>
      <c r="D1048" s="141">
        <v>28076.27283365398</v>
      </c>
      <c r="E1048" s="142">
        <v>151200.0</v>
      </c>
      <c r="F1048" s="140" t="s">
        <v>2683</v>
      </c>
      <c r="G1048" s="143">
        <v>1.135461772353888E7</v>
      </c>
      <c r="H1048" s="143">
        <v>2.592006677971009E7</v>
      </c>
      <c r="I1048" s="144">
        <v>45502.0</v>
      </c>
      <c r="J1048" s="144">
        <v>45530.0</v>
      </c>
      <c r="K1048" s="145">
        <v>119571.08431345326</v>
      </c>
      <c r="L1048" s="114"/>
      <c r="M1048" s="114"/>
      <c r="N1048" s="108"/>
      <c r="O1048" s="108"/>
      <c r="P1048" s="108"/>
      <c r="Q1048" s="108"/>
      <c r="R1048" s="108" t="str">
        <f t="shared" si="1"/>
        <v>2024</v>
      </c>
      <c r="S1048" s="110">
        <f t="shared" si="2"/>
        <v>8</v>
      </c>
      <c r="T1048" s="108" t="str">
        <f t="shared" si="3"/>
        <v>2024-Q3</v>
      </c>
      <c r="U1048" s="108" t="str">
        <f t="shared" si="4"/>
        <v>2024-08</v>
      </c>
      <c r="V1048" s="112" t="str">
        <f t="shared" si="5"/>
        <v>2024-H2</v>
      </c>
      <c r="W1048" s="112"/>
    </row>
    <row r="1049">
      <c r="A1049" s="146">
        <f>HYPERLINK("https://polkadot.subsquare.io/referenda/1041", 1041)</f>
        <v>1041</v>
      </c>
      <c r="B1049" s="147" t="s">
        <v>3273</v>
      </c>
      <c r="C1049" s="147" t="s">
        <v>2681</v>
      </c>
      <c r="D1049" s="148">
        <v>0.0</v>
      </c>
      <c r="E1049" s="149">
        <v>0.0</v>
      </c>
      <c r="F1049" s="147" t="s">
        <v>2891</v>
      </c>
      <c r="G1049" s="150">
        <v>4.0434183399439685E7</v>
      </c>
      <c r="H1049" s="150">
        <v>5020.0</v>
      </c>
      <c r="I1049" s="151">
        <v>45502.0</v>
      </c>
      <c r="J1049" s="151">
        <v>45514.0</v>
      </c>
      <c r="K1049" s="152">
        <v>0.0</v>
      </c>
      <c r="L1049" s="117"/>
      <c r="M1049" s="117"/>
      <c r="N1049" s="153"/>
      <c r="O1049" s="153"/>
      <c r="P1049" s="153"/>
      <c r="Q1049" s="153"/>
      <c r="R1049" s="153" t="str">
        <f t="shared" si="1"/>
        <v>2024</v>
      </c>
      <c r="S1049" s="154">
        <f t="shared" si="2"/>
        <v>8</v>
      </c>
      <c r="T1049" s="153" t="str">
        <f t="shared" si="3"/>
        <v>2024-Q3</v>
      </c>
      <c r="U1049" s="153" t="str">
        <f t="shared" si="4"/>
        <v>2024-08</v>
      </c>
      <c r="V1049" s="155" t="str">
        <f t="shared" si="5"/>
        <v>2024-H2</v>
      </c>
      <c r="W1049" s="155"/>
    </row>
    <row r="1050">
      <c r="A1050" s="139">
        <f>HYPERLINK("https://polkadot.subsquare.io/referenda/1042", 1042)</f>
        <v>1042</v>
      </c>
      <c r="B1050" s="140" t="s">
        <v>3274</v>
      </c>
      <c r="C1050" s="140" t="s">
        <v>2691</v>
      </c>
      <c r="D1050" s="141">
        <v>0.0</v>
      </c>
      <c r="E1050" s="142">
        <v>0.0</v>
      </c>
      <c r="F1050" s="140" t="s">
        <v>2687</v>
      </c>
      <c r="G1050" s="143">
        <v>902745.8605456332</v>
      </c>
      <c r="H1050" s="143">
        <v>3.2276219185111746E7</v>
      </c>
      <c r="I1050" s="144">
        <v>45503.0</v>
      </c>
      <c r="J1050" s="144">
        <v>45517.0</v>
      </c>
      <c r="K1050" s="145">
        <v>0.0</v>
      </c>
      <c r="L1050" s="114"/>
      <c r="M1050" s="114"/>
      <c r="N1050" s="108"/>
      <c r="O1050" s="108"/>
      <c r="P1050" s="108"/>
      <c r="Q1050" s="108"/>
      <c r="R1050" s="108" t="str">
        <f t="shared" si="1"/>
        <v>2024</v>
      </c>
      <c r="S1050" s="110">
        <f t="shared" si="2"/>
        <v>8</v>
      </c>
      <c r="T1050" s="108" t="str">
        <f t="shared" si="3"/>
        <v>2024-Q3</v>
      </c>
      <c r="U1050" s="108" t="str">
        <f t="shared" si="4"/>
        <v>2024-08</v>
      </c>
      <c r="V1050" s="112" t="str">
        <f t="shared" si="5"/>
        <v>2024-H2</v>
      </c>
      <c r="W1050" s="112"/>
    </row>
    <row r="1051">
      <c r="A1051" s="146">
        <f>HYPERLINK("https://polkadot.subsquare.io/referenda/1043", 1043)</f>
        <v>1043</v>
      </c>
      <c r="B1051" s="147" t="s">
        <v>3275</v>
      </c>
      <c r="C1051" s="147" t="s">
        <v>2672</v>
      </c>
      <c r="D1051" s="148">
        <v>54500.0</v>
      </c>
      <c r="E1051" s="149">
        <v>279159.9006652832</v>
      </c>
      <c r="F1051" s="147" t="s">
        <v>2683</v>
      </c>
      <c r="G1051" s="150">
        <v>1.6811915807091683E7</v>
      </c>
      <c r="H1051" s="150">
        <v>3.066796778464855E7</v>
      </c>
      <c r="I1051" s="151">
        <v>45503.0</v>
      </c>
      <c r="J1051" s="151">
        <v>45531.0</v>
      </c>
      <c r="K1051" s="152">
        <v>233177.47473716736</v>
      </c>
      <c r="L1051" s="117"/>
      <c r="M1051" s="117"/>
      <c r="N1051" s="153"/>
      <c r="O1051" s="153"/>
      <c r="P1051" s="153"/>
      <c r="Q1051" s="153"/>
      <c r="R1051" s="153" t="str">
        <f t="shared" si="1"/>
        <v>2024</v>
      </c>
      <c r="S1051" s="154">
        <f t="shared" si="2"/>
        <v>8</v>
      </c>
      <c r="T1051" s="153" t="str">
        <f t="shared" si="3"/>
        <v>2024-Q3</v>
      </c>
      <c r="U1051" s="153" t="str">
        <f t="shared" si="4"/>
        <v>2024-08</v>
      </c>
      <c r="V1051" s="155" t="str">
        <f t="shared" si="5"/>
        <v>2024-H2</v>
      </c>
      <c r="W1051" s="155"/>
    </row>
    <row r="1052">
      <c r="A1052" s="139">
        <f>HYPERLINK("https://polkadot.subsquare.io/referenda/1044", 1044)</f>
        <v>1044</v>
      </c>
      <c r="B1052" s="140" t="s">
        <v>572</v>
      </c>
      <c r="C1052" s="140" t="s">
        <v>2681</v>
      </c>
      <c r="D1052" s="141">
        <v>39.04572244804335</v>
      </c>
      <c r="E1052" s="142">
        <v>200.0</v>
      </c>
      <c r="F1052" s="140" t="s">
        <v>186</v>
      </c>
      <c r="G1052" s="143">
        <v>1.5141068634570908E7</v>
      </c>
      <c r="H1052" s="143">
        <v>1.457177966893674E7</v>
      </c>
      <c r="I1052" s="144">
        <v>45503.0</v>
      </c>
      <c r="J1052" s="144">
        <v>45510.0</v>
      </c>
      <c r="K1052" s="145">
        <v>186.9380765203455</v>
      </c>
      <c r="L1052" s="114" t="s">
        <v>82</v>
      </c>
      <c r="M1052" s="114" t="s">
        <v>213</v>
      </c>
      <c r="N1052" s="108"/>
      <c r="O1052" s="108"/>
      <c r="P1052" s="108"/>
      <c r="Q1052" s="108"/>
      <c r="R1052" s="108" t="str">
        <f t="shared" si="1"/>
        <v>2024</v>
      </c>
      <c r="S1052" s="110">
        <f t="shared" si="2"/>
        <v>8</v>
      </c>
      <c r="T1052" s="108" t="str">
        <f t="shared" si="3"/>
        <v>2024-Q3</v>
      </c>
      <c r="U1052" s="108" t="str">
        <f t="shared" si="4"/>
        <v>2024-08</v>
      </c>
      <c r="V1052" s="112" t="str">
        <f t="shared" si="5"/>
        <v>2024-H2</v>
      </c>
      <c r="W1052" s="112"/>
    </row>
    <row r="1053">
      <c r="A1053" s="146">
        <f>HYPERLINK("https://polkadot.subsquare.io/referenda/1045", 1045)</f>
        <v>1045</v>
      </c>
      <c r="B1053" s="147" t="s">
        <v>573</v>
      </c>
      <c r="C1053" s="147" t="s">
        <v>2681</v>
      </c>
      <c r="D1053" s="148">
        <v>43142.0</v>
      </c>
      <c r="E1053" s="149">
        <v>220981.95292663574</v>
      </c>
      <c r="F1053" s="147" t="s">
        <v>2683</v>
      </c>
      <c r="G1053" s="150">
        <v>2.4636932693886217E7</v>
      </c>
      <c r="H1053" s="150">
        <v>6223987.119099883</v>
      </c>
      <c r="I1053" s="151">
        <v>45504.0</v>
      </c>
      <c r="J1053" s="151">
        <v>45533.0</v>
      </c>
      <c r="K1053" s="152">
        <v>183719.5118408203</v>
      </c>
      <c r="L1053" s="117" t="s">
        <v>85</v>
      </c>
      <c r="M1053" s="117" t="s">
        <v>511</v>
      </c>
      <c r="N1053" s="153"/>
      <c r="O1053" s="153"/>
      <c r="P1053" s="153"/>
      <c r="Q1053" s="153"/>
      <c r="R1053" s="153" t="str">
        <f t="shared" si="1"/>
        <v>2024</v>
      </c>
      <c r="S1053" s="154">
        <f t="shared" si="2"/>
        <v>8</v>
      </c>
      <c r="T1053" s="153" t="str">
        <f t="shared" si="3"/>
        <v>2024-Q3</v>
      </c>
      <c r="U1053" s="153" t="str">
        <f t="shared" si="4"/>
        <v>2024-08</v>
      </c>
      <c r="V1053" s="155" t="str">
        <f t="shared" si="5"/>
        <v>2024-H2</v>
      </c>
      <c r="W1053" s="155"/>
    </row>
    <row r="1054">
      <c r="A1054" s="139">
        <f>HYPERLINK("https://polkadot.subsquare.io/referenda/1046", 1046)</f>
        <v>1046</v>
      </c>
      <c r="B1054" s="140" t="s">
        <v>3276</v>
      </c>
      <c r="C1054" s="140" t="s">
        <v>2672</v>
      </c>
      <c r="D1054" s="141">
        <v>550.0</v>
      </c>
      <c r="E1054" s="142">
        <v>2774.016237258911</v>
      </c>
      <c r="F1054" s="140" t="s">
        <v>2699</v>
      </c>
      <c r="G1054" s="143">
        <v>108150.3978087989</v>
      </c>
      <c r="H1054" s="143">
        <v>1.796949580837788E7</v>
      </c>
      <c r="I1054" s="144">
        <v>45504.0</v>
      </c>
      <c r="J1054" s="144">
        <v>45511.0</v>
      </c>
      <c r="K1054" s="145">
        <v>2615.839624404907</v>
      </c>
      <c r="L1054" s="114"/>
      <c r="M1054" s="114"/>
      <c r="N1054" s="108"/>
      <c r="O1054" s="108"/>
      <c r="P1054" s="108"/>
      <c r="Q1054" s="108"/>
      <c r="R1054" s="108" t="str">
        <f t="shared" si="1"/>
        <v>2024</v>
      </c>
      <c r="S1054" s="110">
        <f t="shared" si="2"/>
        <v>8</v>
      </c>
      <c r="T1054" s="108" t="str">
        <f t="shared" si="3"/>
        <v>2024-Q3</v>
      </c>
      <c r="U1054" s="108" t="str">
        <f t="shared" si="4"/>
        <v>2024-08</v>
      </c>
      <c r="V1054" s="112" t="str">
        <f t="shared" si="5"/>
        <v>2024-H2</v>
      </c>
      <c r="W1054" s="112"/>
    </row>
    <row r="1055">
      <c r="A1055" s="146">
        <f>HYPERLINK("https://polkadot.subsquare.io/referenda/1047", 1047)</f>
        <v>1047</v>
      </c>
      <c r="B1055" s="147" t="s">
        <v>3277</v>
      </c>
      <c r="C1055" s="147" t="s">
        <v>2672</v>
      </c>
      <c r="D1055" s="148">
        <v>0.0</v>
      </c>
      <c r="E1055" s="149">
        <v>0.0</v>
      </c>
      <c r="F1055" s="147" t="s">
        <v>186</v>
      </c>
      <c r="G1055" s="150">
        <v>314079.4264767482</v>
      </c>
      <c r="H1055" s="150">
        <v>1.5157732230042623E7</v>
      </c>
      <c r="I1055" s="151">
        <v>45504.0</v>
      </c>
      <c r="J1055" s="151">
        <v>45511.0</v>
      </c>
      <c r="K1055" s="152">
        <v>0.0</v>
      </c>
      <c r="L1055" s="117"/>
      <c r="M1055" s="117"/>
      <c r="N1055" s="153"/>
      <c r="O1055" s="153"/>
      <c r="P1055" s="153"/>
      <c r="Q1055" s="153"/>
      <c r="R1055" s="153" t="str">
        <f t="shared" si="1"/>
        <v>2024</v>
      </c>
      <c r="S1055" s="154">
        <f t="shared" si="2"/>
        <v>8</v>
      </c>
      <c r="T1055" s="153" t="str">
        <f t="shared" si="3"/>
        <v>2024-Q3</v>
      </c>
      <c r="U1055" s="153" t="str">
        <f t="shared" si="4"/>
        <v>2024-08</v>
      </c>
      <c r="V1055" s="155" t="str">
        <f t="shared" si="5"/>
        <v>2024-H2</v>
      </c>
      <c r="W1055" s="155"/>
    </row>
    <row r="1056">
      <c r="A1056" s="139">
        <f>HYPERLINK("https://polkadot.subsquare.io/referenda/1048", 1048)</f>
        <v>1048</v>
      </c>
      <c r="B1056" s="162"/>
      <c r="C1056" s="140" t="s">
        <v>2691</v>
      </c>
      <c r="D1056" s="141">
        <v>0.0</v>
      </c>
      <c r="E1056" s="142">
        <v>0.0</v>
      </c>
      <c r="F1056" s="140" t="s">
        <v>186</v>
      </c>
      <c r="G1056" s="143">
        <v>0.0</v>
      </c>
      <c r="H1056" s="143">
        <v>2.754797828497623E7</v>
      </c>
      <c r="I1056" s="144">
        <v>45505.0</v>
      </c>
      <c r="J1056" s="144">
        <v>45519.0</v>
      </c>
      <c r="K1056" s="145">
        <v>0.0</v>
      </c>
      <c r="L1056" s="114"/>
      <c r="M1056" s="114"/>
      <c r="N1056" s="108"/>
      <c r="O1056" s="108"/>
      <c r="P1056" s="108"/>
      <c r="Q1056" s="108"/>
      <c r="R1056" s="108" t="str">
        <f t="shared" si="1"/>
        <v>2024</v>
      </c>
      <c r="S1056" s="110">
        <f t="shared" si="2"/>
        <v>8</v>
      </c>
      <c r="T1056" s="108" t="str">
        <f t="shared" si="3"/>
        <v>2024-Q3</v>
      </c>
      <c r="U1056" s="108" t="str">
        <f t="shared" si="4"/>
        <v>2024-08</v>
      </c>
      <c r="V1056" s="112" t="str">
        <f t="shared" si="5"/>
        <v>2024-H2</v>
      </c>
      <c r="W1056" s="112"/>
    </row>
    <row r="1057">
      <c r="A1057" s="146">
        <f>HYPERLINK("https://polkadot.subsquare.io/referenda/1049", 1049)</f>
        <v>1049</v>
      </c>
      <c r="B1057" s="147" t="s">
        <v>3278</v>
      </c>
      <c r="C1057" s="147" t="s">
        <v>2672</v>
      </c>
      <c r="D1057" s="148">
        <v>0.0</v>
      </c>
      <c r="E1057" s="149">
        <v>0.0</v>
      </c>
      <c r="F1057" s="147" t="s">
        <v>3053</v>
      </c>
      <c r="G1057" s="150">
        <v>2195987.7082379344</v>
      </c>
      <c r="H1057" s="150">
        <v>3.161142661294124E7</v>
      </c>
      <c r="I1057" s="151">
        <v>45506.0</v>
      </c>
      <c r="J1057" s="151">
        <v>45536.0</v>
      </c>
      <c r="K1057" s="152">
        <v>0.0</v>
      </c>
      <c r="L1057" s="117"/>
      <c r="M1057" s="117"/>
      <c r="N1057" s="153"/>
      <c r="O1057" s="153"/>
      <c r="P1057" s="153"/>
      <c r="Q1057" s="153"/>
      <c r="R1057" s="153" t="str">
        <f t="shared" si="1"/>
        <v>2024</v>
      </c>
      <c r="S1057" s="154">
        <f t="shared" si="2"/>
        <v>9</v>
      </c>
      <c r="T1057" s="153" t="str">
        <f t="shared" si="3"/>
        <v>2024-Q3</v>
      </c>
      <c r="U1057" s="153" t="str">
        <f t="shared" si="4"/>
        <v>2024-09</v>
      </c>
      <c r="V1057" s="155" t="str">
        <f t="shared" si="5"/>
        <v>2024-H2</v>
      </c>
      <c r="W1057" s="155"/>
    </row>
    <row r="1058">
      <c r="A1058" s="139">
        <f>HYPERLINK("https://polkadot.subsquare.io/referenda/1050", 1050)</f>
        <v>1050</v>
      </c>
      <c r="B1058" s="140" t="s">
        <v>3279</v>
      </c>
      <c r="C1058" s="140" t="s">
        <v>2672</v>
      </c>
      <c r="D1058" s="141">
        <v>1000.0</v>
      </c>
      <c r="E1058" s="142">
        <v>4208.274841308594</v>
      </c>
      <c r="F1058" s="140" t="s">
        <v>2699</v>
      </c>
      <c r="G1058" s="143">
        <v>1.2715237192638762E7</v>
      </c>
      <c r="H1058" s="143">
        <v>1.92674141819758E7</v>
      </c>
      <c r="I1058" s="144">
        <v>45506.0</v>
      </c>
      <c r="J1058" s="144">
        <v>45513.0</v>
      </c>
      <c r="K1058" s="145">
        <v>4587.265968322754</v>
      </c>
      <c r="L1058" s="114"/>
      <c r="M1058" s="114"/>
      <c r="N1058" s="108"/>
      <c r="O1058" s="108"/>
      <c r="P1058" s="108"/>
      <c r="Q1058" s="108"/>
      <c r="R1058" s="108" t="str">
        <f t="shared" si="1"/>
        <v>2024</v>
      </c>
      <c r="S1058" s="110">
        <f t="shared" si="2"/>
        <v>8</v>
      </c>
      <c r="T1058" s="108" t="str">
        <f t="shared" si="3"/>
        <v>2024-Q3</v>
      </c>
      <c r="U1058" s="108" t="str">
        <f t="shared" si="4"/>
        <v>2024-08</v>
      </c>
      <c r="V1058" s="112" t="str">
        <f t="shared" si="5"/>
        <v>2024-H2</v>
      </c>
      <c r="W1058" s="112"/>
    </row>
    <row r="1059">
      <c r="A1059" s="146">
        <f>HYPERLINK("https://polkadot.subsquare.io/referenda/1051", 1051)</f>
        <v>1051</v>
      </c>
      <c r="B1059" s="147" t="s">
        <v>3280</v>
      </c>
      <c r="C1059" s="147" t="s">
        <v>2681</v>
      </c>
      <c r="D1059" s="148">
        <v>0.0</v>
      </c>
      <c r="E1059" s="149">
        <v>0.0</v>
      </c>
      <c r="F1059" s="147" t="s">
        <v>3053</v>
      </c>
      <c r="G1059" s="150">
        <v>6.152575816055166E7</v>
      </c>
      <c r="H1059" s="150">
        <v>15010.0</v>
      </c>
      <c r="I1059" s="151">
        <v>45507.0</v>
      </c>
      <c r="J1059" s="151">
        <v>45538.0</v>
      </c>
      <c r="K1059" s="152">
        <v>0.0</v>
      </c>
      <c r="L1059" s="117"/>
      <c r="M1059" s="117"/>
      <c r="N1059" s="153"/>
      <c r="O1059" s="153"/>
      <c r="P1059" s="153"/>
      <c r="Q1059" s="153"/>
      <c r="R1059" s="153" t="str">
        <f t="shared" si="1"/>
        <v>2024</v>
      </c>
      <c r="S1059" s="154">
        <f t="shared" si="2"/>
        <v>9</v>
      </c>
      <c r="T1059" s="153" t="str">
        <f t="shared" si="3"/>
        <v>2024-Q3</v>
      </c>
      <c r="U1059" s="153" t="str">
        <f t="shared" si="4"/>
        <v>2024-09</v>
      </c>
      <c r="V1059" s="155" t="str">
        <f t="shared" si="5"/>
        <v>2024-H2</v>
      </c>
      <c r="W1059" s="155"/>
    </row>
    <row r="1060">
      <c r="A1060" s="139">
        <f>HYPERLINK("https://polkadot.subsquare.io/referenda/1052", 1052)</f>
        <v>1052</v>
      </c>
      <c r="B1060" s="140" t="s">
        <v>574</v>
      </c>
      <c r="C1060" s="140" t="s">
        <v>2681</v>
      </c>
      <c r="D1060" s="141">
        <v>10.0</v>
      </c>
      <c r="E1060" s="142">
        <v>45.06931781768799</v>
      </c>
      <c r="F1060" s="140" t="s">
        <v>186</v>
      </c>
      <c r="G1060" s="143">
        <v>9486771.120498113</v>
      </c>
      <c r="H1060" s="143">
        <v>6862359.375211464</v>
      </c>
      <c r="I1060" s="144">
        <v>45507.0</v>
      </c>
      <c r="J1060" s="144">
        <v>45511.0</v>
      </c>
      <c r="K1060" s="145">
        <v>47.560720443725586</v>
      </c>
      <c r="L1060" s="114" t="s">
        <v>82</v>
      </c>
      <c r="M1060" s="114" t="s">
        <v>176</v>
      </c>
      <c r="N1060" s="108"/>
      <c r="O1060" s="108"/>
      <c r="P1060" s="108"/>
      <c r="Q1060" s="108"/>
      <c r="R1060" s="108" t="str">
        <f t="shared" si="1"/>
        <v>2024</v>
      </c>
      <c r="S1060" s="110">
        <f t="shared" si="2"/>
        <v>8</v>
      </c>
      <c r="T1060" s="108" t="str">
        <f t="shared" si="3"/>
        <v>2024-Q3</v>
      </c>
      <c r="U1060" s="108" t="str">
        <f t="shared" si="4"/>
        <v>2024-08</v>
      </c>
      <c r="V1060" s="112" t="str">
        <f t="shared" si="5"/>
        <v>2024-H2</v>
      </c>
      <c r="W1060" s="112"/>
    </row>
    <row r="1061">
      <c r="A1061" s="146">
        <f>HYPERLINK("https://polkadot.subsquare.io/referenda/1053", 1053)</f>
        <v>1053</v>
      </c>
      <c r="B1061" s="147" t="s">
        <v>3281</v>
      </c>
      <c r="C1061" s="147" t="s">
        <v>2672</v>
      </c>
      <c r="D1061" s="148">
        <v>853.267900316889</v>
      </c>
      <c r="E1061" s="149">
        <v>3900.0</v>
      </c>
      <c r="F1061" s="147" t="s">
        <v>2699</v>
      </c>
      <c r="G1061" s="150">
        <v>4605189.746663303</v>
      </c>
      <c r="H1061" s="150">
        <v>1.4916874079011876E7</v>
      </c>
      <c r="I1061" s="151">
        <v>45508.0</v>
      </c>
      <c r="J1061" s="151">
        <v>45515.0</v>
      </c>
      <c r="K1061" s="152">
        <v>3742.713070693635</v>
      </c>
      <c r="L1061" s="117"/>
      <c r="M1061" s="117"/>
      <c r="N1061" s="153"/>
      <c r="O1061" s="153"/>
      <c r="P1061" s="153"/>
      <c r="Q1061" s="153"/>
      <c r="R1061" s="153" t="str">
        <f t="shared" si="1"/>
        <v>2024</v>
      </c>
      <c r="S1061" s="154">
        <f t="shared" si="2"/>
        <v>8</v>
      </c>
      <c r="T1061" s="153" t="str">
        <f t="shared" si="3"/>
        <v>2024-Q3</v>
      </c>
      <c r="U1061" s="153" t="str">
        <f t="shared" si="4"/>
        <v>2024-08</v>
      </c>
      <c r="V1061" s="155" t="str">
        <f t="shared" si="5"/>
        <v>2024-H2</v>
      </c>
      <c r="W1061" s="155"/>
    </row>
    <row r="1062">
      <c r="A1062" s="139">
        <f>HYPERLINK("https://polkadot.subsquare.io/referenda/1054", 1054)</f>
        <v>1054</v>
      </c>
      <c r="B1062" s="140" t="s">
        <v>575</v>
      </c>
      <c r="C1062" s="140" t="s">
        <v>2681</v>
      </c>
      <c r="D1062" s="141">
        <v>75000.0</v>
      </c>
      <c r="E1062" s="142">
        <v>342799.72314834595</v>
      </c>
      <c r="F1062" s="140" t="s">
        <v>2683</v>
      </c>
      <c r="G1062" s="143">
        <v>4.429923834902626E7</v>
      </c>
      <c r="H1062" s="143">
        <v>1.2038824493246403E7</v>
      </c>
      <c r="I1062" s="144">
        <v>45508.0</v>
      </c>
      <c r="J1062" s="144">
        <v>45533.0</v>
      </c>
      <c r="K1062" s="145">
        <v>319386.29150390625</v>
      </c>
      <c r="L1062" s="114" t="s">
        <v>137</v>
      </c>
      <c r="M1062" s="163" t="s">
        <v>277</v>
      </c>
      <c r="N1062" s="108"/>
      <c r="O1062" s="108"/>
      <c r="P1062" s="108"/>
      <c r="Q1062" s="108"/>
      <c r="R1062" s="108" t="str">
        <f t="shared" si="1"/>
        <v>2024</v>
      </c>
      <c r="S1062" s="110">
        <f t="shared" si="2"/>
        <v>8</v>
      </c>
      <c r="T1062" s="108" t="str">
        <f t="shared" si="3"/>
        <v>2024-Q3</v>
      </c>
      <c r="U1062" s="108" t="str">
        <f t="shared" si="4"/>
        <v>2024-08</v>
      </c>
      <c r="V1062" s="112" t="str">
        <f t="shared" si="5"/>
        <v>2024-H2</v>
      </c>
      <c r="W1062" s="112"/>
    </row>
    <row r="1063">
      <c r="A1063" s="146">
        <f>HYPERLINK("https://polkadot.subsquare.io/referenda/1055", 1055)</f>
        <v>1055</v>
      </c>
      <c r="B1063" s="147" t="s">
        <v>186</v>
      </c>
      <c r="C1063" s="147" t="s">
        <v>2681</v>
      </c>
      <c r="D1063" s="148">
        <v>20.0</v>
      </c>
      <c r="E1063" s="149">
        <v>91.41325950622559</v>
      </c>
      <c r="F1063" s="147" t="s">
        <v>186</v>
      </c>
      <c r="G1063" s="150">
        <v>1.681288615883938E7</v>
      </c>
      <c r="H1063" s="150">
        <v>5000.0</v>
      </c>
      <c r="I1063" s="151">
        <v>45508.0</v>
      </c>
      <c r="J1063" s="151">
        <v>45511.0</v>
      </c>
      <c r="K1063" s="152">
        <v>95.75342178344727</v>
      </c>
      <c r="L1063" s="117" t="s">
        <v>81</v>
      </c>
      <c r="M1063" s="117" t="s">
        <v>185</v>
      </c>
      <c r="N1063" s="153"/>
      <c r="O1063" s="153"/>
      <c r="P1063" s="153"/>
      <c r="Q1063" s="153"/>
      <c r="R1063" s="153" t="str">
        <f t="shared" si="1"/>
        <v>2024</v>
      </c>
      <c r="S1063" s="154">
        <f t="shared" si="2"/>
        <v>8</v>
      </c>
      <c r="T1063" s="153" t="str">
        <f t="shared" si="3"/>
        <v>2024-Q3</v>
      </c>
      <c r="U1063" s="153" t="str">
        <f t="shared" si="4"/>
        <v>2024-08</v>
      </c>
      <c r="V1063" s="155" t="str">
        <f t="shared" si="5"/>
        <v>2024-H2</v>
      </c>
      <c r="W1063" s="155"/>
    </row>
    <row r="1064">
      <c r="A1064" s="139">
        <f>HYPERLINK("https://polkadot.subsquare.io/referenda/1056", 1056)</f>
        <v>1056</v>
      </c>
      <c r="B1064" s="140" t="s">
        <v>576</v>
      </c>
      <c r="C1064" s="140" t="s">
        <v>2681</v>
      </c>
      <c r="D1064" s="141">
        <v>63696.0</v>
      </c>
      <c r="E1064" s="142">
        <v>291132.94887542725</v>
      </c>
      <c r="F1064" s="140" t="s">
        <v>2683</v>
      </c>
      <c r="G1064" s="143">
        <v>3.871594954579604E7</v>
      </c>
      <c r="H1064" s="143">
        <v>2.686870726114731E7</v>
      </c>
      <c r="I1064" s="144">
        <v>45509.0</v>
      </c>
      <c r="J1064" s="144">
        <v>45535.0</v>
      </c>
      <c r="K1064" s="145">
        <v>258791.12045288086</v>
      </c>
      <c r="L1064" s="114" t="s">
        <v>84</v>
      </c>
      <c r="M1064" s="114" t="s">
        <v>154</v>
      </c>
      <c r="N1064" s="108"/>
      <c r="O1064" s="108"/>
      <c r="P1064" s="108"/>
      <c r="Q1064" s="108"/>
      <c r="R1064" s="108" t="str">
        <f t="shared" si="1"/>
        <v>2024</v>
      </c>
      <c r="S1064" s="110">
        <f t="shared" si="2"/>
        <v>8</v>
      </c>
      <c r="T1064" s="108" t="str">
        <f t="shared" si="3"/>
        <v>2024-Q3</v>
      </c>
      <c r="U1064" s="108" t="str">
        <f t="shared" si="4"/>
        <v>2024-08</v>
      </c>
      <c r="V1064" s="112" t="str">
        <f t="shared" si="5"/>
        <v>2024-H2</v>
      </c>
      <c r="W1064" s="112"/>
    </row>
    <row r="1065">
      <c r="A1065" s="146">
        <f>HYPERLINK("https://polkadot.subsquare.io/referenda/1057", 1057)</f>
        <v>1057</v>
      </c>
      <c r="B1065" s="147" t="s">
        <v>577</v>
      </c>
      <c r="C1065" s="147" t="s">
        <v>2681</v>
      </c>
      <c r="D1065" s="148">
        <v>1.0</v>
      </c>
      <c r="E1065" s="149">
        <v>4.88088321685791</v>
      </c>
      <c r="F1065" s="147" t="s">
        <v>186</v>
      </c>
      <c r="G1065" s="150">
        <v>8602937.539091974</v>
      </c>
      <c r="H1065" s="150">
        <v>5539919.940791254</v>
      </c>
      <c r="I1065" s="151">
        <v>45509.0</v>
      </c>
      <c r="J1065" s="151">
        <v>45513.0</v>
      </c>
      <c r="K1065" s="152">
        <v>4.587265968322754</v>
      </c>
      <c r="L1065" s="157" t="s">
        <v>137</v>
      </c>
      <c r="M1065" s="157" t="s">
        <v>191</v>
      </c>
      <c r="N1065" s="153"/>
      <c r="O1065" s="153"/>
      <c r="P1065" s="153"/>
      <c r="Q1065" s="153"/>
      <c r="R1065" s="153" t="str">
        <f t="shared" si="1"/>
        <v>2024</v>
      </c>
      <c r="S1065" s="154">
        <f t="shared" si="2"/>
        <v>8</v>
      </c>
      <c r="T1065" s="153" t="str">
        <f t="shared" si="3"/>
        <v>2024-Q3</v>
      </c>
      <c r="U1065" s="153" t="str">
        <f t="shared" si="4"/>
        <v>2024-08</v>
      </c>
      <c r="V1065" s="155" t="str">
        <f t="shared" si="5"/>
        <v>2024-H2</v>
      </c>
      <c r="W1065" s="155"/>
    </row>
    <row r="1066">
      <c r="A1066" s="139">
        <f>HYPERLINK("https://polkadot.subsquare.io/referenda/1058", 1058)</f>
        <v>1058</v>
      </c>
      <c r="B1066" s="140" t="s">
        <v>3282</v>
      </c>
      <c r="C1066" s="140" t="s">
        <v>2672</v>
      </c>
      <c r="D1066" s="141">
        <v>37560.00540369759</v>
      </c>
      <c r="E1066" s="142">
        <v>183326.0</v>
      </c>
      <c r="F1066" s="140" t="s">
        <v>2683</v>
      </c>
      <c r="G1066" s="143">
        <v>10068.0235388797</v>
      </c>
      <c r="H1066" s="143">
        <v>3.0525098749028742E7</v>
      </c>
      <c r="I1066" s="144">
        <v>45509.0</v>
      </c>
      <c r="J1066" s="144">
        <v>45537.0</v>
      </c>
      <c r="K1066" s="145">
        <v>150843.15898488797</v>
      </c>
      <c r="L1066" s="114"/>
      <c r="M1066" s="114"/>
      <c r="N1066" s="108"/>
      <c r="O1066" s="108"/>
      <c r="P1066" s="108"/>
      <c r="Q1066" s="108"/>
      <c r="R1066" s="108" t="str">
        <f t="shared" si="1"/>
        <v>2024</v>
      </c>
      <c r="S1066" s="110">
        <f t="shared" si="2"/>
        <v>9</v>
      </c>
      <c r="T1066" s="108" t="str">
        <f t="shared" si="3"/>
        <v>2024-Q3</v>
      </c>
      <c r="U1066" s="108" t="str">
        <f t="shared" si="4"/>
        <v>2024-09</v>
      </c>
      <c r="V1066" s="112" t="str">
        <f t="shared" si="5"/>
        <v>2024-H2</v>
      </c>
      <c r="W1066" s="156" t="s">
        <v>2654</v>
      </c>
    </row>
    <row r="1067">
      <c r="A1067" s="146">
        <f>HYPERLINK("https://polkadot.subsquare.io/referenda/1059", 1059)</f>
        <v>1059</v>
      </c>
      <c r="B1067" s="147" t="s">
        <v>3283</v>
      </c>
      <c r="C1067" s="147" t="s">
        <v>2681</v>
      </c>
      <c r="D1067" s="148">
        <v>0.0</v>
      </c>
      <c r="E1067" s="149">
        <v>0.0</v>
      </c>
      <c r="F1067" s="147" t="s">
        <v>3053</v>
      </c>
      <c r="G1067" s="150">
        <v>4.342637167885351E7</v>
      </c>
      <c r="H1067" s="150">
        <v>18021.0</v>
      </c>
      <c r="I1067" s="151">
        <v>45509.0</v>
      </c>
      <c r="J1067" s="151">
        <v>45538.0</v>
      </c>
      <c r="K1067" s="152">
        <v>0.0</v>
      </c>
      <c r="L1067" s="117"/>
      <c r="M1067" s="117"/>
      <c r="N1067" s="153"/>
      <c r="O1067" s="153"/>
      <c r="P1067" s="153"/>
      <c r="Q1067" s="153"/>
      <c r="R1067" s="153" t="str">
        <f t="shared" si="1"/>
        <v>2024</v>
      </c>
      <c r="S1067" s="154">
        <f t="shared" si="2"/>
        <v>9</v>
      </c>
      <c r="T1067" s="153" t="str">
        <f t="shared" si="3"/>
        <v>2024-Q3</v>
      </c>
      <c r="U1067" s="153" t="str">
        <f t="shared" si="4"/>
        <v>2024-09</v>
      </c>
      <c r="V1067" s="155" t="str">
        <f t="shared" si="5"/>
        <v>2024-H2</v>
      </c>
      <c r="W1067" s="155"/>
    </row>
    <row r="1068">
      <c r="A1068" s="139">
        <f>HYPERLINK("https://polkadot.subsquare.io/referenda/1060", 1060)</f>
        <v>1060</v>
      </c>
      <c r="B1068" s="140" t="s">
        <v>578</v>
      </c>
      <c r="C1068" s="140" t="s">
        <v>2681</v>
      </c>
      <c r="D1068" s="141">
        <v>32411.0</v>
      </c>
      <c r="E1068" s="142">
        <v>158194.30594158173</v>
      </c>
      <c r="F1068" s="140" t="s">
        <v>2683</v>
      </c>
      <c r="G1068" s="143">
        <v>2.7079656423110157E7</v>
      </c>
      <c r="H1068" s="143">
        <v>2.504316403278928E7</v>
      </c>
      <c r="I1068" s="144">
        <v>45509.0</v>
      </c>
      <c r="J1068" s="144">
        <v>45534.0</v>
      </c>
      <c r="K1068" s="145">
        <v>136405.22967481613</v>
      </c>
      <c r="L1068" s="114" t="s">
        <v>81</v>
      </c>
      <c r="M1068" s="163" t="s">
        <v>154</v>
      </c>
      <c r="N1068" s="108"/>
      <c r="O1068" s="108"/>
      <c r="P1068" s="108"/>
      <c r="Q1068" s="108"/>
      <c r="R1068" s="108" t="str">
        <f t="shared" si="1"/>
        <v>2024</v>
      </c>
      <c r="S1068" s="110">
        <f t="shared" si="2"/>
        <v>8</v>
      </c>
      <c r="T1068" s="108" t="str">
        <f t="shared" si="3"/>
        <v>2024-Q3</v>
      </c>
      <c r="U1068" s="108" t="str">
        <f t="shared" si="4"/>
        <v>2024-08</v>
      </c>
      <c r="V1068" s="112" t="str">
        <f t="shared" si="5"/>
        <v>2024-H2</v>
      </c>
      <c r="W1068" s="112"/>
    </row>
    <row r="1069">
      <c r="A1069" s="146">
        <f>HYPERLINK("https://polkadot.subsquare.io/referenda/1061", 1061)</f>
        <v>1061</v>
      </c>
      <c r="B1069" s="147" t="s">
        <v>579</v>
      </c>
      <c r="C1069" s="147" t="s">
        <v>2681</v>
      </c>
      <c r="D1069" s="148">
        <v>20.0</v>
      </c>
      <c r="E1069" s="149">
        <v>97.6176643371582</v>
      </c>
      <c r="F1069" s="147" t="s">
        <v>186</v>
      </c>
      <c r="G1069" s="150">
        <v>1.1815022547114246E7</v>
      </c>
      <c r="H1069" s="150">
        <v>4572153.188664729</v>
      </c>
      <c r="I1069" s="151">
        <v>45509.0</v>
      </c>
      <c r="J1069" s="151">
        <v>45512.0</v>
      </c>
      <c r="K1069" s="152">
        <v>95.12144088745117</v>
      </c>
      <c r="L1069" s="117" t="s">
        <v>81</v>
      </c>
      <c r="M1069" s="117" t="s">
        <v>185</v>
      </c>
      <c r="N1069" s="153"/>
      <c r="O1069" s="153"/>
      <c r="P1069" s="153"/>
      <c r="Q1069" s="153"/>
      <c r="R1069" s="153" t="str">
        <f t="shared" si="1"/>
        <v>2024</v>
      </c>
      <c r="S1069" s="154">
        <f t="shared" si="2"/>
        <v>8</v>
      </c>
      <c r="T1069" s="153" t="str">
        <f t="shared" si="3"/>
        <v>2024-Q3</v>
      </c>
      <c r="U1069" s="153" t="str">
        <f t="shared" si="4"/>
        <v>2024-08</v>
      </c>
      <c r="V1069" s="155" t="str">
        <f t="shared" si="5"/>
        <v>2024-H2</v>
      </c>
      <c r="W1069" s="155"/>
    </row>
    <row r="1070">
      <c r="A1070" s="139">
        <f>HYPERLINK("https://polkadot.subsquare.io/referenda/1062", 1062)</f>
        <v>1062</v>
      </c>
      <c r="B1070" s="140" t="s">
        <v>3284</v>
      </c>
      <c r="C1070" s="140" t="s">
        <v>2672</v>
      </c>
      <c r="D1070" s="141">
        <v>24954.49995183644</v>
      </c>
      <c r="E1070" s="142">
        <v>121800.0</v>
      </c>
      <c r="F1070" s="140" t="s">
        <v>2683</v>
      </c>
      <c r="G1070" s="143">
        <v>4.1</v>
      </c>
      <c r="H1070" s="143">
        <v>3.0562914867422115E7</v>
      </c>
      <c r="I1070" s="144">
        <v>45509.0</v>
      </c>
      <c r="J1070" s="144">
        <v>45538.0</v>
      </c>
      <c r="K1070" s="145">
        <v>100218.7183725132</v>
      </c>
      <c r="L1070" s="114"/>
      <c r="M1070" s="114"/>
      <c r="N1070" s="108"/>
      <c r="O1070" s="108"/>
      <c r="P1070" s="108"/>
      <c r="Q1070" s="108"/>
      <c r="R1070" s="108" t="str">
        <f t="shared" si="1"/>
        <v>2024</v>
      </c>
      <c r="S1070" s="110">
        <f t="shared" si="2"/>
        <v>9</v>
      </c>
      <c r="T1070" s="108" t="str">
        <f t="shared" si="3"/>
        <v>2024-Q3</v>
      </c>
      <c r="U1070" s="108" t="str">
        <f t="shared" si="4"/>
        <v>2024-09</v>
      </c>
      <c r="V1070" s="112" t="str">
        <f t="shared" si="5"/>
        <v>2024-H2</v>
      </c>
      <c r="W1070" s="112"/>
    </row>
    <row r="1071">
      <c r="A1071" s="146">
        <f>HYPERLINK("https://polkadot.subsquare.io/referenda/1063", 1063)</f>
        <v>1063</v>
      </c>
      <c r="B1071" s="147" t="s">
        <v>3131</v>
      </c>
      <c r="C1071" s="147" t="s">
        <v>2672</v>
      </c>
      <c r="D1071" s="148">
        <v>1.0</v>
      </c>
      <c r="E1071" s="149">
        <v>4.88088321685791</v>
      </c>
      <c r="F1071" s="147" t="s">
        <v>186</v>
      </c>
      <c r="G1071" s="150">
        <v>0.0</v>
      </c>
      <c r="H1071" s="150">
        <v>2.9183461279982984E7</v>
      </c>
      <c r="I1071" s="151">
        <v>45510.0</v>
      </c>
      <c r="J1071" s="151">
        <v>45517.0</v>
      </c>
      <c r="K1071" s="152">
        <v>4.282610893249512</v>
      </c>
      <c r="L1071" s="117"/>
      <c r="M1071" s="117"/>
      <c r="N1071" s="153"/>
      <c r="O1071" s="153"/>
      <c r="P1071" s="153"/>
      <c r="Q1071" s="153"/>
      <c r="R1071" s="153" t="str">
        <f t="shared" si="1"/>
        <v>2024</v>
      </c>
      <c r="S1071" s="154">
        <f t="shared" si="2"/>
        <v>8</v>
      </c>
      <c r="T1071" s="153" t="str">
        <f t="shared" si="3"/>
        <v>2024-Q3</v>
      </c>
      <c r="U1071" s="153" t="str">
        <f t="shared" si="4"/>
        <v>2024-08</v>
      </c>
      <c r="V1071" s="155" t="str">
        <f t="shared" si="5"/>
        <v>2024-H2</v>
      </c>
      <c r="W1071" s="158" t="s">
        <v>2654</v>
      </c>
    </row>
    <row r="1072">
      <c r="A1072" s="139">
        <f>HYPERLINK("https://polkadot.subsquare.io/referenda/1064", 1064)</f>
        <v>1064</v>
      </c>
      <c r="B1072" s="140" t="s">
        <v>3131</v>
      </c>
      <c r="C1072" s="140" t="s">
        <v>2672</v>
      </c>
      <c r="D1072" s="141">
        <v>3.0</v>
      </c>
      <c r="E1072" s="142">
        <v>14.64264965057373</v>
      </c>
      <c r="F1072" s="140" t="s">
        <v>2678</v>
      </c>
      <c r="G1072" s="143">
        <v>12001.1</v>
      </c>
      <c r="H1072" s="143">
        <v>1.7539657145806722E7</v>
      </c>
      <c r="I1072" s="144">
        <v>45510.0</v>
      </c>
      <c r="J1072" s="144">
        <v>45538.0</v>
      </c>
      <c r="K1072" s="145">
        <v>11.878412961959839</v>
      </c>
      <c r="L1072" s="114"/>
      <c r="M1072" s="114"/>
      <c r="N1072" s="108"/>
      <c r="O1072" s="108"/>
      <c r="P1072" s="108"/>
      <c r="Q1072" s="108"/>
      <c r="R1072" s="108" t="str">
        <f t="shared" si="1"/>
        <v>2024</v>
      </c>
      <c r="S1072" s="110">
        <f t="shared" si="2"/>
        <v>9</v>
      </c>
      <c r="T1072" s="108" t="str">
        <f t="shared" si="3"/>
        <v>2024-Q3</v>
      </c>
      <c r="U1072" s="108" t="str">
        <f t="shared" si="4"/>
        <v>2024-09</v>
      </c>
      <c r="V1072" s="112" t="str">
        <f t="shared" si="5"/>
        <v>2024-H2</v>
      </c>
      <c r="W1072" s="156" t="s">
        <v>2654</v>
      </c>
    </row>
    <row r="1073">
      <c r="A1073" s="146">
        <f>HYPERLINK("https://polkadot.subsquare.io/referenda/1065", 1065)</f>
        <v>1065</v>
      </c>
      <c r="B1073" s="147" t="s">
        <v>3285</v>
      </c>
      <c r="C1073" s="147" t="s">
        <v>2672</v>
      </c>
      <c r="D1073" s="148">
        <v>1357653.8318808456</v>
      </c>
      <c r="E1073" s="149">
        <v>6500000.000000001</v>
      </c>
      <c r="F1073" s="147" t="s">
        <v>2676</v>
      </c>
      <c r="G1073" s="150">
        <v>1.0578643225598459E8</v>
      </c>
      <c r="H1073" s="150">
        <v>1.0617359428812961E8</v>
      </c>
      <c r="I1073" s="151">
        <v>45510.0</v>
      </c>
      <c r="J1073" s="151">
        <v>45539.0</v>
      </c>
      <c r="K1073" s="152">
        <v>5375590.95815596</v>
      </c>
      <c r="L1073" s="117"/>
      <c r="M1073" s="117"/>
      <c r="N1073" s="153"/>
      <c r="O1073" s="153"/>
      <c r="P1073" s="153"/>
      <c r="Q1073" s="153"/>
      <c r="R1073" s="153" t="str">
        <f t="shared" si="1"/>
        <v>2024</v>
      </c>
      <c r="S1073" s="154">
        <f t="shared" si="2"/>
        <v>9</v>
      </c>
      <c r="T1073" s="153" t="str">
        <f t="shared" si="3"/>
        <v>2024-Q3</v>
      </c>
      <c r="U1073" s="153" t="str">
        <f t="shared" si="4"/>
        <v>2024-09</v>
      </c>
      <c r="V1073" s="155" t="str">
        <f t="shared" si="5"/>
        <v>2024-H2</v>
      </c>
      <c r="W1073" s="155"/>
    </row>
    <row r="1074">
      <c r="A1074" s="139">
        <f>HYPERLINK("https://polkadot.subsquare.io/referenda/1066", 1066)</f>
        <v>1066</v>
      </c>
      <c r="B1074" s="140" t="s">
        <v>2971</v>
      </c>
      <c r="C1074" s="140" t="s">
        <v>3286</v>
      </c>
      <c r="D1074" s="141">
        <v>2261.0</v>
      </c>
      <c r="E1074" s="142">
        <v>10824.924332618713</v>
      </c>
      <c r="F1074" s="140" t="s">
        <v>2678</v>
      </c>
      <c r="G1074" s="143">
        <v>203519.4400707925</v>
      </c>
      <c r="H1074" s="143">
        <v>2.446115211056826E7</v>
      </c>
      <c r="I1074" s="144">
        <v>45511.0</v>
      </c>
      <c r="J1074" s="144">
        <v>45539.0</v>
      </c>
      <c r="K1074" s="145">
        <v>8952.363902330399</v>
      </c>
      <c r="L1074" s="114"/>
      <c r="M1074" s="114"/>
      <c r="N1074" s="108"/>
      <c r="O1074" s="108"/>
      <c r="P1074" s="108"/>
      <c r="Q1074" s="108"/>
      <c r="R1074" s="108" t="str">
        <f t="shared" si="1"/>
        <v>2024</v>
      </c>
      <c r="S1074" s="110">
        <f t="shared" si="2"/>
        <v>9</v>
      </c>
      <c r="T1074" s="108" t="str">
        <f t="shared" si="3"/>
        <v>2024-Q3</v>
      </c>
      <c r="U1074" s="108" t="str">
        <f t="shared" si="4"/>
        <v>2024-09</v>
      </c>
      <c r="V1074" s="112" t="str">
        <f t="shared" si="5"/>
        <v>2024-H2</v>
      </c>
      <c r="W1074" s="156" t="s">
        <v>2654</v>
      </c>
    </row>
    <row r="1075">
      <c r="A1075" s="146">
        <f>HYPERLINK("https://polkadot.subsquare.io/referenda/1067", 1067)</f>
        <v>1067</v>
      </c>
      <c r="B1075" s="147" t="s">
        <v>3227</v>
      </c>
      <c r="C1075" s="147" t="s">
        <v>3286</v>
      </c>
      <c r="D1075" s="148">
        <v>4.73E-7</v>
      </c>
      <c r="E1075" s="149">
        <v>2.264568425178528E-6</v>
      </c>
      <c r="F1075" s="147" t="s">
        <v>2678</v>
      </c>
      <c r="G1075" s="150">
        <v>2000.0</v>
      </c>
      <c r="H1075" s="150">
        <v>2.3172484811070513E7</v>
      </c>
      <c r="I1075" s="151">
        <v>45511.0</v>
      </c>
      <c r="J1075" s="151">
        <v>45539.0</v>
      </c>
      <c r="K1075" s="152">
        <v>1.8728297770023346E-6</v>
      </c>
      <c r="L1075" s="117"/>
      <c r="M1075" s="117"/>
      <c r="N1075" s="153"/>
      <c r="O1075" s="153"/>
      <c r="P1075" s="153"/>
      <c r="Q1075" s="153"/>
      <c r="R1075" s="153" t="str">
        <f t="shared" si="1"/>
        <v>2024</v>
      </c>
      <c r="S1075" s="154">
        <f t="shared" si="2"/>
        <v>9</v>
      </c>
      <c r="T1075" s="153" t="str">
        <f t="shared" si="3"/>
        <v>2024-Q3</v>
      </c>
      <c r="U1075" s="153" t="str">
        <f t="shared" si="4"/>
        <v>2024-09</v>
      </c>
      <c r="V1075" s="155" t="str">
        <f t="shared" si="5"/>
        <v>2024-H2</v>
      </c>
      <c r="W1075" s="158" t="s">
        <v>2654</v>
      </c>
    </row>
    <row r="1076">
      <c r="A1076" s="139">
        <f>HYPERLINK("https://polkadot.subsquare.io/referenda/1069", 1069)</f>
        <v>1069</v>
      </c>
      <c r="B1076" s="140" t="s">
        <v>580</v>
      </c>
      <c r="C1076" s="140" t="s">
        <v>2681</v>
      </c>
      <c r="D1076" s="141">
        <v>208.86982028936083</v>
      </c>
      <c r="E1076" s="142">
        <v>1000.0</v>
      </c>
      <c r="F1076" s="140" t="s">
        <v>2699</v>
      </c>
      <c r="G1076" s="143">
        <v>1.1749197237761617E7</v>
      </c>
      <c r="H1076" s="143">
        <v>9758843.403050818</v>
      </c>
      <c r="I1076" s="144">
        <v>45511.0</v>
      </c>
      <c r="J1076" s="144">
        <v>45515.0</v>
      </c>
      <c r="K1076" s="145">
        <v>950.2496595280262</v>
      </c>
      <c r="L1076" s="114" t="s">
        <v>85</v>
      </c>
      <c r="M1076" s="114" t="s">
        <v>148</v>
      </c>
      <c r="N1076" s="108"/>
      <c r="O1076" s="108"/>
      <c r="P1076" s="108"/>
      <c r="Q1076" s="108"/>
      <c r="R1076" s="108" t="str">
        <f t="shared" si="1"/>
        <v>2024</v>
      </c>
      <c r="S1076" s="110">
        <f t="shared" si="2"/>
        <v>8</v>
      </c>
      <c r="T1076" s="108" t="str">
        <f t="shared" si="3"/>
        <v>2024-Q3</v>
      </c>
      <c r="U1076" s="108" t="str">
        <f t="shared" si="4"/>
        <v>2024-08</v>
      </c>
      <c r="V1076" s="112" t="str">
        <f t="shared" si="5"/>
        <v>2024-H2</v>
      </c>
      <c r="W1076" s="112"/>
    </row>
    <row r="1077">
      <c r="A1077" s="146">
        <f>HYPERLINK("https://polkadot.subsquare.io/referenda/1070", 1070)</f>
        <v>1070</v>
      </c>
      <c r="B1077" s="147" t="s">
        <v>3287</v>
      </c>
      <c r="C1077" s="147" t="s">
        <v>2681</v>
      </c>
      <c r="D1077" s="148">
        <v>0.0</v>
      </c>
      <c r="E1077" s="149">
        <v>0.0</v>
      </c>
      <c r="F1077" s="147" t="s">
        <v>2891</v>
      </c>
      <c r="G1077" s="150">
        <v>2218005.5696152695</v>
      </c>
      <c r="H1077" s="150">
        <v>10096.8583229342</v>
      </c>
      <c r="I1077" s="151">
        <v>45511.0</v>
      </c>
      <c r="J1077" s="151">
        <v>45533.0</v>
      </c>
      <c r="K1077" s="152">
        <v>0.0</v>
      </c>
      <c r="L1077" s="117"/>
      <c r="M1077" s="117"/>
      <c r="N1077" s="153"/>
      <c r="O1077" s="153"/>
      <c r="P1077" s="153"/>
      <c r="Q1077" s="153"/>
      <c r="R1077" s="153" t="str">
        <f t="shared" si="1"/>
        <v>2024</v>
      </c>
      <c r="S1077" s="154">
        <f t="shared" si="2"/>
        <v>8</v>
      </c>
      <c r="T1077" s="153" t="str">
        <f t="shared" si="3"/>
        <v>2024-Q3</v>
      </c>
      <c r="U1077" s="153" t="str">
        <f t="shared" si="4"/>
        <v>2024-08</v>
      </c>
      <c r="V1077" s="155" t="str">
        <f t="shared" si="5"/>
        <v>2024-H2</v>
      </c>
      <c r="W1077" s="155"/>
    </row>
    <row r="1078">
      <c r="A1078" s="139">
        <f>HYPERLINK("https://polkadot.subsquare.io/referenda/1071", 1071)</f>
        <v>1071</v>
      </c>
      <c r="B1078" s="140" t="s">
        <v>581</v>
      </c>
      <c r="C1078" s="140" t="s">
        <v>2681</v>
      </c>
      <c r="D1078" s="141">
        <v>2261.0</v>
      </c>
      <c r="E1078" s="142">
        <v>10753.478892326355</v>
      </c>
      <c r="F1078" s="140" t="s">
        <v>2678</v>
      </c>
      <c r="G1078" s="143">
        <v>4.7940994054149434E7</v>
      </c>
      <c r="H1078" s="143">
        <v>5000.0</v>
      </c>
      <c r="I1078" s="144">
        <v>45511.0</v>
      </c>
      <c r="J1078" s="144">
        <v>45527.0</v>
      </c>
      <c r="K1078" s="145">
        <v>10908.213017940521</v>
      </c>
      <c r="L1078" s="114" t="s">
        <v>84</v>
      </c>
      <c r="M1078" s="163" t="s">
        <v>470</v>
      </c>
      <c r="N1078" s="108"/>
      <c r="O1078" s="108"/>
      <c r="P1078" s="108"/>
      <c r="Q1078" s="108"/>
      <c r="R1078" s="108" t="str">
        <f t="shared" si="1"/>
        <v>2024</v>
      </c>
      <c r="S1078" s="110">
        <f t="shared" si="2"/>
        <v>8</v>
      </c>
      <c r="T1078" s="108" t="str">
        <f t="shared" si="3"/>
        <v>2024-Q3</v>
      </c>
      <c r="U1078" s="108" t="str">
        <f t="shared" si="4"/>
        <v>2024-08</v>
      </c>
      <c r="V1078" s="112" t="str">
        <f t="shared" si="5"/>
        <v>2024-H2</v>
      </c>
      <c r="W1078" s="112"/>
    </row>
    <row r="1079">
      <c r="A1079" s="146">
        <f>HYPERLINK("https://polkadot.subsquare.io/referenda/1072", 1072)</f>
        <v>1072</v>
      </c>
      <c r="B1079" s="147" t="s">
        <v>3288</v>
      </c>
      <c r="C1079" s="147" t="s">
        <v>2775</v>
      </c>
      <c r="D1079" s="148">
        <v>399.4893227591249</v>
      </c>
      <c r="E1079" s="149">
        <v>1900.0</v>
      </c>
      <c r="F1079" s="147" t="s">
        <v>186</v>
      </c>
      <c r="G1079" s="150">
        <v>1.0174431288309304E7</v>
      </c>
      <c r="H1079" s="150">
        <v>1.0033847897421302E7</v>
      </c>
      <c r="I1079" s="151">
        <v>45511.0</v>
      </c>
      <c r="J1079" s="151">
        <v>45518.0</v>
      </c>
      <c r="K1079" s="152">
        <v>1743.6686990423098</v>
      </c>
      <c r="L1079" s="117"/>
      <c r="M1079" s="117"/>
      <c r="N1079" s="153"/>
      <c r="O1079" s="153"/>
      <c r="P1079" s="153"/>
      <c r="Q1079" s="153"/>
      <c r="R1079" s="153" t="str">
        <f t="shared" si="1"/>
        <v>2024</v>
      </c>
      <c r="S1079" s="154">
        <f t="shared" si="2"/>
        <v>8</v>
      </c>
      <c r="T1079" s="153" t="str">
        <f t="shared" si="3"/>
        <v>2024-Q3</v>
      </c>
      <c r="U1079" s="153" t="str">
        <f t="shared" si="4"/>
        <v>2024-08</v>
      </c>
      <c r="V1079" s="155" t="str">
        <f t="shared" si="5"/>
        <v>2024-H2</v>
      </c>
      <c r="W1079" s="155"/>
    </row>
    <row r="1080">
      <c r="A1080" s="139">
        <f>HYPERLINK("https://polkadot.subsquare.io/referenda/1073", 1073)</f>
        <v>1073</v>
      </c>
      <c r="B1080" s="162"/>
      <c r="C1080" s="140" t="s">
        <v>2691</v>
      </c>
      <c r="D1080" s="141">
        <v>0.0</v>
      </c>
      <c r="E1080" s="142">
        <v>0.0</v>
      </c>
      <c r="F1080" s="140" t="s">
        <v>2696</v>
      </c>
      <c r="G1080" s="143">
        <v>0.0</v>
      </c>
      <c r="H1080" s="143">
        <v>1.044622999876112E7</v>
      </c>
      <c r="I1080" s="144">
        <v>45511.0</v>
      </c>
      <c r="J1080" s="144">
        <v>45525.0</v>
      </c>
      <c r="K1080" s="145">
        <v>0.0</v>
      </c>
      <c r="L1080" s="114"/>
      <c r="M1080" s="114"/>
      <c r="N1080" s="108"/>
      <c r="O1080" s="108"/>
      <c r="P1080" s="108"/>
      <c r="Q1080" s="108"/>
      <c r="R1080" s="108" t="str">
        <f t="shared" si="1"/>
        <v>2024</v>
      </c>
      <c r="S1080" s="110">
        <f t="shared" si="2"/>
        <v>8</v>
      </c>
      <c r="T1080" s="108" t="str">
        <f t="shared" si="3"/>
        <v>2024-Q3</v>
      </c>
      <c r="U1080" s="108" t="str">
        <f t="shared" si="4"/>
        <v>2024-08</v>
      </c>
      <c r="V1080" s="112" t="str">
        <f t="shared" si="5"/>
        <v>2024-H2</v>
      </c>
      <c r="W1080" s="112"/>
    </row>
    <row r="1081">
      <c r="A1081" s="146">
        <f>HYPERLINK("https://polkadot.subsquare.io/referenda/1074", 1074)</f>
        <v>1074</v>
      </c>
      <c r="B1081" s="147" t="s">
        <v>3289</v>
      </c>
      <c r="C1081" s="147" t="s">
        <v>3286</v>
      </c>
      <c r="D1081" s="148">
        <v>0.22</v>
      </c>
      <c r="E1081" s="149">
        <v>1.0463358497619628</v>
      </c>
      <c r="F1081" s="147" t="s">
        <v>2696</v>
      </c>
      <c r="G1081" s="150">
        <v>4.1329883917112865E7</v>
      </c>
      <c r="H1081" s="150">
        <v>5010.0</v>
      </c>
      <c r="I1081" s="151">
        <v>45511.0</v>
      </c>
      <c r="J1081" s="151">
        <v>45539.0</v>
      </c>
      <c r="K1081" s="152">
        <v>0.8710836172103882</v>
      </c>
      <c r="L1081" s="117"/>
      <c r="M1081" s="117"/>
      <c r="N1081" s="153"/>
      <c r="O1081" s="153"/>
      <c r="P1081" s="153"/>
      <c r="Q1081" s="153"/>
      <c r="R1081" s="153" t="str">
        <f t="shared" si="1"/>
        <v>2024</v>
      </c>
      <c r="S1081" s="154">
        <f t="shared" si="2"/>
        <v>9</v>
      </c>
      <c r="T1081" s="153" t="str">
        <f t="shared" si="3"/>
        <v>2024-Q3</v>
      </c>
      <c r="U1081" s="153" t="str">
        <f t="shared" si="4"/>
        <v>2024-09</v>
      </c>
      <c r="V1081" s="155" t="str">
        <f t="shared" si="5"/>
        <v>2024-H2</v>
      </c>
      <c r="W1081" s="155"/>
    </row>
    <row r="1082">
      <c r="A1082" s="139">
        <f>HYPERLINK("https://polkadot.subsquare.io/referenda/1075", 1075)</f>
        <v>1075</v>
      </c>
      <c r="B1082" s="162"/>
      <c r="C1082" s="140" t="s">
        <v>2691</v>
      </c>
      <c r="D1082" s="141">
        <v>0.0</v>
      </c>
      <c r="E1082" s="142">
        <v>0.0</v>
      </c>
      <c r="F1082" s="140" t="s">
        <v>2696</v>
      </c>
      <c r="G1082" s="143">
        <v>21915.1</v>
      </c>
      <c r="H1082" s="143">
        <v>3.266112396490465E7</v>
      </c>
      <c r="I1082" s="144">
        <v>45511.0</v>
      </c>
      <c r="J1082" s="144">
        <v>45525.0</v>
      </c>
      <c r="K1082" s="145">
        <v>0.0</v>
      </c>
      <c r="L1082" s="114"/>
      <c r="M1082" s="114"/>
      <c r="N1082" s="108"/>
      <c r="O1082" s="108"/>
      <c r="P1082" s="108"/>
      <c r="Q1082" s="108"/>
      <c r="R1082" s="108" t="str">
        <f t="shared" si="1"/>
        <v>2024</v>
      </c>
      <c r="S1082" s="110">
        <f t="shared" si="2"/>
        <v>8</v>
      </c>
      <c r="T1082" s="108" t="str">
        <f t="shared" si="3"/>
        <v>2024-Q3</v>
      </c>
      <c r="U1082" s="108" t="str">
        <f t="shared" si="4"/>
        <v>2024-08</v>
      </c>
      <c r="V1082" s="112" t="str">
        <f t="shared" si="5"/>
        <v>2024-H2</v>
      </c>
      <c r="W1082" s="112"/>
    </row>
    <row r="1083">
      <c r="A1083" s="146">
        <f>HYPERLINK("https://polkadot.subsquare.io/referenda/1076", 1076)</f>
        <v>1076</v>
      </c>
      <c r="B1083" s="147" t="s">
        <v>582</v>
      </c>
      <c r="C1083" s="147" t="s">
        <v>2681</v>
      </c>
      <c r="D1083" s="148">
        <v>8272.05</v>
      </c>
      <c r="E1083" s="149">
        <v>39342.46575465202</v>
      </c>
      <c r="F1083" s="147" t="s">
        <v>2678</v>
      </c>
      <c r="G1083" s="150">
        <v>4.502370914317193E7</v>
      </c>
      <c r="H1083" s="150">
        <v>3.7266925205946356E7</v>
      </c>
      <c r="I1083" s="151">
        <v>45511.0</v>
      </c>
      <c r="J1083" s="151">
        <v>45534.0</v>
      </c>
      <c r="K1083" s="152">
        <v>34813.824940037724</v>
      </c>
      <c r="L1083" s="117" t="s">
        <v>81</v>
      </c>
      <c r="M1083" s="117" t="s">
        <v>146</v>
      </c>
      <c r="N1083" s="153"/>
      <c r="O1083" s="153"/>
      <c r="P1083" s="153"/>
      <c r="Q1083" s="153"/>
      <c r="R1083" s="153" t="str">
        <f t="shared" si="1"/>
        <v>2024</v>
      </c>
      <c r="S1083" s="154">
        <f t="shared" si="2"/>
        <v>8</v>
      </c>
      <c r="T1083" s="153" t="str">
        <f t="shared" si="3"/>
        <v>2024-Q3</v>
      </c>
      <c r="U1083" s="153" t="str">
        <f t="shared" si="4"/>
        <v>2024-08</v>
      </c>
      <c r="V1083" s="155" t="str">
        <f t="shared" si="5"/>
        <v>2024-H2</v>
      </c>
      <c r="W1083" s="155"/>
    </row>
    <row r="1084">
      <c r="A1084" s="139">
        <f>HYPERLINK("https://polkadot.subsquare.io/referenda/1078", 1078)</f>
        <v>1078</v>
      </c>
      <c r="B1084" s="140" t="s">
        <v>3290</v>
      </c>
      <c r="C1084" s="140" t="s">
        <v>3286</v>
      </c>
      <c r="D1084" s="141">
        <v>23565.244376945895</v>
      </c>
      <c r="E1084" s="142">
        <v>112078.0</v>
      </c>
      <c r="F1084" s="140" t="s">
        <v>2683</v>
      </c>
      <c r="G1084" s="143">
        <v>2.9927313415197026E7</v>
      </c>
      <c r="H1084" s="143">
        <v>4.384248216768366E7</v>
      </c>
      <c r="I1084" s="144">
        <v>45512.0</v>
      </c>
      <c r="J1084" s="144">
        <v>45539.0</v>
      </c>
      <c r="K1084" s="145">
        <v>93305.90141962178</v>
      </c>
      <c r="L1084" s="114"/>
      <c r="M1084" s="114"/>
      <c r="N1084" s="108"/>
      <c r="O1084" s="108"/>
      <c r="P1084" s="108"/>
      <c r="Q1084" s="108"/>
      <c r="R1084" s="108" t="str">
        <f t="shared" si="1"/>
        <v>2024</v>
      </c>
      <c r="S1084" s="110">
        <f t="shared" si="2"/>
        <v>9</v>
      </c>
      <c r="T1084" s="108" t="str">
        <f t="shared" si="3"/>
        <v>2024-Q3</v>
      </c>
      <c r="U1084" s="108" t="str">
        <f t="shared" si="4"/>
        <v>2024-09</v>
      </c>
      <c r="V1084" s="112" t="str">
        <f t="shared" si="5"/>
        <v>2024-H2</v>
      </c>
      <c r="W1084" s="112"/>
    </row>
    <row r="1085">
      <c r="A1085" s="146">
        <f>HYPERLINK("https://polkadot.subsquare.io/referenda/1079", 1079)</f>
        <v>1079</v>
      </c>
      <c r="B1085" s="147" t="s">
        <v>583</v>
      </c>
      <c r="C1085" s="147" t="s">
        <v>2681</v>
      </c>
      <c r="D1085" s="148">
        <v>45.0</v>
      </c>
      <c r="E1085" s="149">
        <v>202.33449697494507</v>
      </c>
      <c r="F1085" s="147" t="s">
        <v>186</v>
      </c>
      <c r="G1085" s="150">
        <v>1.2329841210595997E7</v>
      </c>
      <c r="H1085" s="150">
        <v>245574.1967</v>
      </c>
      <c r="I1085" s="151">
        <v>45513.0</v>
      </c>
      <c r="J1085" s="151">
        <v>45515.0</v>
      </c>
      <c r="K1085" s="152">
        <v>197.38476991653442</v>
      </c>
      <c r="L1085" s="117" t="s">
        <v>137</v>
      </c>
      <c r="M1085" s="117" t="s">
        <v>138</v>
      </c>
      <c r="N1085" s="153"/>
      <c r="O1085" s="153"/>
      <c r="P1085" s="153"/>
      <c r="Q1085" s="153"/>
      <c r="R1085" s="153" t="str">
        <f t="shared" si="1"/>
        <v>2024</v>
      </c>
      <c r="S1085" s="154">
        <f t="shared" si="2"/>
        <v>8</v>
      </c>
      <c r="T1085" s="153" t="str">
        <f t="shared" si="3"/>
        <v>2024-Q3</v>
      </c>
      <c r="U1085" s="153" t="str">
        <f t="shared" si="4"/>
        <v>2024-08</v>
      </c>
      <c r="V1085" s="155" t="str">
        <f t="shared" si="5"/>
        <v>2024-H2</v>
      </c>
      <c r="W1085" s="155"/>
    </row>
    <row r="1086">
      <c r="A1086" s="139">
        <f>HYPERLINK("https://polkadot.subsquare.io/referenda/1080", 1080)</f>
        <v>1080</v>
      </c>
      <c r="B1086" s="140" t="s">
        <v>3291</v>
      </c>
      <c r="C1086" s="140" t="s">
        <v>2681</v>
      </c>
      <c r="D1086" s="141">
        <v>0.0</v>
      </c>
      <c r="E1086" s="142">
        <v>0.0</v>
      </c>
      <c r="F1086" s="140" t="s">
        <v>2683</v>
      </c>
      <c r="G1086" s="143">
        <v>6.304759505914222E7</v>
      </c>
      <c r="H1086" s="143">
        <v>5000.0</v>
      </c>
      <c r="I1086" s="144">
        <v>45514.0</v>
      </c>
      <c r="J1086" s="144">
        <v>45535.0</v>
      </c>
      <c r="K1086" s="145">
        <v>0.0</v>
      </c>
      <c r="L1086" s="114"/>
      <c r="M1086" s="114"/>
      <c r="N1086" s="108"/>
      <c r="O1086" s="108"/>
      <c r="P1086" s="108"/>
      <c r="Q1086" s="108"/>
      <c r="R1086" s="108" t="str">
        <f t="shared" si="1"/>
        <v>2024</v>
      </c>
      <c r="S1086" s="110">
        <f t="shared" si="2"/>
        <v>8</v>
      </c>
      <c r="T1086" s="108" t="str">
        <f t="shared" si="3"/>
        <v>2024-Q3</v>
      </c>
      <c r="U1086" s="108" t="str">
        <f t="shared" si="4"/>
        <v>2024-08</v>
      </c>
      <c r="V1086" s="112" t="str">
        <f t="shared" si="5"/>
        <v>2024-H2</v>
      </c>
      <c r="W1086" s="112"/>
    </row>
    <row r="1087">
      <c r="A1087" s="146">
        <f>HYPERLINK("https://polkadot.subsquare.io/referenda/1081", 1081)</f>
        <v>1081</v>
      </c>
      <c r="B1087" s="147" t="s">
        <v>3292</v>
      </c>
      <c r="C1087" s="147" t="s">
        <v>2672</v>
      </c>
      <c r="D1087" s="148">
        <v>220.0</v>
      </c>
      <c r="E1087" s="149">
        <v>1000.8862209320068</v>
      </c>
      <c r="F1087" s="147" t="s">
        <v>186</v>
      </c>
      <c r="G1087" s="150">
        <v>4398216.2473408375</v>
      </c>
      <c r="H1087" s="150">
        <v>1.848150101495825E7</v>
      </c>
      <c r="I1087" s="151">
        <v>45514.0</v>
      </c>
      <c r="J1087" s="151">
        <v>45522.0</v>
      </c>
      <c r="K1087" s="152">
        <v>1027.3593139648438</v>
      </c>
      <c r="L1087" s="117"/>
      <c r="M1087" s="117"/>
      <c r="N1087" s="153"/>
      <c r="O1087" s="153"/>
      <c r="P1087" s="153"/>
      <c r="Q1087" s="153"/>
      <c r="R1087" s="153" t="str">
        <f t="shared" si="1"/>
        <v>2024</v>
      </c>
      <c r="S1087" s="154">
        <f t="shared" si="2"/>
        <v>8</v>
      </c>
      <c r="T1087" s="153" t="str">
        <f t="shared" si="3"/>
        <v>2024-Q3</v>
      </c>
      <c r="U1087" s="153" t="str">
        <f t="shared" si="4"/>
        <v>2024-08</v>
      </c>
      <c r="V1087" s="155" t="str">
        <f t="shared" si="5"/>
        <v>2024-H2</v>
      </c>
      <c r="W1087" s="155"/>
    </row>
    <row r="1088">
      <c r="A1088" s="139">
        <f>HYPERLINK("https://polkadot.subsquare.io/referenda/1082", 1082)</f>
        <v>1082</v>
      </c>
      <c r="B1088" s="140" t="s">
        <v>585</v>
      </c>
      <c r="C1088" s="140" t="s">
        <v>2681</v>
      </c>
      <c r="D1088" s="141">
        <v>10990.260201361352</v>
      </c>
      <c r="E1088" s="142">
        <v>50000.0</v>
      </c>
      <c r="F1088" s="140" t="s">
        <v>2683</v>
      </c>
      <c r="G1088" s="143">
        <v>5.408314907064396E7</v>
      </c>
      <c r="H1088" s="143">
        <v>20079.9</v>
      </c>
      <c r="I1088" s="144">
        <v>45514.0</v>
      </c>
      <c r="J1088" s="144">
        <v>45536.0</v>
      </c>
      <c r="K1088" s="145">
        <v>45169.441597944526</v>
      </c>
      <c r="L1088" s="114" t="s">
        <v>84</v>
      </c>
      <c r="M1088" s="163" t="s">
        <v>584</v>
      </c>
      <c r="N1088" s="108"/>
      <c r="O1088" s="108"/>
      <c r="P1088" s="108"/>
      <c r="Q1088" s="108"/>
      <c r="R1088" s="108" t="str">
        <f t="shared" si="1"/>
        <v>2024</v>
      </c>
      <c r="S1088" s="110">
        <f t="shared" si="2"/>
        <v>9</v>
      </c>
      <c r="T1088" s="108" t="str">
        <f t="shared" si="3"/>
        <v>2024-Q3</v>
      </c>
      <c r="U1088" s="108" t="str">
        <f t="shared" si="4"/>
        <v>2024-09</v>
      </c>
      <c r="V1088" s="112" t="str">
        <f t="shared" si="5"/>
        <v>2024-H2</v>
      </c>
      <c r="W1088" s="112"/>
    </row>
    <row r="1089">
      <c r="A1089" s="146">
        <f>HYPERLINK("https://polkadot.subsquare.io/referenda/1083", 1083)</f>
        <v>1083</v>
      </c>
      <c r="B1089" s="147" t="s">
        <v>3293</v>
      </c>
      <c r="C1089" s="147" t="s">
        <v>3286</v>
      </c>
      <c r="D1089" s="148">
        <v>115814.40660121101</v>
      </c>
      <c r="E1089" s="149">
        <v>508000.0</v>
      </c>
      <c r="F1089" s="147" t="s">
        <v>2683</v>
      </c>
      <c r="G1089" s="150">
        <v>2.717535683048169E7</v>
      </c>
      <c r="H1089" s="150">
        <v>6.4280033317419596E7</v>
      </c>
      <c r="I1089" s="151">
        <v>45515.0</v>
      </c>
      <c r="J1089" s="151">
        <v>45539.0</v>
      </c>
      <c r="K1089" s="152">
        <v>458563.7828511707</v>
      </c>
      <c r="L1089" s="117"/>
      <c r="M1089" s="117"/>
      <c r="N1089" s="153"/>
      <c r="O1089" s="153"/>
      <c r="P1089" s="153"/>
      <c r="Q1089" s="153"/>
      <c r="R1089" s="153" t="str">
        <f t="shared" si="1"/>
        <v>2024</v>
      </c>
      <c r="S1089" s="154">
        <f t="shared" si="2"/>
        <v>9</v>
      </c>
      <c r="T1089" s="153" t="str">
        <f t="shared" si="3"/>
        <v>2024-Q3</v>
      </c>
      <c r="U1089" s="153" t="str">
        <f t="shared" si="4"/>
        <v>2024-09</v>
      </c>
      <c r="V1089" s="155" t="str">
        <f t="shared" si="5"/>
        <v>2024-H2</v>
      </c>
      <c r="W1089" s="155"/>
    </row>
    <row r="1090">
      <c r="A1090" s="139">
        <f>HYPERLINK("https://polkadot.subsquare.io/referenda/1084", 1084)</f>
        <v>1084</v>
      </c>
      <c r="B1090" s="140" t="s">
        <v>3294</v>
      </c>
      <c r="C1090" s="140" t="s">
        <v>2672</v>
      </c>
      <c r="D1090" s="141">
        <v>1000.0</v>
      </c>
      <c r="E1090" s="142">
        <v>4386.328220367432</v>
      </c>
      <c r="F1090" s="140" t="s">
        <v>2699</v>
      </c>
      <c r="G1090" s="143">
        <v>4250279.919099883</v>
      </c>
      <c r="H1090" s="143">
        <v>1.4377774758197915E7</v>
      </c>
      <c r="I1090" s="144">
        <v>45516.0</v>
      </c>
      <c r="J1090" s="144">
        <v>45523.0</v>
      </c>
      <c r="K1090" s="145">
        <v>4693.690776824951</v>
      </c>
      <c r="L1090" s="114"/>
      <c r="M1090" s="114"/>
      <c r="N1090" s="108"/>
      <c r="O1090" s="108"/>
      <c r="P1090" s="108"/>
      <c r="Q1090" s="108"/>
      <c r="R1090" s="108" t="str">
        <f t="shared" si="1"/>
        <v>2024</v>
      </c>
      <c r="S1090" s="110">
        <f t="shared" si="2"/>
        <v>8</v>
      </c>
      <c r="T1090" s="108" t="str">
        <f t="shared" si="3"/>
        <v>2024-Q3</v>
      </c>
      <c r="U1090" s="108" t="str">
        <f t="shared" si="4"/>
        <v>2024-08</v>
      </c>
      <c r="V1090" s="112" t="str">
        <f t="shared" si="5"/>
        <v>2024-H2</v>
      </c>
      <c r="W1090" s="112"/>
    </row>
    <row r="1091">
      <c r="A1091" s="146">
        <f>HYPERLINK("https://polkadot.subsquare.io/referenda/1085", 1085)</f>
        <v>1085</v>
      </c>
      <c r="B1091" s="147" t="s">
        <v>3295</v>
      </c>
      <c r="C1091" s="147" t="s">
        <v>3286</v>
      </c>
      <c r="D1091" s="148">
        <v>28020.29019006855</v>
      </c>
      <c r="E1091" s="149">
        <v>120000.0</v>
      </c>
      <c r="F1091" s="147" t="s">
        <v>2683</v>
      </c>
      <c r="G1091" s="150">
        <v>8942.0</v>
      </c>
      <c r="H1091" s="150">
        <v>5.281578560291058E7</v>
      </c>
      <c r="I1091" s="151">
        <v>45516.0</v>
      </c>
      <c r="J1091" s="151">
        <v>45539.0</v>
      </c>
      <c r="K1091" s="152">
        <v>110945.52606386213</v>
      </c>
      <c r="L1091" s="117"/>
      <c r="M1091" s="117"/>
      <c r="N1091" s="153"/>
      <c r="O1091" s="153"/>
      <c r="P1091" s="153"/>
      <c r="Q1091" s="153"/>
      <c r="R1091" s="153" t="str">
        <f t="shared" si="1"/>
        <v>2024</v>
      </c>
      <c r="S1091" s="154">
        <f t="shared" si="2"/>
        <v>9</v>
      </c>
      <c r="T1091" s="153" t="str">
        <f t="shared" si="3"/>
        <v>2024-Q3</v>
      </c>
      <c r="U1091" s="153" t="str">
        <f t="shared" si="4"/>
        <v>2024-09</v>
      </c>
      <c r="V1091" s="155" t="str">
        <f t="shared" si="5"/>
        <v>2024-H2</v>
      </c>
      <c r="W1091" s="155"/>
    </row>
    <row r="1092">
      <c r="A1092" s="139">
        <f>HYPERLINK("https://polkadot.subsquare.io/referenda/1086", 1086)</f>
        <v>1086</v>
      </c>
      <c r="B1092" s="140" t="s">
        <v>3296</v>
      </c>
      <c r="C1092" s="140" t="s">
        <v>3286</v>
      </c>
      <c r="D1092" s="141">
        <v>87351.0</v>
      </c>
      <c r="E1092" s="142">
        <v>374090.3441362381</v>
      </c>
      <c r="F1092" s="140" t="s">
        <v>2683</v>
      </c>
      <c r="G1092" s="143">
        <v>18800.1</v>
      </c>
      <c r="H1092" s="143">
        <v>5.481902685551743E7</v>
      </c>
      <c r="I1092" s="144">
        <v>45516.0</v>
      </c>
      <c r="J1092" s="144">
        <v>45539.0</v>
      </c>
      <c r="K1092" s="145">
        <v>345863.7502133846</v>
      </c>
      <c r="L1092" s="114"/>
      <c r="M1092" s="114"/>
      <c r="N1092" s="108"/>
      <c r="O1092" s="108"/>
      <c r="P1092" s="108"/>
      <c r="Q1092" s="108"/>
      <c r="R1092" s="108" t="str">
        <f t="shared" si="1"/>
        <v>2024</v>
      </c>
      <c r="S1092" s="110">
        <f t="shared" si="2"/>
        <v>9</v>
      </c>
      <c r="T1092" s="108" t="str">
        <f t="shared" si="3"/>
        <v>2024-Q3</v>
      </c>
      <c r="U1092" s="108" t="str">
        <f t="shared" si="4"/>
        <v>2024-09</v>
      </c>
      <c r="V1092" s="112" t="str">
        <f t="shared" si="5"/>
        <v>2024-H2</v>
      </c>
      <c r="W1092" s="156" t="s">
        <v>2654</v>
      </c>
    </row>
    <row r="1093">
      <c r="A1093" s="146">
        <f>HYPERLINK("https://polkadot.subsquare.io/referenda/1087", 1087)</f>
        <v>1087</v>
      </c>
      <c r="B1093" s="147" t="s">
        <v>3131</v>
      </c>
      <c r="C1093" s="147" t="s">
        <v>3286</v>
      </c>
      <c r="D1093" s="148">
        <v>6011.2862554427065</v>
      </c>
      <c r="E1093" s="149">
        <v>25744.000000000004</v>
      </c>
      <c r="F1093" s="147" t="s">
        <v>2678</v>
      </c>
      <c r="G1093" s="150">
        <v>7010.00001</v>
      </c>
      <c r="H1093" s="150">
        <v>4.9866714145237364E7</v>
      </c>
      <c r="I1093" s="151">
        <v>45517.0</v>
      </c>
      <c r="J1093" s="151">
        <v>45539.0</v>
      </c>
      <c r="K1093" s="152">
        <v>23801.513524900554</v>
      </c>
      <c r="L1093" s="117"/>
      <c r="M1093" s="117"/>
      <c r="N1093" s="153"/>
      <c r="O1093" s="153"/>
      <c r="P1093" s="153"/>
      <c r="Q1093" s="153"/>
      <c r="R1093" s="153" t="str">
        <f t="shared" si="1"/>
        <v>2024</v>
      </c>
      <c r="S1093" s="154">
        <f t="shared" si="2"/>
        <v>9</v>
      </c>
      <c r="T1093" s="153" t="str">
        <f t="shared" si="3"/>
        <v>2024-Q3</v>
      </c>
      <c r="U1093" s="153" t="str">
        <f t="shared" si="4"/>
        <v>2024-09</v>
      </c>
      <c r="V1093" s="155" t="str">
        <f t="shared" si="5"/>
        <v>2024-H2</v>
      </c>
      <c r="W1093" s="158" t="s">
        <v>2654</v>
      </c>
    </row>
    <row r="1094">
      <c r="A1094" s="139">
        <f>HYPERLINK("https://polkadot.subsquare.io/referenda/1088", 1088)</f>
        <v>1088</v>
      </c>
      <c r="B1094" s="140" t="s">
        <v>586</v>
      </c>
      <c r="C1094" s="140" t="s">
        <v>2681</v>
      </c>
      <c r="D1094" s="141">
        <v>80.0</v>
      </c>
      <c r="E1094" s="142">
        <v>342.60887145996094</v>
      </c>
      <c r="F1094" s="140" t="s">
        <v>186</v>
      </c>
      <c r="G1094" s="143">
        <v>1.4363199370489394E7</v>
      </c>
      <c r="H1094" s="143">
        <v>0.0</v>
      </c>
      <c r="I1094" s="144">
        <v>45517.0</v>
      </c>
      <c r="J1094" s="144">
        <v>45519.0</v>
      </c>
      <c r="K1094" s="145">
        <v>351.2861633300781</v>
      </c>
      <c r="L1094" s="114" t="s">
        <v>81</v>
      </c>
      <c r="M1094" s="114" t="s">
        <v>185</v>
      </c>
      <c r="N1094" s="108"/>
      <c r="O1094" s="108"/>
      <c r="P1094" s="108"/>
      <c r="Q1094" s="108"/>
      <c r="R1094" s="108" t="str">
        <f t="shared" si="1"/>
        <v>2024</v>
      </c>
      <c r="S1094" s="110">
        <f t="shared" si="2"/>
        <v>8</v>
      </c>
      <c r="T1094" s="108" t="str">
        <f t="shared" si="3"/>
        <v>2024-Q3</v>
      </c>
      <c r="U1094" s="108" t="str">
        <f t="shared" si="4"/>
        <v>2024-08</v>
      </c>
      <c r="V1094" s="112" t="str">
        <f t="shared" si="5"/>
        <v>2024-H2</v>
      </c>
      <c r="W1094" s="112"/>
    </row>
    <row r="1095">
      <c r="A1095" s="146">
        <f>HYPERLINK("https://polkadot.subsquare.io/referenda/1089", 1089)</f>
        <v>1089</v>
      </c>
      <c r="B1095" s="147" t="s">
        <v>3297</v>
      </c>
      <c r="C1095" s="147" t="s">
        <v>3286</v>
      </c>
      <c r="D1095" s="148">
        <v>7005.0725475171375</v>
      </c>
      <c r="E1095" s="149">
        <v>30000.0</v>
      </c>
      <c r="F1095" s="147" t="s">
        <v>2683</v>
      </c>
      <c r="G1095" s="150">
        <v>5725555.027848743</v>
      </c>
      <c r="H1095" s="150">
        <v>1.7494363437752873E7</v>
      </c>
      <c r="I1095" s="151">
        <v>45517.0</v>
      </c>
      <c r="J1095" s="151">
        <v>45539.0</v>
      </c>
      <c r="K1095" s="152">
        <v>27736.38151596553</v>
      </c>
      <c r="L1095" s="117"/>
      <c r="M1095" s="117"/>
      <c r="N1095" s="153"/>
      <c r="O1095" s="153"/>
      <c r="P1095" s="153"/>
      <c r="Q1095" s="153"/>
      <c r="R1095" s="153" t="str">
        <f t="shared" si="1"/>
        <v>2024</v>
      </c>
      <c r="S1095" s="154">
        <f t="shared" si="2"/>
        <v>9</v>
      </c>
      <c r="T1095" s="153" t="str">
        <f t="shared" si="3"/>
        <v>2024-Q3</v>
      </c>
      <c r="U1095" s="153" t="str">
        <f t="shared" si="4"/>
        <v>2024-09</v>
      </c>
      <c r="V1095" s="155" t="str">
        <f t="shared" si="5"/>
        <v>2024-H2</v>
      </c>
      <c r="W1095" s="155"/>
    </row>
    <row r="1096">
      <c r="A1096" s="139">
        <f>HYPERLINK("https://polkadot.subsquare.io/referenda/1090", 1090)</f>
        <v>1090</v>
      </c>
      <c r="B1096" s="140" t="s">
        <v>3298</v>
      </c>
      <c r="C1096" s="140" t="s">
        <v>3286</v>
      </c>
      <c r="D1096" s="141">
        <v>42140.22833031294</v>
      </c>
      <c r="E1096" s="142">
        <v>181000.0</v>
      </c>
      <c r="F1096" s="140" t="s">
        <v>2683</v>
      </c>
      <c r="G1096" s="143">
        <v>3.134094597638106E7</v>
      </c>
      <c r="H1096" s="143">
        <v>7840576.930412034</v>
      </c>
      <c r="I1096" s="144">
        <v>45517.0</v>
      </c>
      <c r="J1096" s="144">
        <v>45539.0</v>
      </c>
      <c r="K1096" s="145">
        <v>166853.01147291213</v>
      </c>
      <c r="L1096" s="114" t="s">
        <v>137</v>
      </c>
      <c r="M1096" s="114"/>
      <c r="N1096" s="108"/>
      <c r="O1096" s="108"/>
      <c r="P1096" s="108"/>
      <c r="Q1096" s="108"/>
      <c r="R1096" s="108" t="str">
        <f t="shared" si="1"/>
        <v>2024</v>
      </c>
      <c r="S1096" s="110">
        <f t="shared" si="2"/>
        <v>9</v>
      </c>
      <c r="T1096" s="108" t="str">
        <f t="shared" si="3"/>
        <v>2024-Q3</v>
      </c>
      <c r="U1096" s="108" t="str">
        <f t="shared" si="4"/>
        <v>2024-09</v>
      </c>
      <c r="V1096" s="112" t="str">
        <f t="shared" si="5"/>
        <v>2024-H2</v>
      </c>
      <c r="W1096" s="112"/>
    </row>
    <row r="1097">
      <c r="A1097" s="146">
        <f>HYPERLINK("https://polkadot.subsquare.io/referenda/1091", 1091)</f>
        <v>1091</v>
      </c>
      <c r="B1097" s="147" t="s">
        <v>587</v>
      </c>
      <c r="C1097" s="147" t="s">
        <v>2681</v>
      </c>
      <c r="D1097" s="148">
        <v>9075.282322185627</v>
      </c>
      <c r="E1097" s="149">
        <v>38980.0</v>
      </c>
      <c r="F1097" s="147" t="s">
        <v>2678</v>
      </c>
      <c r="G1097" s="150">
        <v>3.869458555986859E7</v>
      </c>
      <c r="H1097" s="150">
        <v>3.541681840017177E7</v>
      </c>
      <c r="I1097" s="151">
        <v>45517.0</v>
      </c>
      <c r="J1097" s="151">
        <v>45537.0</v>
      </c>
      <c r="K1097" s="152">
        <v>37298.974485248764</v>
      </c>
      <c r="L1097" s="117" t="s">
        <v>137</v>
      </c>
      <c r="M1097" s="117" t="s">
        <v>138</v>
      </c>
      <c r="N1097" s="153"/>
      <c r="O1097" s="153"/>
      <c r="P1097" s="153"/>
      <c r="Q1097" s="153"/>
      <c r="R1097" s="153" t="str">
        <f t="shared" si="1"/>
        <v>2024</v>
      </c>
      <c r="S1097" s="154">
        <f t="shared" si="2"/>
        <v>9</v>
      </c>
      <c r="T1097" s="153" t="str">
        <f t="shared" si="3"/>
        <v>2024-Q3</v>
      </c>
      <c r="U1097" s="153" t="str">
        <f t="shared" si="4"/>
        <v>2024-09</v>
      </c>
      <c r="V1097" s="155" t="str">
        <f t="shared" si="5"/>
        <v>2024-H2</v>
      </c>
      <c r="W1097" s="155"/>
    </row>
    <row r="1098">
      <c r="A1098" s="139">
        <f>HYPERLINK("https://polkadot.subsquare.io/referenda/1092", 1092)</f>
        <v>1092</v>
      </c>
      <c r="B1098" s="140" t="s">
        <v>3299</v>
      </c>
      <c r="C1098" s="140" t="s">
        <v>3286</v>
      </c>
      <c r="D1098" s="141">
        <v>37604.0</v>
      </c>
      <c r="E1098" s="142">
        <v>161516.0683670044</v>
      </c>
      <c r="F1098" s="140" t="s">
        <v>2683</v>
      </c>
      <c r="G1098" s="143">
        <v>3000.0</v>
      </c>
      <c r="H1098" s="143">
        <v>6.1277493030766174E7</v>
      </c>
      <c r="I1098" s="144">
        <v>45517.0</v>
      </c>
      <c r="J1098" s="144">
        <v>45539.0</v>
      </c>
      <c r="K1098" s="145">
        <v>148891.94700717926</v>
      </c>
      <c r="L1098" s="114"/>
      <c r="M1098" s="114"/>
      <c r="N1098" s="108"/>
      <c r="O1098" s="108"/>
      <c r="P1098" s="108"/>
      <c r="Q1098" s="108"/>
      <c r="R1098" s="108" t="str">
        <f t="shared" si="1"/>
        <v>2024</v>
      </c>
      <c r="S1098" s="110">
        <f t="shared" si="2"/>
        <v>9</v>
      </c>
      <c r="T1098" s="108" t="str">
        <f t="shared" si="3"/>
        <v>2024-Q3</v>
      </c>
      <c r="U1098" s="108" t="str">
        <f t="shared" si="4"/>
        <v>2024-09</v>
      </c>
      <c r="V1098" s="112" t="str">
        <f t="shared" si="5"/>
        <v>2024-H2</v>
      </c>
      <c r="W1098" s="112"/>
    </row>
    <row r="1099">
      <c r="A1099" s="146">
        <f>HYPERLINK("https://polkadot.subsquare.io/referenda/1093", 1093)</f>
        <v>1093</v>
      </c>
      <c r="B1099" s="147" t="s">
        <v>3300</v>
      </c>
      <c r="C1099" s="147" t="s">
        <v>2672</v>
      </c>
      <c r="D1099" s="148">
        <v>1000.0</v>
      </c>
      <c r="E1099" s="149">
        <v>4295.183181762695</v>
      </c>
      <c r="F1099" s="147" t="s">
        <v>2699</v>
      </c>
      <c r="G1099" s="150">
        <v>14468.0</v>
      </c>
      <c r="H1099" s="150">
        <v>2.7204401698171422E7</v>
      </c>
      <c r="I1099" s="151">
        <v>45518.0</v>
      </c>
      <c r="J1099" s="151">
        <v>45525.0</v>
      </c>
      <c r="K1099" s="152">
        <v>4898.672103881836</v>
      </c>
      <c r="L1099" s="117"/>
      <c r="M1099" s="117"/>
      <c r="N1099" s="153"/>
      <c r="O1099" s="153"/>
      <c r="P1099" s="153"/>
      <c r="Q1099" s="153"/>
      <c r="R1099" s="153" t="str">
        <f t="shared" si="1"/>
        <v>2024</v>
      </c>
      <c r="S1099" s="154">
        <f t="shared" si="2"/>
        <v>8</v>
      </c>
      <c r="T1099" s="153" t="str">
        <f t="shared" si="3"/>
        <v>2024-Q3</v>
      </c>
      <c r="U1099" s="153" t="str">
        <f t="shared" si="4"/>
        <v>2024-08</v>
      </c>
      <c r="V1099" s="155" t="str">
        <f t="shared" si="5"/>
        <v>2024-H2</v>
      </c>
      <c r="W1099" s="155"/>
    </row>
    <row r="1100">
      <c r="A1100" s="139">
        <f>HYPERLINK("https://polkadot.subsquare.io/referenda/1094", 1094)</f>
        <v>1094</v>
      </c>
      <c r="B1100" s="140" t="s">
        <v>3301</v>
      </c>
      <c r="C1100" s="140" t="s">
        <v>3286</v>
      </c>
      <c r="D1100" s="141">
        <v>21719.485942694035</v>
      </c>
      <c r="E1100" s="142">
        <v>94800.0</v>
      </c>
      <c r="F1100" s="140" t="s">
        <v>2683</v>
      </c>
      <c r="G1100" s="143">
        <v>3026268.0091053997</v>
      </c>
      <c r="H1100" s="143">
        <v>4.480318973936463E7</v>
      </c>
      <c r="I1100" s="144">
        <v>45518.0</v>
      </c>
      <c r="J1100" s="144">
        <v>45539.0</v>
      </c>
      <c r="K1100" s="145">
        <v>85997.67444960044</v>
      </c>
      <c r="L1100" s="114"/>
      <c r="M1100" s="114"/>
      <c r="N1100" s="108"/>
      <c r="O1100" s="108"/>
      <c r="P1100" s="108"/>
      <c r="Q1100" s="108"/>
      <c r="R1100" s="108" t="str">
        <f t="shared" si="1"/>
        <v>2024</v>
      </c>
      <c r="S1100" s="110">
        <f t="shared" si="2"/>
        <v>9</v>
      </c>
      <c r="T1100" s="108" t="str">
        <f t="shared" si="3"/>
        <v>2024-Q3</v>
      </c>
      <c r="U1100" s="108" t="str">
        <f t="shared" si="4"/>
        <v>2024-09</v>
      </c>
      <c r="V1100" s="112" t="str">
        <f t="shared" si="5"/>
        <v>2024-H2</v>
      </c>
      <c r="W1100" s="112"/>
    </row>
    <row r="1101">
      <c r="A1101" s="146">
        <f>HYPERLINK("https://polkadot.subsquare.io/referenda/1095", 1095)</f>
        <v>1095</v>
      </c>
      <c r="B1101" s="147" t="s">
        <v>588</v>
      </c>
      <c r="C1101" s="147" t="s">
        <v>2681</v>
      </c>
      <c r="D1101" s="148">
        <v>435.3061528599015</v>
      </c>
      <c r="E1101" s="149">
        <v>1900.0</v>
      </c>
      <c r="F1101" s="147" t="s">
        <v>2699</v>
      </c>
      <c r="G1101" s="150">
        <v>1.4706374365614694E7</v>
      </c>
      <c r="H1101" s="150">
        <v>5790148.114724727</v>
      </c>
      <c r="I1101" s="151">
        <v>45518.0</v>
      </c>
      <c r="J1101" s="151">
        <v>45523.0</v>
      </c>
      <c r="K1101" s="152">
        <v>2032.799229849199</v>
      </c>
      <c r="L1101" s="117" t="s">
        <v>85</v>
      </c>
      <c r="M1101" s="117" t="s">
        <v>158</v>
      </c>
      <c r="N1101" s="153"/>
      <c r="O1101" s="153"/>
      <c r="P1101" s="153"/>
      <c r="Q1101" s="153"/>
      <c r="R1101" s="153" t="str">
        <f t="shared" si="1"/>
        <v>2024</v>
      </c>
      <c r="S1101" s="154">
        <f t="shared" si="2"/>
        <v>8</v>
      </c>
      <c r="T1101" s="153" t="str">
        <f t="shared" si="3"/>
        <v>2024-Q3</v>
      </c>
      <c r="U1101" s="153" t="str">
        <f t="shared" si="4"/>
        <v>2024-08</v>
      </c>
      <c r="V1101" s="155" t="str">
        <f t="shared" si="5"/>
        <v>2024-H2</v>
      </c>
      <c r="W1101" s="155"/>
    </row>
    <row r="1102">
      <c r="A1102" s="139">
        <f>HYPERLINK("https://polkadot.subsquare.io/referenda/1096", 1096)</f>
        <v>1096</v>
      </c>
      <c r="B1102" s="140" t="s">
        <v>3302</v>
      </c>
      <c r="C1102" s="140" t="s">
        <v>3286</v>
      </c>
      <c r="D1102" s="141">
        <v>26347.477673099304</v>
      </c>
      <c r="E1102" s="142">
        <v>115000.0</v>
      </c>
      <c r="F1102" s="140" t="s">
        <v>2683</v>
      </c>
      <c r="G1102" s="143">
        <v>4.14894423E7</v>
      </c>
      <c r="H1102" s="143">
        <v>4.726658707444416E7</v>
      </c>
      <c r="I1102" s="144">
        <v>45518.0</v>
      </c>
      <c r="J1102" s="144">
        <v>45539.0</v>
      </c>
      <c r="K1102" s="145">
        <v>104322.07343569674</v>
      </c>
      <c r="L1102" s="114"/>
      <c r="M1102" s="114"/>
      <c r="N1102" s="108"/>
      <c r="O1102" s="108"/>
      <c r="P1102" s="108"/>
      <c r="Q1102" s="108"/>
      <c r="R1102" s="108" t="str">
        <f t="shared" si="1"/>
        <v>2024</v>
      </c>
      <c r="S1102" s="110">
        <f t="shared" si="2"/>
        <v>9</v>
      </c>
      <c r="T1102" s="108" t="str">
        <f t="shared" si="3"/>
        <v>2024-Q3</v>
      </c>
      <c r="U1102" s="108" t="str">
        <f t="shared" si="4"/>
        <v>2024-09</v>
      </c>
      <c r="V1102" s="112" t="str">
        <f t="shared" si="5"/>
        <v>2024-H2</v>
      </c>
      <c r="W1102" s="112"/>
    </row>
    <row r="1103">
      <c r="A1103" s="146">
        <f>HYPERLINK("https://polkadot.subsquare.io/referenda/1097", 1097)</f>
        <v>1097</v>
      </c>
      <c r="B1103" s="147" t="s">
        <v>3303</v>
      </c>
      <c r="C1103" s="147" t="s">
        <v>2672</v>
      </c>
      <c r="D1103" s="148">
        <v>1000.0</v>
      </c>
      <c r="E1103" s="149">
        <v>4391.077041625977</v>
      </c>
      <c r="F1103" s="147" t="s">
        <v>2699</v>
      </c>
      <c r="G1103" s="150">
        <v>3.9</v>
      </c>
      <c r="H1103" s="150">
        <v>1.861445582987247E7</v>
      </c>
      <c r="I1103" s="151">
        <v>45519.0</v>
      </c>
      <c r="J1103" s="151">
        <v>45526.0</v>
      </c>
      <c r="K1103" s="152">
        <v>4824.508190155029</v>
      </c>
      <c r="L1103" s="117"/>
      <c r="M1103" s="117"/>
      <c r="N1103" s="153"/>
      <c r="O1103" s="153"/>
      <c r="P1103" s="153"/>
      <c r="Q1103" s="153"/>
      <c r="R1103" s="153" t="str">
        <f t="shared" si="1"/>
        <v>2024</v>
      </c>
      <c r="S1103" s="154">
        <f t="shared" si="2"/>
        <v>8</v>
      </c>
      <c r="T1103" s="153" t="str">
        <f t="shared" si="3"/>
        <v>2024-Q3</v>
      </c>
      <c r="U1103" s="153" t="str">
        <f t="shared" si="4"/>
        <v>2024-08</v>
      </c>
      <c r="V1103" s="155" t="str">
        <f t="shared" si="5"/>
        <v>2024-H2</v>
      </c>
      <c r="W1103" s="155"/>
    </row>
    <row r="1104">
      <c r="A1104" s="139">
        <f>HYPERLINK("https://polkadot.subsquare.io/referenda/1098", 1098)</f>
        <v>1098</v>
      </c>
      <c r="B1104" s="140" t="s">
        <v>3304</v>
      </c>
      <c r="C1104" s="140" t="s">
        <v>3286</v>
      </c>
      <c r="D1104" s="141">
        <v>0.0</v>
      </c>
      <c r="E1104" s="142">
        <v>0.0</v>
      </c>
      <c r="F1104" s="140" t="s">
        <v>2696</v>
      </c>
      <c r="G1104" s="143">
        <v>5.298999680999183E7</v>
      </c>
      <c r="H1104" s="143">
        <v>10.0</v>
      </c>
      <c r="I1104" s="144">
        <v>45520.0</v>
      </c>
      <c r="J1104" s="144">
        <v>45539.0</v>
      </c>
      <c r="K1104" s="145">
        <v>0.0</v>
      </c>
      <c r="L1104" s="114"/>
      <c r="M1104" s="114"/>
      <c r="N1104" s="108"/>
      <c r="O1104" s="108"/>
      <c r="P1104" s="108"/>
      <c r="Q1104" s="108"/>
      <c r="R1104" s="108" t="str">
        <f t="shared" si="1"/>
        <v>2024</v>
      </c>
      <c r="S1104" s="110">
        <f t="shared" si="2"/>
        <v>9</v>
      </c>
      <c r="T1104" s="108" t="str">
        <f t="shared" si="3"/>
        <v>2024-Q3</v>
      </c>
      <c r="U1104" s="108" t="str">
        <f t="shared" si="4"/>
        <v>2024-09</v>
      </c>
      <c r="V1104" s="112" t="str">
        <f t="shared" si="5"/>
        <v>2024-H2</v>
      </c>
      <c r="W1104" s="112"/>
    </row>
    <row r="1105">
      <c r="A1105" s="146">
        <f>HYPERLINK("https://polkadot.subsquare.io/referenda/1100", 1100)</f>
        <v>1100</v>
      </c>
      <c r="B1105" s="147" t="s">
        <v>589</v>
      </c>
      <c r="C1105" s="147" t="s">
        <v>2681</v>
      </c>
      <c r="D1105" s="148">
        <v>250.0</v>
      </c>
      <c r="E1105" s="149">
        <v>1120.9545135498047</v>
      </c>
      <c r="F1105" s="147" t="s">
        <v>186</v>
      </c>
      <c r="G1105" s="150">
        <v>1.4190621387846066E7</v>
      </c>
      <c r="H1105" s="150">
        <v>5010.0</v>
      </c>
      <c r="I1105" s="151">
        <v>45521.0</v>
      </c>
      <c r="J1105" s="151">
        <v>45523.0</v>
      </c>
      <c r="K1105" s="152">
        <v>1167.4537658691406</v>
      </c>
      <c r="L1105" s="117" t="s">
        <v>81</v>
      </c>
      <c r="M1105" s="117" t="s">
        <v>154</v>
      </c>
      <c r="N1105" s="153"/>
      <c r="O1105" s="153"/>
      <c r="P1105" s="153"/>
      <c r="Q1105" s="153"/>
      <c r="R1105" s="153" t="str">
        <f t="shared" si="1"/>
        <v>2024</v>
      </c>
      <c r="S1105" s="154">
        <f t="shared" si="2"/>
        <v>8</v>
      </c>
      <c r="T1105" s="153" t="str">
        <f t="shared" si="3"/>
        <v>2024-Q3</v>
      </c>
      <c r="U1105" s="153" t="str">
        <f t="shared" si="4"/>
        <v>2024-08</v>
      </c>
      <c r="V1105" s="155" t="str">
        <f t="shared" si="5"/>
        <v>2024-H2</v>
      </c>
      <c r="W1105" s="155"/>
    </row>
    <row r="1106">
      <c r="A1106" s="139">
        <f>HYPERLINK("https://polkadot.subsquare.io/referenda/1101", 1101)</f>
        <v>1101</v>
      </c>
      <c r="B1106" s="140" t="s">
        <v>3305</v>
      </c>
      <c r="C1106" s="140" t="s">
        <v>2691</v>
      </c>
      <c r="D1106" s="141">
        <v>4540.0</v>
      </c>
      <c r="E1106" s="142">
        <v>20356.533966064453</v>
      </c>
      <c r="F1106" s="140" t="s">
        <v>2678</v>
      </c>
      <c r="G1106" s="143">
        <v>5032.7</v>
      </c>
      <c r="H1106" s="143">
        <v>4.129312372514595E7</v>
      </c>
      <c r="I1106" s="144">
        <v>45521.0</v>
      </c>
      <c r="J1106" s="144">
        <v>45535.0</v>
      </c>
      <c r="K1106" s="145">
        <v>19107.085332870483</v>
      </c>
      <c r="L1106" s="114"/>
      <c r="M1106" s="114"/>
      <c r="N1106" s="108"/>
      <c r="O1106" s="108"/>
      <c r="P1106" s="108"/>
      <c r="Q1106" s="108"/>
      <c r="R1106" s="108" t="str">
        <f t="shared" si="1"/>
        <v>2024</v>
      </c>
      <c r="S1106" s="110">
        <f t="shared" si="2"/>
        <v>8</v>
      </c>
      <c r="T1106" s="108" t="str">
        <f t="shared" si="3"/>
        <v>2024-Q3</v>
      </c>
      <c r="U1106" s="108" t="str">
        <f t="shared" si="4"/>
        <v>2024-08</v>
      </c>
      <c r="V1106" s="112" t="str">
        <f t="shared" si="5"/>
        <v>2024-H2</v>
      </c>
      <c r="W1106" s="112"/>
    </row>
    <row r="1107">
      <c r="A1107" s="146">
        <f>HYPERLINK("https://polkadot.subsquare.io/referenda/1102", 1102)</f>
        <v>1102</v>
      </c>
      <c r="B1107" s="147" t="s">
        <v>590</v>
      </c>
      <c r="C1107" s="147" t="s">
        <v>2681</v>
      </c>
      <c r="D1107" s="148">
        <v>14092.0</v>
      </c>
      <c r="E1107" s="149">
        <v>63185.96401977539</v>
      </c>
      <c r="F1107" s="147" t="s">
        <v>2683</v>
      </c>
      <c r="G1107" s="150">
        <v>4.452022628859079E7</v>
      </c>
      <c r="H1107" s="150">
        <v>4179800.4</v>
      </c>
      <c r="I1107" s="151">
        <v>45521.0</v>
      </c>
      <c r="J1107" s="151">
        <v>45543.0</v>
      </c>
      <c r="K1107" s="152">
        <v>59068.7574634552</v>
      </c>
      <c r="L1107" s="117" t="s">
        <v>81</v>
      </c>
      <c r="M1107" s="117" t="s">
        <v>179</v>
      </c>
      <c r="N1107" s="153"/>
      <c r="O1107" s="153"/>
      <c r="P1107" s="153"/>
      <c r="Q1107" s="153"/>
      <c r="R1107" s="153" t="str">
        <f t="shared" si="1"/>
        <v>2024</v>
      </c>
      <c r="S1107" s="154">
        <f t="shared" si="2"/>
        <v>9</v>
      </c>
      <c r="T1107" s="153" t="str">
        <f t="shared" si="3"/>
        <v>2024-Q3</v>
      </c>
      <c r="U1107" s="153" t="str">
        <f t="shared" si="4"/>
        <v>2024-09</v>
      </c>
      <c r="V1107" s="155" t="str">
        <f t="shared" si="5"/>
        <v>2024-H2</v>
      </c>
      <c r="W1107" s="155"/>
    </row>
    <row r="1108">
      <c r="A1108" s="139">
        <f>HYPERLINK("https://polkadot.subsquare.io/referenda/1103", 1103)</f>
        <v>1103</v>
      </c>
      <c r="B1108" s="140" t="s">
        <v>591</v>
      </c>
      <c r="C1108" s="140" t="s">
        <v>2681</v>
      </c>
      <c r="D1108" s="141">
        <v>133030.10576920657</v>
      </c>
      <c r="E1108" s="142">
        <v>596482.79</v>
      </c>
      <c r="F1108" s="140" t="s">
        <v>2683</v>
      </c>
      <c r="G1108" s="143">
        <v>4.918123806118247E7</v>
      </c>
      <c r="H1108" s="143">
        <v>5001.5</v>
      </c>
      <c r="I1108" s="144">
        <v>45521.0</v>
      </c>
      <c r="J1108" s="144">
        <v>45543.0</v>
      </c>
      <c r="K1108" s="145">
        <v>557615.8851134726</v>
      </c>
      <c r="L1108" s="114" t="s">
        <v>81</v>
      </c>
      <c r="M1108" s="163" t="s">
        <v>202</v>
      </c>
      <c r="N1108" s="108"/>
      <c r="O1108" s="108"/>
      <c r="P1108" s="108"/>
      <c r="Q1108" s="108"/>
      <c r="R1108" s="108" t="str">
        <f t="shared" si="1"/>
        <v>2024</v>
      </c>
      <c r="S1108" s="110">
        <f t="shared" si="2"/>
        <v>9</v>
      </c>
      <c r="T1108" s="108" t="str">
        <f t="shared" si="3"/>
        <v>2024-Q3</v>
      </c>
      <c r="U1108" s="108" t="str">
        <f t="shared" si="4"/>
        <v>2024-09</v>
      </c>
      <c r="V1108" s="112" t="str">
        <f t="shared" si="5"/>
        <v>2024-H2</v>
      </c>
      <c r="W1108" s="112"/>
    </row>
    <row r="1109">
      <c r="A1109" s="146">
        <f>HYPERLINK("https://polkadot.subsquare.io/referenda/1104", 1104)</f>
        <v>1104</v>
      </c>
      <c r="B1109" s="147" t="s">
        <v>3306</v>
      </c>
      <c r="C1109" s="147" t="s">
        <v>2681</v>
      </c>
      <c r="D1109" s="148">
        <v>0.0</v>
      </c>
      <c r="E1109" s="149">
        <v>0.0</v>
      </c>
      <c r="F1109" s="147" t="s">
        <v>2687</v>
      </c>
      <c r="G1109" s="150">
        <v>5.718283561807246E7</v>
      </c>
      <c r="H1109" s="150">
        <v>122469.347091685</v>
      </c>
      <c r="I1109" s="151">
        <v>45521.0</v>
      </c>
      <c r="J1109" s="151">
        <v>45551.0</v>
      </c>
      <c r="K1109" s="152">
        <v>0.0</v>
      </c>
      <c r="L1109" s="117" t="s">
        <v>83</v>
      </c>
      <c r="M1109" s="117" t="s">
        <v>2924</v>
      </c>
      <c r="N1109" s="153"/>
      <c r="O1109" s="153"/>
      <c r="P1109" s="153"/>
      <c r="Q1109" s="153"/>
      <c r="R1109" s="153" t="str">
        <f t="shared" si="1"/>
        <v>2024</v>
      </c>
      <c r="S1109" s="154">
        <f t="shared" si="2"/>
        <v>9</v>
      </c>
      <c r="T1109" s="153" t="str">
        <f t="shared" si="3"/>
        <v>2024-Q3</v>
      </c>
      <c r="U1109" s="153" t="str">
        <f t="shared" si="4"/>
        <v>2024-09</v>
      </c>
      <c r="V1109" s="155" t="str">
        <f t="shared" si="5"/>
        <v>2024-H2</v>
      </c>
      <c r="W1109" s="155"/>
    </row>
    <row r="1110">
      <c r="A1110" s="139">
        <f>HYPERLINK("https://polkadot.subsquare.io/referenda/1105", 1105)</f>
        <v>1105</v>
      </c>
      <c r="B1110" s="140" t="s">
        <v>3307</v>
      </c>
      <c r="C1110" s="140" t="s">
        <v>2691</v>
      </c>
      <c r="D1110" s="141">
        <v>25621.53529685904</v>
      </c>
      <c r="E1110" s="142">
        <v>116160.0</v>
      </c>
      <c r="F1110" s="140" t="s">
        <v>2683</v>
      </c>
      <c r="G1110" s="143">
        <v>101437.5035491526</v>
      </c>
      <c r="H1110" s="143">
        <v>6.577927397429651E7</v>
      </c>
      <c r="I1110" s="144">
        <v>45522.0</v>
      </c>
      <c r="J1110" s="144">
        <v>45536.0</v>
      </c>
      <c r="K1110" s="145">
        <v>105303.27954362663</v>
      </c>
      <c r="L1110" s="114"/>
      <c r="M1110" s="114"/>
      <c r="N1110" s="108"/>
      <c r="O1110" s="108"/>
      <c r="P1110" s="108"/>
      <c r="Q1110" s="108"/>
      <c r="R1110" s="108" t="str">
        <f t="shared" si="1"/>
        <v>2024</v>
      </c>
      <c r="S1110" s="110">
        <f t="shared" si="2"/>
        <v>9</v>
      </c>
      <c r="T1110" s="108" t="str">
        <f t="shared" si="3"/>
        <v>2024-Q3</v>
      </c>
      <c r="U1110" s="108" t="str">
        <f t="shared" si="4"/>
        <v>2024-09</v>
      </c>
      <c r="V1110" s="112" t="str">
        <f t="shared" si="5"/>
        <v>2024-H2</v>
      </c>
      <c r="W1110" s="112"/>
    </row>
    <row r="1111">
      <c r="A1111" s="146">
        <f>HYPERLINK("https://polkadot.subsquare.io/referenda/1106", 1106)</f>
        <v>1106</v>
      </c>
      <c r="B1111" s="147" t="s">
        <v>3308</v>
      </c>
      <c r="C1111" s="147" t="s">
        <v>2672</v>
      </c>
      <c r="D1111" s="148">
        <v>51393.898203181925</v>
      </c>
      <c r="E1111" s="149">
        <v>240000.0</v>
      </c>
      <c r="F1111" s="147" t="s">
        <v>2683</v>
      </c>
      <c r="G1111" s="150">
        <v>7.610984679573442E7</v>
      </c>
      <c r="H1111" s="150">
        <v>7.620392941534226E7</v>
      </c>
      <c r="I1111" s="151">
        <v>45522.0</v>
      </c>
      <c r="J1111" s="151">
        <v>45554.0</v>
      </c>
      <c r="K1111" s="152">
        <v>221715.07249028725</v>
      </c>
      <c r="L1111" s="117"/>
      <c r="M1111" s="117"/>
      <c r="N1111" s="153"/>
      <c r="O1111" s="153"/>
      <c r="P1111" s="153"/>
      <c r="Q1111" s="153"/>
      <c r="R1111" s="153" t="str">
        <f t="shared" si="1"/>
        <v>2024</v>
      </c>
      <c r="S1111" s="154">
        <f t="shared" si="2"/>
        <v>9</v>
      </c>
      <c r="T1111" s="153" t="str">
        <f t="shared" si="3"/>
        <v>2024-Q3</v>
      </c>
      <c r="U1111" s="153" t="str">
        <f t="shared" si="4"/>
        <v>2024-09</v>
      </c>
      <c r="V1111" s="155" t="str">
        <f t="shared" si="5"/>
        <v>2024-H2</v>
      </c>
      <c r="W1111" s="155"/>
    </row>
    <row r="1112">
      <c r="A1112" s="139">
        <f>HYPERLINK("https://polkadot.subsquare.io/referenda/1107", 1107)</f>
        <v>1107</v>
      </c>
      <c r="B1112" s="140" t="s">
        <v>3309</v>
      </c>
      <c r="C1112" s="140" t="s">
        <v>2681</v>
      </c>
      <c r="D1112" s="141">
        <v>0.0</v>
      </c>
      <c r="E1112" s="142">
        <v>0.0</v>
      </c>
      <c r="F1112" s="140" t="s">
        <v>2682</v>
      </c>
      <c r="G1112" s="143">
        <v>1.474167103836064E8</v>
      </c>
      <c r="H1112" s="143">
        <v>10.0</v>
      </c>
      <c r="I1112" s="144">
        <v>45523.0</v>
      </c>
      <c r="J1112" s="144">
        <v>45534.0</v>
      </c>
      <c r="K1112" s="145">
        <v>0.0</v>
      </c>
      <c r="L1112" s="114"/>
      <c r="M1112" s="114"/>
      <c r="N1112" s="108"/>
      <c r="O1112" s="108"/>
      <c r="P1112" s="108"/>
      <c r="Q1112" s="108"/>
      <c r="R1112" s="108" t="str">
        <f t="shared" si="1"/>
        <v>2024</v>
      </c>
      <c r="S1112" s="110">
        <f t="shared" si="2"/>
        <v>8</v>
      </c>
      <c r="T1112" s="108" t="str">
        <f t="shared" si="3"/>
        <v>2024-Q3</v>
      </c>
      <c r="U1112" s="108" t="str">
        <f t="shared" si="4"/>
        <v>2024-08</v>
      </c>
      <c r="V1112" s="112" t="str">
        <f t="shared" si="5"/>
        <v>2024-H2</v>
      </c>
      <c r="W1112" s="112"/>
    </row>
    <row r="1113">
      <c r="A1113" s="146">
        <f>HYPERLINK("https://polkadot.subsquare.io/referenda/1108", 1108)</f>
        <v>1108</v>
      </c>
      <c r="B1113" s="147" t="s">
        <v>3310</v>
      </c>
      <c r="C1113" s="147" t="s">
        <v>2672</v>
      </c>
      <c r="D1113" s="148">
        <v>0.0</v>
      </c>
      <c r="E1113" s="149">
        <v>0.0</v>
      </c>
      <c r="F1113" s="147" t="s">
        <v>2696</v>
      </c>
      <c r="G1113" s="150">
        <v>30103.6</v>
      </c>
      <c r="H1113" s="150">
        <v>4.827542966716493E7</v>
      </c>
      <c r="I1113" s="151">
        <v>45524.0</v>
      </c>
      <c r="J1113" s="151">
        <v>45552.0</v>
      </c>
      <c r="K1113" s="152">
        <v>0.0</v>
      </c>
      <c r="L1113" s="117"/>
      <c r="M1113" s="117"/>
      <c r="N1113" s="153"/>
      <c r="O1113" s="153"/>
      <c r="P1113" s="153"/>
      <c r="Q1113" s="153"/>
      <c r="R1113" s="153" t="str">
        <f t="shared" si="1"/>
        <v>2024</v>
      </c>
      <c r="S1113" s="154">
        <f t="shared" si="2"/>
        <v>9</v>
      </c>
      <c r="T1113" s="153" t="str">
        <f t="shared" si="3"/>
        <v>2024-Q3</v>
      </c>
      <c r="U1113" s="153" t="str">
        <f t="shared" si="4"/>
        <v>2024-09</v>
      </c>
      <c r="V1113" s="155" t="str">
        <f t="shared" si="5"/>
        <v>2024-H2</v>
      </c>
      <c r="W1113" s="158" t="s">
        <v>2654</v>
      </c>
    </row>
    <row r="1114">
      <c r="A1114" s="139">
        <f>HYPERLINK("https://polkadot.subsquare.io/referenda/1109", 1109)</f>
        <v>1109</v>
      </c>
      <c r="B1114" s="140" t="s">
        <v>3311</v>
      </c>
      <c r="C1114" s="140" t="s">
        <v>2672</v>
      </c>
      <c r="D1114" s="141">
        <v>4100.0</v>
      </c>
      <c r="E1114" s="142">
        <v>20084.555625915527</v>
      </c>
      <c r="F1114" s="140" t="s">
        <v>2678</v>
      </c>
      <c r="G1114" s="143">
        <v>12128.1</v>
      </c>
      <c r="H1114" s="143">
        <v>8.538829949533108E7</v>
      </c>
      <c r="I1114" s="144">
        <v>45524.0</v>
      </c>
      <c r="J1114" s="144">
        <v>45552.0</v>
      </c>
      <c r="K1114" s="145">
        <v>17783.167791366577</v>
      </c>
      <c r="L1114" s="114"/>
      <c r="M1114" s="114"/>
      <c r="N1114" s="108"/>
      <c r="O1114" s="108"/>
      <c r="P1114" s="108"/>
      <c r="Q1114" s="108"/>
      <c r="R1114" s="108" t="str">
        <f t="shared" si="1"/>
        <v>2024</v>
      </c>
      <c r="S1114" s="110">
        <f t="shared" si="2"/>
        <v>9</v>
      </c>
      <c r="T1114" s="108" t="str">
        <f t="shared" si="3"/>
        <v>2024-Q3</v>
      </c>
      <c r="U1114" s="108" t="str">
        <f t="shared" si="4"/>
        <v>2024-09</v>
      </c>
      <c r="V1114" s="112" t="str">
        <f t="shared" si="5"/>
        <v>2024-H2</v>
      </c>
      <c r="W1114" s="112"/>
    </row>
    <row r="1115">
      <c r="A1115" s="146">
        <f>HYPERLINK("https://polkadot.subsquare.io/referenda/1110", 1110)</f>
        <v>1110</v>
      </c>
      <c r="B1115" s="147" t="s">
        <v>3312</v>
      </c>
      <c r="C1115" s="147" t="s">
        <v>2672</v>
      </c>
      <c r="D1115" s="148">
        <v>11173.0</v>
      </c>
      <c r="E1115" s="149">
        <v>54732.86341667175</v>
      </c>
      <c r="F1115" s="147" t="s">
        <v>2683</v>
      </c>
      <c r="G1115" s="150">
        <v>303934.8839112458</v>
      </c>
      <c r="H1115" s="150">
        <v>5.854225159807532E7</v>
      </c>
      <c r="I1115" s="151">
        <v>45524.0</v>
      </c>
      <c r="J1115" s="151">
        <v>45554.0</v>
      </c>
      <c r="K1115" s="152">
        <v>48200.712371349335</v>
      </c>
      <c r="L1115" s="117"/>
      <c r="M1115" s="117"/>
      <c r="N1115" s="153"/>
      <c r="O1115" s="153"/>
      <c r="P1115" s="153"/>
      <c r="Q1115" s="153"/>
      <c r="R1115" s="153" t="str">
        <f t="shared" si="1"/>
        <v>2024</v>
      </c>
      <c r="S1115" s="154">
        <f t="shared" si="2"/>
        <v>9</v>
      </c>
      <c r="T1115" s="153" t="str">
        <f t="shared" si="3"/>
        <v>2024-Q3</v>
      </c>
      <c r="U1115" s="153" t="str">
        <f t="shared" si="4"/>
        <v>2024-09</v>
      </c>
      <c r="V1115" s="155" t="str">
        <f t="shared" si="5"/>
        <v>2024-H2</v>
      </c>
      <c r="W1115" s="155"/>
    </row>
    <row r="1116">
      <c r="A1116" s="139">
        <f>HYPERLINK("https://polkadot.subsquare.io/referenda/1111", 1111)</f>
        <v>1111</v>
      </c>
      <c r="B1116" s="140" t="s">
        <v>3313</v>
      </c>
      <c r="C1116" s="140" t="s">
        <v>3286</v>
      </c>
      <c r="D1116" s="141">
        <v>1652900.0</v>
      </c>
      <c r="E1116" s="142">
        <v>8097015.120506287</v>
      </c>
      <c r="F1116" s="140" t="s">
        <v>2696</v>
      </c>
      <c r="G1116" s="143">
        <v>4352276.7191098835</v>
      </c>
      <c r="H1116" s="143">
        <v>5.681946017162896E7</v>
      </c>
      <c r="I1116" s="144">
        <v>45524.0</v>
      </c>
      <c r="J1116" s="144">
        <v>45565.0</v>
      </c>
      <c r="K1116" s="145">
        <v>6874422.790050507</v>
      </c>
      <c r="L1116" s="114"/>
      <c r="M1116" s="114"/>
      <c r="N1116" s="108"/>
      <c r="O1116" s="108"/>
      <c r="P1116" s="108"/>
      <c r="Q1116" s="108"/>
      <c r="R1116" s="108" t="str">
        <f t="shared" si="1"/>
        <v>2024</v>
      </c>
      <c r="S1116" s="110">
        <f t="shared" si="2"/>
        <v>9</v>
      </c>
      <c r="T1116" s="108" t="str">
        <f t="shared" si="3"/>
        <v>2024-Q3</v>
      </c>
      <c r="U1116" s="108" t="str">
        <f t="shared" si="4"/>
        <v>2024-09</v>
      </c>
      <c r="V1116" s="112" t="str">
        <f t="shared" si="5"/>
        <v>2024-H2</v>
      </c>
      <c r="W1116" s="112"/>
    </row>
    <row r="1117">
      <c r="A1117" s="146">
        <f>HYPERLINK("https://polkadot.subsquare.io/referenda/1112", 1112)</f>
        <v>1112</v>
      </c>
      <c r="B1117" s="147" t="s">
        <v>3314</v>
      </c>
      <c r="C1117" s="147" t="s">
        <v>2672</v>
      </c>
      <c r="D1117" s="148">
        <v>888.0</v>
      </c>
      <c r="E1117" s="149">
        <v>4428.399250030518</v>
      </c>
      <c r="F1117" s="147" t="s">
        <v>2699</v>
      </c>
      <c r="G1117" s="150">
        <v>2553526.215452451</v>
      </c>
      <c r="H1117" s="150">
        <v>2.2951442434670832E7</v>
      </c>
      <c r="I1117" s="151">
        <v>45525.0</v>
      </c>
      <c r="J1117" s="151">
        <v>45532.0</v>
      </c>
      <c r="K1117" s="152">
        <v>3781.53369140625</v>
      </c>
      <c r="L1117" s="117"/>
      <c r="M1117" s="117"/>
      <c r="N1117" s="153"/>
      <c r="O1117" s="153"/>
      <c r="P1117" s="153"/>
      <c r="Q1117" s="153"/>
      <c r="R1117" s="153" t="str">
        <f t="shared" si="1"/>
        <v>2024</v>
      </c>
      <c r="S1117" s="154">
        <f t="shared" si="2"/>
        <v>8</v>
      </c>
      <c r="T1117" s="153" t="str">
        <f t="shared" si="3"/>
        <v>2024-Q3</v>
      </c>
      <c r="U1117" s="153" t="str">
        <f t="shared" si="4"/>
        <v>2024-08</v>
      </c>
      <c r="V1117" s="155" t="str">
        <f t="shared" si="5"/>
        <v>2024-H2</v>
      </c>
      <c r="W1117" s="155"/>
    </row>
    <row r="1118">
      <c r="A1118" s="139">
        <f>HYPERLINK("https://polkadot.subsquare.io/referenda/1113", 1113)</f>
        <v>1113</v>
      </c>
      <c r="B1118" s="140" t="s">
        <v>592</v>
      </c>
      <c r="C1118" s="140" t="s">
        <v>2681</v>
      </c>
      <c r="D1118" s="141">
        <v>87741.2487135893</v>
      </c>
      <c r="E1118" s="142">
        <v>437560.0</v>
      </c>
      <c r="F1118" s="140" t="s">
        <v>2683</v>
      </c>
      <c r="G1118" s="143">
        <v>9.244245422629054E7</v>
      </c>
      <c r="H1118" s="143">
        <v>131.2</v>
      </c>
      <c r="I1118" s="144">
        <v>45525.0</v>
      </c>
      <c r="J1118" s="144">
        <v>45543.0</v>
      </c>
      <c r="K1118" s="145">
        <v>367780.76495910494</v>
      </c>
      <c r="L1118" s="114" t="s">
        <v>137</v>
      </c>
      <c r="M1118" s="114" t="s">
        <v>315</v>
      </c>
      <c r="N1118" s="108"/>
      <c r="O1118" s="108"/>
      <c r="P1118" s="108"/>
      <c r="Q1118" s="108"/>
      <c r="R1118" s="108" t="str">
        <f t="shared" si="1"/>
        <v>2024</v>
      </c>
      <c r="S1118" s="110">
        <f t="shared" si="2"/>
        <v>9</v>
      </c>
      <c r="T1118" s="108" t="str">
        <f t="shared" si="3"/>
        <v>2024-Q3</v>
      </c>
      <c r="U1118" s="108" t="str">
        <f t="shared" si="4"/>
        <v>2024-09</v>
      </c>
      <c r="V1118" s="112" t="str">
        <f t="shared" si="5"/>
        <v>2024-H2</v>
      </c>
      <c r="W1118" s="112"/>
    </row>
    <row r="1119">
      <c r="A1119" s="146">
        <f>HYPERLINK("https://polkadot.subsquare.io/referenda/1114", 1114)</f>
        <v>1114</v>
      </c>
      <c r="B1119" s="147" t="s">
        <v>593</v>
      </c>
      <c r="C1119" s="147" t="s">
        <v>2681</v>
      </c>
      <c r="D1119" s="148">
        <v>36550.49846711192</v>
      </c>
      <c r="E1119" s="149">
        <v>182275.0</v>
      </c>
      <c r="F1119" s="147" t="s">
        <v>2683</v>
      </c>
      <c r="G1119" s="150">
        <v>2.1404002581348646E7</v>
      </c>
      <c r="H1119" s="150">
        <v>1.4690829467196686E7</v>
      </c>
      <c r="I1119" s="151">
        <v>45526.0</v>
      </c>
      <c r="J1119" s="151">
        <v>45555.0</v>
      </c>
      <c r="K1119" s="152">
        <v>157680.1274181246</v>
      </c>
      <c r="L1119" s="157" t="s">
        <v>81</v>
      </c>
      <c r="M1119" s="157" t="s">
        <v>140</v>
      </c>
      <c r="N1119" s="153"/>
      <c r="O1119" s="153"/>
      <c r="P1119" s="153"/>
      <c r="Q1119" s="153"/>
      <c r="R1119" s="153" t="str">
        <f t="shared" si="1"/>
        <v>2024</v>
      </c>
      <c r="S1119" s="154">
        <f t="shared" si="2"/>
        <v>9</v>
      </c>
      <c r="T1119" s="153" t="str">
        <f t="shared" si="3"/>
        <v>2024-Q3</v>
      </c>
      <c r="U1119" s="153" t="str">
        <f t="shared" si="4"/>
        <v>2024-09</v>
      </c>
      <c r="V1119" s="155" t="str">
        <f t="shared" si="5"/>
        <v>2024-H2</v>
      </c>
      <c r="W1119" s="155"/>
    </row>
    <row r="1120">
      <c r="A1120" s="139">
        <f>HYPERLINK("https://polkadot.subsquare.io/referenda/1115", 1115)</f>
        <v>1115</v>
      </c>
      <c r="B1120" s="140" t="s">
        <v>3315</v>
      </c>
      <c r="C1120" s="140" t="s">
        <v>2672</v>
      </c>
      <c r="D1120" s="141">
        <v>93699.0</v>
      </c>
      <c r="E1120" s="142">
        <v>410482.8574447632</v>
      </c>
      <c r="F1120" s="140" t="s">
        <v>2683</v>
      </c>
      <c r="G1120" s="143">
        <v>1.2976355054132156E7</v>
      </c>
      <c r="H1120" s="143">
        <v>2.0193025868401147E7</v>
      </c>
      <c r="I1120" s="144">
        <v>45528.0</v>
      </c>
      <c r="J1120" s="144">
        <v>45556.0</v>
      </c>
      <c r="K1120" s="145">
        <v>434838.22977018356</v>
      </c>
      <c r="L1120" s="114"/>
      <c r="M1120" s="114"/>
      <c r="N1120" s="108"/>
      <c r="O1120" s="108"/>
      <c r="P1120" s="108"/>
      <c r="Q1120" s="108"/>
      <c r="R1120" s="108" t="str">
        <f t="shared" si="1"/>
        <v>2024</v>
      </c>
      <c r="S1120" s="110">
        <f t="shared" si="2"/>
        <v>9</v>
      </c>
      <c r="T1120" s="108" t="str">
        <f t="shared" si="3"/>
        <v>2024-Q3</v>
      </c>
      <c r="U1120" s="108" t="str">
        <f t="shared" si="4"/>
        <v>2024-09</v>
      </c>
      <c r="V1120" s="112" t="str">
        <f t="shared" si="5"/>
        <v>2024-H2</v>
      </c>
      <c r="W1120" s="112"/>
    </row>
    <row r="1121">
      <c r="A1121" s="146">
        <f>HYPERLINK("https://polkadot.subsquare.io/referenda/1116", 1116)</f>
        <v>1116</v>
      </c>
      <c r="B1121" s="147" t="s">
        <v>3316</v>
      </c>
      <c r="C1121" s="147" t="s">
        <v>2672</v>
      </c>
      <c r="D1121" s="148">
        <v>84886.1651419605</v>
      </c>
      <c r="E1121" s="149">
        <v>371875.0</v>
      </c>
      <c r="F1121" s="147" t="s">
        <v>2683</v>
      </c>
      <c r="G1121" s="150">
        <v>1313969.0247088675</v>
      </c>
      <c r="H1121" s="150">
        <v>2.5191750257442147E7</v>
      </c>
      <c r="I1121" s="151">
        <v>45528.0</v>
      </c>
      <c r="J1121" s="151">
        <v>45557.0</v>
      </c>
      <c r="K1121" s="152">
        <v>393939.6341722918</v>
      </c>
      <c r="L1121" s="117"/>
      <c r="M1121" s="117"/>
      <c r="N1121" s="153"/>
      <c r="O1121" s="153"/>
      <c r="P1121" s="153"/>
      <c r="Q1121" s="153"/>
      <c r="R1121" s="153" t="str">
        <f t="shared" si="1"/>
        <v>2024</v>
      </c>
      <c r="S1121" s="154">
        <f t="shared" si="2"/>
        <v>9</v>
      </c>
      <c r="T1121" s="153" t="str">
        <f t="shared" si="3"/>
        <v>2024-Q3</v>
      </c>
      <c r="U1121" s="153" t="str">
        <f t="shared" si="4"/>
        <v>2024-09</v>
      </c>
      <c r="V1121" s="155" t="str">
        <f t="shared" si="5"/>
        <v>2024-H2</v>
      </c>
      <c r="W1121" s="155"/>
    </row>
    <row r="1122">
      <c r="A1122" s="139">
        <f>HYPERLINK("https://polkadot.subsquare.io/referenda/1117", 1117)</f>
        <v>1117</v>
      </c>
      <c r="B1122" s="140" t="s">
        <v>3207</v>
      </c>
      <c r="C1122" s="140" t="s">
        <v>2691</v>
      </c>
      <c r="D1122" s="141">
        <v>1.68608E-5</v>
      </c>
      <c r="E1122" s="142">
        <v>7.386492238769531E-5</v>
      </c>
      <c r="F1122" s="140" t="s">
        <v>2676</v>
      </c>
      <c r="G1122" s="143">
        <v>0.0</v>
      </c>
      <c r="H1122" s="143">
        <v>3.0463544972519435E7</v>
      </c>
      <c r="I1122" s="144">
        <v>45529.0</v>
      </c>
      <c r="J1122" s="144">
        <v>45543.0</v>
      </c>
      <c r="K1122" s="145">
        <v>7.176371407318116E-5</v>
      </c>
      <c r="L1122" s="114"/>
      <c r="M1122" s="114"/>
      <c r="N1122" s="108"/>
      <c r="O1122" s="108"/>
      <c r="P1122" s="108"/>
      <c r="Q1122" s="108"/>
      <c r="R1122" s="108" t="str">
        <f t="shared" si="1"/>
        <v>2024</v>
      </c>
      <c r="S1122" s="110">
        <f t="shared" si="2"/>
        <v>9</v>
      </c>
      <c r="T1122" s="108" t="str">
        <f t="shared" si="3"/>
        <v>2024-Q3</v>
      </c>
      <c r="U1122" s="108" t="str">
        <f t="shared" si="4"/>
        <v>2024-09</v>
      </c>
      <c r="V1122" s="112" t="str">
        <f t="shared" si="5"/>
        <v>2024-H2</v>
      </c>
      <c r="W1122" s="156" t="s">
        <v>2654</v>
      </c>
    </row>
    <row r="1123">
      <c r="A1123" s="146">
        <f>HYPERLINK("https://polkadot.subsquare.io/referenda/1118", 1118)</f>
        <v>1118</v>
      </c>
      <c r="B1123" s="147" t="s">
        <v>594</v>
      </c>
      <c r="C1123" s="147" t="s">
        <v>2681</v>
      </c>
      <c r="D1123" s="148">
        <v>168608.0</v>
      </c>
      <c r="E1123" s="149">
        <v>738649.2238769531</v>
      </c>
      <c r="F1123" s="147" t="s">
        <v>2676</v>
      </c>
      <c r="G1123" s="150">
        <v>4.118844611014923E7</v>
      </c>
      <c r="H1123" s="150">
        <v>31755.5293039808</v>
      </c>
      <c r="I1123" s="151">
        <v>45529.0</v>
      </c>
      <c r="J1123" s="151">
        <v>45560.0</v>
      </c>
      <c r="K1123" s="152">
        <v>810312.4799499512</v>
      </c>
      <c r="L1123" s="157" t="s">
        <v>81</v>
      </c>
      <c r="M1123" s="157" t="s">
        <v>146</v>
      </c>
      <c r="N1123" s="153"/>
      <c r="O1123" s="153"/>
      <c r="P1123" s="153"/>
      <c r="Q1123" s="153"/>
      <c r="R1123" s="153" t="str">
        <f t="shared" si="1"/>
        <v>2024</v>
      </c>
      <c r="S1123" s="154">
        <f t="shared" si="2"/>
        <v>9</v>
      </c>
      <c r="T1123" s="153" t="str">
        <f t="shared" si="3"/>
        <v>2024-Q3</v>
      </c>
      <c r="U1123" s="153" t="str">
        <f t="shared" si="4"/>
        <v>2024-09</v>
      </c>
      <c r="V1123" s="155" t="str">
        <f t="shared" si="5"/>
        <v>2024-H2</v>
      </c>
      <c r="W1123" s="155"/>
    </row>
    <row r="1124">
      <c r="A1124" s="139">
        <f>HYPERLINK("https://polkadot.subsquare.io/referenda/1119", 1119)</f>
        <v>1119</v>
      </c>
      <c r="B1124" s="140" t="s">
        <v>3317</v>
      </c>
      <c r="C1124" s="140" t="s">
        <v>2672</v>
      </c>
      <c r="D1124" s="141">
        <v>9062.133125743414</v>
      </c>
      <c r="E1124" s="142">
        <v>39700.0</v>
      </c>
      <c r="F1124" s="140" t="s">
        <v>2678</v>
      </c>
      <c r="G1124" s="143">
        <v>188487.9236388797</v>
      </c>
      <c r="H1124" s="143">
        <v>3.8876646862223305E7</v>
      </c>
      <c r="I1124" s="144">
        <v>45529.0</v>
      </c>
      <c r="J1124" s="144">
        <v>45557.0</v>
      </c>
      <c r="K1124" s="145">
        <v>42007.49176258122</v>
      </c>
      <c r="L1124" s="114"/>
      <c r="M1124" s="114"/>
      <c r="N1124" s="108"/>
      <c r="O1124" s="108"/>
      <c r="P1124" s="108"/>
      <c r="Q1124" s="108"/>
      <c r="R1124" s="108" t="str">
        <f t="shared" si="1"/>
        <v>2024</v>
      </c>
      <c r="S1124" s="110">
        <f t="shared" si="2"/>
        <v>9</v>
      </c>
      <c r="T1124" s="108" t="str">
        <f t="shared" si="3"/>
        <v>2024-Q3</v>
      </c>
      <c r="U1124" s="108" t="str">
        <f t="shared" si="4"/>
        <v>2024-09</v>
      </c>
      <c r="V1124" s="112" t="str">
        <f t="shared" si="5"/>
        <v>2024-H2</v>
      </c>
      <c r="W1124" s="112"/>
    </row>
    <row r="1125">
      <c r="A1125" s="146">
        <f>HYPERLINK("https://polkadot.subsquare.io/referenda/1120", 1120)</f>
        <v>1120</v>
      </c>
      <c r="B1125" s="159"/>
      <c r="C1125" s="147" t="s">
        <v>2672</v>
      </c>
      <c r="D1125" s="148">
        <v>20.0</v>
      </c>
      <c r="E1125" s="149">
        <v>85.17589569091797</v>
      </c>
      <c r="F1125" s="147" t="s">
        <v>186</v>
      </c>
      <c r="G1125" s="150">
        <v>4725542.267999757</v>
      </c>
      <c r="H1125" s="150">
        <v>1.419167245831307E7</v>
      </c>
      <c r="I1125" s="151">
        <v>45529.0</v>
      </c>
      <c r="J1125" s="151">
        <v>45538.0</v>
      </c>
      <c r="K1125" s="152">
        <v>79.18941974639893</v>
      </c>
      <c r="L1125" s="117"/>
      <c r="M1125" s="117"/>
      <c r="N1125" s="153"/>
      <c r="O1125" s="153"/>
      <c r="P1125" s="153"/>
      <c r="Q1125" s="153"/>
      <c r="R1125" s="153" t="str">
        <f t="shared" si="1"/>
        <v>2024</v>
      </c>
      <c r="S1125" s="154">
        <f t="shared" si="2"/>
        <v>9</v>
      </c>
      <c r="T1125" s="153" t="str">
        <f t="shared" si="3"/>
        <v>2024-Q3</v>
      </c>
      <c r="U1125" s="153" t="str">
        <f t="shared" si="4"/>
        <v>2024-09</v>
      </c>
      <c r="V1125" s="155" t="str">
        <f t="shared" si="5"/>
        <v>2024-H2</v>
      </c>
      <c r="W1125" s="155"/>
    </row>
    <row r="1126">
      <c r="A1126" s="139">
        <f>HYPERLINK("https://polkadot.subsquare.io/referenda/1121", 1121)</f>
        <v>1121</v>
      </c>
      <c r="B1126" s="140" t="s">
        <v>3318</v>
      </c>
      <c r="C1126" s="140" t="s">
        <v>2672</v>
      </c>
      <c r="D1126" s="141">
        <v>20000.0</v>
      </c>
      <c r="E1126" s="142">
        <v>85175.89569091797</v>
      </c>
      <c r="F1126" s="140" t="s">
        <v>2683</v>
      </c>
      <c r="G1126" s="143">
        <v>4542354.601069988</v>
      </c>
      <c r="H1126" s="143">
        <v>2.8983649304180004E7</v>
      </c>
      <c r="I1126" s="144">
        <v>45530.0</v>
      </c>
      <c r="J1126" s="144">
        <v>45558.0</v>
      </c>
      <c r="K1126" s="145">
        <v>96325.68359375</v>
      </c>
      <c r="L1126" s="114"/>
      <c r="M1126" s="114"/>
      <c r="N1126" s="108"/>
      <c r="O1126" s="108"/>
      <c r="P1126" s="108"/>
      <c r="Q1126" s="108"/>
      <c r="R1126" s="108" t="str">
        <f t="shared" si="1"/>
        <v>2024</v>
      </c>
      <c r="S1126" s="110">
        <f t="shared" si="2"/>
        <v>9</v>
      </c>
      <c r="T1126" s="108" t="str">
        <f t="shared" si="3"/>
        <v>2024-Q3</v>
      </c>
      <c r="U1126" s="108" t="str">
        <f t="shared" si="4"/>
        <v>2024-09</v>
      </c>
      <c r="V1126" s="112" t="str">
        <f t="shared" si="5"/>
        <v>2024-H2</v>
      </c>
      <c r="W1126" s="112"/>
    </row>
    <row r="1127">
      <c r="A1127" s="146">
        <f>HYPERLINK("https://polkadot.subsquare.io/referenda/1122", 1122)</f>
        <v>1122</v>
      </c>
      <c r="B1127" s="147" t="s">
        <v>3319</v>
      </c>
      <c r="C1127" s="147" t="s">
        <v>2681</v>
      </c>
      <c r="D1127" s="148">
        <v>705760.6468072619</v>
      </c>
      <c r="E1127" s="149">
        <v>3000000.0</v>
      </c>
      <c r="F1127" s="147" t="s">
        <v>2676</v>
      </c>
      <c r="G1127" s="150">
        <v>1.0324158804212146E8</v>
      </c>
      <c r="H1127" s="150">
        <v>6.498808969827464E7</v>
      </c>
      <c r="I1127" s="151">
        <v>45530.0</v>
      </c>
      <c r="J1127" s="151">
        <v>45561.0</v>
      </c>
      <c r="K1127" s="152">
        <v>3391812.1320783948</v>
      </c>
      <c r="L1127" s="157" t="s">
        <v>83</v>
      </c>
      <c r="M1127" s="157" t="s">
        <v>2986</v>
      </c>
      <c r="N1127" s="164" t="s">
        <v>2654</v>
      </c>
      <c r="O1127" s="153"/>
      <c r="P1127" s="153"/>
      <c r="Q1127" s="153"/>
      <c r="R1127" s="153" t="str">
        <f t="shared" si="1"/>
        <v>2024</v>
      </c>
      <c r="S1127" s="154">
        <f t="shared" si="2"/>
        <v>9</v>
      </c>
      <c r="T1127" s="153" t="str">
        <f t="shared" si="3"/>
        <v>2024-Q3</v>
      </c>
      <c r="U1127" s="153" t="str">
        <f t="shared" si="4"/>
        <v>2024-09</v>
      </c>
      <c r="V1127" s="155" t="str">
        <f t="shared" si="5"/>
        <v>2024-H2</v>
      </c>
      <c r="W1127" s="155"/>
    </row>
    <row r="1128">
      <c r="A1128" s="139">
        <f>HYPERLINK("https://polkadot.subsquare.io/referenda/1123", 1123)</f>
        <v>1123</v>
      </c>
      <c r="B1128" s="140" t="s">
        <v>3320</v>
      </c>
      <c r="C1128" s="140" t="s">
        <v>2951</v>
      </c>
      <c r="D1128" s="141">
        <v>122331.84544659207</v>
      </c>
      <c r="E1128" s="142">
        <v>520000.0</v>
      </c>
      <c r="F1128" s="140" t="s">
        <v>2683</v>
      </c>
      <c r="G1128" s="143">
        <v>2.1959132232613496E7</v>
      </c>
      <c r="H1128" s="143">
        <v>6415579.941641049</v>
      </c>
      <c r="I1128" s="144">
        <v>45530.0</v>
      </c>
      <c r="J1128" s="144">
        <v>45564.0</v>
      </c>
      <c r="K1128" s="145">
        <v>508779.01039808145</v>
      </c>
      <c r="L1128" s="114"/>
      <c r="M1128" s="114"/>
      <c r="N1128" s="108"/>
      <c r="O1128" s="108"/>
      <c r="P1128" s="108"/>
      <c r="Q1128" s="108"/>
      <c r="R1128" s="108" t="str">
        <f t="shared" si="1"/>
        <v>2024</v>
      </c>
      <c r="S1128" s="110">
        <f t="shared" si="2"/>
        <v>9</v>
      </c>
      <c r="T1128" s="108" t="str">
        <f t="shared" si="3"/>
        <v>2024-Q3</v>
      </c>
      <c r="U1128" s="108" t="str">
        <f t="shared" si="4"/>
        <v>2024-09</v>
      </c>
      <c r="V1128" s="112" t="str">
        <f t="shared" si="5"/>
        <v>2024-H2</v>
      </c>
      <c r="W1128" s="112"/>
    </row>
    <row r="1129">
      <c r="A1129" s="146">
        <f>HYPERLINK("https://polkadot.subsquare.io/referenda/1124", 1124)</f>
        <v>1124</v>
      </c>
      <c r="B1129" s="147" t="s">
        <v>595</v>
      </c>
      <c r="C1129" s="147" t="s">
        <v>2681</v>
      </c>
      <c r="D1129" s="148">
        <v>250.0</v>
      </c>
      <c r="E1129" s="149">
        <v>1062.6832246780396</v>
      </c>
      <c r="F1129" s="147" t="s">
        <v>186</v>
      </c>
      <c r="G1129" s="150">
        <v>8685698.802526953</v>
      </c>
      <c r="H1129" s="150">
        <v>4210423.800197897</v>
      </c>
      <c r="I1129" s="151">
        <v>45531.0</v>
      </c>
      <c r="J1129" s="151">
        <v>45535.0</v>
      </c>
      <c r="K1129" s="152">
        <v>1015.7275199890137</v>
      </c>
      <c r="L1129" s="117" t="s">
        <v>81</v>
      </c>
      <c r="M1129" s="117" t="s">
        <v>179</v>
      </c>
      <c r="N1129" s="153"/>
      <c r="O1129" s="153"/>
      <c r="P1129" s="153"/>
      <c r="Q1129" s="153"/>
      <c r="R1129" s="153" t="str">
        <f t="shared" si="1"/>
        <v>2024</v>
      </c>
      <c r="S1129" s="154">
        <f t="shared" si="2"/>
        <v>8</v>
      </c>
      <c r="T1129" s="153" t="str">
        <f t="shared" si="3"/>
        <v>2024-Q3</v>
      </c>
      <c r="U1129" s="153" t="str">
        <f t="shared" si="4"/>
        <v>2024-08</v>
      </c>
      <c r="V1129" s="155" t="str">
        <f t="shared" si="5"/>
        <v>2024-H2</v>
      </c>
      <c r="W1129" s="155"/>
    </row>
    <row r="1130">
      <c r="A1130" s="139">
        <f>HYPERLINK("https://polkadot.subsquare.io/referenda/1125", 1125)</f>
        <v>1125</v>
      </c>
      <c r="B1130" s="140" t="s">
        <v>596</v>
      </c>
      <c r="C1130" s="140" t="s">
        <v>2681</v>
      </c>
      <c r="D1130" s="141">
        <v>461342.5206260634</v>
      </c>
      <c r="E1130" s="142">
        <v>1961043.83</v>
      </c>
      <c r="F1130" s="140" t="s">
        <v>2676</v>
      </c>
      <c r="G1130" s="143">
        <v>4.058725684568697E7</v>
      </c>
      <c r="H1130" s="143">
        <v>1042094.6920388797</v>
      </c>
      <c r="I1130" s="144">
        <v>45531.0</v>
      </c>
      <c r="J1130" s="144">
        <v>45562.0</v>
      </c>
      <c r="K1130" s="145">
        <v>2199878.523196253</v>
      </c>
      <c r="L1130" s="163" t="s">
        <v>82</v>
      </c>
      <c r="M1130" s="163" t="s">
        <v>150</v>
      </c>
      <c r="N1130" s="108"/>
      <c r="O1130" s="108"/>
      <c r="P1130" s="108"/>
      <c r="Q1130" s="108"/>
      <c r="R1130" s="108" t="str">
        <f t="shared" si="1"/>
        <v>2024</v>
      </c>
      <c r="S1130" s="110">
        <f t="shared" si="2"/>
        <v>9</v>
      </c>
      <c r="T1130" s="108" t="str">
        <f t="shared" si="3"/>
        <v>2024-Q3</v>
      </c>
      <c r="U1130" s="108" t="str">
        <f t="shared" si="4"/>
        <v>2024-09</v>
      </c>
      <c r="V1130" s="112" t="str">
        <f t="shared" si="5"/>
        <v>2024-H2</v>
      </c>
      <c r="W1130" s="112"/>
    </row>
    <row r="1131">
      <c r="A1131" s="146">
        <f>HYPERLINK("https://polkadot.subsquare.io/referenda/1126", 1126)</f>
        <v>1126</v>
      </c>
      <c r="B1131" s="159"/>
      <c r="C1131" s="147" t="s">
        <v>2681</v>
      </c>
      <c r="D1131" s="148">
        <v>20.0</v>
      </c>
      <c r="E1131" s="149">
        <v>85.01465797424316</v>
      </c>
      <c r="F1131" s="147" t="s">
        <v>186</v>
      </c>
      <c r="G1131" s="150">
        <v>5836347.799715488</v>
      </c>
      <c r="H1131" s="150">
        <v>10.0</v>
      </c>
      <c r="I1131" s="151">
        <v>45531.0</v>
      </c>
      <c r="J1131" s="151">
        <v>45534.0</v>
      </c>
      <c r="K1131" s="152">
        <v>81.47255897521973</v>
      </c>
      <c r="L1131" s="117" t="s">
        <v>81</v>
      </c>
      <c r="M1131" s="117" t="s">
        <v>185</v>
      </c>
      <c r="N1131" s="153"/>
      <c r="O1131" s="153"/>
      <c r="P1131" s="153"/>
      <c r="Q1131" s="153"/>
      <c r="R1131" s="153" t="str">
        <f t="shared" si="1"/>
        <v>2024</v>
      </c>
      <c r="S1131" s="154">
        <f t="shared" si="2"/>
        <v>8</v>
      </c>
      <c r="T1131" s="153" t="str">
        <f t="shared" si="3"/>
        <v>2024-Q3</v>
      </c>
      <c r="U1131" s="153" t="str">
        <f t="shared" si="4"/>
        <v>2024-08</v>
      </c>
      <c r="V1131" s="155" t="str">
        <f t="shared" si="5"/>
        <v>2024-H2</v>
      </c>
      <c r="W1131" s="155"/>
    </row>
    <row r="1132">
      <c r="A1132" s="139">
        <f>HYPERLINK("https://polkadot.subsquare.io/referenda/1127", 1127)</f>
        <v>1127</v>
      </c>
      <c r="B1132" s="140" t="s">
        <v>3321</v>
      </c>
      <c r="C1132" s="140" t="s">
        <v>2681</v>
      </c>
      <c r="D1132" s="141">
        <v>0.0</v>
      </c>
      <c r="E1132" s="142">
        <v>0.0</v>
      </c>
      <c r="F1132" s="140" t="s">
        <v>2682</v>
      </c>
      <c r="G1132" s="143">
        <v>5.612412538190799E7</v>
      </c>
      <c r="H1132" s="143">
        <v>10040.0235388797</v>
      </c>
      <c r="I1132" s="144">
        <v>45531.0</v>
      </c>
      <c r="J1132" s="144">
        <v>45546.0</v>
      </c>
      <c r="K1132" s="145">
        <v>0.0</v>
      </c>
      <c r="L1132" s="114"/>
      <c r="M1132" s="114"/>
      <c r="N1132" s="108"/>
      <c r="O1132" s="108"/>
      <c r="P1132" s="108"/>
      <c r="Q1132" s="108"/>
      <c r="R1132" s="108" t="str">
        <f t="shared" si="1"/>
        <v>2024</v>
      </c>
      <c r="S1132" s="110">
        <f t="shared" si="2"/>
        <v>9</v>
      </c>
      <c r="T1132" s="108" t="str">
        <f t="shared" si="3"/>
        <v>2024-Q3</v>
      </c>
      <c r="U1132" s="108" t="str">
        <f t="shared" si="4"/>
        <v>2024-09</v>
      </c>
      <c r="V1132" s="112" t="str">
        <f t="shared" si="5"/>
        <v>2024-H2</v>
      </c>
      <c r="W1132" s="112"/>
    </row>
    <row r="1133">
      <c r="A1133" s="146">
        <f>HYPERLINK("https://polkadot.subsquare.io/referenda/1128", 1128)</f>
        <v>1128</v>
      </c>
      <c r="B1133" s="147" t="s">
        <v>3322</v>
      </c>
      <c r="C1133" s="147" t="s">
        <v>2672</v>
      </c>
      <c r="D1133" s="148">
        <v>450.0</v>
      </c>
      <c r="E1133" s="149">
        <v>1916.3177490234375</v>
      </c>
      <c r="F1133" s="147" t="s">
        <v>2699</v>
      </c>
      <c r="G1133" s="150">
        <v>4406835.982832746</v>
      </c>
      <c r="H1133" s="150">
        <v>1.4290521851749256E7</v>
      </c>
      <c r="I1133" s="151">
        <v>45532.0</v>
      </c>
      <c r="J1133" s="151">
        <v>45543.0</v>
      </c>
      <c r="K1133" s="152">
        <v>1915.3107404708862</v>
      </c>
      <c r="L1133" s="117"/>
      <c r="M1133" s="117"/>
      <c r="N1133" s="153"/>
      <c r="O1133" s="153"/>
      <c r="P1133" s="153"/>
      <c r="Q1133" s="153"/>
      <c r="R1133" s="153" t="str">
        <f t="shared" si="1"/>
        <v>2024</v>
      </c>
      <c r="S1133" s="154">
        <f t="shared" si="2"/>
        <v>9</v>
      </c>
      <c r="T1133" s="153" t="str">
        <f t="shared" si="3"/>
        <v>2024-Q3</v>
      </c>
      <c r="U1133" s="153" t="str">
        <f t="shared" si="4"/>
        <v>2024-09</v>
      </c>
      <c r="V1133" s="155" t="str">
        <f t="shared" si="5"/>
        <v>2024-H2</v>
      </c>
      <c r="W1133" s="155"/>
    </row>
    <row r="1134">
      <c r="A1134" s="139">
        <f>HYPERLINK("https://polkadot.subsquare.io/referenda/1129", 1129)</f>
        <v>1129</v>
      </c>
      <c r="B1134" s="140" t="s">
        <v>3323</v>
      </c>
      <c r="C1134" s="140" t="s">
        <v>2681</v>
      </c>
      <c r="D1134" s="141">
        <v>0.0</v>
      </c>
      <c r="E1134" s="142">
        <v>0.0</v>
      </c>
      <c r="F1134" s="140" t="s">
        <v>2682</v>
      </c>
      <c r="G1134" s="143">
        <v>1.0066866622981516E8</v>
      </c>
      <c r="H1134" s="143">
        <v>5011.0</v>
      </c>
      <c r="I1134" s="144">
        <v>45532.0</v>
      </c>
      <c r="J1134" s="144">
        <v>45549.0</v>
      </c>
      <c r="K1134" s="145">
        <v>0.0</v>
      </c>
      <c r="L1134" s="114"/>
      <c r="M1134" s="114"/>
      <c r="N1134" s="108"/>
      <c r="O1134" s="108"/>
      <c r="P1134" s="108"/>
      <c r="Q1134" s="108"/>
      <c r="R1134" s="108" t="str">
        <f t="shared" si="1"/>
        <v>2024</v>
      </c>
      <c r="S1134" s="110">
        <f t="shared" si="2"/>
        <v>9</v>
      </c>
      <c r="T1134" s="108" t="str">
        <f t="shared" si="3"/>
        <v>2024-Q3</v>
      </c>
      <c r="U1134" s="108" t="str">
        <f t="shared" si="4"/>
        <v>2024-09</v>
      </c>
      <c r="V1134" s="112" t="str">
        <f t="shared" si="5"/>
        <v>2024-H2</v>
      </c>
      <c r="W1134" s="112"/>
    </row>
    <row r="1135">
      <c r="A1135" s="146">
        <f>HYPERLINK("https://polkadot.subsquare.io/referenda/1131", 1131)</f>
        <v>1131</v>
      </c>
      <c r="B1135" s="147" t="s">
        <v>3324</v>
      </c>
      <c r="C1135" s="147" t="s">
        <v>2672</v>
      </c>
      <c r="D1135" s="148">
        <v>1000.0</v>
      </c>
      <c r="E1135" s="149">
        <v>4258.48388671875</v>
      </c>
      <c r="F1135" s="147" t="s">
        <v>2699</v>
      </c>
      <c r="G1135" s="150">
        <v>2000.0</v>
      </c>
      <c r="H1135" s="150">
        <v>1.4271890857905474E7</v>
      </c>
      <c r="I1135" s="151">
        <v>45532.0</v>
      </c>
      <c r="J1135" s="151">
        <v>45539.0</v>
      </c>
      <c r="K1135" s="152">
        <v>4076.6329765319824</v>
      </c>
      <c r="L1135" s="117"/>
      <c r="M1135" s="117"/>
      <c r="N1135" s="153"/>
      <c r="O1135" s="153"/>
      <c r="P1135" s="153"/>
      <c r="Q1135" s="153"/>
      <c r="R1135" s="153" t="str">
        <f t="shared" si="1"/>
        <v>2024</v>
      </c>
      <c r="S1135" s="154">
        <f t="shared" si="2"/>
        <v>9</v>
      </c>
      <c r="T1135" s="153" t="str">
        <f t="shared" si="3"/>
        <v>2024-Q3</v>
      </c>
      <c r="U1135" s="153" t="str">
        <f t="shared" si="4"/>
        <v>2024-09</v>
      </c>
      <c r="V1135" s="155" t="str">
        <f t="shared" si="5"/>
        <v>2024-H2</v>
      </c>
      <c r="W1135" s="155"/>
    </row>
    <row r="1136">
      <c r="A1136" s="139">
        <f>HYPERLINK("https://polkadot.subsquare.io/referenda/1132", 1132)</f>
        <v>1132</v>
      </c>
      <c r="B1136" s="140" t="s">
        <v>597</v>
      </c>
      <c r="C1136" s="140" t="s">
        <v>2681</v>
      </c>
      <c r="D1136" s="141">
        <v>7647.0</v>
      </c>
      <c r="E1136" s="142">
        <v>31069.07338142395</v>
      </c>
      <c r="F1136" s="140" t="s">
        <v>2678</v>
      </c>
      <c r="G1136" s="143">
        <v>3.0739429596271645E7</v>
      </c>
      <c r="H1136" s="143">
        <v>15093.3</v>
      </c>
      <c r="I1136" s="144">
        <v>45535.0</v>
      </c>
      <c r="J1136" s="144">
        <v>45558.0</v>
      </c>
      <c r="K1136" s="145">
        <v>35447.64627170563</v>
      </c>
      <c r="L1136" s="163" t="s">
        <v>84</v>
      </c>
      <c r="M1136" s="163" t="s">
        <v>152</v>
      </c>
      <c r="N1136" s="108"/>
      <c r="O1136" s="108"/>
      <c r="P1136" s="108"/>
      <c r="Q1136" s="108"/>
      <c r="R1136" s="108" t="str">
        <f t="shared" si="1"/>
        <v>2024</v>
      </c>
      <c r="S1136" s="110">
        <f t="shared" si="2"/>
        <v>9</v>
      </c>
      <c r="T1136" s="108" t="str">
        <f t="shared" si="3"/>
        <v>2024-Q3</v>
      </c>
      <c r="U1136" s="108" t="str">
        <f t="shared" si="4"/>
        <v>2024-09</v>
      </c>
      <c r="V1136" s="112" t="str">
        <f t="shared" si="5"/>
        <v>2024-H2</v>
      </c>
      <c r="W1136" s="112"/>
    </row>
    <row r="1137">
      <c r="A1137" s="146">
        <f>HYPERLINK("https://polkadot.subsquare.io/referenda/1133", 1133)</f>
        <v>1133</v>
      </c>
      <c r="B1137" s="159"/>
      <c r="C1137" s="147" t="s">
        <v>2672</v>
      </c>
      <c r="D1137" s="148">
        <v>20.0</v>
      </c>
      <c r="E1137" s="149">
        <v>81.2582015991211</v>
      </c>
      <c r="F1137" s="147" t="s">
        <v>186</v>
      </c>
      <c r="G1137" s="150">
        <v>4541345.292115511</v>
      </c>
      <c r="H1137" s="150">
        <v>2.2792924330419883E7</v>
      </c>
      <c r="I1137" s="151">
        <v>45535.0</v>
      </c>
      <c r="J1137" s="151">
        <v>45543.0</v>
      </c>
      <c r="K1137" s="152">
        <v>83.83303642272949</v>
      </c>
      <c r="L1137" s="117"/>
      <c r="M1137" s="117"/>
      <c r="N1137" s="153"/>
      <c r="O1137" s="153"/>
      <c r="P1137" s="153"/>
      <c r="Q1137" s="153"/>
      <c r="R1137" s="153" t="str">
        <f t="shared" si="1"/>
        <v>2024</v>
      </c>
      <c r="S1137" s="154">
        <f t="shared" si="2"/>
        <v>9</v>
      </c>
      <c r="T1137" s="153" t="str">
        <f t="shared" si="3"/>
        <v>2024-Q3</v>
      </c>
      <c r="U1137" s="153" t="str">
        <f t="shared" si="4"/>
        <v>2024-09</v>
      </c>
      <c r="V1137" s="155" t="str">
        <f t="shared" si="5"/>
        <v>2024-H2</v>
      </c>
      <c r="W1137" s="155"/>
    </row>
    <row r="1138">
      <c r="A1138" s="139">
        <f>HYPERLINK("https://polkadot.subsquare.io/referenda/1134", 1134)</f>
        <v>1134</v>
      </c>
      <c r="B1138" s="140" t="s">
        <v>186</v>
      </c>
      <c r="C1138" s="140" t="s">
        <v>2681</v>
      </c>
      <c r="D1138" s="141">
        <v>20.0</v>
      </c>
      <c r="E1138" s="142">
        <v>81.2582015991211</v>
      </c>
      <c r="F1138" s="140" t="s">
        <v>186</v>
      </c>
      <c r="G1138" s="143">
        <v>9834608.186227543</v>
      </c>
      <c r="H1138" s="143">
        <v>95010.0</v>
      </c>
      <c r="I1138" s="144">
        <v>45535.0</v>
      </c>
      <c r="J1138" s="144">
        <v>45539.0</v>
      </c>
      <c r="K1138" s="145">
        <v>79.18941974639893</v>
      </c>
      <c r="L1138" s="114" t="s">
        <v>81</v>
      </c>
      <c r="M1138" s="114" t="s">
        <v>185</v>
      </c>
      <c r="N1138" s="108"/>
      <c r="O1138" s="108"/>
      <c r="P1138" s="108"/>
      <c r="Q1138" s="108"/>
      <c r="R1138" s="108" t="str">
        <f t="shared" si="1"/>
        <v>2024</v>
      </c>
      <c r="S1138" s="110">
        <f t="shared" si="2"/>
        <v>9</v>
      </c>
      <c r="T1138" s="108" t="str">
        <f t="shared" si="3"/>
        <v>2024-Q3</v>
      </c>
      <c r="U1138" s="108" t="str">
        <f t="shared" si="4"/>
        <v>2024-09</v>
      </c>
      <c r="V1138" s="112" t="str">
        <f t="shared" si="5"/>
        <v>2024-H2</v>
      </c>
      <c r="W1138" s="112"/>
    </row>
    <row r="1139">
      <c r="A1139" s="146">
        <f>HYPERLINK("https://polkadot.subsquare.io/referenda/1135", 1135)</f>
        <v>1135</v>
      </c>
      <c r="B1139" s="147" t="s">
        <v>598</v>
      </c>
      <c r="C1139" s="147" t="s">
        <v>2681</v>
      </c>
      <c r="D1139" s="148">
        <v>87553.24</v>
      </c>
      <c r="E1139" s="149">
        <v>359839.61147716525</v>
      </c>
      <c r="F1139" s="147" t="s">
        <v>2683</v>
      </c>
      <c r="G1139" s="150">
        <v>3.070794182116525E7</v>
      </c>
      <c r="H1139" s="150">
        <v>338881.6</v>
      </c>
      <c r="I1139" s="151">
        <v>45537.0</v>
      </c>
      <c r="J1139" s="151">
        <v>45565.0</v>
      </c>
      <c r="K1139" s="152">
        <v>364134.5443758011</v>
      </c>
      <c r="L1139" s="157" t="s">
        <v>82</v>
      </c>
      <c r="M1139" s="157" t="s">
        <v>150</v>
      </c>
      <c r="N1139" s="153"/>
      <c r="O1139" s="153"/>
      <c r="P1139" s="153"/>
      <c r="Q1139" s="153"/>
      <c r="R1139" s="153" t="str">
        <f t="shared" si="1"/>
        <v>2024</v>
      </c>
      <c r="S1139" s="154">
        <f t="shared" si="2"/>
        <v>9</v>
      </c>
      <c r="T1139" s="153" t="str">
        <f t="shared" si="3"/>
        <v>2024-Q3</v>
      </c>
      <c r="U1139" s="153" t="str">
        <f t="shared" si="4"/>
        <v>2024-09</v>
      </c>
      <c r="V1139" s="155" t="str">
        <f t="shared" si="5"/>
        <v>2024-H2</v>
      </c>
      <c r="W1139" s="155"/>
    </row>
    <row r="1140">
      <c r="A1140" s="139">
        <f>HYPERLINK("https://polkadot.subsquare.io/referenda/1136", 1136)</f>
        <v>1136</v>
      </c>
      <c r="B1140" s="140" t="s">
        <v>599</v>
      </c>
      <c r="C1140" s="140" t="s">
        <v>2681</v>
      </c>
      <c r="D1140" s="141">
        <v>10000.0</v>
      </c>
      <c r="E1140" s="142">
        <v>40160.579681396484</v>
      </c>
      <c r="F1140" s="140" t="s">
        <v>2678</v>
      </c>
      <c r="G1140" s="143">
        <v>2.2087412215700775E7</v>
      </c>
      <c r="H1140" s="143">
        <v>1.6934823097942166E7</v>
      </c>
      <c r="I1140" s="144">
        <v>45537.0</v>
      </c>
      <c r="J1140" s="144">
        <v>45561.0</v>
      </c>
      <c r="K1140" s="145">
        <v>48058.95805358887</v>
      </c>
      <c r="L1140" s="163" t="s">
        <v>137</v>
      </c>
      <c r="M1140" s="163" t="s">
        <v>191</v>
      </c>
      <c r="N1140" s="108"/>
      <c r="O1140" s="108"/>
      <c r="P1140" s="108"/>
      <c r="Q1140" s="108"/>
      <c r="R1140" s="108" t="str">
        <f t="shared" si="1"/>
        <v>2024</v>
      </c>
      <c r="S1140" s="110">
        <f t="shared" si="2"/>
        <v>9</v>
      </c>
      <c r="T1140" s="108" t="str">
        <f t="shared" si="3"/>
        <v>2024-Q3</v>
      </c>
      <c r="U1140" s="108" t="str">
        <f t="shared" si="4"/>
        <v>2024-09</v>
      </c>
      <c r="V1140" s="112" t="str">
        <f t="shared" si="5"/>
        <v>2024-H2</v>
      </c>
      <c r="W1140" s="112"/>
    </row>
    <row r="1141">
      <c r="A1141" s="146">
        <f>HYPERLINK("https://polkadot.subsquare.io/referenda/1137", 1137)</f>
        <v>1137</v>
      </c>
      <c r="B1141" s="147" t="s">
        <v>3325</v>
      </c>
      <c r="C1141" s="147" t="s">
        <v>3286</v>
      </c>
      <c r="D1141" s="148">
        <v>0.0</v>
      </c>
      <c r="E1141" s="149">
        <v>0.0</v>
      </c>
      <c r="F1141" s="147" t="s">
        <v>3053</v>
      </c>
      <c r="G1141" s="150">
        <v>11000.2</v>
      </c>
      <c r="H1141" s="150">
        <v>5.94728601400756E7</v>
      </c>
      <c r="I1141" s="151">
        <v>45538.0</v>
      </c>
      <c r="J1141" s="151">
        <v>45565.0</v>
      </c>
      <c r="K1141" s="152">
        <v>0.0</v>
      </c>
      <c r="L1141" s="117"/>
      <c r="M1141" s="117"/>
      <c r="N1141" s="153"/>
      <c r="O1141" s="153"/>
      <c r="P1141" s="153"/>
      <c r="Q1141" s="153"/>
      <c r="R1141" s="153" t="str">
        <f t="shared" si="1"/>
        <v>2024</v>
      </c>
      <c r="S1141" s="154">
        <f t="shared" si="2"/>
        <v>9</v>
      </c>
      <c r="T1141" s="153" t="str">
        <f t="shared" si="3"/>
        <v>2024-Q3</v>
      </c>
      <c r="U1141" s="153" t="str">
        <f t="shared" si="4"/>
        <v>2024-09</v>
      </c>
      <c r="V1141" s="155" t="str">
        <f t="shared" si="5"/>
        <v>2024-H2</v>
      </c>
      <c r="W1141" s="155"/>
    </row>
    <row r="1142">
      <c r="A1142" s="139">
        <f>HYPERLINK("https://polkadot.subsquare.io/referenda/1138", 1138)</f>
        <v>1138</v>
      </c>
      <c r="B1142" s="140" t="s">
        <v>3326</v>
      </c>
      <c r="C1142" s="140" t="s">
        <v>3286</v>
      </c>
      <c r="D1142" s="141">
        <v>0.0</v>
      </c>
      <c r="E1142" s="142">
        <v>0.0</v>
      </c>
      <c r="F1142" s="140" t="s">
        <v>3053</v>
      </c>
      <c r="G1142" s="143">
        <v>1.2974212915716931E7</v>
      </c>
      <c r="H1142" s="143">
        <v>4.34323382975346E7</v>
      </c>
      <c r="I1142" s="144">
        <v>45538.0</v>
      </c>
      <c r="J1142" s="144">
        <v>45565.0</v>
      </c>
      <c r="K1142" s="145">
        <v>0.0</v>
      </c>
      <c r="L1142" s="114"/>
      <c r="M1142" s="114"/>
      <c r="N1142" s="108"/>
      <c r="O1142" s="108"/>
      <c r="P1142" s="108"/>
      <c r="Q1142" s="108"/>
      <c r="R1142" s="108" t="str">
        <f t="shared" si="1"/>
        <v>2024</v>
      </c>
      <c r="S1142" s="110">
        <f t="shared" si="2"/>
        <v>9</v>
      </c>
      <c r="T1142" s="108" t="str">
        <f t="shared" si="3"/>
        <v>2024-Q3</v>
      </c>
      <c r="U1142" s="108" t="str">
        <f t="shared" si="4"/>
        <v>2024-09</v>
      </c>
      <c r="V1142" s="112" t="str">
        <f t="shared" si="5"/>
        <v>2024-H2</v>
      </c>
      <c r="W1142" s="112"/>
    </row>
    <row r="1143">
      <c r="A1143" s="146">
        <f>HYPERLINK("https://polkadot.subsquare.io/referenda/1139", 1139)</f>
        <v>1139</v>
      </c>
      <c r="B1143" s="147" t="s">
        <v>3327</v>
      </c>
      <c r="C1143" s="147" t="s">
        <v>3286</v>
      </c>
      <c r="D1143" s="148">
        <v>0.0</v>
      </c>
      <c r="E1143" s="149">
        <v>0.0</v>
      </c>
      <c r="F1143" s="147" t="s">
        <v>3053</v>
      </c>
      <c r="G1143" s="150">
        <v>6.388538490946686E7</v>
      </c>
      <c r="H1143" s="150">
        <v>1.8886714544908844E7</v>
      </c>
      <c r="I1143" s="151">
        <v>45538.0</v>
      </c>
      <c r="J1143" s="151">
        <v>45565.0</v>
      </c>
      <c r="K1143" s="152">
        <v>0.0</v>
      </c>
      <c r="L1143" s="117"/>
      <c r="M1143" s="117"/>
      <c r="N1143" s="153"/>
      <c r="O1143" s="153"/>
      <c r="P1143" s="153"/>
      <c r="Q1143" s="153"/>
      <c r="R1143" s="153" t="str">
        <f t="shared" si="1"/>
        <v>2024</v>
      </c>
      <c r="S1143" s="154">
        <f t="shared" si="2"/>
        <v>9</v>
      </c>
      <c r="T1143" s="153" t="str">
        <f t="shared" si="3"/>
        <v>2024-Q3</v>
      </c>
      <c r="U1143" s="153" t="str">
        <f t="shared" si="4"/>
        <v>2024-09</v>
      </c>
      <c r="V1143" s="155" t="str">
        <f t="shared" si="5"/>
        <v>2024-H2</v>
      </c>
      <c r="W1143" s="155"/>
    </row>
    <row r="1144">
      <c r="A1144" s="139">
        <f>HYPERLINK("https://polkadot.subsquare.io/referenda/1140", 1140)</f>
        <v>1140</v>
      </c>
      <c r="B1144" s="140" t="s">
        <v>3328</v>
      </c>
      <c r="C1144" s="140" t="s">
        <v>3286</v>
      </c>
      <c r="D1144" s="141">
        <v>28386.044450650203</v>
      </c>
      <c r="E1144" s="142">
        <v>114000.0</v>
      </c>
      <c r="F1144" s="140" t="s">
        <v>2676</v>
      </c>
      <c r="G1144" s="143">
        <v>4828254.1979971565</v>
      </c>
      <c r="H1144" s="143">
        <v>3.0416103351376027E7</v>
      </c>
      <c r="I1144" s="144">
        <v>45538.0</v>
      </c>
      <c r="J1144" s="144">
        <v>45565.0</v>
      </c>
      <c r="K1144" s="145">
        <v>118057.75962909823</v>
      </c>
      <c r="L1144" s="114"/>
      <c r="M1144" s="114"/>
      <c r="N1144" s="108"/>
      <c r="O1144" s="108"/>
      <c r="P1144" s="108"/>
      <c r="Q1144" s="108"/>
      <c r="R1144" s="108" t="str">
        <f t="shared" si="1"/>
        <v>2024</v>
      </c>
      <c r="S1144" s="110">
        <f t="shared" si="2"/>
        <v>9</v>
      </c>
      <c r="T1144" s="108" t="str">
        <f t="shared" si="3"/>
        <v>2024-Q3</v>
      </c>
      <c r="U1144" s="108" t="str">
        <f t="shared" si="4"/>
        <v>2024-09</v>
      </c>
      <c r="V1144" s="112" t="str">
        <f t="shared" si="5"/>
        <v>2024-H2</v>
      </c>
      <c r="W1144" s="112"/>
    </row>
    <row r="1145">
      <c r="A1145" s="146">
        <f>HYPERLINK("https://polkadot.subsquare.io/referenda/1142", 1142)</f>
        <v>1142</v>
      </c>
      <c r="B1145" s="147" t="s">
        <v>3329</v>
      </c>
      <c r="C1145" s="147" t="s">
        <v>2691</v>
      </c>
      <c r="D1145" s="148">
        <v>0.0</v>
      </c>
      <c r="E1145" s="149">
        <v>0.0</v>
      </c>
      <c r="F1145" s="147" t="s">
        <v>2682</v>
      </c>
      <c r="G1145" s="150">
        <v>7.0</v>
      </c>
      <c r="H1145" s="150">
        <v>4710482.18147676</v>
      </c>
      <c r="I1145" s="151">
        <v>45538.0</v>
      </c>
      <c r="J1145" s="151">
        <v>45552.0</v>
      </c>
      <c r="K1145" s="152">
        <v>0.0</v>
      </c>
      <c r="L1145" s="117"/>
      <c r="M1145" s="117"/>
      <c r="N1145" s="153"/>
      <c r="O1145" s="153"/>
      <c r="P1145" s="153"/>
      <c r="Q1145" s="153"/>
      <c r="R1145" s="153" t="str">
        <f t="shared" si="1"/>
        <v>2024</v>
      </c>
      <c r="S1145" s="154">
        <f t="shared" si="2"/>
        <v>9</v>
      </c>
      <c r="T1145" s="153" t="str">
        <f t="shared" si="3"/>
        <v>2024-Q3</v>
      </c>
      <c r="U1145" s="153" t="str">
        <f t="shared" si="4"/>
        <v>2024-09</v>
      </c>
      <c r="V1145" s="155" t="str">
        <f t="shared" si="5"/>
        <v>2024-H2</v>
      </c>
      <c r="W1145" s="158" t="s">
        <v>2654</v>
      </c>
    </row>
    <row r="1146">
      <c r="A1146" s="139">
        <f>HYPERLINK("https://polkadot.subsquare.io/referenda/1143", 1143)</f>
        <v>1143</v>
      </c>
      <c r="B1146" s="140" t="s">
        <v>3330</v>
      </c>
      <c r="C1146" s="140" t="s">
        <v>2681</v>
      </c>
      <c r="D1146" s="141">
        <v>0.0</v>
      </c>
      <c r="E1146" s="142">
        <v>0.0</v>
      </c>
      <c r="F1146" s="140" t="s">
        <v>2682</v>
      </c>
      <c r="G1146" s="143">
        <v>1.364670676237744E8</v>
      </c>
      <c r="H1146" s="143">
        <v>5001.0</v>
      </c>
      <c r="I1146" s="144">
        <v>45538.0</v>
      </c>
      <c r="J1146" s="144">
        <v>45550.0</v>
      </c>
      <c r="K1146" s="145">
        <v>0.0</v>
      </c>
      <c r="L1146" s="114"/>
      <c r="M1146" s="114"/>
      <c r="N1146" s="108"/>
      <c r="O1146" s="108"/>
      <c r="P1146" s="108"/>
      <c r="Q1146" s="108"/>
      <c r="R1146" s="108" t="str">
        <f t="shared" si="1"/>
        <v>2024</v>
      </c>
      <c r="S1146" s="110">
        <f t="shared" si="2"/>
        <v>9</v>
      </c>
      <c r="T1146" s="108" t="str">
        <f t="shared" si="3"/>
        <v>2024-Q3</v>
      </c>
      <c r="U1146" s="108" t="str">
        <f t="shared" si="4"/>
        <v>2024-09</v>
      </c>
      <c r="V1146" s="112" t="str">
        <f t="shared" si="5"/>
        <v>2024-H2</v>
      </c>
      <c r="W1146" s="112"/>
    </row>
    <row r="1147">
      <c r="A1147" s="146">
        <f>HYPERLINK("https://polkadot.subsquare.io/referenda/1144", 1144)</f>
        <v>1144</v>
      </c>
      <c r="B1147" s="147" t="s">
        <v>3331</v>
      </c>
      <c r="C1147" s="147" t="s">
        <v>2681</v>
      </c>
      <c r="D1147" s="148">
        <v>0.0</v>
      </c>
      <c r="E1147" s="149">
        <v>0.0</v>
      </c>
      <c r="F1147" s="147" t="s">
        <v>2891</v>
      </c>
      <c r="G1147" s="150">
        <v>4.146800343905327E7</v>
      </c>
      <c r="H1147" s="150">
        <v>5.0</v>
      </c>
      <c r="I1147" s="151">
        <v>45538.0</v>
      </c>
      <c r="J1147" s="151">
        <v>45550.0</v>
      </c>
      <c r="K1147" s="152">
        <v>0.0</v>
      </c>
      <c r="L1147" s="117"/>
      <c r="M1147" s="117"/>
      <c r="N1147" s="153"/>
      <c r="O1147" s="153"/>
      <c r="P1147" s="153"/>
      <c r="Q1147" s="153"/>
      <c r="R1147" s="153" t="str">
        <f t="shared" si="1"/>
        <v>2024</v>
      </c>
      <c r="S1147" s="154">
        <f t="shared" si="2"/>
        <v>9</v>
      </c>
      <c r="T1147" s="153" t="str">
        <f t="shared" si="3"/>
        <v>2024-Q3</v>
      </c>
      <c r="U1147" s="153" t="str">
        <f t="shared" si="4"/>
        <v>2024-09</v>
      </c>
      <c r="V1147" s="155" t="str">
        <f t="shared" si="5"/>
        <v>2024-H2</v>
      </c>
      <c r="W1147" s="155"/>
    </row>
    <row r="1148">
      <c r="A1148" s="139">
        <f>HYPERLINK("https://polkadot.subsquare.io/referenda/1145", 1145)</f>
        <v>1145</v>
      </c>
      <c r="B1148" s="140" t="s">
        <v>3332</v>
      </c>
      <c r="C1148" s="140" t="s">
        <v>2691</v>
      </c>
      <c r="D1148" s="141">
        <v>0.0</v>
      </c>
      <c r="E1148" s="142">
        <v>0.0</v>
      </c>
      <c r="F1148" s="140" t="s">
        <v>3053</v>
      </c>
      <c r="G1148" s="143">
        <v>0.0</v>
      </c>
      <c r="H1148" s="143">
        <v>2.8612131200473703E7</v>
      </c>
      <c r="I1148" s="144">
        <v>45539.0</v>
      </c>
      <c r="J1148" s="144">
        <v>45553.0</v>
      </c>
      <c r="K1148" s="145">
        <v>0.0</v>
      </c>
      <c r="L1148" s="114"/>
      <c r="M1148" s="114"/>
      <c r="N1148" s="108"/>
      <c r="O1148" s="108"/>
      <c r="P1148" s="108"/>
      <c r="Q1148" s="108"/>
      <c r="R1148" s="108" t="str">
        <f t="shared" si="1"/>
        <v>2024</v>
      </c>
      <c r="S1148" s="110">
        <f t="shared" si="2"/>
        <v>9</v>
      </c>
      <c r="T1148" s="108" t="str">
        <f t="shared" si="3"/>
        <v>2024-Q3</v>
      </c>
      <c r="U1148" s="108" t="str">
        <f t="shared" si="4"/>
        <v>2024-09</v>
      </c>
      <c r="V1148" s="112" t="str">
        <f t="shared" si="5"/>
        <v>2024-H2</v>
      </c>
      <c r="W1148" s="112"/>
    </row>
    <row r="1149">
      <c r="A1149" s="146">
        <f>HYPERLINK("https://polkadot.subsquare.io/referenda/1146", 1146)</f>
        <v>1146</v>
      </c>
      <c r="B1149" s="147" t="s">
        <v>3333</v>
      </c>
      <c r="C1149" s="147" t="s">
        <v>3286</v>
      </c>
      <c r="D1149" s="148">
        <v>38497.95377798981</v>
      </c>
      <c r="E1149" s="149">
        <v>165000.0</v>
      </c>
      <c r="F1149" s="147" t="s">
        <v>2676</v>
      </c>
      <c r="G1149" s="150">
        <v>2.869098507616227E7</v>
      </c>
      <c r="H1149" s="150">
        <v>2.675713120281671E7</v>
      </c>
      <c r="I1149" s="151">
        <v>45542.0</v>
      </c>
      <c r="J1149" s="151">
        <v>45565.0</v>
      </c>
      <c r="K1149" s="152">
        <v>160113.26203746395</v>
      </c>
      <c r="L1149" s="117"/>
      <c r="M1149" s="117"/>
      <c r="N1149" s="153"/>
      <c r="O1149" s="153"/>
      <c r="P1149" s="153"/>
      <c r="Q1149" s="153"/>
      <c r="R1149" s="153" t="str">
        <f t="shared" si="1"/>
        <v>2024</v>
      </c>
      <c r="S1149" s="154">
        <f t="shared" si="2"/>
        <v>9</v>
      </c>
      <c r="T1149" s="153" t="str">
        <f t="shared" si="3"/>
        <v>2024-Q3</v>
      </c>
      <c r="U1149" s="153" t="str">
        <f t="shared" si="4"/>
        <v>2024-09</v>
      </c>
      <c r="V1149" s="155" t="str">
        <f t="shared" si="5"/>
        <v>2024-H2</v>
      </c>
      <c r="W1149" s="155"/>
    </row>
    <row r="1150">
      <c r="A1150" s="139">
        <f>HYPERLINK("https://polkadot.subsquare.io/referenda/1147", 1147)</f>
        <v>1147</v>
      </c>
      <c r="B1150" s="140" t="s">
        <v>3334</v>
      </c>
      <c r="C1150" s="140" t="s">
        <v>3286</v>
      </c>
      <c r="D1150" s="141">
        <v>91686.42784137791</v>
      </c>
      <c r="E1150" s="142">
        <v>390240.0</v>
      </c>
      <c r="F1150" s="140" t="s">
        <v>2683</v>
      </c>
      <c r="G1150" s="143">
        <v>1.3742857834263552E7</v>
      </c>
      <c r="H1150" s="143">
        <v>8486268.505267145</v>
      </c>
      <c r="I1150" s="144">
        <v>45542.0</v>
      </c>
      <c r="J1150" s="144">
        <v>45565.0</v>
      </c>
      <c r="K1150" s="145">
        <v>381324.5018398509</v>
      </c>
      <c r="L1150" s="114"/>
      <c r="M1150" s="114"/>
      <c r="N1150" s="108"/>
      <c r="O1150" s="108"/>
      <c r="P1150" s="108"/>
      <c r="Q1150" s="108"/>
      <c r="R1150" s="108" t="str">
        <f t="shared" si="1"/>
        <v>2024</v>
      </c>
      <c r="S1150" s="110">
        <f t="shared" si="2"/>
        <v>9</v>
      </c>
      <c r="T1150" s="108" t="str">
        <f t="shared" si="3"/>
        <v>2024-Q3</v>
      </c>
      <c r="U1150" s="108" t="str">
        <f t="shared" si="4"/>
        <v>2024-09</v>
      </c>
      <c r="V1150" s="112" t="str">
        <f t="shared" si="5"/>
        <v>2024-H2</v>
      </c>
      <c r="W1150" s="112"/>
    </row>
    <row r="1151">
      <c r="A1151" s="146">
        <f>HYPERLINK("https://polkadot.subsquare.io/referenda/1148", 1148)</f>
        <v>1148</v>
      </c>
      <c r="B1151" s="147" t="s">
        <v>3335</v>
      </c>
      <c r="C1151" s="147" t="s">
        <v>3286</v>
      </c>
      <c r="D1151" s="148">
        <v>18683.1302325399</v>
      </c>
      <c r="E1151" s="149">
        <v>79520.0</v>
      </c>
      <c r="F1151" s="147" t="s">
        <v>2683</v>
      </c>
      <c r="G1151" s="150">
        <v>4814733.035546438</v>
      </c>
      <c r="H1151" s="150">
        <v>1.7012883946284235E7</v>
      </c>
      <c r="I1151" s="151">
        <v>45542.0</v>
      </c>
      <c r="J1151" s="151">
        <v>45565.0</v>
      </c>
      <c r="K1151" s="152">
        <v>77703.27077261414</v>
      </c>
      <c r="L1151" s="117"/>
      <c r="M1151" s="117"/>
      <c r="N1151" s="153"/>
      <c r="O1151" s="153"/>
      <c r="P1151" s="153"/>
      <c r="Q1151" s="153"/>
      <c r="R1151" s="153" t="str">
        <f t="shared" si="1"/>
        <v>2024</v>
      </c>
      <c r="S1151" s="154">
        <f t="shared" si="2"/>
        <v>9</v>
      </c>
      <c r="T1151" s="153" t="str">
        <f t="shared" si="3"/>
        <v>2024-Q3</v>
      </c>
      <c r="U1151" s="153" t="str">
        <f t="shared" si="4"/>
        <v>2024-09</v>
      </c>
      <c r="V1151" s="155" t="str">
        <f t="shared" si="5"/>
        <v>2024-H2</v>
      </c>
      <c r="W1151" s="155"/>
    </row>
    <row r="1152">
      <c r="A1152" s="139">
        <f>HYPERLINK("https://polkadot.subsquare.io/referenda/1150", 1150)</f>
        <v>1150</v>
      </c>
      <c r="B1152" s="140" t="s">
        <v>3336</v>
      </c>
      <c r="C1152" s="140" t="s">
        <v>3286</v>
      </c>
      <c r="D1152" s="141">
        <v>99988.0</v>
      </c>
      <c r="E1152" s="142">
        <v>425573.53404045105</v>
      </c>
      <c r="F1152" s="140" t="s">
        <v>2683</v>
      </c>
      <c r="G1152" s="143">
        <v>3.1170942640807975E7</v>
      </c>
      <c r="H1152" s="143">
        <v>1.2990224464435706E7</v>
      </c>
      <c r="I1152" s="144">
        <v>45543.0</v>
      </c>
      <c r="J1152" s="144">
        <v>45565.0</v>
      </c>
      <c r="K1152" s="145">
        <v>415850.79916000366</v>
      </c>
      <c r="L1152" s="114"/>
      <c r="M1152" s="114"/>
      <c r="N1152" s="108"/>
      <c r="O1152" s="108"/>
      <c r="P1152" s="108"/>
      <c r="Q1152" s="108"/>
      <c r="R1152" s="108" t="str">
        <f t="shared" si="1"/>
        <v>2024</v>
      </c>
      <c r="S1152" s="110">
        <f t="shared" si="2"/>
        <v>9</v>
      </c>
      <c r="T1152" s="108" t="str">
        <f t="shared" si="3"/>
        <v>2024-Q3</v>
      </c>
      <c r="U1152" s="108" t="str">
        <f t="shared" si="4"/>
        <v>2024-09</v>
      </c>
      <c r="V1152" s="112" t="str">
        <f t="shared" si="5"/>
        <v>2024-H2</v>
      </c>
      <c r="W1152" s="112"/>
    </row>
    <row r="1153">
      <c r="A1153" s="146">
        <f>HYPERLINK("https://polkadot.subsquare.io/referenda/1151", 1151)</f>
        <v>1151</v>
      </c>
      <c r="B1153" s="147" t="s">
        <v>3337</v>
      </c>
      <c r="C1153" s="147" t="s">
        <v>2691</v>
      </c>
      <c r="D1153" s="148">
        <v>0.0</v>
      </c>
      <c r="E1153" s="149">
        <v>0.0</v>
      </c>
      <c r="F1153" s="147" t="s">
        <v>2687</v>
      </c>
      <c r="G1153" s="150">
        <v>4.1</v>
      </c>
      <c r="H1153" s="150">
        <v>3940159.4089449197</v>
      </c>
      <c r="I1153" s="151">
        <v>45543.0</v>
      </c>
      <c r="J1153" s="151">
        <v>45557.0</v>
      </c>
      <c r="K1153" s="152">
        <v>0.0</v>
      </c>
      <c r="L1153" s="117"/>
      <c r="M1153" s="117"/>
      <c r="N1153" s="153"/>
      <c r="O1153" s="153"/>
      <c r="P1153" s="153"/>
      <c r="Q1153" s="153"/>
      <c r="R1153" s="153" t="str">
        <f t="shared" si="1"/>
        <v>2024</v>
      </c>
      <c r="S1153" s="154">
        <f t="shared" si="2"/>
        <v>9</v>
      </c>
      <c r="T1153" s="153" t="str">
        <f t="shared" si="3"/>
        <v>2024-Q3</v>
      </c>
      <c r="U1153" s="153" t="str">
        <f t="shared" si="4"/>
        <v>2024-09</v>
      </c>
      <c r="V1153" s="155" t="str">
        <f t="shared" si="5"/>
        <v>2024-H2</v>
      </c>
      <c r="W1153" s="158" t="s">
        <v>2654</v>
      </c>
    </row>
    <row r="1154">
      <c r="A1154" s="139">
        <f>HYPERLINK("https://polkadot.subsquare.io/referenda/1152", 1152)</f>
        <v>1152</v>
      </c>
      <c r="B1154" s="140" t="s">
        <v>3338</v>
      </c>
      <c r="C1154" s="140" t="s">
        <v>2691</v>
      </c>
      <c r="D1154" s="141">
        <v>0.0</v>
      </c>
      <c r="E1154" s="142">
        <v>0.0</v>
      </c>
      <c r="F1154" s="140" t="s">
        <v>2687</v>
      </c>
      <c r="G1154" s="143">
        <v>0.1</v>
      </c>
      <c r="H1154" s="143">
        <v>3817320.906353682</v>
      </c>
      <c r="I1154" s="144">
        <v>45543.0</v>
      </c>
      <c r="J1154" s="144">
        <v>45557.0</v>
      </c>
      <c r="K1154" s="145">
        <v>0.0</v>
      </c>
      <c r="L1154" s="114"/>
      <c r="M1154" s="114"/>
      <c r="N1154" s="108"/>
      <c r="O1154" s="108"/>
      <c r="P1154" s="108"/>
      <c r="Q1154" s="108"/>
      <c r="R1154" s="108" t="str">
        <f t="shared" si="1"/>
        <v>2024</v>
      </c>
      <c r="S1154" s="110">
        <f t="shared" si="2"/>
        <v>9</v>
      </c>
      <c r="T1154" s="108" t="str">
        <f t="shared" si="3"/>
        <v>2024-Q3</v>
      </c>
      <c r="U1154" s="108" t="str">
        <f t="shared" si="4"/>
        <v>2024-09</v>
      </c>
      <c r="V1154" s="112" t="str">
        <f t="shared" si="5"/>
        <v>2024-H2</v>
      </c>
      <c r="W1154" s="156" t="s">
        <v>2654</v>
      </c>
    </row>
    <row r="1155">
      <c r="A1155" s="146">
        <f>HYPERLINK("https://polkadot.subsquare.io/referenda/1153", 1153)</f>
        <v>1153</v>
      </c>
      <c r="B1155" s="147" t="s">
        <v>3339</v>
      </c>
      <c r="C1155" s="147" t="s">
        <v>2691</v>
      </c>
      <c r="D1155" s="148">
        <v>0.0</v>
      </c>
      <c r="E1155" s="149">
        <v>0.0</v>
      </c>
      <c r="F1155" s="147" t="s">
        <v>3053</v>
      </c>
      <c r="G1155" s="150">
        <v>4531090.681495907</v>
      </c>
      <c r="H1155" s="150">
        <v>1.642760340086839E7</v>
      </c>
      <c r="I1155" s="151">
        <v>45543.0</v>
      </c>
      <c r="J1155" s="151">
        <v>45557.0</v>
      </c>
      <c r="K1155" s="152">
        <v>0.0</v>
      </c>
      <c r="L1155" s="117"/>
      <c r="M1155" s="117"/>
      <c r="N1155" s="153"/>
      <c r="O1155" s="153"/>
      <c r="P1155" s="153"/>
      <c r="Q1155" s="153"/>
      <c r="R1155" s="153" t="str">
        <f t="shared" si="1"/>
        <v>2024</v>
      </c>
      <c r="S1155" s="154">
        <f t="shared" si="2"/>
        <v>9</v>
      </c>
      <c r="T1155" s="153" t="str">
        <f t="shared" si="3"/>
        <v>2024-Q3</v>
      </c>
      <c r="U1155" s="153" t="str">
        <f t="shared" si="4"/>
        <v>2024-09</v>
      </c>
      <c r="V1155" s="155" t="str">
        <f t="shared" si="5"/>
        <v>2024-H2</v>
      </c>
      <c r="W1155" s="155"/>
    </row>
    <row r="1156">
      <c r="A1156" s="139">
        <f>HYPERLINK("https://polkadot.subsquare.io/referenda/1154", 1154)</f>
        <v>1154</v>
      </c>
      <c r="B1156" s="140" t="s">
        <v>3340</v>
      </c>
      <c r="C1156" s="140" t="s">
        <v>2691</v>
      </c>
      <c r="D1156" s="141">
        <v>963.23</v>
      </c>
      <c r="E1156" s="142">
        <v>4037.5247836732865</v>
      </c>
      <c r="F1156" s="140" t="s">
        <v>2699</v>
      </c>
      <c r="G1156" s="143">
        <v>148795.1001</v>
      </c>
      <c r="H1156" s="143">
        <v>3.4330309243179E7</v>
      </c>
      <c r="I1156" s="144">
        <v>45543.0</v>
      </c>
      <c r="J1156" s="144">
        <v>45557.0</v>
      </c>
      <c r="K1156" s="145">
        <v>4465.049865083694</v>
      </c>
      <c r="L1156" s="114"/>
      <c r="M1156" s="114"/>
      <c r="N1156" s="108"/>
      <c r="O1156" s="108"/>
      <c r="P1156" s="108"/>
      <c r="Q1156" s="108"/>
      <c r="R1156" s="108" t="str">
        <f t="shared" si="1"/>
        <v>2024</v>
      </c>
      <c r="S1156" s="110">
        <f t="shared" si="2"/>
        <v>9</v>
      </c>
      <c r="T1156" s="108" t="str">
        <f t="shared" si="3"/>
        <v>2024-Q3</v>
      </c>
      <c r="U1156" s="108" t="str">
        <f t="shared" si="4"/>
        <v>2024-09</v>
      </c>
      <c r="V1156" s="112" t="str">
        <f t="shared" si="5"/>
        <v>2024-H2</v>
      </c>
      <c r="W1156" s="156" t="s">
        <v>2654</v>
      </c>
    </row>
    <row r="1157">
      <c r="A1157" s="146">
        <f>HYPERLINK("https://polkadot.subsquare.io/referenda/1155", 1155)</f>
        <v>1155</v>
      </c>
      <c r="B1157" s="147" t="s">
        <v>3341</v>
      </c>
      <c r="C1157" s="147" t="s">
        <v>2672</v>
      </c>
      <c r="D1157" s="148">
        <v>1000.0</v>
      </c>
      <c r="E1157" s="149">
        <v>4191.651821136475</v>
      </c>
      <c r="F1157" s="147" t="s">
        <v>2699</v>
      </c>
      <c r="G1157" s="150">
        <v>4244007.291017088</v>
      </c>
      <c r="H1157" s="150">
        <v>2.1233350407169E7</v>
      </c>
      <c r="I1157" s="151">
        <v>45543.0</v>
      </c>
      <c r="J1157" s="151">
        <v>45550.0</v>
      </c>
      <c r="K1157" s="152">
        <v>4169.034957885742</v>
      </c>
      <c r="L1157" s="117"/>
      <c r="M1157" s="117"/>
      <c r="N1157" s="153"/>
      <c r="O1157" s="153"/>
      <c r="P1157" s="153"/>
      <c r="Q1157" s="153"/>
      <c r="R1157" s="153" t="str">
        <f t="shared" si="1"/>
        <v>2024</v>
      </c>
      <c r="S1157" s="154">
        <f t="shared" si="2"/>
        <v>9</v>
      </c>
      <c r="T1157" s="153" t="str">
        <f t="shared" si="3"/>
        <v>2024-Q3</v>
      </c>
      <c r="U1157" s="153" t="str">
        <f t="shared" si="4"/>
        <v>2024-09</v>
      </c>
      <c r="V1157" s="155" t="str">
        <f t="shared" si="5"/>
        <v>2024-H2</v>
      </c>
      <c r="W1157" s="155"/>
    </row>
    <row r="1158">
      <c r="A1158" s="139">
        <f>HYPERLINK("https://polkadot.subsquare.io/referenda/1156", 1156)</f>
        <v>1156</v>
      </c>
      <c r="B1158" s="140" t="s">
        <v>3342</v>
      </c>
      <c r="C1158" s="140" t="s">
        <v>2672</v>
      </c>
      <c r="D1158" s="141">
        <v>139.38</v>
      </c>
      <c r="E1158" s="142">
        <v>584.2324308300018</v>
      </c>
      <c r="F1158" s="140" t="s">
        <v>186</v>
      </c>
      <c r="G1158" s="143">
        <v>4375058.091017088</v>
      </c>
      <c r="H1158" s="143">
        <v>2.0928653382952884E7</v>
      </c>
      <c r="I1158" s="144">
        <v>45543.0</v>
      </c>
      <c r="J1158" s="144">
        <v>45550.0</v>
      </c>
      <c r="K1158" s="145">
        <v>581.0800924301147</v>
      </c>
      <c r="L1158" s="114"/>
      <c r="M1158" s="114"/>
      <c r="N1158" s="108"/>
      <c r="O1158" s="108"/>
      <c r="P1158" s="108"/>
      <c r="Q1158" s="108"/>
      <c r="R1158" s="108" t="str">
        <f t="shared" si="1"/>
        <v>2024</v>
      </c>
      <c r="S1158" s="110">
        <f t="shared" si="2"/>
        <v>9</v>
      </c>
      <c r="T1158" s="108" t="str">
        <f t="shared" si="3"/>
        <v>2024-Q3</v>
      </c>
      <c r="U1158" s="108" t="str">
        <f t="shared" si="4"/>
        <v>2024-09</v>
      </c>
      <c r="V1158" s="112" t="str">
        <f t="shared" si="5"/>
        <v>2024-H2</v>
      </c>
      <c r="W1158" s="112"/>
    </row>
    <row r="1159">
      <c r="A1159" s="146">
        <f>HYPERLINK("https://polkadot.subsquare.io/referenda/1157", 1157)</f>
        <v>1157</v>
      </c>
      <c r="B1159" s="147" t="s">
        <v>3343</v>
      </c>
      <c r="C1159" s="147" t="s">
        <v>3286</v>
      </c>
      <c r="D1159" s="148">
        <v>0.0</v>
      </c>
      <c r="E1159" s="149">
        <v>0.0</v>
      </c>
      <c r="F1159" s="147" t="s">
        <v>3053</v>
      </c>
      <c r="G1159" s="150">
        <v>5.939218063456839E7</v>
      </c>
      <c r="H1159" s="150">
        <v>5810.2</v>
      </c>
      <c r="I1159" s="151">
        <v>45544.0</v>
      </c>
      <c r="J1159" s="151">
        <v>45565.0</v>
      </c>
      <c r="K1159" s="152">
        <v>0.0</v>
      </c>
      <c r="L1159" s="117"/>
      <c r="M1159" s="117"/>
      <c r="N1159" s="153"/>
      <c r="O1159" s="153"/>
      <c r="P1159" s="153"/>
      <c r="Q1159" s="153"/>
      <c r="R1159" s="153" t="str">
        <f t="shared" si="1"/>
        <v>2024</v>
      </c>
      <c r="S1159" s="154">
        <f t="shared" si="2"/>
        <v>9</v>
      </c>
      <c r="T1159" s="153" t="str">
        <f t="shared" si="3"/>
        <v>2024-Q3</v>
      </c>
      <c r="U1159" s="153" t="str">
        <f t="shared" si="4"/>
        <v>2024-09</v>
      </c>
      <c r="V1159" s="155" t="str">
        <f t="shared" si="5"/>
        <v>2024-H2</v>
      </c>
      <c r="W1159" s="155"/>
    </row>
    <row r="1160">
      <c r="A1160" s="139">
        <f>HYPERLINK("https://polkadot.subsquare.io/referenda/1158", 1158)</f>
        <v>1158</v>
      </c>
      <c r="B1160" s="140" t="s">
        <v>3344</v>
      </c>
      <c r="C1160" s="140" t="s">
        <v>3286</v>
      </c>
      <c r="D1160" s="141">
        <v>13977.149428024786</v>
      </c>
      <c r="E1160" s="142">
        <v>60000.0</v>
      </c>
      <c r="F1160" s="140" t="s">
        <v>2683</v>
      </c>
      <c r="G1160" s="143">
        <v>120.0</v>
      </c>
      <c r="H1160" s="143">
        <v>1.785439025270172E7</v>
      </c>
      <c r="I1160" s="144">
        <v>45544.0</v>
      </c>
      <c r="J1160" s="144">
        <v>45565.0</v>
      </c>
      <c r="K1160" s="145">
        <v>58131.06332382782</v>
      </c>
      <c r="L1160" s="114"/>
      <c r="M1160" s="114"/>
      <c r="N1160" s="108"/>
      <c r="O1160" s="108"/>
      <c r="P1160" s="108"/>
      <c r="Q1160" s="108"/>
      <c r="R1160" s="108" t="str">
        <f t="shared" si="1"/>
        <v>2024</v>
      </c>
      <c r="S1160" s="110">
        <f t="shared" si="2"/>
        <v>9</v>
      </c>
      <c r="T1160" s="108" t="str">
        <f t="shared" si="3"/>
        <v>2024-Q3</v>
      </c>
      <c r="U1160" s="108" t="str">
        <f t="shared" si="4"/>
        <v>2024-09</v>
      </c>
      <c r="V1160" s="112" t="str">
        <f t="shared" si="5"/>
        <v>2024-H2</v>
      </c>
      <c r="W1160" s="112"/>
    </row>
    <row r="1161">
      <c r="A1161" s="146">
        <f>HYPERLINK("https://polkadot.subsquare.io/referenda/1159", 1159)</f>
        <v>1159</v>
      </c>
      <c r="B1161" s="147" t="s">
        <v>3345</v>
      </c>
      <c r="C1161" s="147" t="s">
        <v>2672</v>
      </c>
      <c r="D1161" s="148">
        <v>1000.0</v>
      </c>
      <c r="E1161" s="149">
        <v>4292.720794677734</v>
      </c>
      <c r="F1161" s="147" t="s">
        <v>2699</v>
      </c>
      <c r="G1161" s="150">
        <v>4439321.397091685</v>
      </c>
      <c r="H1161" s="150">
        <v>2.5524861819296535E7</v>
      </c>
      <c r="I1161" s="151">
        <v>45544.0</v>
      </c>
      <c r="J1161" s="151">
        <v>45551.0</v>
      </c>
      <c r="K1161" s="152">
        <v>4255.255222320557</v>
      </c>
      <c r="L1161" s="117"/>
      <c r="M1161" s="117"/>
      <c r="N1161" s="153"/>
      <c r="O1161" s="153"/>
      <c r="P1161" s="153"/>
      <c r="Q1161" s="153"/>
      <c r="R1161" s="153" t="str">
        <f t="shared" si="1"/>
        <v>2024</v>
      </c>
      <c r="S1161" s="154">
        <f t="shared" si="2"/>
        <v>9</v>
      </c>
      <c r="T1161" s="153" t="str">
        <f t="shared" si="3"/>
        <v>2024-Q3</v>
      </c>
      <c r="U1161" s="153" t="str">
        <f t="shared" si="4"/>
        <v>2024-09</v>
      </c>
      <c r="V1161" s="155" t="str">
        <f t="shared" si="5"/>
        <v>2024-H2</v>
      </c>
      <c r="W1161" s="155"/>
    </row>
    <row r="1162">
      <c r="A1162" s="139">
        <f>HYPERLINK("https://polkadot.subsquare.io/referenda/1160", 1160)</f>
        <v>1160</v>
      </c>
      <c r="B1162" s="140" t="s">
        <v>3346</v>
      </c>
      <c r="C1162" s="140" t="s">
        <v>3286</v>
      </c>
      <c r="D1162" s="141">
        <v>0.0</v>
      </c>
      <c r="E1162" s="142">
        <v>0.0</v>
      </c>
      <c r="F1162" s="140" t="s">
        <v>2696</v>
      </c>
      <c r="G1162" s="143">
        <v>2.3065912906977966E7</v>
      </c>
      <c r="H1162" s="143">
        <v>4408734.035737605</v>
      </c>
      <c r="I1162" s="144">
        <v>45545.0</v>
      </c>
      <c r="J1162" s="144">
        <v>45565.0</v>
      </c>
      <c r="K1162" s="145">
        <v>0.0</v>
      </c>
      <c r="L1162" s="114"/>
      <c r="M1162" s="114"/>
      <c r="N1162" s="108"/>
      <c r="O1162" s="108"/>
      <c r="P1162" s="108"/>
      <c r="Q1162" s="108"/>
      <c r="R1162" s="108" t="str">
        <f t="shared" si="1"/>
        <v>2024</v>
      </c>
      <c r="S1162" s="110">
        <f t="shared" si="2"/>
        <v>9</v>
      </c>
      <c r="T1162" s="108" t="str">
        <f t="shared" si="3"/>
        <v>2024-Q3</v>
      </c>
      <c r="U1162" s="108" t="str">
        <f t="shared" si="4"/>
        <v>2024-09</v>
      </c>
      <c r="V1162" s="112" t="str">
        <f t="shared" si="5"/>
        <v>2024-H2</v>
      </c>
      <c r="W1162" s="112"/>
    </row>
    <row r="1163">
      <c r="A1163" s="146">
        <f>HYPERLINK("https://polkadot.subsquare.io/referenda/1161", 1161)</f>
        <v>1161</v>
      </c>
      <c r="B1163" s="147" t="s">
        <v>3347</v>
      </c>
      <c r="C1163" s="147" t="s">
        <v>2681</v>
      </c>
      <c r="D1163" s="148">
        <v>0.0</v>
      </c>
      <c r="E1163" s="149">
        <v>0.0</v>
      </c>
      <c r="F1163" s="147" t="s">
        <v>2682</v>
      </c>
      <c r="G1163" s="150">
        <v>1.7739033202181304E8</v>
      </c>
      <c r="H1163" s="150">
        <v>10.0</v>
      </c>
      <c r="I1163" s="151">
        <v>45545.0</v>
      </c>
      <c r="J1163" s="151">
        <v>45552.0</v>
      </c>
      <c r="K1163" s="152">
        <v>0.0</v>
      </c>
      <c r="L1163" s="117"/>
      <c r="M1163" s="117"/>
      <c r="N1163" s="153"/>
      <c r="O1163" s="153"/>
      <c r="P1163" s="153"/>
      <c r="Q1163" s="153"/>
      <c r="R1163" s="153" t="str">
        <f t="shared" si="1"/>
        <v>2024</v>
      </c>
      <c r="S1163" s="154">
        <f t="shared" si="2"/>
        <v>9</v>
      </c>
      <c r="T1163" s="153" t="str">
        <f t="shared" si="3"/>
        <v>2024-Q3</v>
      </c>
      <c r="U1163" s="153" t="str">
        <f t="shared" si="4"/>
        <v>2024-09</v>
      </c>
      <c r="V1163" s="155" t="str">
        <f t="shared" si="5"/>
        <v>2024-H2</v>
      </c>
      <c r="W1163" s="155"/>
    </row>
    <row r="1164">
      <c r="A1164" s="139">
        <f>HYPERLINK("https://polkadot.subsquare.io/referenda/1162", 1162)</f>
        <v>1162</v>
      </c>
      <c r="B1164" s="140" t="s">
        <v>3348</v>
      </c>
      <c r="C1164" s="140" t="s">
        <v>3286</v>
      </c>
      <c r="D1164" s="141">
        <v>0.0</v>
      </c>
      <c r="E1164" s="142">
        <v>0.0</v>
      </c>
      <c r="F1164" s="140" t="s">
        <v>2698</v>
      </c>
      <c r="G1164" s="143">
        <v>2630770.009293892</v>
      </c>
      <c r="H1164" s="143">
        <v>1.7405952182594504E7</v>
      </c>
      <c r="I1164" s="144">
        <v>45545.0</v>
      </c>
      <c r="J1164" s="144">
        <v>45565.0</v>
      </c>
      <c r="K1164" s="145">
        <v>0.0</v>
      </c>
      <c r="L1164" s="114"/>
      <c r="M1164" s="114"/>
      <c r="N1164" s="108"/>
      <c r="O1164" s="108"/>
      <c r="P1164" s="108"/>
      <c r="Q1164" s="108"/>
      <c r="R1164" s="108" t="str">
        <f t="shared" si="1"/>
        <v>2024</v>
      </c>
      <c r="S1164" s="110">
        <f t="shared" si="2"/>
        <v>9</v>
      </c>
      <c r="T1164" s="108" t="str">
        <f t="shared" si="3"/>
        <v>2024-Q3</v>
      </c>
      <c r="U1164" s="108" t="str">
        <f t="shared" si="4"/>
        <v>2024-09</v>
      </c>
      <c r="V1164" s="112" t="str">
        <f t="shared" si="5"/>
        <v>2024-H2</v>
      </c>
      <c r="W1164" s="156" t="s">
        <v>2654</v>
      </c>
    </row>
    <row r="1165">
      <c r="A1165" s="146">
        <f>HYPERLINK("https://polkadot.subsquare.io/referenda/1163", 1163)</f>
        <v>1163</v>
      </c>
      <c r="B1165" s="147" t="s">
        <v>3349</v>
      </c>
      <c r="C1165" s="147" t="s">
        <v>3286</v>
      </c>
      <c r="D1165" s="148">
        <v>0.0</v>
      </c>
      <c r="E1165" s="149">
        <v>0.0</v>
      </c>
      <c r="F1165" s="147" t="s">
        <v>2683</v>
      </c>
      <c r="G1165" s="150">
        <v>3.323719197163225E7</v>
      </c>
      <c r="H1165" s="150">
        <v>3.253418126598501E7</v>
      </c>
      <c r="I1165" s="151">
        <v>45546.0</v>
      </c>
      <c r="J1165" s="151">
        <v>45565.0</v>
      </c>
      <c r="K1165" s="152">
        <v>0.0</v>
      </c>
      <c r="L1165" s="117"/>
      <c r="M1165" s="117"/>
      <c r="N1165" s="153"/>
      <c r="O1165" s="153"/>
      <c r="P1165" s="153"/>
      <c r="Q1165" s="153"/>
      <c r="R1165" s="153" t="str">
        <f t="shared" si="1"/>
        <v>2024</v>
      </c>
      <c r="S1165" s="154">
        <f t="shared" si="2"/>
        <v>9</v>
      </c>
      <c r="T1165" s="153" t="str">
        <f t="shared" si="3"/>
        <v>2024-Q3</v>
      </c>
      <c r="U1165" s="153" t="str">
        <f t="shared" si="4"/>
        <v>2024-09</v>
      </c>
      <c r="V1165" s="155" t="str">
        <f t="shared" si="5"/>
        <v>2024-H2</v>
      </c>
      <c r="W1165" s="155"/>
    </row>
    <row r="1166">
      <c r="A1166" s="139">
        <f>HYPERLINK("https://polkadot.subsquare.io/referenda/1164", 1164)</f>
        <v>1164</v>
      </c>
      <c r="B1166" s="140" t="s">
        <v>3350</v>
      </c>
      <c r="C1166" s="140" t="s">
        <v>2691</v>
      </c>
      <c r="D1166" s="141">
        <v>6020.0</v>
      </c>
      <c r="E1166" s="142">
        <v>25274.80157852173</v>
      </c>
      <c r="F1166" s="140" t="s">
        <v>2696</v>
      </c>
      <c r="G1166" s="143">
        <v>14.20001</v>
      </c>
      <c r="H1166" s="143">
        <v>2.2763221646324214E7</v>
      </c>
      <c r="I1166" s="144">
        <v>45549.0</v>
      </c>
      <c r="J1166" s="144">
        <v>45563.0</v>
      </c>
      <c r="K1166" s="145">
        <v>26711.25835418701</v>
      </c>
      <c r="L1166" s="114"/>
      <c r="M1166" s="114"/>
      <c r="N1166" s="108"/>
      <c r="O1166" s="108"/>
      <c r="P1166" s="108"/>
      <c r="Q1166" s="108"/>
      <c r="R1166" s="108" t="str">
        <f t="shared" si="1"/>
        <v>2024</v>
      </c>
      <c r="S1166" s="110">
        <f t="shared" si="2"/>
        <v>9</v>
      </c>
      <c r="T1166" s="108" t="str">
        <f t="shared" si="3"/>
        <v>2024-Q3</v>
      </c>
      <c r="U1166" s="108" t="str">
        <f t="shared" si="4"/>
        <v>2024-09</v>
      </c>
      <c r="V1166" s="112" t="str">
        <f t="shared" si="5"/>
        <v>2024-H2</v>
      </c>
      <c r="W1166" s="112"/>
    </row>
    <row r="1167">
      <c r="A1167" s="146">
        <f>HYPERLINK("https://polkadot.subsquare.io/referenda/1165", 1165)</f>
        <v>1165</v>
      </c>
      <c r="B1167" s="147" t="s">
        <v>3351</v>
      </c>
      <c r="C1167" s="147" t="s">
        <v>3286</v>
      </c>
      <c r="D1167" s="148">
        <v>4763.709198081145</v>
      </c>
      <c r="E1167" s="149">
        <v>19800.0</v>
      </c>
      <c r="F1167" s="147" t="s">
        <v>2678</v>
      </c>
      <c r="G1167" s="150">
        <v>2.69910187417103E7</v>
      </c>
      <c r="H1167" s="150">
        <v>5005.0</v>
      </c>
      <c r="I1167" s="151">
        <v>45550.0</v>
      </c>
      <c r="J1167" s="151">
        <v>45565.0</v>
      </c>
      <c r="K1167" s="152">
        <v>19812.30024590855</v>
      </c>
      <c r="L1167" s="117"/>
      <c r="M1167" s="117"/>
      <c r="N1167" s="153"/>
      <c r="O1167" s="153"/>
      <c r="P1167" s="153"/>
      <c r="Q1167" s="153"/>
      <c r="R1167" s="153" t="str">
        <f t="shared" si="1"/>
        <v>2024</v>
      </c>
      <c r="S1167" s="154">
        <f t="shared" si="2"/>
        <v>9</v>
      </c>
      <c r="T1167" s="153" t="str">
        <f t="shared" si="3"/>
        <v>2024-Q3</v>
      </c>
      <c r="U1167" s="153" t="str">
        <f t="shared" si="4"/>
        <v>2024-09</v>
      </c>
      <c r="V1167" s="155" t="str">
        <f t="shared" si="5"/>
        <v>2024-H2</v>
      </c>
      <c r="W1167" s="155"/>
    </row>
    <row r="1168">
      <c r="A1168" s="139">
        <f>HYPERLINK("https://polkadot.subsquare.io/referenda/1166", 1166)</f>
        <v>1166</v>
      </c>
      <c r="B1168" s="140" t="s">
        <v>3352</v>
      </c>
      <c r="C1168" s="140" t="s">
        <v>3286</v>
      </c>
      <c r="D1168" s="141">
        <v>200000.0</v>
      </c>
      <c r="E1168" s="142">
        <v>833806.9915771484</v>
      </c>
      <c r="F1168" s="140" t="s">
        <v>2696</v>
      </c>
      <c r="G1168" s="143">
        <v>1.080142498549886E7</v>
      </c>
      <c r="H1168" s="143">
        <v>9585797.83488937</v>
      </c>
      <c r="I1168" s="144">
        <v>45550.0</v>
      </c>
      <c r="J1168" s="144">
        <v>45565.0</v>
      </c>
      <c r="K1168" s="145">
        <v>831801.4144897461</v>
      </c>
      <c r="L1168" s="114"/>
      <c r="M1168" s="114"/>
      <c r="N1168" s="108"/>
      <c r="O1168" s="108"/>
      <c r="P1168" s="108"/>
      <c r="Q1168" s="108"/>
      <c r="R1168" s="108" t="str">
        <f t="shared" si="1"/>
        <v>2024</v>
      </c>
      <c r="S1168" s="110">
        <f t="shared" si="2"/>
        <v>9</v>
      </c>
      <c r="T1168" s="108" t="str">
        <f t="shared" si="3"/>
        <v>2024-Q3</v>
      </c>
      <c r="U1168" s="108" t="str">
        <f t="shared" si="4"/>
        <v>2024-09</v>
      </c>
      <c r="V1168" s="112" t="str">
        <f t="shared" si="5"/>
        <v>2024-H2</v>
      </c>
      <c r="W1168" s="112"/>
    </row>
    <row r="1169">
      <c r="A1169" s="146">
        <f>HYPERLINK("https://polkadot.subsquare.io/referenda/1167", 1167)</f>
        <v>1167</v>
      </c>
      <c r="B1169" s="147" t="s">
        <v>600</v>
      </c>
      <c r="C1169" s="147" t="s">
        <v>2681</v>
      </c>
      <c r="D1169" s="148">
        <v>200.0</v>
      </c>
      <c r="E1169" s="149">
        <v>833.8069915771484</v>
      </c>
      <c r="F1169" s="147" t="s">
        <v>186</v>
      </c>
      <c r="G1169" s="150">
        <v>2.5893778054673433E7</v>
      </c>
      <c r="H1169" s="150">
        <v>5088.0</v>
      </c>
      <c r="I1169" s="151">
        <v>45550.0</v>
      </c>
      <c r="J1169" s="151">
        <v>45553.0</v>
      </c>
      <c r="K1169" s="152">
        <v>867.4715995788574</v>
      </c>
      <c r="L1169" s="157" t="s">
        <v>81</v>
      </c>
      <c r="M1169" s="157" t="s">
        <v>179</v>
      </c>
      <c r="N1169" s="153"/>
      <c r="O1169" s="153"/>
      <c r="P1169" s="153"/>
      <c r="Q1169" s="153"/>
      <c r="R1169" s="153" t="str">
        <f t="shared" si="1"/>
        <v>2024</v>
      </c>
      <c r="S1169" s="154">
        <f t="shared" si="2"/>
        <v>9</v>
      </c>
      <c r="T1169" s="153" t="str">
        <f t="shared" si="3"/>
        <v>2024-Q3</v>
      </c>
      <c r="U1169" s="153" t="str">
        <f t="shared" si="4"/>
        <v>2024-09</v>
      </c>
      <c r="V1169" s="155" t="str">
        <f t="shared" si="5"/>
        <v>2024-H2</v>
      </c>
      <c r="W1169" s="155"/>
    </row>
    <row r="1170">
      <c r="A1170" s="139">
        <f>HYPERLINK("https://polkadot.subsquare.io/referenda/1168", 1168)</f>
        <v>1168</v>
      </c>
      <c r="B1170" s="140" t="s">
        <v>186</v>
      </c>
      <c r="C1170" s="140" t="s">
        <v>2681</v>
      </c>
      <c r="D1170" s="141">
        <v>20.0</v>
      </c>
      <c r="E1170" s="142">
        <v>83.38069915771484</v>
      </c>
      <c r="F1170" s="140" t="s">
        <v>186</v>
      </c>
      <c r="G1170" s="143">
        <v>1.2966839128852705E7</v>
      </c>
      <c r="H1170" s="143">
        <v>8235599.791783047</v>
      </c>
      <c r="I1170" s="144">
        <v>45551.0</v>
      </c>
      <c r="J1170" s="144">
        <v>45559.0</v>
      </c>
      <c r="K1170" s="145">
        <v>96.32568359375</v>
      </c>
      <c r="L1170" s="114" t="s">
        <v>81</v>
      </c>
      <c r="M1170" s="114" t="s">
        <v>185</v>
      </c>
      <c r="N1170" s="108"/>
      <c r="O1170" s="108"/>
      <c r="P1170" s="108"/>
      <c r="Q1170" s="108"/>
      <c r="R1170" s="108" t="str">
        <f t="shared" si="1"/>
        <v>2024</v>
      </c>
      <c r="S1170" s="110">
        <f t="shared" si="2"/>
        <v>9</v>
      </c>
      <c r="T1170" s="108" t="str">
        <f t="shared" si="3"/>
        <v>2024-Q3</v>
      </c>
      <c r="U1170" s="108" t="str">
        <f t="shared" si="4"/>
        <v>2024-09</v>
      </c>
      <c r="V1170" s="112" t="str">
        <f t="shared" si="5"/>
        <v>2024-H2</v>
      </c>
      <c r="W1170" s="112"/>
    </row>
    <row r="1171">
      <c r="A1171" s="146">
        <f>HYPERLINK("https://polkadot.subsquare.io/referenda/1169", 1169)</f>
        <v>1169</v>
      </c>
      <c r="B1171" s="147" t="s">
        <v>3353</v>
      </c>
      <c r="C1171" s="147" t="s">
        <v>3286</v>
      </c>
      <c r="D1171" s="148">
        <v>65000.0</v>
      </c>
      <c r="E1171" s="149">
        <v>276591.5894508362</v>
      </c>
      <c r="F1171" s="147" t="s">
        <v>2683</v>
      </c>
      <c r="G1171" s="150">
        <v>2.7974503198543172E7</v>
      </c>
      <c r="H1171" s="150">
        <v>8890951.593239876</v>
      </c>
      <c r="I1171" s="151">
        <v>45551.0</v>
      </c>
      <c r="J1171" s="151">
        <v>45565.0</v>
      </c>
      <c r="K1171" s="152">
        <v>270335.4597091675</v>
      </c>
      <c r="L1171" s="117"/>
      <c r="M1171" s="117"/>
      <c r="N1171" s="153"/>
      <c r="O1171" s="153"/>
      <c r="P1171" s="153"/>
      <c r="Q1171" s="153"/>
      <c r="R1171" s="153" t="str">
        <f t="shared" si="1"/>
        <v>2024</v>
      </c>
      <c r="S1171" s="154">
        <f t="shared" si="2"/>
        <v>9</v>
      </c>
      <c r="T1171" s="153" t="str">
        <f t="shared" si="3"/>
        <v>2024-Q3</v>
      </c>
      <c r="U1171" s="153" t="str">
        <f t="shared" si="4"/>
        <v>2024-09</v>
      </c>
      <c r="V1171" s="155" t="str">
        <f t="shared" si="5"/>
        <v>2024-H2</v>
      </c>
      <c r="W1171" s="155"/>
    </row>
    <row r="1172">
      <c r="A1172" s="139">
        <f>HYPERLINK("https://polkadot.subsquare.io/referenda/1170", 1170)</f>
        <v>1170</v>
      </c>
      <c r="B1172" s="140" t="s">
        <v>601</v>
      </c>
      <c r="C1172" s="140" t="s">
        <v>2681</v>
      </c>
      <c r="D1172" s="141">
        <v>946.91</v>
      </c>
      <c r="E1172" s="142">
        <v>4029.343722567558</v>
      </c>
      <c r="F1172" s="140" t="s">
        <v>2699</v>
      </c>
      <c r="G1172" s="143">
        <v>1.6846687473041557E7</v>
      </c>
      <c r="H1172" s="143">
        <v>197006.506320041</v>
      </c>
      <c r="I1172" s="144">
        <v>45552.0</v>
      </c>
      <c r="J1172" s="144">
        <v>45555.0</v>
      </c>
      <c r="K1172" s="145">
        <v>4218.929178323746</v>
      </c>
      <c r="L1172" s="163" t="s">
        <v>81</v>
      </c>
      <c r="M1172" s="163" t="s">
        <v>140</v>
      </c>
      <c r="N1172" s="108"/>
      <c r="O1172" s="108"/>
      <c r="P1172" s="108"/>
      <c r="Q1172" s="108"/>
      <c r="R1172" s="108" t="str">
        <f t="shared" si="1"/>
        <v>2024</v>
      </c>
      <c r="S1172" s="110">
        <f t="shared" si="2"/>
        <v>9</v>
      </c>
      <c r="T1172" s="108" t="str">
        <f t="shared" si="3"/>
        <v>2024-Q3</v>
      </c>
      <c r="U1172" s="108" t="str">
        <f t="shared" si="4"/>
        <v>2024-09</v>
      </c>
      <c r="V1172" s="112" t="str">
        <f t="shared" si="5"/>
        <v>2024-H2</v>
      </c>
      <c r="W1172" s="112"/>
    </row>
    <row r="1173">
      <c r="A1173" s="146">
        <f>HYPERLINK("https://polkadot.subsquare.io/referenda/1171", 1171)</f>
        <v>1171</v>
      </c>
      <c r="B1173" s="147" t="s">
        <v>3354</v>
      </c>
      <c r="C1173" s="147" t="s">
        <v>3286</v>
      </c>
      <c r="D1173" s="148">
        <v>16612.0</v>
      </c>
      <c r="E1173" s="149">
        <v>70688.29975318909</v>
      </c>
      <c r="F1173" s="147" t="s">
        <v>2683</v>
      </c>
      <c r="G1173" s="150">
        <v>9244235.639371142</v>
      </c>
      <c r="H1173" s="150">
        <v>1.7591339779180747E7</v>
      </c>
      <c r="I1173" s="151">
        <v>45552.0</v>
      </c>
      <c r="J1173" s="151">
        <v>45565.0</v>
      </c>
      <c r="K1173" s="152">
        <v>69089.42548751831</v>
      </c>
      <c r="L1173" s="117"/>
      <c r="M1173" s="117"/>
      <c r="N1173" s="153"/>
      <c r="O1173" s="153"/>
      <c r="P1173" s="153"/>
      <c r="Q1173" s="153"/>
      <c r="R1173" s="153" t="str">
        <f t="shared" si="1"/>
        <v>2024</v>
      </c>
      <c r="S1173" s="154">
        <f t="shared" si="2"/>
        <v>9</v>
      </c>
      <c r="T1173" s="153" t="str">
        <f t="shared" si="3"/>
        <v>2024-Q3</v>
      </c>
      <c r="U1173" s="153" t="str">
        <f t="shared" si="4"/>
        <v>2024-09</v>
      </c>
      <c r="V1173" s="155" t="str">
        <f t="shared" si="5"/>
        <v>2024-H2</v>
      </c>
      <c r="W1173" s="155"/>
    </row>
    <row r="1174">
      <c r="A1174" s="139">
        <f>HYPERLINK("https://polkadot.subsquare.io/referenda/1172", 1172)</f>
        <v>1172</v>
      </c>
      <c r="B1174" s="140" t="s">
        <v>3355</v>
      </c>
      <c r="C1174" s="140" t="s">
        <v>2681</v>
      </c>
      <c r="D1174" s="141">
        <v>0.0</v>
      </c>
      <c r="E1174" s="142">
        <v>0.0</v>
      </c>
      <c r="F1174" s="140" t="s">
        <v>2682</v>
      </c>
      <c r="G1174" s="143">
        <v>2.0803866017677832E8</v>
      </c>
      <c r="H1174" s="143">
        <v>5.0</v>
      </c>
      <c r="I1174" s="144">
        <v>45552.0</v>
      </c>
      <c r="J1174" s="144">
        <v>45557.0</v>
      </c>
      <c r="K1174" s="145">
        <v>0.0</v>
      </c>
      <c r="L1174" s="114"/>
      <c r="M1174" s="114"/>
      <c r="N1174" s="108"/>
      <c r="O1174" s="108"/>
      <c r="P1174" s="108"/>
      <c r="Q1174" s="108"/>
      <c r="R1174" s="108" t="str">
        <f t="shared" si="1"/>
        <v>2024</v>
      </c>
      <c r="S1174" s="110">
        <f t="shared" si="2"/>
        <v>9</v>
      </c>
      <c r="T1174" s="108" t="str">
        <f t="shared" si="3"/>
        <v>2024-Q3</v>
      </c>
      <c r="U1174" s="108" t="str">
        <f t="shared" si="4"/>
        <v>2024-09</v>
      </c>
      <c r="V1174" s="112" t="str">
        <f t="shared" si="5"/>
        <v>2024-H2</v>
      </c>
      <c r="W1174" s="112"/>
    </row>
    <row r="1175">
      <c r="A1175" s="146">
        <f>HYPERLINK("https://polkadot.subsquare.io/referenda/1173", 1173)</f>
        <v>1173</v>
      </c>
      <c r="B1175" s="147" t="s">
        <v>3356</v>
      </c>
      <c r="C1175" s="147" t="s">
        <v>3286</v>
      </c>
      <c r="D1175" s="148">
        <v>4727.762847787826</v>
      </c>
      <c r="E1175" s="149">
        <v>20506.0</v>
      </c>
      <c r="F1175" s="147" t="s">
        <v>2683</v>
      </c>
      <c r="G1175" s="150">
        <v>9139805.65673943</v>
      </c>
      <c r="H1175" s="150">
        <v>111577.05</v>
      </c>
      <c r="I1175" s="151">
        <v>45553.0</v>
      </c>
      <c r="J1175" s="151">
        <v>45565.0</v>
      </c>
      <c r="K1175" s="152">
        <v>19662.79912080992</v>
      </c>
      <c r="L1175" s="117"/>
      <c r="M1175" s="117"/>
      <c r="N1175" s="153"/>
      <c r="O1175" s="153"/>
      <c r="P1175" s="153"/>
      <c r="Q1175" s="153"/>
      <c r="R1175" s="153" t="str">
        <f t="shared" si="1"/>
        <v>2024</v>
      </c>
      <c r="S1175" s="154">
        <f t="shared" si="2"/>
        <v>9</v>
      </c>
      <c r="T1175" s="153" t="str">
        <f t="shared" si="3"/>
        <v>2024-Q3</v>
      </c>
      <c r="U1175" s="153" t="str">
        <f t="shared" si="4"/>
        <v>2024-09</v>
      </c>
      <c r="V1175" s="155" t="str">
        <f t="shared" si="5"/>
        <v>2024-H2</v>
      </c>
      <c r="W1175" s="155"/>
    </row>
    <row r="1176">
      <c r="A1176" s="139">
        <f>HYPERLINK("https://polkadot.subsquare.io/referenda/1174", 1174)</f>
        <v>1174</v>
      </c>
      <c r="B1176" s="140" t="s">
        <v>602</v>
      </c>
      <c r="C1176" s="140" t="s">
        <v>2681</v>
      </c>
      <c r="D1176" s="141">
        <v>1000.0</v>
      </c>
      <c r="E1176" s="142">
        <v>4466.025829315186</v>
      </c>
      <c r="F1176" s="140" t="s">
        <v>2699</v>
      </c>
      <c r="G1176" s="143">
        <v>1.132879214759723E7</v>
      </c>
      <c r="H1176" s="143">
        <v>4426626.188664729</v>
      </c>
      <c r="I1176" s="144">
        <v>45553.0</v>
      </c>
      <c r="J1176" s="144">
        <v>45557.0</v>
      </c>
      <c r="K1176" s="145">
        <v>4635.497093200684</v>
      </c>
      <c r="L1176" s="163" t="s">
        <v>137</v>
      </c>
      <c r="M1176" s="163" t="s">
        <v>191</v>
      </c>
      <c r="N1176" s="108"/>
      <c r="O1176" s="108"/>
      <c r="P1176" s="108"/>
      <c r="Q1176" s="108"/>
      <c r="R1176" s="108" t="str">
        <f t="shared" si="1"/>
        <v>2024</v>
      </c>
      <c r="S1176" s="110">
        <f t="shared" si="2"/>
        <v>9</v>
      </c>
      <c r="T1176" s="108" t="str">
        <f t="shared" si="3"/>
        <v>2024-Q3</v>
      </c>
      <c r="U1176" s="108" t="str">
        <f t="shared" si="4"/>
        <v>2024-09</v>
      </c>
      <c r="V1176" s="112" t="str">
        <f t="shared" si="5"/>
        <v>2024-H2</v>
      </c>
      <c r="W1176" s="112"/>
    </row>
    <row r="1177">
      <c r="A1177" s="146">
        <f>HYPERLINK("https://polkadot.subsquare.io/referenda/1175", 1175)</f>
        <v>1175</v>
      </c>
      <c r="B1177" s="147" t="s">
        <v>3357</v>
      </c>
      <c r="C1177" s="147" t="s">
        <v>3286</v>
      </c>
      <c r="D1177" s="148">
        <v>6717.381660240008</v>
      </c>
      <c r="E1177" s="149">
        <v>30000.0</v>
      </c>
      <c r="F1177" s="147" t="s">
        <v>2683</v>
      </c>
      <c r="G1177" s="150">
        <v>1.3224451681109417E7</v>
      </c>
      <c r="H1177" s="150">
        <v>1.2989730693496777E7</v>
      </c>
      <c r="I1177" s="151">
        <v>45553.0</v>
      </c>
      <c r="J1177" s="151">
        <v>45565.0</v>
      </c>
      <c r="K1177" s="152">
        <v>27937.63783327559</v>
      </c>
      <c r="L1177" s="117"/>
      <c r="M1177" s="117"/>
      <c r="N1177" s="153"/>
      <c r="O1177" s="153"/>
      <c r="P1177" s="153"/>
      <c r="Q1177" s="153"/>
      <c r="R1177" s="153" t="str">
        <f t="shared" si="1"/>
        <v>2024</v>
      </c>
      <c r="S1177" s="154">
        <f t="shared" si="2"/>
        <v>9</v>
      </c>
      <c r="T1177" s="153" t="str">
        <f t="shared" si="3"/>
        <v>2024-Q3</v>
      </c>
      <c r="U1177" s="153" t="str">
        <f t="shared" si="4"/>
        <v>2024-09</v>
      </c>
      <c r="V1177" s="155" t="str">
        <f t="shared" si="5"/>
        <v>2024-H2</v>
      </c>
      <c r="W1177" s="155"/>
    </row>
    <row r="1178">
      <c r="A1178" s="139">
        <f>HYPERLINK("https://polkadot.subsquare.io/referenda/1176", 1176)</f>
        <v>1176</v>
      </c>
      <c r="B1178" s="140" t="s">
        <v>3358</v>
      </c>
      <c r="C1178" s="140" t="s">
        <v>3286</v>
      </c>
      <c r="D1178" s="141">
        <v>16693.23</v>
      </c>
      <c r="E1178" s="142">
        <v>74552.39635469913</v>
      </c>
      <c r="F1178" s="140" t="s">
        <v>2683</v>
      </c>
      <c r="G1178" s="143">
        <v>1.4050450014495924E7</v>
      </c>
      <c r="H1178" s="143">
        <v>1.3326374232064448E7</v>
      </c>
      <c r="I1178" s="144">
        <v>45553.0</v>
      </c>
      <c r="J1178" s="144">
        <v>45565.0</v>
      </c>
      <c r="K1178" s="145">
        <v>69427.26163201332</v>
      </c>
      <c r="L1178" s="114"/>
      <c r="M1178" s="114"/>
      <c r="N1178" s="108"/>
      <c r="O1178" s="108"/>
      <c r="P1178" s="108"/>
      <c r="Q1178" s="108"/>
      <c r="R1178" s="108" t="str">
        <f t="shared" si="1"/>
        <v>2024</v>
      </c>
      <c r="S1178" s="110">
        <f t="shared" si="2"/>
        <v>9</v>
      </c>
      <c r="T1178" s="108" t="str">
        <f t="shared" si="3"/>
        <v>2024-Q3</v>
      </c>
      <c r="U1178" s="108" t="str">
        <f t="shared" si="4"/>
        <v>2024-09</v>
      </c>
      <c r="V1178" s="112" t="str">
        <f t="shared" si="5"/>
        <v>2024-H2</v>
      </c>
      <c r="W1178" s="112"/>
    </row>
    <row r="1179">
      <c r="A1179" s="146">
        <f>HYPERLINK("https://polkadot.subsquare.io/referenda/1177", 1177)</f>
        <v>1177</v>
      </c>
      <c r="B1179" s="147" t="s">
        <v>3359</v>
      </c>
      <c r="C1179" s="147" t="s">
        <v>3286</v>
      </c>
      <c r="D1179" s="148">
        <v>0.0</v>
      </c>
      <c r="E1179" s="149">
        <v>0.0</v>
      </c>
      <c r="F1179" s="147" t="s">
        <v>2698</v>
      </c>
      <c r="G1179" s="150">
        <v>6570877.635332696</v>
      </c>
      <c r="H1179" s="150">
        <v>5005.0</v>
      </c>
      <c r="I1179" s="151">
        <v>45553.0</v>
      </c>
      <c r="J1179" s="151">
        <v>45565.0</v>
      </c>
      <c r="K1179" s="152">
        <v>0.0</v>
      </c>
      <c r="L1179" s="117"/>
      <c r="M1179" s="117"/>
      <c r="N1179" s="153"/>
      <c r="O1179" s="153"/>
      <c r="P1179" s="153"/>
      <c r="Q1179" s="153"/>
      <c r="R1179" s="153" t="str">
        <f t="shared" si="1"/>
        <v>2024</v>
      </c>
      <c r="S1179" s="154">
        <f t="shared" si="2"/>
        <v>9</v>
      </c>
      <c r="T1179" s="153" t="str">
        <f t="shared" si="3"/>
        <v>2024-Q3</v>
      </c>
      <c r="U1179" s="153" t="str">
        <f t="shared" si="4"/>
        <v>2024-09</v>
      </c>
      <c r="V1179" s="155" t="str">
        <f t="shared" si="5"/>
        <v>2024-H2</v>
      </c>
      <c r="W1179" s="155"/>
    </row>
    <row r="1180">
      <c r="A1180" s="139">
        <f>HYPERLINK("https://polkadot.subsquare.io/referenda/1178", 1178)</f>
        <v>1178</v>
      </c>
      <c r="B1180" s="140" t="s">
        <v>3360</v>
      </c>
      <c r="C1180" s="140" t="s">
        <v>3361</v>
      </c>
      <c r="D1180" s="141">
        <v>49773.0</v>
      </c>
      <c r="E1180" s="142">
        <v>222287.50360250473</v>
      </c>
      <c r="F1180" s="140" t="s">
        <v>2683</v>
      </c>
      <c r="G1180" s="143">
        <v>176200.09</v>
      </c>
      <c r="H1180" s="143">
        <v>4.732082685973311E7</v>
      </c>
      <c r="I1180" s="144">
        <v>45553.0</v>
      </c>
      <c r="J1180" s="144">
        <v>45553.0</v>
      </c>
      <c r="K1180" s="145">
        <v>222287.50360250473</v>
      </c>
      <c r="L1180" s="114"/>
      <c r="M1180" s="114"/>
      <c r="N1180" s="108"/>
      <c r="O1180" s="108"/>
      <c r="P1180" s="108"/>
      <c r="Q1180" s="108"/>
      <c r="R1180" s="108" t="str">
        <f t="shared" si="1"/>
        <v>2024</v>
      </c>
      <c r="S1180" s="110">
        <f t="shared" si="2"/>
        <v>9</v>
      </c>
      <c r="T1180" s="108" t="str">
        <f t="shared" si="3"/>
        <v>2024-Q3</v>
      </c>
      <c r="U1180" s="108" t="str">
        <f t="shared" si="4"/>
        <v>2024-09</v>
      </c>
      <c r="V1180" s="112" t="str">
        <f t="shared" si="5"/>
        <v>2024-H2</v>
      </c>
      <c r="W1180" s="112"/>
    </row>
    <row r="1181">
      <c r="A1181" s="146">
        <f>HYPERLINK("https://polkadot.subsquare.io/referenda/1179", 1179)</f>
        <v>1179</v>
      </c>
      <c r="B1181" s="147" t="s">
        <v>3362</v>
      </c>
      <c r="C1181" s="147" t="s">
        <v>3361</v>
      </c>
      <c r="D1181" s="148">
        <v>4450.58982421829</v>
      </c>
      <c r="E1181" s="149">
        <v>19200.0</v>
      </c>
      <c r="F1181" s="147" t="s">
        <v>2678</v>
      </c>
      <c r="G1181" s="150">
        <v>400.1</v>
      </c>
      <c r="H1181" s="150">
        <v>2.3021817859414645E7</v>
      </c>
      <c r="I1181" s="151">
        <v>45554.0</v>
      </c>
      <c r="J1181" s="151">
        <v>45554.0</v>
      </c>
      <c r="K1181" s="152">
        <v>19200.0</v>
      </c>
      <c r="L1181" s="117"/>
      <c r="M1181" s="117"/>
      <c r="N1181" s="153"/>
      <c r="O1181" s="153"/>
      <c r="P1181" s="153"/>
      <c r="Q1181" s="153"/>
      <c r="R1181" s="153" t="str">
        <f t="shared" si="1"/>
        <v>2024</v>
      </c>
      <c r="S1181" s="154">
        <f t="shared" si="2"/>
        <v>9</v>
      </c>
      <c r="T1181" s="153" t="str">
        <f t="shared" si="3"/>
        <v>2024-Q3</v>
      </c>
      <c r="U1181" s="153" t="str">
        <f t="shared" si="4"/>
        <v>2024-09</v>
      </c>
      <c r="V1181" s="155" t="str">
        <f t="shared" si="5"/>
        <v>2024-H2</v>
      </c>
      <c r="W1181" s="155"/>
    </row>
    <row r="1182">
      <c r="A1182" s="139">
        <f>HYPERLINK("https://polkadot.subsquare.io/referenda/1180", 1180)</f>
        <v>1180</v>
      </c>
      <c r="B1182" s="140" t="s">
        <v>3363</v>
      </c>
      <c r="C1182" s="140" t="s">
        <v>3286</v>
      </c>
      <c r="D1182" s="141">
        <v>6700.0</v>
      </c>
      <c r="E1182" s="142">
        <v>29851.649570465088</v>
      </c>
      <c r="F1182" s="140" t="s">
        <v>2683</v>
      </c>
      <c r="G1182" s="143">
        <v>44.0001</v>
      </c>
      <c r="H1182" s="143">
        <v>2.1831288386393353E7</v>
      </c>
      <c r="I1182" s="144">
        <v>45556.0</v>
      </c>
      <c r="J1182" s="144">
        <v>45565.0</v>
      </c>
      <c r="K1182" s="145">
        <v>27865.347385406494</v>
      </c>
      <c r="L1182" s="114"/>
      <c r="M1182" s="114"/>
      <c r="N1182" s="108"/>
      <c r="O1182" s="108"/>
      <c r="P1182" s="108"/>
      <c r="Q1182" s="108"/>
      <c r="R1182" s="108" t="str">
        <f t="shared" si="1"/>
        <v>2024</v>
      </c>
      <c r="S1182" s="110">
        <f t="shared" si="2"/>
        <v>9</v>
      </c>
      <c r="T1182" s="108" t="str">
        <f t="shared" si="3"/>
        <v>2024-Q3</v>
      </c>
      <c r="U1182" s="108" t="str">
        <f t="shared" si="4"/>
        <v>2024-09</v>
      </c>
      <c r="V1182" s="112" t="str">
        <f t="shared" si="5"/>
        <v>2024-H2</v>
      </c>
      <c r="W1182" s="112"/>
    </row>
    <row r="1183">
      <c r="A1183" s="146">
        <f>HYPERLINK("https://polkadot.subsquare.io/referenda/1181", 1181)</f>
        <v>1181</v>
      </c>
      <c r="B1183" s="147" t="s">
        <v>186</v>
      </c>
      <c r="C1183" s="147" t="s">
        <v>2681</v>
      </c>
      <c r="D1183" s="148">
        <v>80.0</v>
      </c>
      <c r="E1183" s="149">
        <v>371.26392364501953</v>
      </c>
      <c r="F1183" s="147" t="s">
        <v>186</v>
      </c>
      <c r="G1183" s="150">
        <v>1.6817526918704983E7</v>
      </c>
      <c r="H1183" s="150">
        <v>5.0</v>
      </c>
      <c r="I1183" s="151">
        <v>45557.0</v>
      </c>
      <c r="J1183" s="151">
        <v>45559.0</v>
      </c>
      <c r="K1183" s="152">
        <v>391.3644027709961</v>
      </c>
      <c r="L1183" s="117" t="s">
        <v>81</v>
      </c>
      <c r="M1183" s="117" t="s">
        <v>185</v>
      </c>
      <c r="N1183" s="153"/>
      <c r="O1183" s="153"/>
      <c r="P1183" s="153"/>
      <c r="Q1183" s="153"/>
      <c r="R1183" s="153" t="str">
        <f t="shared" si="1"/>
        <v>2024</v>
      </c>
      <c r="S1183" s="154">
        <f t="shared" si="2"/>
        <v>9</v>
      </c>
      <c r="T1183" s="153" t="str">
        <f t="shared" si="3"/>
        <v>2024-Q3</v>
      </c>
      <c r="U1183" s="153" t="str">
        <f t="shared" si="4"/>
        <v>2024-09</v>
      </c>
      <c r="V1183" s="155" t="str">
        <f t="shared" si="5"/>
        <v>2024-H2</v>
      </c>
      <c r="W1183" s="155"/>
    </row>
    <row r="1184">
      <c r="A1184" s="109">
        <f>HYPERLINK("https://polkadot.subsquare.io/referenda/1182", 1182)</f>
        <v>1182</v>
      </c>
      <c r="B1184" s="27" t="s">
        <v>3364</v>
      </c>
      <c r="C1184" s="27" t="s">
        <v>3361</v>
      </c>
      <c r="D1184" s="165">
        <v>22000.0</v>
      </c>
      <c r="E1184" s="66">
        <v>101980.93605041504</v>
      </c>
      <c r="F1184" s="27" t="s">
        <v>2683</v>
      </c>
      <c r="G1184" s="166">
        <v>10500.0</v>
      </c>
      <c r="H1184" s="166">
        <v>8874190.295689393</v>
      </c>
      <c r="I1184" s="167">
        <v>45558.0</v>
      </c>
      <c r="J1184" s="167">
        <v>45558.0</v>
      </c>
      <c r="K1184" s="168">
        <v>101980.93605041504</v>
      </c>
      <c r="L1184" s="114"/>
      <c r="M1184" s="114"/>
      <c r="N1184" s="111"/>
      <c r="O1184" s="111"/>
      <c r="P1184" s="111"/>
      <c r="Q1184" s="111"/>
      <c r="R1184" s="108" t="str">
        <f t="shared" si="1"/>
        <v>2024</v>
      </c>
      <c r="S1184" s="110">
        <f t="shared" si="2"/>
        <v>9</v>
      </c>
      <c r="T1184" s="108" t="str">
        <f t="shared" si="3"/>
        <v>2024-Q3</v>
      </c>
      <c r="U1184" s="111" t="str">
        <f t="shared" si="4"/>
        <v>2024-09</v>
      </c>
      <c r="V1184" s="112" t="str">
        <f t="shared" si="5"/>
        <v>2024-H2</v>
      </c>
    </row>
    <row r="1185">
      <c r="A1185" s="109">
        <f>HYPERLINK("https://polkadot.subsquare.io/referenda/1183", 1183)</f>
        <v>1183</v>
      </c>
      <c r="B1185" s="27" t="s">
        <v>3365</v>
      </c>
      <c r="C1185" s="27" t="s">
        <v>3286</v>
      </c>
      <c r="D1185" s="165">
        <v>289183.0</v>
      </c>
      <c r="E1185" s="66">
        <v>1392787.5079345703</v>
      </c>
      <c r="F1185" s="27" t="s">
        <v>2676</v>
      </c>
      <c r="G1185" s="166">
        <v>97561.0</v>
      </c>
      <c r="H1185" s="166">
        <v>1.3186134831855258E7</v>
      </c>
      <c r="I1185" s="167">
        <v>45559.0</v>
      </c>
      <c r="J1185" s="167">
        <v>45565.0</v>
      </c>
      <c r="K1185" s="168">
        <v>1202714.1422319412</v>
      </c>
      <c r="L1185" s="117"/>
      <c r="M1185" s="117"/>
      <c r="N1185" s="111"/>
      <c r="O1185" s="111"/>
      <c r="P1185" s="111"/>
      <c r="Q1185" s="111"/>
      <c r="R1185" s="108" t="str">
        <f t="shared" si="1"/>
        <v>2024</v>
      </c>
      <c r="S1185" s="110">
        <f t="shared" si="2"/>
        <v>9</v>
      </c>
      <c r="T1185" s="108" t="str">
        <f t="shared" si="3"/>
        <v>2024-Q3</v>
      </c>
      <c r="U1185" s="111" t="str">
        <f t="shared" si="4"/>
        <v>2024-09</v>
      </c>
      <c r="V1185" s="112" t="str">
        <f t="shared" si="5"/>
        <v>2024-H2</v>
      </c>
    </row>
    <row r="1186">
      <c r="A1186" s="109">
        <f>HYPERLINK("https://polkadot.subsquare.io/referenda/1184", 1184)</f>
        <v>1184</v>
      </c>
      <c r="B1186" s="27" t="s">
        <v>3366</v>
      </c>
      <c r="C1186" s="27" t="s">
        <v>3286</v>
      </c>
      <c r="D1186" s="165">
        <v>14208.877354780498</v>
      </c>
      <c r="E1186" s="66">
        <v>69510.61</v>
      </c>
      <c r="F1186" s="27" t="s">
        <v>2683</v>
      </c>
      <c r="G1186" s="166">
        <v>18910.2</v>
      </c>
      <c r="H1186" s="166">
        <v>4563411.536778755</v>
      </c>
      <c r="I1186" s="167">
        <v>45559.0</v>
      </c>
      <c r="J1186" s="167">
        <v>45565.0</v>
      </c>
      <c r="K1186" s="168">
        <v>59094.8214100887</v>
      </c>
      <c r="L1186" s="114"/>
      <c r="M1186" s="114"/>
      <c r="N1186" s="111"/>
      <c r="O1186" s="111"/>
      <c r="P1186" s="111"/>
      <c r="Q1186" s="111"/>
      <c r="R1186" s="108" t="str">
        <f t="shared" si="1"/>
        <v>2024</v>
      </c>
      <c r="S1186" s="110">
        <f t="shared" si="2"/>
        <v>9</v>
      </c>
      <c r="T1186" s="108" t="str">
        <f t="shared" si="3"/>
        <v>2024-Q3</v>
      </c>
      <c r="U1186" s="111" t="str">
        <f t="shared" si="4"/>
        <v>2024-09</v>
      </c>
      <c r="V1186" s="112" t="str">
        <f t="shared" si="5"/>
        <v>2024-H2</v>
      </c>
    </row>
    <row r="1187">
      <c r="A1187" s="109">
        <f>HYPERLINK("https://polkadot.subsquare.io/referenda/1185", 1185)</f>
        <v>1185</v>
      </c>
      <c r="B1187" s="27" t="s">
        <v>3367</v>
      </c>
      <c r="C1187" s="27" t="s">
        <v>3286</v>
      </c>
      <c r="D1187" s="165">
        <v>85227.73</v>
      </c>
      <c r="E1187" s="66">
        <v>416938.7456372213</v>
      </c>
      <c r="F1187" s="27" t="s">
        <v>2683</v>
      </c>
      <c r="G1187" s="166">
        <v>4274621.343538879</v>
      </c>
      <c r="H1187" s="166">
        <v>348682.6467</v>
      </c>
      <c r="I1187" s="167">
        <v>45559.0</v>
      </c>
      <c r="J1187" s="167">
        <v>45565.0</v>
      </c>
      <c r="K1187" s="168">
        <v>354462.7318387508</v>
      </c>
      <c r="L1187" s="117"/>
      <c r="M1187" s="117"/>
      <c r="N1187" s="111"/>
      <c r="O1187" s="111"/>
      <c r="P1187" s="111"/>
      <c r="Q1187" s="111"/>
      <c r="R1187" s="108" t="str">
        <f t="shared" si="1"/>
        <v>2024</v>
      </c>
      <c r="S1187" s="110">
        <f t="shared" si="2"/>
        <v>9</v>
      </c>
      <c r="T1187" s="108" t="str">
        <f t="shared" si="3"/>
        <v>2024-Q3</v>
      </c>
      <c r="U1187" s="111" t="str">
        <f t="shared" si="4"/>
        <v>2024-09</v>
      </c>
      <c r="V1187" s="112" t="str">
        <f t="shared" si="5"/>
        <v>2024-H2</v>
      </c>
    </row>
    <row r="1188">
      <c r="A1188" s="109">
        <f>HYPERLINK("https://polkadot.subsquare.io/referenda/1186", 1186)</f>
        <v>1186</v>
      </c>
      <c r="B1188" s="27" t="s">
        <v>3368</v>
      </c>
      <c r="C1188" s="27" t="s">
        <v>3286</v>
      </c>
      <c r="D1188" s="165">
        <v>0.0</v>
      </c>
      <c r="E1188" s="66">
        <v>0.0</v>
      </c>
      <c r="F1188" s="27" t="s">
        <v>2891</v>
      </c>
      <c r="G1188" s="166">
        <v>1421692.3867388112</v>
      </c>
      <c r="H1188" s="166">
        <v>2087929.222976085</v>
      </c>
      <c r="I1188" s="167">
        <v>45560.0</v>
      </c>
      <c r="J1188" s="167">
        <v>45565.0</v>
      </c>
      <c r="K1188" s="168">
        <v>0.0</v>
      </c>
      <c r="L1188" s="114"/>
      <c r="M1188" s="114"/>
      <c r="N1188" s="111"/>
      <c r="O1188" s="111"/>
      <c r="P1188" s="111"/>
      <c r="Q1188" s="111"/>
      <c r="R1188" s="108" t="str">
        <f t="shared" si="1"/>
        <v>2024</v>
      </c>
      <c r="S1188" s="110">
        <f t="shared" si="2"/>
        <v>9</v>
      </c>
      <c r="T1188" s="108" t="str">
        <f t="shared" si="3"/>
        <v>2024-Q3</v>
      </c>
      <c r="U1188" s="111" t="str">
        <f t="shared" si="4"/>
        <v>2024-09</v>
      </c>
      <c r="V1188" s="112" t="str">
        <f t="shared" si="5"/>
        <v>2024-H2</v>
      </c>
    </row>
    <row r="1189">
      <c r="A1189" s="109">
        <f>HYPERLINK("https://polkadot.subsquare.io/referenda/1187", 1187)</f>
        <v>1187</v>
      </c>
      <c r="B1189" s="27" t="s">
        <v>3369</v>
      </c>
      <c r="C1189" s="27" t="s">
        <v>3361</v>
      </c>
      <c r="D1189" s="165">
        <v>2439.2</v>
      </c>
      <c r="E1189" s="66">
        <v>11722.541048431396</v>
      </c>
      <c r="F1189" s="27" t="s">
        <v>2678</v>
      </c>
      <c r="G1189" s="166">
        <v>22.0</v>
      </c>
      <c r="H1189" s="166">
        <v>498558.7375446422</v>
      </c>
      <c r="I1189" s="167">
        <v>45560.0</v>
      </c>
      <c r="J1189" s="167">
        <v>45560.0</v>
      </c>
      <c r="K1189" s="168">
        <v>11722.541048431396</v>
      </c>
      <c r="L1189" s="117"/>
      <c r="M1189" s="117"/>
      <c r="N1189" s="111"/>
      <c r="O1189" s="111"/>
      <c r="P1189" s="111"/>
      <c r="Q1189" s="111"/>
      <c r="R1189" s="108" t="str">
        <f t="shared" si="1"/>
        <v>2024</v>
      </c>
      <c r="S1189" s="110">
        <f t="shared" si="2"/>
        <v>9</v>
      </c>
      <c r="T1189" s="108" t="str">
        <f t="shared" si="3"/>
        <v>2024-Q3</v>
      </c>
      <c r="U1189" s="111" t="str">
        <f t="shared" si="4"/>
        <v>2024-09</v>
      </c>
      <c r="V1189" s="112" t="str">
        <f t="shared" si="5"/>
        <v>2024-H2</v>
      </c>
    </row>
    <row r="1190">
      <c r="A1190" s="109">
        <f>HYPERLINK("https://polkadot.subsquare.io/referenda/1188", 1188)</f>
        <v>1188</v>
      </c>
      <c r="B1190" s="27" t="s">
        <v>3370</v>
      </c>
      <c r="C1190" s="27" t="s">
        <v>3286</v>
      </c>
      <c r="D1190" s="165">
        <v>0.0</v>
      </c>
      <c r="E1190" s="66">
        <v>0.0</v>
      </c>
      <c r="F1190" s="27" t="s">
        <v>2802</v>
      </c>
      <c r="G1190" s="166">
        <v>752135.302733264</v>
      </c>
      <c r="H1190" s="166">
        <v>6171660.79258277</v>
      </c>
      <c r="I1190" s="167">
        <v>45561.0</v>
      </c>
      <c r="J1190" s="167">
        <v>45565.0</v>
      </c>
      <c r="K1190" s="168">
        <v>0.0</v>
      </c>
      <c r="L1190" s="114"/>
      <c r="M1190" s="114"/>
      <c r="N1190" s="111"/>
      <c r="O1190" s="111"/>
      <c r="P1190" s="111"/>
      <c r="Q1190" s="111"/>
      <c r="R1190" s="108" t="str">
        <f t="shared" si="1"/>
        <v>2024</v>
      </c>
      <c r="S1190" s="110">
        <f t="shared" si="2"/>
        <v>9</v>
      </c>
      <c r="T1190" s="108" t="str">
        <f t="shared" si="3"/>
        <v>2024-Q3</v>
      </c>
      <c r="U1190" s="111" t="str">
        <f t="shared" si="4"/>
        <v>2024-09</v>
      </c>
      <c r="V1190" s="112" t="str">
        <f t="shared" si="5"/>
        <v>2024-H2</v>
      </c>
    </row>
    <row r="1191">
      <c r="A1191" s="109">
        <f>HYPERLINK("https://polkadot.subsquare.io/referenda/1189", 1189)</f>
        <v>1189</v>
      </c>
      <c r="B1191" s="27" t="s">
        <v>3371</v>
      </c>
      <c r="C1191" s="27" t="s">
        <v>3286</v>
      </c>
      <c r="D1191" s="165">
        <v>0.0</v>
      </c>
      <c r="E1191" s="66">
        <v>0.0</v>
      </c>
      <c r="F1191" s="27" t="s">
        <v>2891</v>
      </c>
      <c r="G1191" s="166">
        <v>660196.302733264</v>
      </c>
      <c r="H1191" s="166">
        <v>444460.6015007849</v>
      </c>
      <c r="I1191" s="167">
        <v>45561.0</v>
      </c>
      <c r="J1191" s="167">
        <v>45565.0</v>
      </c>
      <c r="K1191" s="168">
        <v>0.0</v>
      </c>
      <c r="L1191" s="117"/>
      <c r="M1191" s="117"/>
      <c r="N1191" s="111"/>
      <c r="O1191" s="111"/>
      <c r="P1191" s="111"/>
      <c r="Q1191" s="111"/>
      <c r="R1191" s="108" t="str">
        <f t="shared" si="1"/>
        <v>2024</v>
      </c>
      <c r="S1191" s="110">
        <f t="shared" si="2"/>
        <v>9</v>
      </c>
      <c r="T1191" s="108" t="str">
        <f t="shared" si="3"/>
        <v>2024-Q3</v>
      </c>
      <c r="U1191" s="111" t="str">
        <f t="shared" si="4"/>
        <v>2024-09</v>
      </c>
      <c r="V1191" s="112" t="str">
        <f t="shared" si="5"/>
        <v>2024-H2</v>
      </c>
    </row>
    <row r="1192">
      <c r="A1192" s="109">
        <f>HYPERLINK("https://polkadot.subsquare.io/referenda/1190", 1190)</f>
        <v>1190</v>
      </c>
      <c r="B1192" s="27" t="s">
        <v>3372</v>
      </c>
      <c r="C1192" s="27" t="s">
        <v>3361</v>
      </c>
      <c r="D1192" s="165">
        <v>0.0</v>
      </c>
      <c r="E1192" s="66">
        <v>0.0</v>
      </c>
      <c r="F1192" s="27" t="s">
        <v>3053</v>
      </c>
      <c r="G1192" s="166">
        <v>686726.302733264</v>
      </c>
      <c r="H1192" s="166">
        <v>8782893.71006326</v>
      </c>
      <c r="I1192" s="167">
        <v>45561.0</v>
      </c>
      <c r="J1192" s="167">
        <v>45561.0</v>
      </c>
      <c r="K1192" s="168">
        <v>0.0</v>
      </c>
      <c r="L1192" s="114"/>
      <c r="M1192" s="114"/>
      <c r="N1192" s="111"/>
      <c r="O1192" s="111"/>
      <c r="P1192" s="111"/>
      <c r="Q1192" s="111"/>
      <c r="R1192" s="108" t="str">
        <f t="shared" si="1"/>
        <v>2024</v>
      </c>
      <c r="S1192" s="110">
        <f t="shared" si="2"/>
        <v>9</v>
      </c>
      <c r="T1192" s="108" t="str">
        <f t="shared" si="3"/>
        <v>2024-Q3</v>
      </c>
      <c r="U1192" s="111" t="str">
        <f t="shared" si="4"/>
        <v>2024-09</v>
      </c>
      <c r="V1192" s="112" t="str">
        <f t="shared" si="5"/>
        <v>2024-H2</v>
      </c>
    </row>
    <row r="1193">
      <c r="A1193" s="109">
        <f>HYPERLINK("https://polkadot.subsquare.io/referenda/1191", 1191)</f>
        <v>1191</v>
      </c>
      <c r="B1193" s="27" t="s">
        <v>3373</v>
      </c>
      <c r="C1193" s="27" t="s">
        <v>3361</v>
      </c>
      <c r="D1193" s="165">
        <v>0.0</v>
      </c>
      <c r="E1193" s="66">
        <v>0.0</v>
      </c>
      <c r="F1193" s="27" t="s">
        <v>2795</v>
      </c>
      <c r="G1193" s="166">
        <v>179889.7967388111</v>
      </c>
      <c r="H1193" s="166">
        <v>1054186.4462574802</v>
      </c>
      <c r="I1193" s="167">
        <v>45562.0</v>
      </c>
      <c r="J1193" s="167">
        <v>45562.0</v>
      </c>
      <c r="K1193" s="168">
        <v>0.0</v>
      </c>
      <c r="L1193" s="117"/>
      <c r="M1193" s="117"/>
      <c r="N1193" s="111"/>
      <c r="O1193" s="111"/>
      <c r="P1193" s="111"/>
      <c r="Q1193" s="111"/>
      <c r="R1193" s="108" t="str">
        <f t="shared" si="1"/>
        <v>2024</v>
      </c>
      <c r="S1193" s="110">
        <f t="shared" si="2"/>
        <v>9</v>
      </c>
      <c r="T1193" s="108" t="str">
        <f t="shared" si="3"/>
        <v>2024-Q3</v>
      </c>
      <c r="U1193" s="111" t="str">
        <f t="shared" si="4"/>
        <v>2024-09</v>
      </c>
      <c r="V1193" s="112" t="str">
        <f t="shared" si="5"/>
        <v>2024-H2</v>
      </c>
    </row>
    <row r="1194">
      <c r="A1194" s="109">
        <f>HYPERLINK("https://polkadot.subsquare.io/referenda/1192", 1192)</f>
        <v>1192</v>
      </c>
      <c r="B1194" s="27" t="s">
        <v>3374</v>
      </c>
      <c r="C1194" s="27" t="s">
        <v>3361</v>
      </c>
      <c r="D1194" s="165">
        <v>0.0</v>
      </c>
      <c r="E1194" s="66">
        <v>0.0</v>
      </c>
      <c r="F1194" s="27" t="s">
        <v>2698</v>
      </c>
      <c r="G1194" s="166">
        <v>1.0</v>
      </c>
      <c r="H1194" s="166">
        <v>316120.6182410822</v>
      </c>
      <c r="I1194" s="167">
        <v>45562.0</v>
      </c>
      <c r="J1194" s="167">
        <v>45562.0</v>
      </c>
      <c r="K1194" s="168">
        <v>0.0</v>
      </c>
      <c r="L1194" s="114"/>
      <c r="M1194" s="114"/>
      <c r="N1194" s="111"/>
      <c r="O1194" s="111"/>
      <c r="P1194" s="111"/>
      <c r="Q1194" s="111"/>
      <c r="R1194" s="108" t="str">
        <f t="shared" si="1"/>
        <v>2024</v>
      </c>
      <c r="S1194" s="110">
        <f t="shared" si="2"/>
        <v>9</v>
      </c>
      <c r="T1194" s="108" t="str">
        <f t="shared" si="3"/>
        <v>2024-Q3</v>
      </c>
      <c r="U1194" s="111" t="str">
        <f t="shared" si="4"/>
        <v>2024-09</v>
      </c>
      <c r="V1194" s="112" t="str">
        <f t="shared" si="5"/>
        <v>2024-H2</v>
      </c>
    </row>
    <row r="1195">
      <c r="A1195" s="109">
        <f>HYPERLINK("https://polkadot.subsquare.io/referenda/1193", 1193)</f>
        <v>1193</v>
      </c>
      <c r="B1195" s="27" t="s">
        <v>3375</v>
      </c>
      <c r="C1195" s="27" t="s">
        <v>3286</v>
      </c>
      <c r="D1195" s="165">
        <v>47597.91</v>
      </c>
      <c r="E1195" s="66">
        <v>211196.0251045418</v>
      </c>
      <c r="F1195" s="27" t="s">
        <v>2683</v>
      </c>
      <c r="G1195" s="166">
        <v>112537.4735388797</v>
      </c>
      <c r="H1195" s="166">
        <v>21810.1</v>
      </c>
      <c r="I1195" s="167">
        <v>45563.0</v>
      </c>
      <c r="J1195" s="167">
        <v>45565.0</v>
      </c>
      <c r="K1195" s="168">
        <v>197960.04432377816</v>
      </c>
      <c r="L1195" s="117"/>
      <c r="M1195" s="117"/>
      <c r="N1195" s="111"/>
      <c r="O1195" s="111"/>
      <c r="P1195" s="111"/>
      <c r="Q1195" s="111"/>
      <c r="R1195" s="108" t="str">
        <f t="shared" si="1"/>
        <v>2024</v>
      </c>
      <c r="S1195" s="110">
        <f t="shared" si="2"/>
        <v>9</v>
      </c>
      <c r="T1195" s="108" t="str">
        <f t="shared" si="3"/>
        <v>2024-Q3</v>
      </c>
      <c r="U1195" s="111" t="str">
        <f t="shared" si="4"/>
        <v>2024-09</v>
      </c>
      <c r="V1195" s="112" t="str">
        <f t="shared" si="5"/>
        <v>2024-H2</v>
      </c>
    </row>
    <row r="1196">
      <c r="A1196" s="109">
        <f>HYPERLINK("https://polkadot.subsquare.io/referenda/1194", 1194)</f>
        <v>1194</v>
      </c>
      <c r="B1196" s="27" t="s">
        <v>3376</v>
      </c>
      <c r="C1196" s="27" t="s">
        <v>3286</v>
      </c>
      <c r="D1196" s="165">
        <v>250.0</v>
      </c>
      <c r="E1196" s="66">
        <v>1039.7517681121826</v>
      </c>
      <c r="F1196" s="27" t="s">
        <v>186</v>
      </c>
      <c r="G1196" s="166">
        <v>4343111.911655218</v>
      </c>
      <c r="H1196" s="166">
        <v>26805.2396381158</v>
      </c>
      <c r="I1196" s="167">
        <v>45563.0</v>
      </c>
      <c r="J1196" s="167">
        <v>45565.0</v>
      </c>
      <c r="K1196" s="168">
        <v>1039.7517681121826</v>
      </c>
      <c r="L1196" s="114"/>
      <c r="M1196" s="114"/>
      <c r="N1196" s="111"/>
      <c r="O1196" s="111"/>
      <c r="P1196" s="111"/>
      <c r="Q1196" s="111"/>
      <c r="R1196" s="108" t="str">
        <f t="shared" si="1"/>
        <v>2024</v>
      </c>
      <c r="S1196" s="110">
        <f t="shared" si="2"/>
        <v>9</v>
      </c>
      <c r="T1196" s="108" t="str">
        <f t="shared" si="3"/>
        <v>2024-Q3</v>
      </c>
      <c r="U1196" s="111" t="str">
        <f t="shared" si="4"/>
        <v>2024-09</v>
      </c>
      <c r="V1196" s="112" t="str">
        <f t="shared" si="5"/>
        <v>2024-H2</v>
      </c>
    </row>
    <row r="1197">
      <c r="A1197" s="109">
        <f>HYPERLINK("https://polkadot.subsquare.io/referenda/1195", 1195)</f>
        <v>1195</v>
      </c>
      <c r="B1197" s="27" t="s">
        <v>3377</v>
      </c>
      <c r="C1197" s="27" t="s">
        <v>3361</v>
      </c>
      <c r="D1197" s="165">
        <v>0.0</v>
      </c>
      <c r="E1197" s="66">
        <v>0.0</v>
      </c>
      <c r="F1197" s="27" t="s">
        <v>2891</v>
      </c>
      <c r="G1197" s="166">
        <v>1322369.3735388797</v>
      </c>
      <c r="H1197" s="166">
        <v>90005.7</v>
      </c>
      <c r="I1197" s="167">
        <v>45564.0</v>
      </c>
      <c r="J1197" s="167">
        <v>45564.0</v>
      </c>
      <c r="K1197" s="168">
        <v>0.0</v>
      </c>
      <c r="L1197" s="117"/>
      <c r="M1197" s="117"/>
      <c r="N1197" s="111"/>
      <c r="O1197" s="111"/>
      <c r="P1197" s="111"/>
      <c r="Q1197" s="111"/>
      <c r="R1197" s="108" t="str">
        <f t="shared" si="1"/>
        <v>2024</v>
      </c>
      <c r="S1197" s="110">
        <f t="shared" si="2"/>
        <v>9</v>
      </c>
      <c r="T1197" s="108" t="str">
        <f t="shared" si="3"/>
        <v>2024-Q3</v>
      </c>
      <c r="U1197" s="111" t="str">
        <f t="shared" si="4"/>
        <v>2024-09</v>
      </c>
      <c r="V1197" s="112" t="str">
        <f t="shared" si="5"/>
        <v>2024-H2</v>
      </c>
    </row>
    <row r="1198">
      <c r="A1198" s="109">
        <f>HYPERLINK("https://polkadot.subsquare.io/referenda/1196", 1196)</f>
        <v>1196</v>
      </c>
      <c r="B1198" s="27" t="s">
        <v>3378</v>
      </c>
      <c r="C1198" s="27" t="s">
        <v>3361</v>
      </c>
      <c r="D1198" s="165">
        <v>5000.0</v>
      </c>
      <c r="E1198" s="66">
        <v>20795.035362243652</v>
      </c>
      <c r="F1198" s="27" t="s">
        <v>2678</v>
      </c>
      <c r="G1198" s="166">
        <v>7044.0</v>
      </c>
      <c r="H1198" s="166">
        <v>40.65</v>
      </c>
      <c r="I1198" s="167">
        <v>45564.0</v>
      </c>
      <c r="J1198" s="167">
        <v>45564.0</v>
      </c>
      <c r="K1198" s="168">
        <v>20795.035362243652</v>
      </c>
      <c r="L1198" s="114"/>
      <c r="M1198" s="114"/>
      <c r="N1198" s="111"/>
      <c r="O1198" s="111"/>
      <c r="P1198" s="111"/>
      <c r="Q1198" s="111"/>
      <c r="R1198" s="108" t="str">
        <f t="shared" si="1"/>
        <v>2024</v>
      </c>
      <c r="S1198" s="110">
        <f t="shared" si="2"/>
        <v>9</v>
      </c>
      <c r="T1198" s="108" t="str">
        <f t="shared" si="3"/>
        <v>2024-Q3</v>
      </c>
      <c r="U1198" s="111" t="str">
        <f t="shared" si="4"/>
        <v>2024-09</v>
      </c>
      <c r="V1198" s="112" t="str">
        <f t="shared" si="5"/>
        <v>2024-H2</v>
      </c>
    </row>
    <row r="1199">
      <c r="A1199" s="109">
        <f>HYPERLINK("https://polkadot.subsquare.io/referenda/1197", 1197)</f>
        <v>1197</v>
      </c>
      <c r="B1199" s="27" t="s">
        <v>3379</v>
      </c>
      <c r="C1199" s="27" t="s">
        <v>3361</v>
      </c>
      <c r="D1199" s="165">
        <v>0.0</v>
      </c>
      <c r="E1199" s="66">
        <v>0.0</v>
      </c>
      <c r="F1199" s="27" t="s">
        <v>2891</v>
      </c>
      <c r="G1199" s="166">
        <v>0.0</v>
      </c>
      <c r="H1199" s="166">
        <v>5.0</v>
      </c>
      <c r="I1199" s="167">
        <v>45565.0</v>
      </c>
      <c r="J1199" s="167">
        <v>45565.0</v>
      </c>
      <c r="K1199" s="168">
        <v>0.0</v>
      </c>
      <c r="L1199" s="117"/>
      <c r="M1199" s="117"/>
      <c r="N1199" s="111"/>
      <c r="O1199" s="111"/>
      <c r="P1199" s="111"/>
      <c r="Q1199" s="111"/>
      <c r="R1199" s="108" t="str">
        <f t="shared" si="1"/>
        <v>2024</v>
      </c>
      <c r="S1199" s="110">
        <f t="shared" si="2"/>
        <v>9</v>
      </c>
      <c r="T1199" s="108" t="str">
        <f t="shared" si="3"/>
        <v>2024-Q3</v>
      </c>
      <c r="U1199" s="111" t="str">
        <f t="shared" si="4"/>
        <v>2024-09</v>
      </c>
      <c r="V1199" s="112" t="str">
        <f t="shared" si="5"/>
        <v>2024-H2</v>
      </c>
    </row>
    <row r="1200">
      <c r="B1200" s="27"/>
      <c r="C1200" s="27"/>
      <c r="D1200" s="165"/>
      <c r="E1200" s="66"/>
      <c r="F1200" s="27"/>
      <c r="G1200" s="166"/>
      <c r="H1200" s="166"/>
      <c r="I1200" s="167"/>
      <c r="J1200" s="167"/>
      <c r="K1200" s="168"/>
      <c r="L1200" s="117"/>
      <c r="M1200" s="117"/>
      <c r="N1200" s="111"/>
      <c r="O1200" s="111"/>
      <c r="P1200" s="111"/>
      <c r="Q1200" s="111"/>
      <c r="R1200" s="108"/>
      <c r="S1200" s="110"/>
      <c r="T1200" s="108"/>
      <c r="U1200" s="111"/>
      <c r="V1200" s="112"/>
    </row>
    <row r="1201">
      <c r="B1201" s="27"/>
      <c r="C1201" s="27"/>
      <c r="D1201" s="165"/>
      <c r="E1201" s="66"/>
      <c r="F1201" s="27"/>
      <c r="G1201" s="166"/>
      <c r="H1201" s="166"/>
      <c r="I1201" s="167"/>
      <c r="J1201" s="167"/>
      <c r="K1201" s="168"/>
      <c r="L1201" s="117"/>
      <c r="M1201" s="117"/>
      <c r="N1201" s="111"/>
      <c r="O1201" s="111"/>
      <c r="P1201" s="111"/>
      <c r="Q1201" s="111"/>
      <c r="R1201" s="108"/>
      <c r="S1201" s="110"/>
      <c r="T1201" s="108"/>
      <c r="U1201" s="111"/>
      <c r="V1201" s="112"/>
    </row>
    <row r="1202">
      <c r="B1202" s="27"/>
      <c r="C1202" s="27"/>
      <c r="D1202" s="165"/>
      <c r="E1202" s="66"/>
      <c r="F1202" s="27"/>
      <c r="G1202" s="166"/>
      <c r="H1202" s="166"/>
      <c r="I1202" s="167"/>
      <c r="J1202" s="167"/>
      <c r="K1202" s="168"/>
      <c r="L1202" s="117"/>
      <c r="M1202" s="117"/>
      <c r="N1202" s="111"/>
      <c r="O1202" s="111"/>
      <c r="P1202" s="111"/>
      <c r="Q1202" s="111"/>
      <c r="R1202" s="108"/>
      <c r="S1202" s="110"/>
      <c r="T1202" s="108"/>
      <c r="U1202" s="111"/>
      <c r="V1202" s="112"/>
    </row>
    <row r="1203">
      <c r="B1203" s="27"/>
      <c r="C1203" s="27"/>
      <c r="D1203" s="165"/>
      <c r="E1203" s="66"/>
      <c r="F1203" s="27"/>
      <c r="G1203" s="166"/>
      <c r="H1203" s="166"/>
      <c r="I1203" s="167"/>
      <c r="J1203" s="167"/>
      <c r="K1203" s="168"/>
      <c r="L1203" s="117"/>
      <c r="M1203" s="117"/>
      <c r="N1203" s="111"/>
      <c r="O1203" s="111"/>
      <c r="P1203" s="111"/>
      <c r="Q1203" s="111"/>
      <c r="R1203" s="108"/>
      <c r="S1203" s="110"/>
      <c r="T1203" s="108"/>
      <c r="U1203" s="111"/>
      <c r="V1203" s="112"/>
    </row>
    <row r="1204">
      <c r="B1204" s="27"/>
      <c r="C1204" s="27"/>
      <c r="D1204" s="165"/>
      <c r="E1204" s="66"/>
      <c r="F1204" s="27"/>
      <c r="G1204" s="166"/>
      <c r="H1204" s="166"/>
      <c r="I1204" s="167"/>
      <c r="J1204" s="167"/>
      <c r="K1204" s="168"/>
      <c r="L1204" s="117"/>
      <c r="M1204" s="117"/>
      <c r="N1204" s="111"/>
      <c r="O1204" s="111"/>
      <c r="P1204" s="111"/>
      <c r="Q1204" s="111"/>
      <c r="R1204" s="108"/>
      <c r="S1204" s="110"/>
      <c r="T1204" s="108"/>
      <c r="U1204" s="111"/>
      <c r="V1204" s="112"/>
    </row>
    <row r="1205">
      <c r="B1205" s="27"/>
      <c r="C1205" s="27"/>
      <c r="D1205" s="165"/>
      <c r="E1205" s="66"/>
      <c r="F1205" s="27"/>
      <c r="G1205" s="166"/>
      <c r="H1205" s="166"/>
      <c r="I1205" s="167"/>
      <c r="J1205" s="167"/>
      <c r="K1205" s="168"/>
      <c r="L1205" s="117"/>
      <c r="M1205" s="117"/>
      <c r="N1205" s="111"/>
      <c r="O1205" s="111"/>
      <c r="P1205" s="111"/>
      <c r="Q1205" s="111"/>
      <c r="R1205" s="108"/>
      <c r="S1205" s="110"/>
      <c r="T1205" s="108"/>
      <c r="U1205" s="111"/>
      <c r="V1205" s="112"/>
    </row>
    <row r="1206">
      <c r="B1206" s="27"/>
      <c r="C1206" s="27"/>
      <c r="D1206" s="165"/>
      <c r="E1206" s="66"/>
      <c r="F1206" s="27"/>
      <c r="G1206" s="166"/>
      <c r="H1206" s="166"/>
      <c r="I1206" s="167"/>
      <c r="J1206" s="167"/>
      <c r="K1206" s="168"/>
      <c r="L1206" s="117"/>
      <c r="M1206" s="117"/>
      <c r="N1206" s="111"/>
      <c r="O1206" s="111"/>
      <c r="P1206" s="111"/>
      <c r="Q1206" s="111"/>
      <c r="R1206" s="108"/>
      <c r="S1206" s="110"/>
      <c r="T1206" s="108"/>
      <c r="U1206" s="111"/>
      <c r="V1206" s="112"/>
    </row>
    <row r="1207">
      <c r="B1207" s="27"/>
      <c r="C1207" s="27"/>
      <c r="D1207" s="165"/>
      <c r="E1207" s="66"/>
      <c r="F1207" s="27"/>
      <c r="G1207" s="166"/>
      <c r="H1207" s="166"/>
      <c r="I1207" s="167"/>
      <c r="J1207" s="167"/>
      <c r="K1207" s="168"/>
      <c r="L1207" s="117"/>
      <c r="M1207" s="117"/>
      <c r="N1207" s="111"/>
      <c r="O1207" s="111"/>
      <c r="P1207" s="111"/>
      <c r="Q1207" s="111"/>
      <c r="R1207" s="108"/>
      <c r="S1207" s="110"/>
      <c r="T1207" s="108"/>
      <c r="U1207" s="111"/>
      <c r="V1207" s="112"/>
    </row>
    <row r="1208">
      <c r="B1208" s="27"/>
      <c r="C1208" s="27"/>
      <c r="D1208" s="165"/>
      <c r="E1208" s="66"/>
      <c r="F1208" s="27"/>
      <c r="G1208" s="166"/>
      <c r="H1208" s="166"/>
      <c r="I1208" s="167"/>
      <c r="J1208" s="167"/>
      <c r="K1208" s="168"/>
      <c r="L1208" s="117"/>
      <c r="M1208" s="117"/>
      <c r="N1208" s="111"/>
      <c r="O1208" s="111"/>
      <c r="P1208" s="111"/>
      <c r="Q1208" s="111"/>
      <c r="R1208" s="108"/>
      <c r="S1208" s="110"/>
      <c r="T1208" s="108"/>
      <c r="U1208" s="111"/>
      <c r="V1208" s="112"/>
    </row>
    <row r="1209">
      <c r="B1209" s="27"/>
      <c r="C1209" s="27"/>
      <c r="D1209" s="165"/>
      <c r="E1209" s="66"/>
      <c r="F1209" s="27"/>
      <c r="G1209" s="166"/>
      <c r="H1209" s="166"/>
      <c r="I1209" s="167"/>
      <c r="J1209" s="167"/>
      <c r="K1209" s="168"/>
      <c r="L1209" s="117"/>
      <c r="M1209" s="117"/>
      <c r="N1209" s="111"/>
      <c r="O1209" s="111"/>
      <c r="P1209" s="111"/>
      <c r="Q1209" s="111"/>
      <c r="R1209" s="108"/>
      <c r="S1209" s="110"/>
      <c r="T1209" s="108"/>
      <c r="U1209" s="111"/>
      <c r="V1209" s="112"/>
    </row>
    <row r="1210">
      <c r="B1210" s="27"/>
      <c r="C1210" s="27"/>
      <c r="D1210" s="165"/>
      <c r="E1210" s="66"/>
      <c r="F1210" s="27"/>
      <c r="G1210" s="166"/>
      <c r="H1210" s="166"/>
      <c r="I1210" s="167"/>
      <c r="J1210" s="167"/>
      <c r="K1210" s="168"/>
      <c r="L1210" s="117"/>
      <c r="M1210" s="117"/>
      <c r="N1210" s="111"/>
      <c r="O1210" s="111"/>
      <c r="P1210" s="111"/>
      <c r="Q1210" s="111"/>
      <c r="R1210" s="108"/>
      <c r="S1210" s="110"/>
      <c r="T1210" s="108"/>
      <c r="U1210" s="111"/>
      <c r="V1210" s="112"/>
    </row>
    <row r="1211">
      <c r="B1211" s="27"/>
      <c r="C1211" s="27"/>
      <c r="D1211" s="165"/>
      <c r="E1211" s="66"/>
      <c r="F1211" s="27"/>
      <c r="G1211" s="166"/>
      <c r="H1211" s="166"/>
      <c r="I1211" s="167"/>
      <c r="J1211" s="167"/>
      <c r="K1211" s="168"/>
      <c r="L1211" s="117"/>
      <c r="M1211" s="117"/>
      <c r="N1211" s="111"/>
      <c r="O1211" s="111"/>
      <c r="P1211" s="111"/>
      <c r="Q1211" s="111"/>
      <c r="R1211" s="108"/>
      <c r="S1211" s="110"/>
      <c r="T1211" s="108"/>
      <c r="U1211" s="111"/>
      <c r="V1211" s="112"/>
    </row>
    <row r="1212">
      <c r="B1212" s="27"/>
      <c r="C1212" s="27"/>
      <c r="D1212" s="165"/>
      <c r="E1212" s="66"/>
      <c r="F1212" s="27"/>
      <c r="G1212" s="166"/>
      <c r="H1212" s="166"/>
      <c r="I1212" s="167"/>
      <c r="J1212" s="167"/>
      <c r="K1212" s="168"/>
      <c r="L1212" s="117"/>
      <c r="M1212" s="117"/>
      <c r="N1212" s="111"/>
      <c r="O1212" s="111"/>
      <c r="P1212" s="111"/>
      <c r="Q1212" s="111"/>
      <c r="R1212" s="108"/>
      <c r="S1212" s="110"/>
      <c r="T1212" s="108"/>
      <c r="U1212" s="111"/>
      <c r="V1212" s="112"/>
    </row>
    <row r="1213">
      <c r="B1213" s="27"/>
      <c r="C1213" s="27"/>
      <c r="D1213" s="165"/>
      <c r="E1213" s="66"/>
      <c r="F1213" s="27"/>
      <c r="G1213" s="166"/>
      <c r="H1213" s="166"/>
      <c r="I1213" s="167"/>
      <c r="J1213" s="167"/>
      <c r="K1213" s="168"/>
      <c r="L1213" s="117"/>
      <c r="M1213" s="117"/>
      <c r="N1213" s="111"/>
      <c r="O1213" s="111"/>
      <c r="P1213" s="111"/>
      <c r="Q1213" s="111"/>
      <c r="R1213" s="108"/>
      <c r="S1213" s="110"/>
      <c r="T1213" s="108"/>
      <c r="U1213" s="111"/>
      <c r="V1213" s="112"/>
    </row>
    <row r="1214">
      <c r="B1214" s="27"/>
      <c r="C1214" s="27"/>
      <c r="D1214" s="165"/>
      <c r="E1214" s="66"/>
      <c r="F1214" s="27"/>
      <c r="G1214" s="166"/>
      <c r="H1214" s="166"/>
      <c r="I1214" s="167"/>
      <c r="J1214" s="167"/>
      <c r="K1214" s="168"/>
      <c r="L1214" s="117"/>
      <c r="M1214" s="117"/>
      <c r="N1214" s="111"/>
      <c r="O1214" s="111"/>
      <c r="P1214" s="111"/>
      <c r="Q1214" s="111"/>
      <c r="R1214" s="108"/>
      <c r="S1214" s="110"/>
      <c r="T1214" s="108"/>
      <c r="U1214" s="111"/>
      <c r="V1214" s="112"/>
    </row>
    <row r="1215">
      <c r="B1215" s="27"/>
      <c r="C1215" s="27"/>
      <c r="D1215" s="165"/>
      <c r="E1215" s="66"/>
      <c r="F1215" s="27"/>
      <c r="G1215" s="166"/>
      <c r="H1215" s="166"/>
      <c r="I1215" s="167"/>
      <c r="J1215" s="167"/>
      <c r="K1215" s="168"/>
      <c r="L1215" s="117"/>
      <c r="M1215" s="117"/>
      <c r="N1215" s="111"/>
      <c r="O1215" s="111"/>
      <c r="P1215" s="111"/>
      <c r="Q1215" s="111"/>
      <c r="R1215" s="108"/>
      <c r="S1215" s="110"/>
      <c r="T1215" s="108"/>
      <c r="U1215" s="111"/>
      <c r="V1215" s="112"/>
    </row>
    <row r="1216">
      <c r="B1216" s="27"/>
      <c r="C1216" s="27"/>
      <c r="D1216" s="165"/>
      <c r="E1216" s="66"/>
      <c r="F1216" s="27"/>
      <c r="G1216" s="166"/>
      <c r="H1216" s="166"/>
      <c r="I1216" s="167"/>
      <c r="J1216" s="167"/>
      <c r="K1216" s="168"/>
      <c r="L1216" s="117"/>
      <c r="M1216" s="117"/>
      <c r="N1216" s="111"/>
      <c r="O1216" s="111"/>
      <c r="P1216" s="111"/>
      <c r="Q1216" s="111"/>
      <c r="R1216" s="108"/>
      <c r="S1216" s="110"/>
      <c r="T1216" s="108"/>
      <c r="U1216" s="111"/>
      <c r="V1216" s="112"/>
    </row>
    <row r="1217">
      <c r="B1217" s="27"/>
      <c r="C1217" s="27"/>
      <c r="D1217" s="165"/>
      <c r="E1217" s="66"/>
      <c r="F1217" s="27"/>
      <c r="G1217" s="166"/>
      <c r="H1217" s="166"/>
      <c r="I1217" s="167"/>
      <c r="J1217" s="167"/>
      <c r="K1217" s="168"/>
      <c r="L1217" s="117"/>
      <c r="M1217" s="117"/>
      <c r="N1217" s="111"/>
      <c r="O1217" s="111"/>
      <c r="P1217" s="111"/>
      <c r="Q1217" s="111"/>
      <c r="R1217" s="108"/>
      <c r="S1217" s="110"/>
      <c r="T1217" s="108"/>
      <c r="U1217" s="111"/>
      <c r="V1217" s="112"/>
    </row>
    <row r="1218">
      <c r="B1218" s="27"/>
      <c r="C1218" s="27"/>
      <c r="D1218" s="165"/>
      <c r="E1218" s="66"/>
      <c r="F1218" s="27"/>
      <c r="G1218" s="166"/>
      <c r="H1218" s="166"/>
      <c r="I1218" s="167"/>
      <c r="J1218" s="167"/>
      <c r="K1218" s="168"/>
      <c r="L1218" s="117"/>
      <c r="M1218" s="117"/>
      <c r="N1218" s="111"/>
      <c r="O1218" s="111"/>
      <c r="P1218" s="111"/>
      <c r="Q1218" s="111"/>
      <c r="R1218" s="108"/>
      <c r="S1218" s="110"/>
      <c r="T1218" s="108"/>
      <c r="U1218" s="111"/>
      <c r="V1218" s="112"/>
    </row>
    <row r="1219">
      <c r="B1219" s="27"/>
      <c r="C1219" s="27"/>
      <c r="D1219" s="165"/>
      <c r="E1219" s="66"/>
      <c r="F1219" s="27"/>
      <c r="G1219" s="166"/>
      <c r="H1219" s="166"/>
      <c r="I1219" s="167"/>
      <c r="J1219" s="167"/>
      <c r="K1219" s="168"/>
      <c r="L1219" s="117"/>
      <c r="M1219" s="117"/>
      <c r="N1219" s="111"/>
      <c r="O1219" s="111"/>
      <c r="P1219" s="111"/>
      <c r="Q1219" s="111"/>
      <c r="R1219" s="108"/>
      <c r="S1219" s="110"/>
      <c r="T1219" s="108"/>
      <c r="U1219" s="111"/>
      <c r="V1219" s="112"/>
    </row>
    <row r="1220">
      <c r="B1220" s="27"/>
      <c r="C1220" s="27"/>
      <c r="D1220" s="165"/>
      <c r="E1220" s="66"/>
      <c r="F1220" s="27"/>
      <c r="G1220" s="166"/>
      <c r="H1220" s="166"/>
      <c r="I1220" s="167"/>
      <c r="J1220" s="167"/>
      <c r="K1220" s="168"/>
      <c r="L1220" s="117"/>
      <c r="M1220" s="117"/>
      <c r="N1220" s="111"/>
      <c r="O1220" s="111"/>
      <c r="P1220" s="111"/>
      <c r="Q1220" s="111"/>
      <c r="R1220" s="108"/>
      <c r="S1220" s="110"/>
      <c r="T1220" s="108"/>
      <c r="U1220" s="111"/>
      <c r="V1220" s="112"/>
    </row>
    <row r="1221">
      <c r="B1221" s="27"/>
      <c r="C1221" s="27"/>
      <c r="D1221" s="165"/>
      <c r="E1221" s="66"/>
      <c r="F1221" s="27"/>
      <c r="G1221" s="166"/>
      <c r="H1221" s="166"/>
      <c r="I1221" s="167"/>
      <c r="J1221" s="167"/>
      <c r="K1221" s="168"/>
      <c r="L1221" s="117"/>
      <c r="M1221" s="117"/>
      <c r="N1221" s="111"/>
      <c r="O1221" s="111"/>
      <c r="P1221" s="111"/>
      <c r="Q1221" s="111"/>
      <c r="R1221" s="108"/>
      <c r="S1221" s="110"/>
      <c r="T1221" s="108"/>
      <c r="U1221" s="111"/>
      <c r="V1221" s="112"/>
    </row>
    <row r="1222">
      <c r="B1222" s="27"/>
      <c r="C1222" s="27"/>
      <c r="D1222" s="165"/>
      <c r="E1222" s="66"/>
      <c r="F1222" s="27"/>
      <c r="G1222" s="166"/>
      <c r="H1222" s="166"/>
      <c r="I1222" s="167"/>
      <c r="J1222" s="167"/>
      <c r="K1222" s="168"/>
      <c r="L1222" s="117"/>
      <c r="M1222" s="117"/>
      <c r="N1222" s="111"/>
      <c r="O1222" s="111"/>
      <c r="P1222" s="111"/>
      <c r="Q1222" s="111"/>
      <c r="R1222" s="108"/>
      <c r="S1222" s="110"/>
      <c r="T1222" s="108"/>
      <c r="U1222" s="111"/>
      <c r="V1222" s="112"/>
    </row>
    <row r="1223">
      <c r="B1223" s="27"/>
      <c r="C1223" s="27"/>
      <c r="D1223" s="165"/>
      <c r="E1223" s="66"/>
      <c r="F1223" s="27"/>
      <c r="G1223" s="166"/>
      <c r="H1223" s="166"/>
      <c r="I1223" s="167"/>
      <c r="J1223" s="167"/>
      <c r="K1223" s="168"/>
      <c r="L1223" s="117"/>
      <c r="M1223" s="117"/>
      <c r="N1223" s="111"/>
      <c r="O1223" s="111"/>
      <c r="P1223" s="111"/>
      <c r="Q1223" s="111"/>
      <c r="R1223" s="108"/>
      <c r="S1223" s="110"/>
      <c r="T1223" s="108"/>
      <c r="U1223" s="111"/>
      <c r="V1223" s="112"/>
    </row>
    <row r="1224">
      <c r="B1224" s="27"/>
      <c r="C1224" s="27"/>
      <c r="D1224" s="165"/>
      <c r="E1224" s="66"/>
      <c r="F1224" s="27"/>
      <c r="G1224" s="166"/>
      <c r="H1224" s="166"/>
      <c r="I1224" s="167"/>
      <c r="J1224" s="167"/>
      <c r="K1224" s="168"/>
      <c r="L1224" s="117"/>
      <c r="M1224" s="117"/>
      <c r="N1224" s="111"/>
      <c r="O1224" s="111"/>
      <c r="P1224" s="111"/>
      <c r="Q1224" s="111"/>
      <c r="R1224" s="108"/>
      <c r="S1224" s="110"/>
      <c r="T1224" s="108"/>
      <c r="U1224" s="111"/>
      <c r="V1224" s="112"/>
    </row>
    <row r="1225">
      <c r="B1225" s="27"/>
      <c r="C1225" s="27"/>
      <c r="D1225" s="165"/>
      <c r="E1225" s="66"/>
      <c r="F1225" s="27"/>
      <c r="G1225" s="166"/>
      <c r="H1225" s="166"/>
      <c r="I1225" s="167"/>
      <c r="J1225" s="167"/>
      <c r="K1225" s="168"/>
      <c r="L1225" s="117"/>
      <c r="M1225" s="117"/>
      <c r="N1225" s="111"/>
      <c r="O1225" s="111"/>
      <c r="P1225" s="111"/>
      <c r="Q1225" s="111"/>
      <c r="R1225" s="108"/>
      <c r="S1225" s="110"/>
      <c r="T1225" s="108"/>
      <c r="U1225" s="111"/>
      <c r="V1225" s="112"/>
    </row>
    <row r="1226">
      <c r="B1226" s="27"/>
      <c r="C1226" s="27"/>
      <c r="D1226" s="165"/>
      <c r="E1226" s="66"/>
      <c r="F1226" s="27"/>
      <c r="G1226" s="166"/>
      <c r="H1226" s="166"/>
      <c r="I1226" s="167"/>
      <c r="J1226" s="167"/>
      <c r="K1226" s="168"/>
      <c r="L1226" s="117"/>
      <c r="M1226" s="117"/>
      <c r="N1226" s="111"/>
      <c r="O1226" s="111"/>
      <c r="P1226" s="111"/>
      <c r="Q1226" s="111"/>
      <c r="R1226" s="108"/>
      <c r="S1226" s="110"/>
      <c r="T1226" s="108"/>
      <c r="U1226" s="111"/>
      <c r="V1226" s="112"/>
    </row>
    <row r="1227">
      <c r="B1227" s="27"/>
      <c r="C1227" s="27"/>
      <c r="D1227" s="165"/>
      <c r="E1227" s="66"/>
      <c r="F1227" s="27"/>
      <c r="G1227" s="166"/>
      <c r="H1227" s="166"/>
      <c r="I1227" s="167"/>
      <c r="J1227" s="167"/>
      <c r="K1227" s="168"/>
      <c r="L1227" s="117"/>
      <c r="M1227" s="117"/>
      <c r="N1227" s="111"/>
      <c r="O1227" s="111"/>
      <c r="P1227" s="111"/>
      <c r="Q1227" s="111"/>
      <c r="R1227" s="108"/>
      <c r="S1227" s="110"/>
      <c r="T1227" s="108"/>
      <c r="U1227" s="111"/>
      <c r="V1227" s="112"/>
    </row>
    <row r="1228">
      <c r="B1228" s="27"/>
      <c r="C1228" s="27"/>
      <c r="D1228" s="165"/>
      <c r="E1228" s="66"/>
      <c r="F1228" s="27"/>
      <c r="G1228" s="166"/>
      <c r="H1228" s="166"/>
      <c r="I1228" s="167"/>
      <c r="J1228" s="167"/>
      <c r="K1228" s="168"/>
      <c r="L1228" s="117"/>
      <c r="M1228" s="117"/>
      <c r="N1228" s="111"/>
      <c r="O1228" s="111"/>
      <c r="P1228" s="111"/>
      <c r="Q1228" s="111"/>
      <c r="R1228" s="108"/>
      <c r="S1228" s="110"/>
      <c r="T1228" s="108"/>
      <c r="U1228" s="111"/>
      <c r="V1228" s="112"/>
    </row>
    <row r="1229">
      <c r="B1229" s="27"/>
      <c r="C1229" s="27"/>
      <c r="D1229" s="165"/>
      <c r="E1229" s="66"/>
      <c r="F1229" s="27"/>
      <c r="G1229" s="166"/>
      <c r="H1229" s="166"/>
      <c r="I1229" s="167"/>
      <c r="J1229" s="167"/>
      <c r="K1229" s="168"/>
      <c r="L1229" s="117"/>
      <c r="M1229" s="117"/>
      <c r="N1229" s="111"/>
      <c r="O1229" s="111"/>
      <c r="P1229" s="111"/>
      <c r="Q1229" s="111"/>
      <c r="R1229" s="108"/>
      <c r="S1229" s="110"/>
      <c r="T1229" s="108"/>
      <c r="U1229" s="111"/>
      <c r="V1229" s="112"/>
    </row>
    <row r="1230">
      <c r="B1230" s="27"/>
      <c r="C1230" s="27"/>
      <c r="D1230" s="165"/>
      <c r="E1230" s="66"/>
      <c r="F1230" s="27"/>
      <c r="G1230" s="166"/>
      <c r="H1230" s="166"/>
      <c r="I1230" s="167"/>
      <c r="J1230" s="167"/>
      <c r="K1230" s="168"/>
      <c r="L1230" s="117"/>
      <c r="M1230" s="117"/>
      <c r="N1230" s="111"/>
      <c r="O1230" s="111"/>
      <c r="P1230" s="111"/>
      <c r="Q1230" s="111"/>
      <c r="R1230" s="108"/>
      <c r="S1230" s="110"/>
      <c r="T1230" s="108"/>
      <c r="U1230" s="111"/>
      <c r="V1230" s="112"/>
    </row>
    <row r="1231">
      <c r="B1231" s="27"/>
      <c r="C1231" s="27"/>
      <c r="D1231" s="165"/>
      <c r="E1231" s="66"/>
      <c r="F1231" s="27"/>
      <c r="G1231" s="166"/>
      <c r="H1231" s="166"/>
      <c r="I1231" s="167"/>
      <c r="J1231" s="167"/>
      <c r="K1231" s="168"/>
      <c r="L1231" s="117"/>
      <c r="M1231" s="117"/>
      <c r="N1231" s="111"/>
      <c r="O1231" s="111"/>
      <c r="P1231" s="111"/>
      <c r="Q1231" s="111"/>
      <c r="R1231" s="108"/>
      <c r="S1231" s="110"/>
      <c r="T1231" s="108"/>
      <c r="U1231" s="111"/>
      <c r="V1231" s="112"/>
    </row>
    <row r="1232">
      <c r="B1232" s="27"/>
      <c r="C1232" s="27"/>
      <c r="D1232" s="165"/>
      <c r="E1232" s="66"/>
      <c r="F1232" s="27"/>
      <c r="G1232" s="166"/>
      <c r="H1232" s="166"/>
      <c r="I1232" s="167"/>
      <c r="J1232" s="167"/>
      <c r="K1232" s="168"/>
      <c r="L1232" s="117"/>
      <c r="M1232" s="117"/>
      <c r="N1232" s="111"/>
      <c r="O1232" s="111"/>
      <c r="P1232" s="111"/>
      <c r="Q1232" s="111"/>
      <c r="R1232" s="108"/>
      <c r="S1232" s="110"/>
      <c r="T1232" s="108"/>
      <c r="U1232" s="111"/>
      <c r="V1232" s="112"/>
    </row>
    <row r="1233">
      <c r="B1233" s="27"/>
      <c r="C1233" s="27"/>
      <c r="D1233" s="165"/>
      <c r="E1233" s="66"/>
      <c r="F1233" s="27"/>
      <c r="G1233" s="166"/>
      <c r="H1233" s="166"/>
      <c r="I1233" s="167"/>
      <c r="J1233" s="167"/>
      <c r="K1233" s="168"/>
      <c r="L1233" s="117"/>
      <c r="M1233" s="117"/>
      <c r="N1233" s="111"/>
      <c r="O1233" s="111"/>
      <c r="P1233" s="111"/>
      <c r="Q1233" s="111"/>
      <c r="R1233" s="108"/>
      <c r="S1233" s="110"/>
      <c r="T1233" s="108"/>
      <c r="U1233" s="111"/>
      <c r="V1233" s="112"/>
    </row>
    <row r="1234">
      <c r="B1234" s="27"/>
      <c r="C1234" s="27"/>
      <c r="D1234" s="165"/>
      <c r="E1234" s="66"/>
      <c r="F1234" s="27"/>
      <c r="G1234" s="166"/>
      <c r="H1234" s="166"/>
      <c r="I1234" s="167"/>
      <c r="J1234" s="167"/>
      <c r="K1234" s="168"/>
      <c r="L1234" s="117"/>
      <c r="M1234" s="117"/>
      <c r="N1234" s="111"/>
      <c r="O1234" s="111"/>
      <c r="P1234" s="111"/>
      <c r="Q1234" s="111"/>
      <c r="R1234" s="108"/>
      <c r="S1234" s="110"/>
      <c r="T1234" s="108"/>
      <c r="U1234" s="111"/>
      <c r="V1234" s="112"/>
    </row>
    <row r="1235">
      <c r="B1235" s="27"/>
      <c r="C1235" s="27"/>
      <c r="D1235" s="165"/>
      <c r="E1235" s="66"/>
      <c r="F1235" s="27"/>
      <c r="G1235" s="166"/>
      <c r="H1235" s="166"/>
      <c r="I1235" s="167"/>
      <c r="J1235" s="167"/>
      <c r="K1235" s="168"/>
      <c r="L1235" s="117"/>
      <c r="M1235" s="117"/>
      <c r="N1235" s="111"/>
      <c r="O1235" s="111"/>
      <c r="P1235" s="111"/>
      <c r="Q1235" s="111"/>
      <c r="R1235" s="108"/>
      <c r="S1235" s="110"/>
      <c r="T1235" s="108"/>
      <c r="U1235" s="111"/>
      <c r="V1235" s="112"/>
    </row>
    <row r="1236">
      <c r="B1236" s="27"/>
      <c r="C1236" s="27"/>
      <c r="D1236" s="165"/>
      <c r="E1236" s="66"/>
      <c r="F1236" s="27"/>
      <c r="G1236" s="166"/>
      <c r="H1236" s="166"/>
      <c r="I1236" s="167"/>
      <c r="J1236" s="167"/>
      <c r="K1236" s="168"/>
      <c r="L1236" s="117"/>
      <c r="M1236" s="117"/>
      <c r="N1236" s="111"/>
      <c r="O1236" s="111"/>
      <c r="P1236" s="111"/>
      <c r="Q1236" s="111"/>
      <c r="R1236" s="108"/>
      <c r="S1236" s="110"/>
      <c r="T1236" s="108"/>
      <c r="U1236" s="111"/>
      <c r="V1236" s="112"/>
    </row>
    <row r="1237">
      <c r="B1237" s="27"/>
      <c r="C1237" s="27"/>
      <c r="D1237" s="165"/>
      <c r="E1237" s="66"/>
      <c r="F1237" s="27"/>
      <c r="G1237" s="166"/>
      <c r="H1237" s="166"/>
      <c r="I1237" s="167"/>
      <c r="J1237" s="167"/>
      <c r="K1237" s="168"/>
      <c r="L1237" s="117"/>
      <c r="M1237" s="117"/>
      <c r="N1237" s="111"/>
      <c r="O1237" s="111"/>
      <c r="P1237" s="111"/>
      <c r="Q1237" s="111"/>
      <c r="R1237" s="108"/>
      <c r="S1237" s="110"/>
      <c r="T1237" s="108"/>
      <c r="U1237" s="111"/>
      <c r="V1237" s="112"/>
    </row>
    <row r="1238">
      <c r="B1238" s="27"/>
      <c r="C1238" s="27"/>
      <c r="D1238" s="165"/>
      <c r="E1238" s="66"/>
      <c r="F1238" s="27"/>
      <c r="G1238" s="166"/>
      <c r="H1238" s="166"/>
      <c r="I1238" s="167"/>
      <c r="J1238" s="167"/>
      <c r="K1238" s="168"/>
      <c r="L1238" s="117"/>
      <c r="M1238" s="117"/>
      <c r="N1238" s="111"/>
      <c r="O1238" s="111"/>
      <c r="P1238" s="111"/>
      <c r="Q1238" s="111"/>
      <c r="R1238" s="108"/>
      <c r="S1238" s="110"/>
      <c r="T1238" s="108"/>
      <c r="U1238" s="111"/>
      <c r="V1238" s="112"/>
    </row>
    <row r="1239">
      <c r="B1239" s="27"/>
      <c r="C1239" s="27"/>
      <c r="D1239" s="165"/>
      <c r="E1239" s="66"/>
      <c r="F1239" s="27"/>
      <c r="G1239" s="166"/>
      <c r="H1239" s="166"/>
      <c r="I1239" s="167"/>
      <c r="J1239" s="167"/>
      <c r="K1239" s="168"/>
      <c r="L1239" s="117"/>
      <c r="M1239" s="117"/>
      <c r="N1239" s="111"/>
      <c r="O1239" s="111"/>
      <c r="P1239" s="111"/>
      <c r="Q1239" s="111"/>
      <c r="R1239" s="108"/>
      <c r="S1239" s="110"/>
      <c r="T1239" s="108"/>
      <c r="U1239" s="111"/>
      <c r="V1239" s="112"/>
    </row>
    <row r="1240">
      <c r="B1240" s="27"/>
      <c r="C1240" s="27"/>
      <c r="D1240" s="165"/>
      <c r="E1240" s="66"/>
      <c r="F1240" s="27"/>
      <c r="G1240" s="166"/>
      <c r="H1240" s="166"/>
      <c r="I1240" s="167"/>
      <c r="J1240" s="167"/>
      <c r="K1240" s="168"/>
      <c r="L1240" s="117"/>
      <c r="M1240" s="117"/>
      <c r="N1240" s="111"/>
      <c r="O1240" s="111"/>
      <c r="P1240" s="111"/>
      <c r="Q1240" s="111"/>
      <c r="R1240" s="108"/>
      <c r="S1240" s="110"/>
      <c r="T1240" s="108"/>
      <c r="U1240" s="111"/>
      <c r="V1240" s="112"/>
    </row>
    <row r="1241">
      <c r="B1241" s="27"/>
      <c r="C1241" s="27"/>
      <c r="D1241" s="165"/>
      <c r="E1241" s="66"/>
      <c r="F1241" s="27"/>
      <c r="G1241" s="166"/>
      <c r="H1241" s="166"/>
      <c r="I1241" s="167"/>
      <c r="J1241" s="167"/>
      <c r="K1241" s="168"/>
      <c r="L1241" s="117"/>
      <c r="M1241" s="117"/>
      <c r="N1241" s="111"/>
      <c r="O1241" s="111"/>
      <c r="P1241" s="111"/>
      <c r="Q1241" s="111"/>
      <c r="R1241" s="108"/>
      <c r="S1241" s="110"/>
      <c r="T1241" s="108"/>
      <c r="U1241" s="111"/>
      <c r="V1241" s="112"/>
    </row>
    <row r="1242">
      <c r="B1242" s="27"/>
      <c r="C1242" s="27"/>
      <c r="D1242" s="165"/>
      <c r="E1242" s="66"/>
      <c r="F1242" s="27"/>
      <c r="G1242" s="166"/>
      <c r="H1242" s="166"/>
      <c r="I1242" s="167"/>
      <c r="J1242" s="167"/>
      <c r="K1242" s="168"/>
      <c r="L1242" s="117"/>
      <c r="M1242" s="117"/>
      <c r="N1242" s="111"/>
      <c r="O1242" s="111"/>
      <c r="P1242" s="111"/>
      <c r="Q1242" s="111"/>
      <c r="R1242" s="108"/>
      <c r="S1242" s="110"/>
      <c r="T1242" s="108"/>
      <c r="U1242" s="111"/>
      <c r="V1242" s="112"/>
    </row>
    <row r="1243">
      <c r="B1243" s="27"/>
      <c r="C1243" s="27"/>
      <c r="D1243" s="165"/>
      <c r="E1243" s="66"/>
      <c r="F1243" s="27"/>
      <c r="G1243" s="166"/>
      <c r="H1243" s="166"/>
      <c r="I1243" s="167"/>
      <c r="J1243" s="167"/>
      <c r="K1243" s="168"/>
      <c r="L1243" s="117"/>
      <c r="M1243" s="117"/>
      <c r="N1243" s="111"/>
      <c r="O1243" s="111"/>
      <c r="P1243" s="111"/>
      <c r="Q1243" s="111"/>
      <c r="R1243" s="108"/>
      <c r="S1243" s="110"/>
      <c r="T1243" s="108"/>
      <c r="U1243" s="111"/>
      <c r="V1243" s="112"/>
    </row>
    <row r="1244">
      <c r="B1244" s="27"/>
      <c r="C1244" s="27"/>
      <c r="D1244" s="165"/>
      <c r="E1244" s="66"/>
      <c r="F1244" s="27"/>
      <c r="G1244" s="166"/>
      <c r="H1244" s="166"/>
      <c r="I1244" s="167"/>
      <c r="J1244" s="167"/>
      <c r="K1244" s="168"/>
      <c r="L1244" s="117"/>
      <c r="M1244" s="117"/>
      <c r="N1244" s="111"/>
      <c r="O1244" s="111"/>
      <c r="P1244" s="111"/>
      <c r="Q1244" s="111"/>
      <c r="R1244" s="108"/>
      <c r="S1244" s="110"/>
      <c r="T1244" s="108"/>
      <c r="U1244" s="111"/>
      <c r="V1244" s="112"/>
    </row>
    <row r="1245">
      <c r="B1245" s="27"/>
      <c r="C1245" s="27"/>
      <c r="D1245" s="165"/>
      <c r="E1245" s="66"/>
      <c r="F1245" s="27"/>
      <c r="G1245" s="166"/>
      <c r="H1245" s="166"/>
      <c r="I1245" s="167"/>
      <c r="J1245" s="167"/>
      <c r="K1245" s="168"/>
      <c r="L1245" s="117"/>
      <c r="M1245" s="117"/>
      <c r="N1245" s="111"/>
      <c r="O1245" s="111"/>
      <c r="P1245" s="111"/>
      <c r="Q1245" s="111"/>
      <c r="R1245" s="108"/>
      <c r="S1245" s="110"/>
      <c r="T1245" s="108"/>
      <c r="U1245" s="111"/>
      <c r="V1245" s="112"/>
    </row>
    <row r="1246">
      <c r="B1246" s="27"/>
      <c r="C1246" s="27"/>
      <c r="D1246" s="165"/>
      <c r="E1246" s="66"/>
      <c r="F1246" s="27"/>
      <c r="G1246" s="166"/>
      <c r="H1246" s="166"/>
      <c r="I1246" s="167"/>
      <c r="J1246" s="167"/>
      <c r="K1246" s="168"/>
      <c r="L1246" s="117"/>
      <c r="M1246" s="117"/>
      <c r="N1246" s="111"/>
      <c r="O1246" s="111"/>
      <c r="P1246" s="111"/>
      <c r="Q1246" s="111"/>
      <c r="R1246" s="108"/>
      <c r="S1246" s="110"/>
      <c r="T1246" s="108"/>
      <c r="U1246" s="111"/>
      <c r="V1246" s="112"/>
    </row>
    <row r="1247">
      <c r="B1247" s="27"/>
      <c r="C1247" s="27"/>
      <c r="D1247" s="165"/>
      <c r="E1247" s="66"/>
      <c r="F1247" s="27"/>
      <c r="G1247" s="166"/>
      <c r="H1247" s="166"/>
      <c r="I1247" s="167"/>
      <c r="J1247" s="167"/>
      <c r="K1247" s="168"/>
      <c r="L1247" s="117"/>
      <c r="M1247" s="117"/>
      <c r="N1247" s="111"/>
      <c r="O1247" s="111"/>
      <c r="P1247" s="111"/>
      <c r="Q1247" s="111"/>
      <c r="R1247" s="108"/>
      <c r="S1247" s="110"/>
      <c r="T1247" s="108"/>
      <c r="U1247" s="111"/>
      <c r="V1247" s="112"/>
    </row>
    <row r="1248">
      <c r="B1248" s="27"/>
      <c r="C1248" s="27"/>
      <c r="D1248" s="165"/>
      <c r="E1248" s="66"/>
      <c r="F1248" s="27"/>
      <c r="G1248" s="166"/>
      <c r="H1248" s="166"/>
      <c r="I1248" s="167"/>
      <c r="J1248" s="167"/>
      <c r="K1248" s="168"/>
      <c r="L1248" s="117"/>
      <c r="M1248" s="117"/>
      <c r="N1248" s="111"/>
      <c r="O1248" s="111"/>
      <c r="P1248" s="111"/>
      <c r="Q1248" s="111"/>
      <c r="R1248" s="108"/>
      <c r="S1248" s="110"/>
      <c r="T1248" s="108"/>
      <c r="U1248" s="111"/>
      <c r="V1248" s="112"/>
    </row>
    <row r="1249">
      <c r="B1249" s="27"/>
      <c r="C1249" s="27"/>
      <c r="D1249" s="165"/>
      <c r="E1249" s="66"/>
      <c r="F1249" s="27"/>
      <c r="G1249" s="166"/>
      <c r="H1249" s="166"/>
      <c r="I1249" s="167"/>
      <c r="J1249" s="167"/>
      <c r="K1249" s="168"/>
      <c r="L1249" s="117"/>
      <c r="M1249" s="117"/>
      <c r="N1249" s="111"/>
      <c r="O1249" s="111"/>
      <c r="P1249" s="111"/>
      <c r="Q1249" s="111"/>
      <c r="R1249" s="108"/>
      <c r="S1249" s="110"/>
      <c r="T1249" s="108"/>
      <c r="U1249" s="111"/>
      <c r="V1249" s="112"/>
    </row>
    <row r="1250">
      <c r="B1250" s="27"/>
      <c r="C1250" s="27"/>
      <c r="D1250" s="165"/>
      <c r="E1250" s="66"/>
      <c r="F1250" s="27"/>
      <c r="G1250" s="166"/>
      <c r="H1250" s="166"/>
      <c r="I1250" s="167"/>
      <c r="J1250" s="167"/>
      <c r="K1250" s="168"/>
      <c r="L1250" s="117"/>
      <c r="M1250" s="117"/>
      <c r="N1250" s="111"/>
      <c r="O1250" s="111"/>
      <c r="P1250" s="111"/>
      <c r="Q1250" s="111"/>
      <c r="R1250" s="108"/>
      <c r="S1250" s="110"/>
      <c r="T1250" s="108"/>
      <c r="U1250" s="111"/>
      <c r="V1250" s="112"/>
    </row>
    <row r="1251">
      <c r="B1251" s="27"/>
      <c r="C1251" s="27"/>
      <c r="D1251" s="165"/>
      <c r="E1251" s="66"/>
      <c r="F1251" s="27"/>
      <c r="G1251" s="166"/>
      <c r="H1251" s="166"/>
      <c r="I1251" s="167"/>
      <c r="J1251" s="167"/>
      <c r="K1251" s="168"/>
      <c r="L1251" s="117"/>
      <c r="M1251" s="117"/>
      <c r="N1251" s="111"/>
      <c r="O1251" s="111"/>
      <c r="P1251" s="111"/>
      <c r="Q1251" s="111"/>
      <c r="R1251" s="108"/>
      <c r="S1251" s="110"/>
      <c r="T1251" s="108"/>
      <c r="U1251" s="111"/>
      <c r="V1251" s="112"/>
    </row>
    <row r="1252">
      <c r="B1252" s="27"/>
      <c r="C1252" s="27"/>
      <c r="D1252" s="165"/>
      <c r="E1252" s="66"/>
      <c r="F1252" s="27"/>
      <c r="G1252" s="166"/>
      <c r="H1252" s="166"/>
      <c r="I1252" s="167"/>
      <c r="J1252" s="167"/>
      <c r="K1252" s="168"/>
      <c r="L1252" s="117"/>
      <c r="M1252" s="117"/>
      <c r="N1252" s="111"/>
      <c r="O1252" s="111"/>
      <c r="P1252" s="111"/>
      <c r="Q1252" s="111"/>
      <c r="R1252" s="108"/>
      <c r="S1252" s="110"/>
      <c r="T1252" s="108"/>
      <c r="U1252" s="111"/>
      <c r="V1252" s="112"/>
    </row>
    <row r="1253">
      <c r="B1253" s="27"/>
      <c r="C1253" s="27"/>
      <c r="D1253" s="165"/>
      <c r="E1253" s="66"/>
      <c r="F1253" s="27"/>
      <c r="G1253" s="166"/>
      <c r="H1253" s="166"/>
      <c r="I1253" s="167"/>
      <c r="J1253" s="167"/>
      <c r="K1253" s="168"/>
      <c r="L1253" s="117"/>
      <c r="M1253" s="117"/>
      <c r="N1253" s="111"/>
      <c r="O1253" s="111"/>
      <c r="P1253" s="111"/>
      <c r="Q1253" s="111"/>
      <c r="R1253" s="108"/>
      <c r="S1253" s="110"/>
      <c r="T1253" s="108"/>
      <c r="U1253" s="111"/>
      <c r="V1253" s="112"/>
    </row>
    <row r="1254">
      <c r="B1254" s="27"/>
      <c r="C1254" s="27"/>
      <c r="D1254" s="165"/>
      <c r="E1254" s="66"/>
      <c r="F1254" s="27"/>
      <c r="G1254" s="166"/>
      <c r="H1254" s="166"/>
      <c r="I1254" s="167"/>
      <c r="J1254" s="167"/>
      <c r="K1254" s="168"/>
      <c r="L1254" s="117"/>
      <c r="M1254" s="117"/>
      <c r="N1254" s="111"/>
      <c r="O1254" s="111"/>
      <c r="P1254" s="111"/>
      <c r="Q1254" s="111"/>
      <c r="R1254" s="108"/>
      <c r="S1254" s="110"/>
      <c r="T1254" s="108"/>
      <c r="U1254" s="111"/>
      <c r="V1254" s="112"/>
    </row>
    <row r="1255">
      <c r="B1255" s="27"/>
      <c r="C1255" s="27"/>
      <c r="D1255" s="165"/>
      <c r="E1255" s="66"/>
      <c r="F1255" s="27"/>
      <c r="G1255" s="166"/>
      <c r="H1255" s="166"/>
      <c r="I1255" s="167"/>
      <c r="J1255" s="167"/>
      <c r="K1255" s="168"/>
      <c r="L1255" s="117"/>
      <c r="M1255" s="117"/>
      <c r="N1255" s="111"/>
      <c r="O1255" s="111"/>
      <c r="P1255" s="111"/>
      <c r="Q1255" s="111"/>
      <c r="R1255" s="108"/>
      <c r="S1255" s="110"/>
      <c r="T1255" s="108"/>
      <c r="U1255" s="111"/>
      <c r="V1255" s="112"/>
    </row>
    <row r="1256">
      <c r="B1256" s="27"/>
      <c r="C1256" s="27"/>
      <c r="D1256" s="165"/>
      <c r="E1256" s="66"/>
      <c r="F1256" s="27"/>
      <c r="G1256" s="166"/>
      <c r="H1256" s="166"/>
      <c r="I1256" s="167"/>
      <c r="J1256" s="167"/>
      <c r="K1256" s="168"/>
      <c r="L1256" s="117"/>
      <c r="M1256" s="117"/>
      <c r="N1256" s="111"/>
      <c r="O1256" s="111"/>
      <c r="P1256" s="111"/>
      <c r="Q1256" s="111"/>
      <c r="R1256" s="108"/>
      <c r="S1256" s="110"/>
      <c r="T1256" s="108"/>
      <c r="U1256" s="111"/>
      <c r="V1256" s="112"/>
    </row>
    <row r="1257">
      <c r="B1257" s="27"/>
      <c r="C1257" s="27"/>
      <c r="D1257" s="165"/>
      <c r="E1257" s="66"/>
      <c r="F1257" s="27"/>
      <c r="G1257" s="166"/>
      <c r="H1257" s="166"/>
      <c r="I1257" s="167"/>
      <c r="J1257" s="167"/>
      <c r="K1257" s="168"/>
      <c r="L1257" s="117"/>
      <c r="M1257" s="117"/>
      <c r="N1257" s="111"/>
      <c r="O1257" s="111"/>
      <c r="P1257" s="111"/>
      <c r="Q1257" s="111"/>
      <c r="R1257" s="108"/>
      <c r="S1257" s="110"/>
      <c r="T1257" s="108"/>
      <c r="U1257" s="111"/>
      <c r="V1257" s="112"/>
    </row>
    <row r="1258">
      <c r="B1258" s="27"/>
      <c r="C1258" s="27"/>
      <c r="D1258" s="165"/>
      <c r="E1258" s="66"/>
      <c r="F1258" s="27"/>
      <c r="G1258" s="166"/>
      <c r="H1258" s="166"/>
      <c r="I1258" s="167"/>
      <c r="J1258" s="167"/>
      <c r="K1258" s="168"/>
      <c r="L1258" s="117"/>
      <c r="M1258" s="117"/>
      <c r="N1258" s="111"/>
      <c r="O1258" s="111"/>
      <c r="P1258" s="111"/>
      <c r="Q1258" s="111"/>
      <c r="R1258" s="108"/>
      <c r="S1258" s="110"/>
      <c r="T1258" s="108"/>
      <c r="U1258" s="111"/>
      <c r="V1258" s="112"/>
    </row>
    <row r="1259">
      <c r="B1259" s="27"/>
      <c r="C1259" s="27"/>
      <c r="D1259" s="165"/>
      <c r="E1259" s="66"/>
      <c r="F1259" s="27"/>
      <c r="G1259" s="166"/>
      <c r="H1259" s="166"/>
      <c r="I1259" s="167"/>
      <c r="J1259" s="167"/>
      <c r="K1259" s="168"/>
      <c r="L1259" s="117"/>
      <c r="M1259" s="117"/>
      <c r="N1259" s="111"/>
      <c r="O1259" s="111"/>
      <c r="P1259" s="111"/>
      <c r="Q1259" s="111"/>
      <c r="R1259" s="108"/>
      <c r="S1259" s="110"/>
      <c r="T1259" s="108"/>
      <c r="U1259" s="111"/>
      <c r="V1259" s="112"/>
    </row>
    <row r="1260">
      <c r="B1260" s="27"/>
      <c r="C1260" s="27"/>
      <c r="D1260" s="165"/>
      <c r="E1260" s="66"/>
      <c r="F1260" s="27"/>
      <c r="G1260" s="166"/>
      <c r="H1260" s="166"/>
      <c r="I1260" s="167"/>
      <c r="J1260" s="167"/>
      <c r="K1260" s="168"/>
      <c r="L1260" s="117"/>
      <c r="M1260" s="117"/>
      <c r="N1260" s="111"/>
      <c r="O1260" s="111"/>
      <c r="P1260" s="111"/>
      <c r="Q1260" s="111"/>
      <c r="R1260" s="108"/>
      <c r="S1260" s="110"/>
      <c r="T1260" s="108"/>
      <c r="U1260" s="111"/>
      <c r="V1260" s="112"/>
    </row>
    <row r="1261">
      <c r="B1261" s="27"/>
      <c r="C1261" s="27"/>
      <c r="D1261" s="165"/>
      <c r="E1261" s="66"/>
      <c r="F1261" s="27"/>
      <c r="G1261" s="166"/>
      <c r="H1261" s="166"/>
      <c r="I1261" s="167"/>
      <c r="J1261" s="167"/>
      <c r="K1261" s="168"/>
      <c r="L1261" s="117"/>
      <c r="M1261" s="117"/>
      <c r="N1261" s="111"/>
      <c r="O1261" s="111"/>
      <c r="P1261" s="111"/>
      <c r="Q1261" s="111"/>
      <c r="R1261" s="108"/>
      <c r="S1261" s="110"/>
      <c r="T1261" s="108"/>
      <c r="U1261" s="111"/>
      <c r="V1261" s="112"/>
    </row>
    <row r="1262">
      <c r="B1262" s="27"/>
      <c r="C1262" s="27"/>
      <c r="D1262" s="165"/>
      <c r="E1262" s="66"/>
      <c r="F1262" s="27"/>
      <c r="G1262" s="166"/>
      <c r="H1262" s="166"/>
      <c r="I1262" s="167"/>
      <c r="J1262" s="167"/>
      <c r="K1262" s="168"/>
      <c r="L1262" s="117"/>
      <c r="M1262" s="117"/>
      <c r="N1262" s="111"/>
      <c r="O1262" s="111"/>
      <c r="P1262" s="111"/>
      <c r="Q1262" s="111"/>
      <c r="R1262" s="108"/>
      <c r="S1262" s="110"/>
      <c r="T1262" s="108"/>
      <c r="U1262" s="111"/>
      <c r="V1262" s="112"/>
    </row>
    <row r="1263">
      <c r="B1263" s="27"/>
      <c r="C1263" s="27"/>
      <c r="D1263" s="165"/>
      <c r="E1263" s="66"/>
      <c r="F1263" s="27"/>
      <c r="G1263" s="166"/>
      <c r="H1263" s="166"/>
      <c r="I1263" s="167"/>
      <c r="J1263" s="167"/>
      <c r="K1263" s="168"/>
      <c r="L1263" s="117"/>
      <c r="M1263" s="117"/>
      <c r="N1263" s="111"/>
      <c r="O1263" s="111"/>
      <c r="P1263" s="111"/>
      <c r="Q1263" s="111"/>
      <c r="R1263" s="108"/>
      <c r="S1263" s="110"/>
      <c r="T1263" s="108"/>
      <c r="U1263" s="111"/>
      <c r="V1263" s="112"/>
    </row>
    <row r="1264">
      <c r="B1264" s="27"/>
      <c r="C1264" s="27"/>
      <c r="D1264" s="165"/>
      <c r="E1264" s="66"/>
      <c r="F1264" s="27"/>
      <c r="G1264" s="166"/>
      <c r="H1264" s="166"/>
      <c r="I1264" s="167"/>
      <c r="J1264" s="167"/>
      <c r="K1264" s="168"/>
      <c r="L1264" s="117"/>
      <c r="M1264" s="117"/>
      <c r="N1264" s="111"/>
      <c r="O1264" s="111"/>
      <c r="P1264" s="111"/>
      <c r="Q1264" s="111"/>
      <c r="R1264" s="108"/>
      <c r="S1264" s="110"/>
      <c r="T1264" s="108"/>
      <c r="U1264" s="111"/>
      <c r="V1264" s="112"/>
    </row>
    <row r="1265">
      <c r="B1265" s="27"/>
      <c r="C1265" s="27"/>
      <c r="D1265" s="165"/>
      <c r="E1265" s="66"/>
      <c r="F1265" s="27"/>
      <c r="G1265" s="166"/>
      <c r="H1265" s="166"/>
      <c r="I1265" s="167"/>
      <c r="J1265" s="167"/>
      <c r="K1265" s="168"/>
      <c r="L1265" s="117"/>
      <c r="M1265" s="117"/>
      <c r="N1265" s="111"/>
      <c r="O1265" s="111"/>
      <c r="P1265" s="111"/>
      <c r="Q1265" s="111"/>
      <c r="R1265" s="108"/>
      <c r="S1265" s="110"/>
      <c r="T1265" s="108"/>
      <c r="U1265" s="111"/>
      <c r="V1265" s="112"/>
    </row>
    <row r="1266">
      <c r="B1266" s="27"/>
      <c r="C1266" s="27"/>
      <c r="D1266" s="165"/>
      <c r="E1266" s="66"/>
      <c r="F1266" s="27"/>
      <c r="G1266" s="166"/>
      <c r="H1266" s="166"/>
      <c r="I1266" s="167"/>
      <c r="J1266" s="167"/>
      <c r="K1266" s="168"/>
      <c r="L1266" s="117"/>
      <c r="M1266" s="117"/>
      <c r="N1266" s="111"/>
      <c r="O1266" s="111"/>
      <c r="P1266" s="111"/>
      <c r="Q1266" s="111"/>
      <c r="R1266" s="108"/>
      <c r="S1266" s="110"/>
      <c r="T1266" s="108"/>
      <c r="U1266" s="111"/>
      <c r="V1266" s="112"/>
    </row>
    <row r="1267">
      <c r="B1267" s="27"/>
      <c r="C1267" s="27"/>
      <c r="D1267" s="165"/>
      <c r="E1267" s="66"/>
      <c r="F1267" s="27"/>
      <c r="G1267" s="166"/>
      <c r="H1267" s="166"/>
      <c r="I1267" s="167"/>
      <c r="J1267" s="167"/>
      <c r="K1267" s="168"/>
      <c r="L1267" s="117"/>
      <c r="M1267" s="117"/>
      <c r="N1267" s="111"/>
      <c r="O1267" s="111"/>
      <c r="P1267" s="111"/>
      <c r="Q1267" s="111"/>
      <c r="R1267" s="108"/>
      <c r="S1267" s="110"/>
      <c r="T1267" s="108"/>
      <c r="U1267" s="111"/>
      <c r="V1267" s="112"/>
    </row>
    <row r="1268">
      <c r="B1268" s="27"/>
      <c r="C1268" s="27"/>
      <c r="D1268" s="165"/>
      <c r="E1268" s="66"/>
      <c r="F1268" s="27"/>
      <c r="G1268" s="166"/>
      <c r="H1268" s="166"/>
      <c r="I1268" s="167"/>
      <c r="J1268" s="167"/>
      <c r="K1268" s="168"/>
      <c r="L1268" s="117"/>
      <c r="M1268" s="117"/>
      <c r="N1268" s="111"/>
      <c r="O1268" s="111"/>
      <c r="P1268" s="111"/>
      <c r="Q1268" s="111"/>
      <c r="R1268" s="108"/>
      <c r="S1268" s="110"/>
      <c r="T1268" s="108"/>
      <c r="U1268" s="111"/>
      <c r="V1268" s="112"/>
    </row>
    <row r="1269">
      <c r="B1269" s="27"/>
      <c r="C1269" s="27"/>
      <c r="D1269" s="165"/>
      <c r="E1269" s="66"/>
      <c r="F1269" s="27"/>
      <c r="G1269" s="166"/>
      <c r="H1269" s="166"/>
      <c r="I1269" s="167"/>
      <c r="J1269" s="167"/>
      <c r="K1269" s="168"/>
      <c r="L1269" s="117"/>
      <c r="M1269" s="117"/>
      <c r="N1269" s="111"/>
      <c r="O1269" s="111"/>
      <c r="P1269" s="111"/>
      <c r="Q1269" s="111"/>
      <c r="R1269" s="108"/>
      <c r="S1269" s="110"/>
      <c r="T1269" s="108"/>
      <c r="U1269" s="111"/>
      <c r="V1269" s="112"/>
    </row>
    <row r="1270">
      <c r="B1270" s="27"/>
      <c r="C1270" s="27"/>
      <c r="D1270" s="165"/>
      <c r="E1270" s="66"/>
      <c r="F1270" s="27"/>
      <c r="G1270" s="166"/>
      <c r="H1270" s="166"/>
      <c r="I1270" s="167"/>
      <c r="J1270" s="167"/>
      <c r="K1270" s="168"/>
      <c r="L1270" s="117"/>
      <c r="M1270" s="117"/>
      <c r="N1270" s="111"/>
      <c r="O1270" s="111"/>
      <c r="P1270" s="111"/>
      <c r="Q1270" s="111"/>
      <c r="R1270" s="108"/>
      <c r="S1270" s="110"/>
      <c r="T1270" s="108"/>
      <c r="U1270" s="111"/>
      <c r="V1270" s="112"/>
    </row>
    <row r="1271">
      <c r="B1271" s="27"/>
      <c r="C1271" s="27"/>
      <c r="D1271" s="165"/>
      <c r="E1271" s="66"/>
      <c r="F1271" s="27"/>
      <c r="G1271" s="166"/>
      <c r="H1271" s="166"/>
      <c r="I1271" s="167"/>
      <c r="J1271" s="167"/>
      <c r="K1271" s="168"/>
      <c r="L1271" s="117"/>
      <c r="M1271" s="117"/>
      <c r="N1271" s="111"/>
      <c r="O1271" s="111"/>
      <c r="P1271" s="111"/>
      <c r="Q1271" s="111"/>
      <c r="R1271" s="108"/>
      <c r="S1271" s="110"/>
      <c r="T1271" s="108"/>
      <c r="U1271" s="111"/>
      <c r="V1271" s="112"/>
    </row>
    <row r="1272">
      <c r="B1272" s="27"/>
      <c r="C1272" s="27"/>
      <c r="D1272" s="165"/>
      <c r="E1272" s="66"/>
      <c r="F1272" s="27"/>
      <c r="G1272" s="166"/>
      <c r="H1272" s="166"/>
      <c r="I1272" s="167"/>
      <c r="J1272" s="167"/>
      <c r="K1272" s="168"/>
      <c r="L1272" s="117"/>
      <c r="M1272" s="117"/>
      <c r="N1272" s="111"/>
      <c r="O1272" s="111"/>
      <c r="P1272" s="111"/>
      <c r="Q1272" s="111"/>
      <c r="R1272" s="108"/>
      <c r="S1272" s="110"/>
      <c r="T1272" s="108"/>
      <c r="U1272" s="111"/>
      <c r="V1272" s="112"/>
    </row>
    <row r="1273">
      <c r="B1273" s="27"/>
      <c r="C1273" s="27"/>
      <c r="D1273" s="165"/>
      <c r="E1273" s="66"/>
      <c r="F1273" s="27"/>
      <c r="G1273" s="166"/>
      <c r="H1273" s="166"/>
      <c r="I1273" s="167"/>
      <c r="J1273" s="167"/>
      <c r="K1273" s="168"/>
      <c r="L1273" s="117"/>
      <c r="M1273" s="117"/>
      <c r="N1273" s="111"/>
      <c r="O1273" s="111"/>
      <c r="P1273" s="111"/>
      <c r="Q1273" s="111"/>
      <c r="R1273" s="108"/>
      <c r="S1273" s="110"/>
      <c r="T1273" s="108"/>
      <c r="U1273" s="111"/>
      <c r="V1273" s="112"/>
    </row>
    <row r="1274">
      <c r="B1274" s="27"/>
      <c r="C1274" s="27"/>
      <c r="D1274" s="165"/>
      <c r="E1274" s="66"/>
      <c r="F1274" s="27"/>
      <c r="G1274" s="166"/>
      <c r="H1274" s="166"/>
      <c r="I1274" s="167"/>
      <c r="J1274" s="167"/>
      <c r="K1274" s="168"/>
      <c r="L1274" s="117"/>
      <c r="M1274" s="117"/>
      <c r="N1274" s="111"/>
      <c r="O1274" s="111"/>
      <c r="P1274" s="111"/>
      <c r="Q1274" s="111"/>
      <c r="R1274" s="108"/>
      <c r="S1274" s="110"/>
      <c r="T1274" s="108"/>
      <c r="U1274" s="111"/>
      <c r="V1274" s="112"/>
    </row>
    <row r="1275">
      <c r="B1275" s="27"/>
      <c r="C1275" s="27"/>
      <c r="D1275" s="165"/>
      <c r="E1275" s="66"/>
      <c r="F1275" s="27"/>
      <c r="G1275" s="166"/>
      <c r="H1275" s="166"/>
      <c r="I1275" s="167"/>
      <c r="J1275" s="167"/>
      <c r="K1275" s="168"/>
      <c r="L1275" s="117"/>
      <c r="M1275" s="117"/>
      <c r="N1275" s="111"/>
      <c r="O1275" s="111"/>
      <c r="P1275" s="111"/>
      <c r="Q1275" s="111"/>
      <c r="R1275" s="108"/>
      <c r="S1275" s="110"/>
      <c r="T1275" s="108"/>
      <c r="U1275" s="111"/>
      <c r="V1275" s="112"/>
    </row>
    <row r="1276">
      <c r="B1276" s="27"/>
      <c r="C1276" s="27"/>
      <c r="D1276" s="165"/>
      <c r="E1276" s="66"/>
      <c r="F1276" s="27"/>
      <c r="G1276" s="166"/>
      <c r="H1276" s="166"/>
      <c r="I1276" s="167"/>
      <c r="J1276" s="167"/>
      <c r="K1276" s="168"/>
      <c r="L1276" s="117"/>
      <c r="M1276" s="117"/>
      <c r="N1276" s="111"/>
      <c r="O1276" s="111"/>
      <c r="P1276" s="111"/>
      <c r="Q1276" s="111"/>
      <c r="R1276" s="108"/>
      <c r="S1276" s="110"/>
      <c r="T1276" s="108"/>
      <c r="U1276" s="111"/>
      <c r="V1276" s="112"/>
    </row>
    <row r="1277">
      <c r="B1277" s="27"/>
      <c r="C1277" s="27"/>
      <c r="D1277" s="165"/>
      <c r="E1277" s="66"/>
      <c r="F1277" s="27"/>
      <c r="G1277" s="166"/>
      <c r="H1277" s="166"/>
      <c r="I1277" s="167"/>
      <c r="J1277" s="167"/>
      <c r="K1277" s="168"/>
      <c r="L1277" s="117"/>
      <c r="M1277" s="117"/>
      <c r="N1277" s="111"/>
      <c r="O1277" s="111"/>
      <c r="P1277" s="111"/>
      <c r="Q1277" s="111"/>
      <c r="R1277" s="108"/>
      <c r="S1277" s="110"/>
      <c r="T1277" s="108"/>
      <c r="U1277" s="111"/>
      <c r="V1277" s="112"/>
    </row>
    <row r="1278">
      <c r="B1278" s="27"/>
      <c r="C1278" s="27"/>
      <c r="D1278" s="165"/>
      <c r="E1278" s="66"/>
      <c r="F1278" s="27"/>
      <c r="G1278" s="166"/>
      <c r="H1278" s="166"/>
      <c r="I1278" s="167"/>
      <c r="J1278" s="167"/>
      <c r="K1278" s="168"/>
      <c r="L1278" s="117"/>
      <c r="M1278" s="117"/>
      <c r="N1278" s="111"/>
      <c r="O1278" s="111"/>
      <c r="P1278" s="111"/>
      <c r="Q1278" s="111"/>
      <c r="R1278" s="108"/>
      <c r="S1278" s="110"/>
      <c r="T1278" s="108"/>
      <c r="U1278" s="111"/>
      <c r="V1278" s="112"/>
    </row>
    <row r="1279">
      <c r="B1279" s="27"/>
      <c r="C1279" s="27"/>
      <c r="D1279" s="165"/>
      <c r="E1279" s="66"/>
      <c r="F1279" s="27"/>
      <c r="G1279" s="166"/>
      <c r="H1279" s="166"/>
      <c r="I1279" s="167"/>
      <c r="J1279" s="167"/>
      <c r="K1279" s="168"/>
      <c r="L1279" s="117"/>
      <c r="M1279" s="117"/>
      <c r="N1279" s="111"/>
      <c r="O1279" s="111"/>
      <c r="P1279" s="111"/>
      <c r="Q1279" s="111"/>
      <c r="R1279" s="108"/>
      <c r="S1279" s="110"/>
      <c r="T1279" s="108"/>
      <c r="U1279" s="111"/>
      <c r="V1279" s="112"/>
    </row>
    <row r="1280">
      <c r="B1280" s="27"/>
      <c r="C1280" s="27"/>
      <c r="D1280" s="165"/>
      <c r="E1280" s="66"/>
      <c r="F1280" s="27"/>
      <c r="G1280" s="166"/>
      <c r="H1280" s="166"/>
      <c r="I1280" s="167"/>
      <c r="J1280" s="167"/>
      <c r="K1280" s="168"/>
      <c r="L1280" s="117"/>
      <c r="M1280" s="117"/>
      <c r="N1280" s="111"/>
      <c r="O1280" s="111"/>
      <c r="P1280" s="111"/>
      <c r="Q1280" s="111"/>
      <c r="R1280" s="108"/>
      <c r="S1280" s="110"/>
      <c r="T1280" s="108"/>
      <c r="U1280" s="111"/>
      <c r="V1280" s="112"/>
    </row>
    <row r="1281">
      <c r="B1281" s="27"/>
      <c r="C1281" s="27"/>
      <c r="D1281" s="165"/>
      <c r="E1281" s="66"/>
      <c r="F1281" s="27"/>
      <c r="G1281" s="166"/>
      <c r="H1281" s="166"/>
      <c r="I1281" s="167"/>
      <c r="J1281" s="167"/>
      <c r="K1281" s="168"/>
      <c r="L1281" s="117"/>
      <c r="M1281" s="117"/>
      <c r="N1281" s="111"/>
      <c r="O1281" s="111"/>
      <c r="P1281" s="111"/>
      <c r="Q1281" s="111"/>
      <c r="R1281" s="108"/>
      <c r="S1281" s="110"/>
      <c r="T1281" s="108"/>
      <c r="U1281" s="111"/>
      <c r="V1281" s="112"/>
    </row>
    <row r="1282">
      <c r="B1282" s="27"/>
      <c r="C1282" s="27"/>
      <c r="D1282" s="165"/>
      <c r="E1282" s="66"/>
      <c r="F1282" s="27"/>
      <c r="G1282" s="166"/>
      <c r="H1282" s="166"/>
      <c r="I1282" s="167"/>
      <c r="J1282" s="167"/>
      <c r="K1282" s="168"/>
      <c r="L1282" s="117"/>
      <c r="M1282" s="117"/>
      <c r="N1282" s="111"/>
      <c r="O1282" s="111"/>
      <c r="P1282" s="111"/>
      <c r="Q1282" s="111"/>
      <c r="R1282" s="108"/>
      <c r="S1282" s="110"/>
      <c r="T1282" s="108"/>
      <c r="U1282" s="111"/>
      <c r="V1282" s="112"/>
    </row>
    <row r="1283">
      <c r="B1283" s="27"/>
      <c r="C1283" s="27"/>
      <c r="D1283" s="165"/>
      <c r="E1283" s="66"/>
      <c r="F1283" s="27"/>
      <c r="G1283" s="166"/>
      <c r="H1283" s="166"/>
      <c r="I1283" s="167"/>
      <c r="J1283" s="167"/>
      <c r="K1283" s="168"/>
      <c r="L1283" s="117"/>
      <c r="M1283" s="117"/>
      <c r="N1283" s="111"/>
      <c r="O1283" s="111"/>
      <c r="P1283" s="111"/>
      <c r="Q1283" s="111"/>
      <c r="R1283" s="108"/>
      <c r="S1283" s="110"/>
      <c r="T1283" s="108"/>
      <c r="U1283" s="111"/>
      <c r="V1283" s="112"/>
    </row>
    <row r="1284">
      <c r="B1284" s="27"/>
      <c r="C1284" s="27"/>
      <c r="D1284" s="165"/>
      <c r="E1284" s="66"/>
      <c r="F1284" s="27"/>
      <c r="G1284" s="166"/>
      <c r="H1284" s="166"/>
      <c r="I1284" s="167"/>
      <c r="J1284" s="167"/>
      <c r="K1284" s="168"/>
      <c r="L1284" s="117"/>
      <c r="M1284" s="117"/>
      <c r="N1284" s="111"/>
      <c r="O1284" s="111"/>
      <c r="P1284" s="111"/>
      <c r="Q1284" s="111"/>
      <c r="R1284" s="108"/>
      <c r="S1284" s="110"/>
      <c r="T1284" s="108"/>
      <c r="U1284" s="111"/>
      <c r="V1284" s="112"/>
    </row>
    <row r="1285">
      <c r="B1285" s="27"/>
      <c r="C1285" s="27"/>
      <c r="D1285" s="165"/>
      <c r="E1285" s="66"/>
      <c r="F1285" s="27"/>
      <c r="G1285" s="166"/>
      <c r="H1285" s="166"/>
      <c r="I1285" s="167"/>
      <c r="J1285" s="167"/>
      <c r="K1285" s="168"/>
      <c r="L1285" s="117"/>
      <c r="M1285" s="117"/>
      <c r="N1285" s="111"/>
      <c r="O1285" s="111"/>
      <c r="P1285" s="111"/>
      <c r="Q1285" s="111"/>
      <c r="R1285" s="108"/>
      <c r="S1285" s="110"/>
      <c r="T1285" s="108"/>
      <c r="U1285" s="111"/>
      <c r="V1285" s="112"/>
    </row>
    <row r="1286">
      <c r="B1286" s="27"/>
      <c r="C1286" s="27"/>
      <c r="D1286" s="165"/>
      <c r="E1286" s="66"/>
      <c r="F1286" s="27"/>
      <c r="G1286" s="166"/>
      <c r="H1286" s="166"/>
      <c r="I1286" s="167"/>
      <c r="J1286" s="167"/>
      <c r="K1286" s="168"/>
      <c r="L1286" s="117"/>
      <c r="M1286" s="117"/>
      <c r="N1286" s="111"/>
      <c r="O1286" s="111"/>
      <c r="P1286" s="111"/>
      <c r="Q1286" s="111"/>
      <c r="R1286" s="108"/>
      <c r="S1286" s="110"/>
      <c r="T1286" s="108"/>
      <c r="U1286" s="111"/>
      <c r="V1286" s="112"/>
    </row>
    <row r="1287">
      <c r="B1287" s="27"/>
      <c r="C1287" s="27"/>
      <c r="D1287" s="165"/>
      <c r="E1287" s="66"/>
      <c r="F1287" s="27"/>
      <c r="G1287" s="166"/>
      <c r="H1287" s="166"/>
      <c r="I1287" s="167"/>
      <c r="J1287" s="167"/>
      <c r="K1287" s="168"/>
      <c r="L1287" s="117"/>
      <c r="M1287" s="117"/>
      <c r="N1287" s="111"/>
      <c r="O1287" s="111"/>
      <c r="P1287" s="111"/>
      <c r="Q1287" s="111"/>
      <c r="R1287" s="108"/>
      <c r="S1287" s="110"/>
      <c r="T1287" s="108"/>
      <c r="U1287" s="111"/>
      <c r="V1287" s="112"/>
    </row>
    <row r="1288">
      <c r="B1288" s="27"/>
      <c r="C1288" s="27"/>
      <c r="D1288" s="165"/>
      <c r="E1288" s="66"/>
      <c r="F1288" s="27"/>
      <c r="G1288" s="166"/>
      <c r="H1288" s="166"/>
      <c r="I1288" s="167"/>
      <c r="J1288" s="167"/>
      <c r="K1288" s="168"/>
      <c r="L1288" s="117"/>
      <c r="M1288" s="117"/>
      <c r="N1288" s="111"/>
      <c r="O1288" s="111"/>
      <c r="P1288" s="111"/>
      <c r="Q1288" s="111"/>
      <c r="R1288" s="108"/>
      <c r="S1288" s="110"/>
      <c r="T1288" s="108"/>
      <c r="U1288" s="111"/>
      <c r="V1288" s="112"/>
    </row>
    <row r="1289">
      <c r="B1289" s="27"/>
      <c r="C1289" s="27"/>
      <c r="D1289" s="165"/>
      <c r="E1289" s="66"/>
      <c r="F1289" s="27"/>
      <c r="G1289" s="166"/>
      <c r="H1289" s="166"/>
      <c r="I1289" s="167"/>
      <c r="J1289" s="167"/>
      <c r="K1289" s="168"/>
      <c r="L1289" s="117"/>
      <c r="M1289" s="117"/>
      <c r="N1289" s="111"/>
      <c r="O1289" s="111"/>
      <c r="P1289" s="111"/>
      <c r="Q1289" s="111"/>
      <c r="R1289" s="108"/>
      <c r="S1289" s="110"/>
      <c r="T1289" s="108"/>
      <c r="U1289" s="111"/>
      <c r="V1289" s="112"/>
    </row>
    <row r="1290">
      <c r="B1290" s="27"/>
      <c r="C1290" s="27"/>
      <c r="D1290" s="165"/>
      <c r="E1290" s="66"/>
      <c r="F1290" s="27"/>
      <c r="G1290" s="166"/>
      <c r="H1290" s="166"/>
      <c r="I1290" s="167"/>
      <c r="J1290" s="167"/>
      <c r="K1290" s="168"/>
      <c r="L1290" s="117"/>
      <c r="M1290" s="117"/>
      <c r="N1290" s="111"/>
      <c r="O1290" s="111"/>
      <c r="P1290" s="111"/>
      <c r="Q1290" s="111"/>
      <c r="R1290" s="108"/>
      <c r="S1290" s="110"/>
      <c r="T1290" s="108"/>
      <c r="U1290" s="111"/>
      <c r="V1290" s="112"/>
    </row>
    <row r="1291">
      <c r="B1291" s="27"/>
      <c r="C1291" s="27"/>
      <c r="D1291" s="165"/>
      <c r="E1291" s="66"/>
      <c r="F1291" s="27"/>
      <c r="G1291" s="166"/>
      <c r="H1291" s="166"/>
      <c r="I1291" s="167"/>
      <c r="J1291" s="167"/>
      <c r="K1291" s="168"/>
      <c r="L1291" s="117"/>
      <c r="M1291" s="117"/>
      <c r="N1291" s="111"/>
      <c r="O1291" s="111"/>
      <c r="P1291" s="111"/>
      <c r="Q1291" s="111"/>
      <c r="R1291" s="108"/>
      <c r="S1291" s="110"/>
      <c r="T1291" s="108"/>
      <c r="U1291" s="111"/>
      <c r="V1291" s="112"/>
    </row>
    <row r="1292">
      <c r="B1292" s="27"/>
      <c r="C1292" s="27"/>
      <c r="D1292" s="165"/>
      <c r="E1292" s="66"/>
      <c r="F1292" s="27"/>
      <c r="G1292" s="166"/>
      <c r="H1292" s="166"/>
      <c r="I1292" s="167"/>
      <c r="J1292" s="167"/>
      <c r="K1292" s="168"/>
      <c r="L1292" s="117"/>
      <c r="M1292" s="117"/>
      <c r="N1292" s="111"/>
      <c r="O1292" s="111"/>
      <c r="P1292" s="111"/>
      <c r="Q1292" s="111"/>
      <c r="R1292" s="108"/>
      <c r="S1292" s="110"/>
      <c r="T1292" s="108"/>
      <c r="U1292" s="111"/>
      <c r="V1292" s="112"/>
    </row>
    <row r="1293">
      <c r="B1293" s="27"/>
      <c r="C1293" s="27"/>
      <c r="D1293" s="165"/>
      <c r="E1293" s="66"/>
      <c r="F1293" s="27"/>
      <c r="G1293" s="166"/>
      <c r="H1293" s="166"/>
      <c r="I1293" s="167"/>
      <c r="J1293" s="167"/>
      <c r="K1293" s="168"/>
      <c r="L1293" s="117"/>
      <c r="M1293" s="117"/>
      <c r="N1293" s="111"/>
      <c r="O1293" s="111"/>
      <c r="P1293" s="111"/>
      <c r="Q1293" s="111"/>
      <c r="R1293" s="108"/>
      <c r="S1293" s="110"/>
      <c r="T1293" s="108"/>
      <c r="U1293" s="111"/>
      <c r="V1293" s="112"/>
    </row>
    <row r="1294">
      <c r="B1294" s="27"/>
      <c r="C1294" s="27"/>
      <c r="D1294" s="165"/>
      <c r="E1294" s="66"/>
      <c r="F1294" s="27"/>
      <c r="G1294" s="166"/>
      <c r="H1294" s="166"/>
      <c r="I1294" s="167"/>
      <c r="J1294" s="167"/>
      <c r="K1294" s="168"/>
      <c r="L1294" s="117"/>
      <c r="M1294" s="117"/>
      <c r="N1294" s="111"/>
      <c r="O1294" s="111"/>
      <c r="P1294" s="111"/>
      <c r="Q1294" s="111"/>
      <c r="R1294" s="108"/>
      <c r="S1294" s="110"/>
      <c r="T1294" s="108"/>
      <c r="U1294" s="111"/>
      <c r="V1294" s="112"/>
    </row>
    <row r="1295">
      <c r="B1295" s="27"/>
      <c r="C1295" s="27"/>
      <c r="D1295" s="165"/>
      <c r="E1295" s="66"/>
      <c r="F1295" s="27"/>
      <c r="G1295" s="166"/>
      <c r="H1295" s="166"/>
      <c r="I1295" s="167"/>
      <c r="J1295" s="167"/>
      <c r="K1295" s="168"/>
      <c r="L1295" s="117"/>
      <c r="M1295" s="117"/>
      <c r="N1295" s="111"/>
      <c r="O1295" s="111"/>
      <c r="P1295" s="111"/>
      <c r="Q1295" s="111"/>
      <c r="R1295" s="108"/>
      <c r="S1295" s="110"/>
      <c r="T1295" s="108"/>
      <c r="U1295" s="111"/>
      <c r="V1295" s="112"/>
    </row>
    <row r="1296">
      <c r="B1296" s="27"/>
      <c r="C1296" s="27"/>
      <c r="D1296" s="165"/>
      <c r="E1296" s="66"/>
      <c r="F1296" s="27"/>
      <c r="G1296" s="166"/>
      <c r="H1296" s="166"/>
      <c r="I1296" s="167"/>
      <c r="J1296" s="167"/>
      <c r="K1296" s="168"/>
      <c r="L1296" s="117"/>
      <c r="M1296" s="117"/>
      <c r="N1296" s="111"/>
      <c r="O1296" s="111"/>
      <c r="P1296" s="111"/>
      <c r="Q1296" s="111"/>
      <c r="R1296" s="108"/>
      <c r="S1296" s="110"/>
      <c r="T1296" s="108"/>
      <c r="U1296" s="111"/>
      <c r="V1296" s="112"/>
    </row>
    <row r="1297">
      <c r="B1297" s="27"/>
      <c r="C1297" s="27"/>
      <c r="D1297" s="165"/>
      <c r="E1297" s="66"/>
      <c r="F1297" s="27"/>
      <c r="G1297" s="166"/>
      <c r="H1297" s="166"/>
      <c r="I1297" s="167"/>
      <c r="J1297" s="167"/>
      <c r="K1297" s="168"/>
      <c r="L1297" s="117"/>
      <c r="M1297" s="117"/>
      <c r="N1297" s="111"/>
      <c r="O1297" s="111"/>
      <c r="P1297" s="111"/>
      <c r="Q1297" s="111"/>
      <c r="R1297" s="108"/>
      <c r="S1297" s="110"/>
      <c r="T1297" s="108"/>
      <c r="U1297" s="111"/>
      <c r="V1297" s="112"/>
    </row>
    <row r="1298">
      <c r="B1298" s="27"/>
      <c r="C1298" s="27"/>
      <c r="D1298" s="165"/>
      <c r="E1298" s="66"/>
      <c r="F1298" s="27"/>
      <c r="G1298" s="166"/>
      <c r="H1298" s="166"/>
      <c r="I1298" s="167"/>
      <c r="J1298" s="167"/>
      <c r="K1298" s="168"/>
      <c r="L1298" s="117"/>
      <c r="M1298" s="117"/>
      <c r="N1298" s="111"/>
      <c r="O1298" s="111"/>
      <c r="P1298" s="111"/>
      <c r="Q1298" s="111"/>
      <c r="R1298" s="108"/>
      <c r="S1298" s="110"/>
      <c r="T1298" s="108"/>
      <c r="U1298" s="111"/>
      <c r="V1298" s="112"/>
    </row>
    <row r="1299">
      <c r="B1299" s="27"/>
      <c r="C1299" s="27"/>
      <c r="D1299" s="165"/>
      <c r="E1299" s="66"/>
      <c r="F1299" s="27"/>
      <c r="G1299" s="166"/>
      <c r="H1299" s="166"/>
      <c r="I1299" s="167"/>
      <c r="J1299" s="167"/>
      <c r="K1299" s="168"/>
      <c r="L1299" s="117"/>
      <c r="M1299" s="117"/>
      <c r="N1299" s="111"/>
      <c r="O1299" s="111"/>
      <c r="P1299" s="111"/>
      <c r="Q1299" s="111"/>
      <c r="R1299" s="108"/>
      <c r="S1299" s="110"/>
      <c r="T1299" s="108"/>
      <c r="U1299" s="111"/>
      <c r="V1299" s="112"/>
    </row>
    <row r="1300">
      <c r="B1300" s="27"/>
      <c r="C1300" s="27"/>
      <c r="D1300" s="165"/>
      <c r="E1300" s="66"/>
      <c r="F1300" s="27"/>
      <c r="G1300" s="166"/>
      <c r="H1300" s="166"/>
      <c r="I1300" s="167"/>
      <c r="J1300" s="167"/>
      <c r="K1300" s="168"/>
      <c r="L1300" s="117"/>
      <c r="M1300" s="117"/>
      <c r="N1300" s="111"/>
      <c r="O1300" s="111"/>
      <c r="P1300" s="111"/>
      <c r="Q1300" s="111"/>
      <c r="R1300" s="108"/>
      <c r="S1300" s="110"/>
      <c r="T1300" s="108"/>
      <c r="U1300" s="111"/>
      <c r="V1300" s="112"/>
    </row>
    <row r="1301">
      <c r="B1301" s="27"/>
      <c r="C1301" s="27"/>
      <c r="D1301" s="165"/>
      <c r="E1301" s="66"/>
      <c r="F1301" s="27"/>
      <c r="G1301" s="166"/>
      <c r="H1301" s="166"/>
      <c r="I1301" s="167"/>
      <c r="J1301" s="167"/>
      <c r="K1301" s="168"/>
      <c r="L1301" s="117"/>
      <c r="M1301" s="117"/>
      <c r="N1301" s="111"/>
      <c r="O1301" s="111"/>
      <c r="P1301" s="111"/>
      <c r="Q1301" s="111"/>
      <c r="R1301" s="108"/>
      <c r="S1301" s="110"/>
      <c r="T1301" s="108"/>
      <c r="U1301" s="111"/>
      <c r="V1301" s="112"/>
    </row>
    <row r="1302">
      <c r="B1302" s="27"/>
      <c r="C1302" s="27"/>
      <c r="D1302" s="165"/>
      <c r="E1302" s="66"/>
      <c r="F1302" s="27"/>
      <c r="G1302" s="166"/>
      <c r="H1302" s="166"/>
      <c r="I1302" s="167"/>
      <c r="J1302" s="167"/>
      <c r="K1302" s="168"/>
      <c r="L1302" s="117"/>
      <c r="M1302" s="117"/>
      <c r="N1302" s="111"/>
      <c r="O1302" s="111"/>
      <c r="P1302" s="111"/>
      <c r="Q1302" s="111"/>
      <c r="R1302" s="108"/>
      <c r="S1302" s="110"/>
      <c r="T1302" s="108"/>
      <c r="U1302" s="111"/>
      <c r="V1302" s="112"/>
    </row>
    <row r="1303">
      <c r="B1303" s="27"/>
      <c r="C1303" s="27"/>
      <c r="D1303" s="165"/>
      <c r="E1303" s="66"/>
      <c r="F1303" s="27"/>
      <c r="G1303" s="166"/>
      <c r="H1303" s="166"/>
      <c r="I1303" s="167"/>
      <c r="J1303" s="167"/>
      <c r="K1303" s="168"/>
      <c r="L1303" s="117"/>
      <c r="M1303" s="117"/>
      <c r="N1303" s="111"/>
      <c r="O1303" s="111"/>
      <c r="P1303" s="111"/>
      <c r="Q1303" s="111"/>
      <c r="R1303" s="108"/>
      <c r="S1303" s="110"/>
      <c r="T1303" s="108"/>
      <c r="U1303" s="111"/>
      <c r="V1303" s="112"/>
    </row>
    <row r="1304">
      <c r="B1304" s="27"/>
      <c r="C1304" s="27"/>
      <c r="D1304" s="165"/>
      <c r="E1304" s="66"/>
      <c r="F1304" s="27"/>
      <c r="G1304" s="166"/>
      <c r="H1304" s="166"/>
      <c r="I1304" s="167"/>
      <c r="J1304" s="167"/>
      <c r="K1304" s="168"/>
      <c r="L1304" s="117"/>
      <c r="M1304" s="117"/>
      <c r="N1304" s="111"/>
      <c r="O1304" s="111"/>
      <c r="P1304" s="111"/>
      <c r="Q1304" s="111"/>
      <c r="R1304" s="108"/>
      <c r="S1304" s="110"/>
      <c r="T1304" s="108"/>
      <c r="U1304" s="111"/>
      <c r="V1304" s="112"/>
    </row>
    <row r="1305">
      <c r="B1305" s="27"/>
      <c r="C1305" s="27"/>
      <c r="D1305" s="165"/>
      <c r="E1305" s="66"/>
      <c r="F1305" s="27"/>
      <c r="G1305" s="166"/>
      <c r="H1305" s="166"/>
      <c r="I1305" s="167"/>
      <c r="J1305" s="167"/>
      <c r="K1305" s="168"/>
      <c r="L1305" s="117"/>
      <c r="M1305" s="117"/>
      <c r="N1305" s="111"/>
      <c r="O1305" s="111"/>
      <c r="P1305" s="111"/>
      <c r="Q1305" s="111"/>
      <c r="R1305" s="108"/>
      <c r="S1305" s="110"/>
      <c r="T1305" s="108"/>
      <c r="U1305" s="111"/>
      <c r="V1305" s="112"/>
    </row>
    <row r="1306">
      <c r="B1306" s="27"/>
      <c r="C1306" s="27"/>
      <c r="D1306" s="165"/>
      <c r="E1306" s="66"/>
      <c r="F1306" s="27"/>
      <c r="G1306" s="166"/>
      <c r="H1306" s="166"/>
      <c r="I1306" s="167"/>
      <c r="J1306" s="167"/>
      <c r="K1306" s="168"/>
      <c r="L1306" s="117"/>
      <c r="M1306" s="117"/>
      <c r="N1306" s="111"/>
      <c r="O1306" s="111"/>
      <c r="P1306" s="111"/>
      <c r="Q1306" s="111"/>
      <c r="R1306" s="108"/>
      <c r="S1306" s="110"/>
      <c r="T1306" s="108"/>
      <c r="U1306" s="111"/>
      <c r="V1306" s="112"/>
    </row>
    <row r="1307">
      <c r="B1307" s="27"/>
      <c r="C1307" s="27"/>
      <c r="D1307" s="165"/>
      <c r="E1307" s="66"/>
      <c r="F1307" s="27"/>
      <c r="G1307" s="166"/>
      <c r="H1307" s="166"/>
      <c r="I1307" s="167"/>
      <c r="J1307" s="167"/>
      <c r="K1307" s="168"/>
      <c r="L1307" s="117"/>
      <c r="M1307" s="117"/>
      <c r="N1307" s="111"/>
      <c r="O1307" s="111"/>
      <c r="P1307" s="111"/>
      <c r="Q1307" s="111"/>
      <c r="R1307" s="108"/>
      <c r="S1307" s="110"/>
      <c r="T1307" s="108"/>
      <c r="U1307" s="111"/>
      <c r="V1307" s="112"/>
    </row>
    <row r="1308">
      <c r="B1308" s="27"/>
      <c r="C1308" s="27"/>
      <c r="D1308" s="165"/>
      <c r="E1308" s="66"/>
      <c r="F1308" s="27"/>
      <c r="G1308" s="166"/>
      <c r="H1308" s="166"/>
      <c r="I1308" s="167"/>
      <c r="J1308" s="167"/>
      <c r="K1308" s="168"/>
      <c r="L1308" s="117"/>
      <c r="M1308" s="117"/>
      <c r="N1308" s="111"/>
      <c r="O1308" s="111"/>
      <c r="P1308" s="111"/>
      <c r="Q1308" s="111"/>
      <c r="R1308" s="108"/>
      <c r="S1308" s="110"/>
      <c r="T1308" s="108"/>
      <c r="U1308" s="111"/>
      <c r="V1308" s="112"/>
    </row>
    <row r="1309">
      <c r="B1309" s="27"/>
      <c r="C1309" s="27"/>
      <c r="D1309" s="165"/>
      <c r="E1309" s="66"/>
      <c r="F1309" s="27"/>
      <c r="G1309" s="166"/>
      <c r="H1309" s="166"/>
      <c r="I1309" s="167"/>
      <c r="J1309" s="167"/>
      <c r="K1309" s="168"/>
      <c r="L1309" s="117"/>
      <c r="M1309" s="117"/>
      <c r="N1309" s="111"/>
      <c r="O1309" s="111"/>
      <c r="P1309" s="111"/>
      <c r="Q1309" s="111"/>
      <c r="R1309" s="108"/>
      <c r="S1309" s="110"/>
      <c r="T1309" s="108"/>
      <c r="U1309" s="111"/>
      <c r="V1309" s="112"/>
    </row>
    <row r="1310">
      <c r="B1310" s="27"/>
      <c r="C1310" s="27"/>
      <c r="D1310" s="165"/>
      <c r="E1310" s="66"/>
      <c r="F1310" s="27"/>
      <c r="G1310" s="166"/>
      <c r="H1310" s="166"/>
      <c r="I1310" s="167"/>
      <c r="J1310" s="167"/>
      <c r="K1310" s="168"/>
      <c r="L1310" s="117"/>
      <c r="M1310" s="117"/>
      <c r="N1310" s="111"/>
      <c r="O1310" s="111"/>
      <c r="P1310" s="111"/>
      <c r="Q1310" s="111"/>
      <c r="R1310" s="108"/>
      <c r="S1310" s="110"/>
      <c r="T1310" s="108"/>
      <c r="U1310" s="111"/>
      <c r="V1310" s="112"/>
    </row>
    <row r="1311">
      <c r="B1311" s="27"/>
      <c r="C1311" s="27"/>
      <c r="D1311" s="165"/>
      <c r="E1311" s="66"/>
      <c r="F1311" s="27"/>
      <c r="G1311" s="166"/>
      <c r="H1311" s="166"/>
      <c r="I1311" s="167"/>
      <c r="J1311" s="167"/>
      <c r="K1311" s="168"/>
      <c r="L1311" s="117"/>
      <c r="M1311" s="117"/>
      <c r="N1311" s="111"/>
      <c r="O1311" s="111"/>
      <c r="P1311" s="111"/>
      <c r="Q1311" s="111"/>
      <c r="R1311" s="108"/>
      <c r="S1311" s="110"/>
      <c r="T1311" s="108"/>
      <c r="U1311" s="111"/>
      <c r="V1311" s="112"/>
    </row>
    <row r="1312">
      <c r="B1312" s="27"/>
      <c r="C1312" s="27"/>
      <c r="D1312" s="165"/>
      <c r="E1312" s="66"/>
      <c r="F1312" s="27"/>
      <c r="G1312" s="166"/>
      <c r="H1312" s="166"/>
      <c r="I1312" s="167"/>
      <c r="J1312" s="167"/>
      <c r="K1312" s="168"/>
      <c r="L1312" s="117"/>
      <c r="M1312" s="117"/>
      <c r="N1312" s="111"/>
      <c r="O1312" s="111"/>
      <c r="P1312" s="111"/>
      <c r="Q1312" s="111"/>
      <c r="R1312" s="108"/>
      <c r="S1312" s="110"/>
      <c r="T1312" s="108"/>
      <c r="U1312" s="111"/>
      <c r="V1312" s="112"/>
    </row>
    <row r="1313">
      <c r="B1313" s="27"/>
      <c r="C1313" s="27"/>
      <c r="D1313" s="165"/>
      <c r="E1313" s="66"/>
      <c r="F1313" s="27"/>
      <c r="G1313" s="166"/>
      <c r="H1313" s="166"/>
      <c r="I1313" s="167"/>
      <c r="J1313" s="167"/>
      <c r="K1313" s="168"/>
      <c r="L1313" s="117"/>
      <c r="M1313" s="117"/>
      <c r="N1313" s="111"/>
      <c r="O1313" s="111"/>
      <c r="P1313" s="111"/>
      <c r="Q1313" s="111"/>
      <c r="R1313" s="108"/>
      <c r="S1313" s="110"/>
      <c r="T1313" s="108"/>
      <c r="U1313" s="111"/>
      <c r="V1313" s="112"/>
    </row>
    <row r="1314">
      <c r="B1314" s="27"/>
      <c r="C1314" s="27"/>
      <c r="D1314" s="165"/>
      <c r="E1314" s="66"/>
      <c r="F1314" s="27"/>
      <c r="G1314" s="166"/>
      <c r="H1314" s="166"/>
      <c r="I1314" s="167"/>
      <c r="J1314" s="167"/>
      <c r="K1314" s="168"/>
      <c r="L1314" s="117"/>
      <c r="M1314" s="117"/>
      <c r="N1314" s="111"/>
      <c r="O1314" s="111"/>
      <c r="P1314" s="111"/>
      <c r="Q1314" s="111"/>
      <c r="R1314" s="108"/>
      <c r="S1314" s="110"/>
      <c r="T1314" s="108"/>
      <c r="U1314" s="111"/>
      <c r="V1314" s="112"/>
    </row>
    <row r="1315">
      <c r="B1315" s="27"/>
      <c r="C1315" s="27"/>
      <c r="D1315" s="165"/>
      <c r="E1315" s="66"/>
      <c r="F1315" s="27"/>
      <c r="G1315" s="166"/>
      <c r="H1315" s="166"/>
      <c r="I1315" s="167"/>
      <c r="J1315" s="167"/>
      <c r="K1315" s="168"/>
      <c r="L1315" s="117"/>
      <c r="M1315" s="117"/>
      <c r="N1315" s="111"/>
      <c r="O1315" s="111"/>
      <c r="P1315" s="111"/>
      <c r="Q1315" s="111"/>
      <c r="R1315" s="108"/>
      <c r="S1315" s="110"/>
      <c r="T1315" s="108"/>
      <c r="U1315" s="111"/>
      <c r="V1315" s="112"/>
    </row>
    <row r="1316">
      <c r="B1316" s="27"/>
      <c r="C1316" s="27"/>
      <c r="D1316" s="165"/>
      <c r="E1316" s="66"/>
      <c r="F1316" s="27"/>
      <c r="G1316" s="166"/>
      <c r="H1316" s="166"/>
      <c r="I1316" s="167"/>
      <c r="J1316" s="167"/>
      <c r="K1316" s="168"/>
      <c r="L1316" s="117"/>
      <c r="M1316" s="117"/>
      <c r="N1316" s="111"/>
      <c r="O1316" s="111"/>
      <c r="P1316" s="111"/>
      <c r="Q1316" s="111"/>
      <c r="R1316" s="108"/>
      <c r="S1316" s="110"/>
      <c r="T1316" s="108"/>
      <c r="U1316" s="111"/>
      <c r="V1316" s="112"/>
    </row>
    <row r="1317">
      <c r="B1317" s="27"/>
      <c r="C1317" s="27"/>
      <c r="D1317" s="165"/>
      <c r="E1317" s="66"/>
      <c r="F1317" s="27"/>
      <c r="G1317" s="166"/>
      <c r="H1317" s="166"/>
      <c r="I1317" s="167"/>
      <c r="J1317" s="167"/>
      <c r="K1317" s="168"/>
      <c r="L1317" s="117"/>
      <c r="M1317" s="117"/>
      <c r="N1317" s="111"/>
      <c r="O1317" s="111"/>
      <c r="P1317" s="111"/>
      <c r="Q1317" s="111"/>
      <c r="R1317" s="108"/>
      <c r="S1317" s="110"/>
      <c r="T1317" s="108"/>
      <c r="U1317" s="111"/>
      <c r="V1317" s="112"/>
    </row>
    <row r="1318">
      <c r="B1318" s="27"/>
      <c r="C1318" s="27"/>
      <c r="D1318" s="165"/>
      <c r="E1318" s="66"/>
      <c r="F1318" s="27"/>
      <c r="G1318" s="166"/>
      <c r="H1318" s="166"/>
      <c r="I1318" s="167"/>
      <c r="J1318" s="167"/>
      <c r="K1318" s="168"/>
      <c r="L1318" s="117"/>
      <c r="M1318" s="117"/>
      <c r="N1318" s="111"/>
      <c r="O1318" s="111"/>
      <c r="P1318" s="111"/>
      <c r="Q1318" s="111"/>
      <c r="R1318" s="108"/>
      <c r="S1318" s="110"/>
      <c r="T1318" s="108"/>
      <c r="U1318" s="111"/>
      <c r="V1318" s="112"/>
    </row>
    <row r="1319">
      <c r="B1319" s="27"/>
      <c r="C1319" s="27"/>
      <c r="D1319" s="165"/>
      <c r="E1319" s="66"/>
      <c r="F1319" s="27"/>
      <c r="G1319" s="166"/>
      <c r="H1319" s="166"/>
      <c r="I1319" s="167"/>
      <c r="J1319" s="167"/>
      <c r="K1319" s="168"/>
      <c r="L1319" s="117"/>
      <c r="M1319" s="117"/>
      <c r="N1319" s="111"/>
      <c r="O1319" s="111"/>
      <c r="P1319" s="111"/>
      <c r="Q1319" s="111"/>
      <c r="R1319" s="108"/>
      <c r="S1319" s="110"/>
      <c r="T1319" s="108"/>
      <c r="U1319" s="111"/>
      <c r="V1319" s="112"/>
    </row>
    <row r="1320">
      <c r="B1320" s="27"/>
      <c r="C1320" s="27"/>
      <c r="D1320" s="165"/>
      <c r="E1320" s="66"/>
      <c r="F1320" s="27"/>
      <c r="G1320" s="166"/>
      <c r="H1320" s="166"/>
      <c r="I1320" s="167"/>
      <c r="J1320" s="167"/>
      <c r="K1320" s="168"/>
      <c r="L1320" s="117"/>
      <c r="M1320" s="117"/>
      <c r="N1320" s="111"/>
      <c r="O1320" s="111"/>
      <c r="P1320" s="111"/>
      <c r="Q1320" s="111"/>
      <c r="R1320" s="108"/>
      <c r="S1320" s="110"/>
      <c r="T1320" s="108"/>
      <c r="U1320" s="111"/>
      <c r="V1320" s="112"/>
    </row>
    <row r="1321">
      <c r="B1321" s="27"/>
      <c r="C1321" s="27"/>
      <c r="D1321" s="165"/>
      <c r="E1321" s="66"/>
      <c r="F1321" s="27"/>
      <c r="G1321" s="166"/>
      <c r="H1321" s="166"/>
      <c r="I1321" s="167"/>
      <c r="J1321" s="167"/>
      <c r="K1321" s="168"/>
      <c r="L1321" s="117"/>
      <c r="M1321" s="117"/>
      <c r="N1321" s="111"/>
      <c r="O1321" s="111"/>
      <c r="P1321" s="111"/>
      <c r="Q1321" s="111"/>
      <c r="R1321" s="108"/>
      <c r="S1321" s="110"/>
      <c r="T1321" s="108"/>
      <c r="U1321" s="111"/>
      <c r="V1321" s="112"/>
    </row>
    <row r="1322">
      <c r="B1322" s="27"/>
      <c r="C1322" s="27"/>
      <c r="D1322" s="165"/>
      <c r="E1322" s="66"/>
      <c r="F1322" s="27"/>
      <c r="G1322" s="166"/>
      <c r="H1322" s="166"/>
      <c r="I1322" s="167"/>
      <c r="J1322" s="167"/>
      <c r="K1322" s="168"/>
      <c r="L1322" s="117"/>
      <c r="M1322" s="117"/>
      <c r="N1322" s="111"/>
      <c r="O1322" s="111"/>
      <c r="P1322" s="111"/>
      <c r="Q1322" s="111"/>
      <c r="R1322" s="108"/>
      <c r="S1322" s="110"/>
      <c r="T1322" s="108"/>
      <c r="U1322" s="111"/>
      <c r="V1322" s="112"/>
    </row>
    <row r="1323">
      <c r="B1323" s="27"/>
      <c r="C1323" s="27"/>
      <c r="D1323" s="165"/>
      <c r="E1323" s="66"/>
      <c r="F1323" s="27"/>
      <c r="G1323" s="166"/>
      <c r="H1323" s="166"/>
      <c r="I1323" s="167"/>
      <c r="J1323" s="167"/>
      <c r="K1323" s="168"/>
      <c r="L1323" s="117"/>
      <c r="M1323" s="117"/>
      <c r="N1323" s="111"/>
      <c r="O1323" s="111"/>
      <c r="P1323" s="111"/>
      <c r="Q1323" s="111"/>
      <c r="R1323" s="108"/>
      <c r="S1323" s="110"/>
      <c r="T1323" s="108"/>
      <c r="U1323" s="111"/>
      <c r="V1323" s="112"/>
    </row>
    <row r="1324">
      <c r="B1324" s="27"/>
      <c r="C1324" s="27"/>
      <c r="D1324" s="165"/>
      <c r="E1324" s="66"/>
      <c r="F1324" s="27"/>
      <c r="G1324" s="166"/>
      <c r="H1324" s="166"/>
      <c r="I1324" s="167"/>
      <c r="J1324" s="167"/>
      <c r="K1324" s="168"/>
      <c r="L1324" s="117"/>
      <c r="M1324" s="117"/>
      <c r="N1324" s="111"/>
      <c r="O1324" s="111"/>
      <c r="P1324" s="111"/>
      <c r="Q1324" s="111"/>
      <c r="R1324" s="108"/>
      <c r="S1324" s="110"/>
      <c r="T1324" s="108"/>
      <c r="U1324" s="111"/>
      <c r="V1324" s="112"/>
    </row>
    <row r="1325">
      <c r="B1325" s="27"/>
      <c r="C1325" s="27"/>
      <c r="D1325" s="165"/>
      <c r="E1325" s="66"/>
      <c r="F1325" s="27"/>
      <c r="G1325" s="166"/>
      <c r="H1325" s="166"/>
      <c r="I1325" s="167"/>
      <c r="J1325" s="167"/>
      <c r="K1325" s="168"/>
      <c r="L1325" s="117"/>
      <c r="M1325" s="117"/>
      <c r="N1325" s="111"/>
      <c r="O1325" s="111"/>
      <c r="P1325" s="111"/>
      <c r="Q1325" s="111"/>
      <c r="R1325" s="108"/>
      <c r="S1325" s="110"/>
      <c r="T1325" s="108"/>
      <c r="U1325" s="111"/>
      <c r="V1325" s="112"/>
    </row>
    <row r="1326">
      <c r="B1326" s="27"/>
      <c r="C1326" s="27"/>
      <c r="D1326" s="165"/>
      <c r="E1326" s="66"/>
      <c r="F1326" s="27"/>
      <c r="G1326" s="166"/>
      <c r="H1326" s="166"/>
      <c r="I1326" s="167"/>
      <c r="J1326" s="167"/>
      <c r="K1326" s="168"/>
      <c r="L1326" s="117"/>
      <c r="M1326" s="117"/>
      <c r="N1326" s="111"/>
      <c r="O1326" s="111"/>
      <c r="P1326" s="111"/>
      <c r="Q1326" s="111"/>
      <c r="R1326" s="108"/>
      <c r="S1326" s="110"/>
      <c r="T1326" s="108"/>
      <c r="U1326" s="111"/>
      <c r="V1326" s="112"/>
    </row>
    <row r="1327">
      <c r="B1327" s="27"/>
      <c r="C1327" s="27"/>
      <c r="D1327" s="165"/>
      <c r="E1327" s="66"/>
      <c r="F1327" s="27"/>
      <c r="G1327" s="166"/>
      <c r="H1327" s="166"/>
      <c r="I1327" s="167"/>
      <c r="J1327" s="167"/>
      <c r="K1327" s="168"/>
      <c r="L1327" s="117"/>
      <c r="M1327" s="117"/>
      <c r="N1327" s="111"/>
      <c r="O1327" s="111"/>
      <c r="P1327" s="111"/>
      <c r="Q1327" s="111"/>
      <c r="R1327" s="108"/>
      <c r="S1327" s="110"/>
      <c r="T1327" s="108"/>
      <c r="U1327" s="111"/>
      <c r="V1327" s="112"/>
    </row>
    <row r="1328">
      <c r="B1328" s="27"/>
      <c r="C1328" s="27"/>
      <c r="D1328" s="165"/>
      <c r="E1328" s="66"/>
      <c r="F1328" s="27"/>
      <c r="G1328" s="166"/>
      <c r="H1328" s="166"/>
      <c r="I1328" s="167"/>
      <c r="J1328" s="167"/>
      <c r="K1328" s="168"/>
      <c r="L1328" s="117"/>
      <c r="M1328" s="117"/>
      <c r="N1328" s="111"/>
      <c r="O1328" s="111"/>
      <c r="P1328" s="111"/>
      <c r="Q1328" s="111"/>
      <c r="R1328" s="108"/>
      <c r="S1328" s="110"/>
      <c r="T1328" s="108"/>
      <c r="U1328" s="111"/>
      <c r="V1328" s="112"/>
    </row>
    <row r="1329">
      <c r="B1329" s="27"/>
      <c r="C1329" s="27"/>
      <c r="D1329" s="165"/>
      <c r="E1329" s="66"/>
      <c r="F1329" s="27"/>
      <c r="G1329" s="166"/>
      <c r="H1329" s="166"/>
      <c r="I1329" s="167"/>
      <c r="J1329" s="167"/>
      <c r="K1329" s="168"/>
      <c r="L1329" s="117"/>
      <c r="M1329" s="117"/>
      <c r="N1329" s="111"/>
      <c r="O1329" s="111"/>
      <c r="P1329" s="111"/>
      <c r="Q1329" s="111"/>
      <c r="R1329" s="108"/>
      <c r="S1329" s="110"/>
      <c r="T1329" s="108"/>
      <c r="U1329" s="111"/>
      <c r="V1329" s="112"/>
    </row>
    <row r="1330">
      <c r="B1330" s="27"/>
      <c r="C1330" s="27"/>
      <c r="D1330" s="165"/>
      <c r="E1330" s="66"/>
      <c r="F1330" s="27"/>
      <c r="G1330" s="166"/>
      <c r="H1330" s="166"/>
      <c r="I1330" s="167"/>
      <c r="J1330" s="167"/>
      <c r="K1330" s="168"/>
      <c r="L1330" s="117"/>
      <c r="M1330" s="117"/>
      <c r="N1330" s="111"/>
      <c r="O1330" s="111"/>
      <c r="P1330" s="111"/>
      <c r="Q1330" s="111"/>
      <c r="R1330" s="108"/>
      <c r="S1330" s="110"/>
      <c r="T1330" s="108"/>
      <c r="U1330" s="111"/>
      <c r="V1330" s="112"/>
    </row>
    <row r="1331">
      <c r="B1331" s="27"/>
      <c r="C1331" s="27"/>
      <c r="D1331" s="165"/>
      <c r="E1331" s="66"/>
      <c r="F1331" s="27"/>
      <c r="G1331" s="166"/>
      <c r="H1331" s="166"/>
      <c r="I1331" s="167"/>
      <c r="J1331" s="167"/>
      <c r="K1331" s="168"/>
      <c r="L1331" s="117"/>
      <c r="M1331" s="117"/>
      <c r="N1331" s="111"/>
      <c r="O1331" s="111"/>
      <c r="P1331" s="111"/>
      <c r="Q1331" s="111"/>
      <c r="R1331" s="108"/>
      <c r="S1331" s="110"/>
      <c r="T1331" s="108"/>
      <c r="U1331" s="111"/>
      <c r="V1331" s="112"/>
    </row>
    <row r="1332">
      <c r="B1332" s="27"/>
      <c r="C1332" s="27"/>
      <c r="D1332" s="165"/>
      <c r="E1332" s="66"/>
      <c r="F1332" s="27"/>
      <c r="G1332" s="166"/>
      <c r="H1332" s="166"/>
      <c r="I1332" s="167"/>
      <c r="J1332" s="167"/>
      <c r="K1332" s="168"/>
      <c r="L1332" s="117"/>
      <c r="M1332" s="117"/>
      <c r="N1332" s="111"/>
      <c r="O1332" s="111"/>
      <c r="P1332" s="111"/>
      <c r="Q1332" s="111"/>
      <c r="R1332" s="108"/>
      <c r="S1332" s="110"/>
      <c r="T1332" s="108"/>
      <c r="U1332" s="111"/>
      <c r="V1332" s="112"/>
    </row>
    <row r="1333">
      <c r="B1333" s="27"/>
      <c r="C1333" s="27"/>
      <c r="D1333" s="165"/>
      <c r="E1333" s="66"/>
      <c r="F1333" s="27"/>
      <c r="G1333" s="166"/>
      <c r="H1333" s="166"/>
      <c r="I1333" s="167"/>
      <c r="J1333" s="167"/>
      <c r="K1333" s="168"/>
      <c r="L1333" s="117"/>
      <c r="M1333" s="117"/>
      <c r="N1333" s="111"/>
      <c r="O1333" s="111"/>
      <c r="P1333" s="111"/>
      <c r="Q1333" s="111"/>
      <c r="R1333" s="108"/>
      <c r="S1333" s="110"/>
      <c r="T1333" s="108"/>
      <c r="U1333" s="111"/>
      <c r="V1333" s="112"/>
    </row>
    <row r="1334">
      <c r="B1334" s="27"/>
      <c r="C1334" s="27"/>
      <c r="D1334" s="165"/>
      <c r="E1334" s="66"/>
      <c r="F1334" s="27"/>
      <c r="G1334" s="166"/>
      <c r="H1334" s="166"/>
      <c r="I1334" s="167"/>
      <c r="J1334" s="167"/>
      <c r="K1334" s="168"/>
      <c r="L1334" s="117"/>
      <c r="M1334" s="117"/>
      <c r="N1334" s="111"/>
      <c r="O1334" s="111"/>
      <c r="P1334" s="111"/>
      <c r="Q1334" s="111"/>
      <c r="R1334" s="108"/>
      <c r="S1334" s="110"/>
      <c r="T1334" s="108"/>
      <c r="U1334" s="111"/>
      <c r="V1334" s="112"/>
    </row>
    <row r="1335">
      <c r="B1335" s="27"/>
      <c r="C1335" s="27"/>
      <c r="D1335" s="165"/>
      <c r="E1335" s="66"/>
      <c r="F1335" s="27"/>
      <c r="G1335" s="166"/>
      <c r="H1335" s="166"/>
      <c r="I1335" s="167"/>
      <c r="J1335" s="167"/>
      <c r="K1335" s="168"/>
      <c r="L1335" s="117"/>
      <c r="M1335" s="117"/>
      <c r="N1335" s="111"/>
      <c r="O1335" s="111"/>
      <c r="P1335" s="111"/>
      <c r="Q1335" s="111"/>
      <c r="R1335" s="108"/>
      <c r="S1335" s="110"/>
      <c r="T1335" s="108"/>
      <c r="U1335" s="111"/>
      <c r="V1335" s="112"/>
    </row>
    <row r="1336">
      <c r="B1336" s="27"/>
      <c r="C1336" s="27"/>
      <c r="D1336" s="165"/>
      <c r="E1336" s="66"/>
      <c r="F1336" s="27"/>
      <c r="G1336" s="166"/>
      <c r="H1336" s="166"/>
      <c r="I1336" s="167"/>
      <c r="J1336" s="167"/>
      <c r="K1336" s="168"/>
      <c r="L1336" s="117"/>
      <c r="M1336" s="117"/>
      <c r="N1336" s="111"/>
      <c r="O1336" s="111"/>
      <c r="P1336" s="111"/>
      <c r="Q1336" s="111"/>
      <c r="R1336" s="108"/>
      <c r="S1336" s="110"/>
      <c r="T1336" s="108"/>
      <c r="U1336" s="111"/>
      <c r="V1336" s="112"/>
    </row>
    <row r="1337">
      <c r="B1337" s="27"/>
      <c r="C1337" s="27"/>
      <c r="D1337" s="165"/>
      <c r="E1337" s="66"/>
      <c r="F1337" s="27"/>
      <c r="G1337" s="166"/>
      <c r="H1337" s="166"/>
      <c r="I1337" s="167"/>
      <c r="J1337" s="167"/>
      <c r="K1337" s="168"/>
      <c r="L1337" s="117"/>
      <c r="M1337" s="117"/>
      <c r="N1337" s="111"/>
      <c r="O1337" s="111"/>
      <c r="P1337" s="111"/>
      <c r="Q1337" s="111"/>
      <c r="R1337" s="108"/>
      <c r="S1337" s="110"/>
      <c r="T1337" s="108"/>
      <c r="U1337" s="111"/>
      <c r="V1337" s="112"/>
    </row>
    <row r="1338">
      <c r="B1338" s="27"/>
      <c r="C1338" s="27"/>
      <c r="D1338" s="165"/>
      <c r="E1338" s="66"/>
      <c r="F1338" s="27"/>
      <c r="G1338" s="166"/>
      <c r="H1338" s="166"/>
      <c r="I1338" s="167"/>
      <c r="J1338" s="167"/>
      <c r="K1338" s="168"/>
      <c r="L1338" s="117"/>
      <c r="M1338" s="117"/>
      <c r="N1338" s="111"/>
      <c r="O1338" s="111"/>
      <c r="P1338" s="111"/>
      <c r="Q1338" s="111"/>
      <c r="R1338" s="108"/>
      <c r="S1338" s="110"/>
      <c r="T1338" s="108"/>
      <c r="U1338" s="111"/>
      <c r="V1338" s="112"/>
    </row>
    <row r="1339">
      <c r="B1339" s="27"/>
      <c r="C1339" s="27"/>
      <c r="D1339" s="165"/>
      <c r="E1339" s="66"/>
      <c r="F1339" s="27"/>
      <c r="G1339" s="166"/>
      <c r="H1339" s="166"/>
      <c r="I1339" s="167"/>
      <c r="J1339" s="167"/>
      <c r="K1339" s="168"/>
      <c r="L1339" s="117"/>
      <c r="M1339" s="117"/>
      <c r="N1339" s="111"/>
      <c r="O1339" s="111"/>
      <c r="P1339" s="111"/>
      <c r="Q1339" s="111"/>
      <c r="R1339" s="108"/>
      <c r="S1339" s="110"/>
      <c r="T1339" s="108"/>
      <c r="U1339" s="111"/>
      <c r="V1339" s="112"/>
    </row>
    <row r="1340">
      <c r="B1340" s="27"/>
      <c r="C1340" s="27"/>
      <c r="D1340" s="165"/>
      <c r="E1340" s="66"/>
      <c r="F1340" s="27"/>
      <c r="G1340" s="166"/>
      <c r="H1340" s="166"/>
      <c r="I1340" s="167"/>
      <c r="J1340" s="167"/>
      <c r="K1340" s="168"/>
      <c r="L1340" s="117"/>
      <c r="M1340" s="117"/>
      <c r="N1340" s="111"/>
      <c r="O1340" s="111"/>
      <c r="P1340" s="111"/>
      <c r="Q1340" s="111"/>
      <c r="R1340" s="108"/>
      <c r="S1340" s="110"/>
      <c r="T1340" s="108"/>
      <c r="U1340" s="111"/>
      <c r="V1340" s="112"/>
    </row>
    <row r="1341">
      <c r="B1341" s="27"/>
      <c r="C1341" s="27"/>
      <c r="D1341" s="165"/>
      <c r="E1341" s="66"/>
      <c r="F1341" s="27"/>
      <c r="G1341" s="166"/>
      <c r="H1341" s="166"/>
      <c r="I1341" s="167"/>
      <c r="J1341" s="167"/>
      <c r="K1341" s="168"/>
      <c r="L1341" s="117"/>
      <c r="M1341" s="117"/>
      <c r="N1341" s="111"/>
      <c r="O1341" s="111"/>
      <c r="P1341" s="111"/>
      <c r="Q1341" s="111"/>
      <c r="R1341" s="108"/>
      <c r="S1341" s="110"/>
      <c r="T1341" s="108"/>
      <c r="U1341" s="111"/>
      <c r="V1341" s="112"/>
    </row>
    <row r="1342">
      <c r="B1342" s="27"/>
      <c r="C1342" s="27"/>
      <c r="D1342" s="165"/>
      <c r="E1342" s="66"/>
      <c r="F1342" s="27"/>
      <c r="G1342" s="166"/>
      <c r="H1342" s="166"/>
      <c r="I1342" s="167"/>
      <c r="J1342" s="167"/>
      <c r="K1342" s="168"/>
      <c r="L1342" s="117"/>
      <c r="M1342" s="117"/>
      <c r="N1342" s="111"/>
      <c r="O1342" s="111"/>
      <c r="P1342" s="111"/>
      <c r="Q1342" s="111"/>
      <c r="R1342" s="108"/>
      <c r="S1342" s="110"/>
      <c r="T1342" s="108"/>
      <c r="U1342" s="111"/>
      <c r="V1342" s="112"/>
    </row>
    <row r="1343">
      <c r="B1343" s="27"/>
      <c r="C1343" s="27"/>
      <c r="D1343" s="165"/>
      <c r="E1343" s="66"/>
      <c r="F1343" s="27"/>
      <c r="G1343" s="166"/>
      <c r="H1343" s="166"/>
      <c r="I1343" s="167"/>
      <c r="J1343" s="167"/>
      <c r="K1343" s="168"/>
      <c r="L1343" s="117"/>
      <c r="M1343" s="117"/>
      <c r="N1343" s="111"/>
      <c r="O1343" s="111"/>
      <c r="P1343" s="111"/>
      <c r="Q1343" s="111"/>
      <c r="R1343" s="108"/>
      <c r="S1343" s="110"/>
      <c r="T1343" s="108"/>
      <c r="U1343" s="111"/>
      <c r="V1343" s="112"/>
    </row>
    <row r="1344">
      <c r="B1344" s="27"/>
      <c r="C1344" s="27"/>
      <c r="D1344" s="165"/>
      <c r="E1344" s="66"/>
      <c r="F1344" s="27"/>
      <c r="G1344" s="166"/>
      <c r="H1344" s="166"/>
      <c r="I1344" s="167"/>
      <c r="J1344" s="167"/>
      <c r="K1344" s="168"/>
      <c r="L1344" s="117"/>
      <c r="M1344" s="117"/>
      <c r="N1344" s="111"/>
      <c r="O1344" s="111"/>
      <c r="P1344" s="111"/>
      <c r="Q1344" s="111"/>
      <c r="R1344" s="108"/>
      <c r="S1344" s="110"/>
      <c r="T1344" s="108"/>
      <c r="U1344" s="111"/>
      <c r="V1344" s="112"/>
    </row>
    <row r="1345">
      <c r="B1345" s="27"/>
      <c r="C1345" s="27"/>
      <c r="D1345" s="165"/>
      <c r="E1345" s="66"/>
      <c r="F1345" s="27"/>
      <c r="G1345" s="166"/>
      <c r="H1345" s="166"/>
      <c r="I1345" s="167"/>
      <c r="J1345" s="167"/>
      <c r="K1345" s="168"/>
      <c r="L1345" s="117"/>
      <c r="M1345" s="117"/>
      <c r="N1345" s="111"/>
      <c r="O1345" s="111"/>
      <c r="P1345" s="111"/>
      <c r="Q1345" s="111"/>
      <c r="R1345" s="108"/>
      <c r="S1345" s="110"/>
      <c r="T1345" s="108"/>
      <c r="U1345" s="111"/>
      <c r="V1345" s="112"/>
    </row>
    <row r="1346">
      <c r="B1346" s="27"/>
      <c r="C1346" s="27"/>
      <c r="D1346" s="165"/>
      <c r="E1346" s="66"/>
      <c r="F1346" s="27"/>
      <c r="G1346" s="166"/>
      <c r="H1346" s="166"/>
      <c r="I1346" s="167"/>
      <c r="J1346" s="167"/>
      <c r="K1346" s="168"/>
      <c r="L1346" s="117"/>
      <c r="M1346" s="117"/>
      <c r="N1346" s="111"/>
      <c r="O1346" s="111"/>
      <c r="P1346" s="111"/>
      <c r="Q1346" s="111"/>
      <c r="R1346" s="108"/>
      <c r="S1346" s="110"/>
      <c r="T1346" s="108"/>
      <c r="U1346" s="111"/>
      <c r="V1346" s="112"/>
    </row>
    <row r="1347">
      <c r="B1347" s="27"/>
      <c r="C1347" s="27"/>
      <c r="D1347" s="165"/>
      <c r="E1347" s="66"/>
      <c r="F1347" s="27"/>
      <c r="G1347" s="166"/>
      <c r="H1347" s="166"/>
      <c r="I1347" s="167"/>
      <c r="J1347" s="167"/>
      <c r="K1347" s="168"/>
      <c r="L1347" s="117"/>
      <c r="M1347" s="117"/>
      <c r="N1347" s="111"/>
      <c r="O1347" s="111"/>
      <c r="P1347" s="111"/>
      <c r="Q1347" s="111"/>
      <c r="R1347" s="108"/>
      <c r="S1347" s="110"/>
      <c r="T1347" s="108"/>
      <c r="U1347" s="111"/>
      <c r="V1347" s="112"/>
    </row>
    <row r="1348">
      <c r="B1348" s="27"/>
      <c r="C1348" s="27"/>
      <c r="D1348" s="165"/>
      <c r="E1348" s="66"/>
      <c r="F1348" s="27"/>
      <c r="G1348" s="166"/>
      <c r="H1348" s="166"/>
      <c r="I1348" s="167"/>
      <c r="J1348" s="167"/>
      <c r="K1348" s="168"/>
      <c r="L1348" s="117"/>
      <c r="M1348" s="117"/>
      <c r="N1348" s="111"/>
      <c r="O1348" s="111"/>
      <c r="P1348" s="111"/>
      <c r="Q1348" s="111"/>
      <c r="R1348" s="108"/>
      <c r="S1348" s="110"/>
      <c r="T1348" s="108"/>
      <c r="U1348" s="111"/>
      <c r="V1348" s="112"/>
    </row>
    <row r="1349">
      <c r="B1349" s="27"/>
      <c r="C1349" s="27"/>
      <c r="D1349" s="165"/>
      <c r="E1349" s="66"/>
      <c r="F1349" s="27"/>
      <c r="G1349" s="166"/>
      <c r="H1349" s="166"/>
      <c r="I1349" s="167"/>
      <c r="J1349" s="167"/>
      <c r="K1349" s="168"/>
      <c r="L1349" s="117"/>
      <c r="M1349" s="117"/>
      <c r="N1349" s="111"/>
      <c r="O1349" s="111"/>
      <c r="P1349" s="111"/>
      <c r="Q1349" s="111"/>
      <c r="R1349" s="108"/>
      <c r="S1349" s="110"/>
      <c r="T1349" s="108"/>
      <c r="U1349" s="111"/>
      <c r="V1349" s="112"/>
    </row>
    <row r="1350">
      <c r="B1350" s="27"/>
      <c r="C1350" s="27"/>
      <c r="D1350" s="165"/>
      <c r="E1350" s="66"/>
      <c r="F1350" s="27"/>
      <c r="G1350" s="166"/>
      <c r="H1350" s="166"/>
      <c r="I1350" s="167"/>
      <c r="J1350" s="167"/>
      <c r="K1350" s="168"/>
      <c r="L1350" s="117"/>
      <c r="M1350" s="117"/>
      <c r="N1350" s="111"/>
      <c r="O1350" s="111"/>
      <c r="P1350" s="111"/>
      <c r="Q1350" s="111"/>
      <c r="R1350" s="108"/>
      <c r="S1350" s="110"/>
      <c r="T1350" s="108"/>
      <c r="U1350" s="111"/>
      <c r="V1350" s="112"/>
    </row>
    <row r="1351">
      <c r="B1351" s="27"/>
      <c r="C1351" s="27"/>
      <c r="D1351" s="165"/>
      <c r="E1351" s="66"/>
      <c r="F1351" s="27"/>
      <c r="G1351" s="166"/>
      <c r="H1351" s="166"/>
      <c r="I1351" s="167"/>
      <c r="J1351" s="167"/>
      <c r="K1351" s="168"/>
      <c r="L1351" s="117"/>
      <c r="M1351" s="117"/>
      <c r="N1351" s="111"/>
      <c r="O1351" s="111"/>
      <c r="P1351" s="111"/>
      <c r="Q1351" s="111"/>
      <c r="R1351" s="108"/>
      <c r="S1351" s="110"/>
      <c r="T1351" s="108"/>
      <c r="U1351" s="111"/>
      <c r="V1351" s="112"/>
    </row>
    <row r="1352">
      <c r="B1352" s="27"/>
      <c r="C1352" s="27"/>
      <c r="D1352" s="165"/>
      <c r="E1352" s="66"/>
      <c r="F1352" s="27"/>
      <c r="G1352" s="166"/>
      <c r="H1352" s="166"/>
      <c r="I1352" s="167"/>
      <c r="J1352" s="167"/>
      <c r="K1352" s="168"/>
      <c r="L1352" s="117"/>
      <c r="M1352" s="117"/>
      <c r="N1352" s="111"/>
      <c r="O1352" s="111"/>
      <c r="P1352" s="111"/>
      <c r="Q1352" s="111"/>
      <c r="R1352" s="108"/>
      <c r="S1352" s="110"/>
      <c r="T1352" s="108"/>
      <c r="U1352" s="111"/>
      <c r="V1352" s="112"/>
    </row>
    <row r="1353">
      <c r="B1353" s="27"/>
      <c r="C1353" s="27"/>
      <c r="D1353" s="165"/>
      <c r="E1353" s="66"/>
      <c r="F1353" s="27"/>
      <c r="G1353" s="166"/>
      <c r="H1353" s="166"/>
      <c r="I1353" s="167"/>
      <c r="J1353" s="167"/>
      <c r="K1353" s="168"/>
      <c r="L1353" s="117"/>
      <c r="M1353" s="117"/>
      <c r="N1353" s="111"/>
      <c r="O1353" s="111"/>
      <c r="P1353" s="111"/>
      <c r="Q1353" s="111"/>
      <c r="R1353" s="108"/>
      <c r="S1353" s="110"/>
      <c r="T1353" s="108"/>
      <c r="U1353" s="111"/>
      <c r="V1353" s="112"/>
    </row>
    <row r="1354">
      <c r="B1354" s="27"/>
      <c r="C1354" s="27"/>
      <c r="D1354" s="165"/>
      <c r="E1354" s="66"/>
      <c r="F1354" s="27"/>
      <c r="G1354" s="166"/>
      <c r="H1354" s="166"/>
      <c r="I1354" s="167"/>
      <c r="J1354" s="167"/>
      <c r="K1354" s="168"/>
      <c r="L1354" s="117"/>
      <c r="M1354" s="117"/>
      <c r="N1354" s="111"/>
      <c r="O1354" s="111"/>
      <c r="P1354" s="111"/>
      <c r="Q1354" s="111"/>
      <c r="R1354" s="108"/>
      <c r="S1354" s="110"/>
      <c r="T1354" s="108"/>
      <c r="U1354" s="111"/>
      <c r="V1354" s="112"/>
    </row>
    <row r="1355">
      <c r="B1355" s="27"/>
      <c r="C1355" s="27"/>
      <c r="D1355" s="165"/>
      <c r="E1355" s="66"/>
      <c r="F1355" s="27"/>
      <c r="G1355" s="166"/>
      <c r="H1355" s="166"/>
      <c r="I1355" s="167"/>
      <c r="J1355" s="167"/>
      <c r="K1355" s="168"/>
      <c r="L1355" s="117"/>
      <c r="M1355" s="117"/>
      <c r="N1355" s="111"/>
      <c r="O1355" s="111"/>
      <c r="P1355" s="111"/>
      <c r="Q1355" s="111"/>
      <c r="R1355" s="108"/>
      <c r="S1355" s="110"/>
      <c r="T1355" s="108"/>
      <c r="U1355" s="111"/>
      <c r="V1355" s="112"/>
    </row>
    <row r="1356">
      <c r="B1356" s="27"/>
      <c r="C1356" s="27"/>
      <c r="D1356" s="165"/>
      <c r="E1356" s="66"/>
      <c r="F1356" s="27"/>
      <c r="G1356" s="166"/>
      <c r="H1356" s="166"/>
      <c r="I1356" s="167"/>
      <c r="J1356" s="167"/>
      <c r="K1356" s="168"/>
      <c r="L1356" s="117"/>
      <c r="M1356" s="117"/>
      <c r="N1356" s="111"/>
      <c r="O1356" s="111"/>
      <c r="P1356" s="111"/>
      <c r="Q1356" s="111"/>
      <c r="R1356" s="108"/>
      <c r="S1356" s="110"/>
      <c r="T1356" s="108"/>
      <c r="U1356" s="111"/>
      <c r="V1356" s="112"/>
    </row>
    <row r="1357">
      <c r="B1357" s="27"/>
      <c r="C1357" s="27"/>
      <c r="D1357" s="165"/>
      <c r="E1357" s="66"/>
      <c r="F1357" s="27"/>
      <c r="G1357" s="166"/>
      <c r="H1357" s="166"/>
      <c r="I1357" s="167"/>
      <c r="J1357" s="167"/>
      <c r="K1357" s="168"/>
      <c r="L1357" s="117"/>
      <c r="M1357" s="117"/>
      <c r="N1357" s="111"/>
      <c r="O1357" s="111"/>
      <c r="P1357" s="111"/>
      <c r="Q1357" s="111"/>
      <c r="R1357" s="108"/>
      <c r="S1357" s="110"/>
      <c r="T1357" s="108"/>
      <c r="U1357" s="111"/>
      <c r="V1357" s="112"/>
    </row>
    <row r="1358">
      <c r="B1358" s="27"/>
      <c r="C1358" s="27"/>
      <c r="D1358" s="165"/>
      <c r="E1358" s="66"/>
      <c r="F1358" s="27"/>
      <c r="G1358" s="166"/>
      <c r="H1358" s="166"/>
      <c r="I1358" s="167"/>
      <c r="J1358" s="167"/>
      <c r="K1358" s="168"/>
      <c r="L1358" s="117"/>
      <c r="M1358" s="117"/>
      <c r="N1358" s="111"/>
      <c r="O1358" s="111"/>
      <c r="P1358" s="111"/>
      <c r="Q1358" s="111"/>
      <c r="R1358" s="108"/>
      <c r="S1358" s="110"/>
      <c r="T1358" s="108"/>
      <c r="U1358" s="111"/>
      <c r="V1358" s="112"/>
    </row>
    <row r="1359">
      <c r="B1359" s="27"/>
      <c r="C1359" s="27"/>
      <c r="D1359" s="165"/>
      <c r="E1359" s="66"/>
      <c r="F1359" s="27"/>
      <c r="G1359" s="166"/>
      <c r="H1359" s="166"/>
      <c r="I1359" s="167"/>
      <c r="J1359" s="167"/>
      <c r="K1359" s="168"/>
      <c r="L1359" s="117"/>
      <c r="M1359" s="117"/>
      <c r="N1359" s="111"/>
      <c r="O1359" s="111"/>
      <c r="P1359" s="111"/>
      <c r="Q1359" s="111"/>
      <c r="R1359" s="108"/>
      <c r="S1359" s="110"/>
      <c r="T1359" s="108"/>
      <c r="U1359" s="111"/>
      <c r="V1359" s="112"/>
    </row>
    <row r="1360">
      <c r="B1360" s="27"/>
      <c r="C1360" s="27"/>
      <c r="D1360" s="165"/>
      <c r="E1360" s="66"/>
      <c r="F1360" s="27"/>
      <c r="G1360" s="166"/>
      <c r="H1360" s="166"/>
      <c r="I1360" s="167"/>
      <c r="J1360" s="167"/>
      <c r="K1360" s="168"/>
      <c r="L1360" s="117"/>
      <c r="M1360" s="117"/>
      <c r="N1360" s="111"/>
      <c r="O1360" s="111"/>
      <c r="P1360" s="111"/>
      <c r="Q1360" s="111"/>
      <c r="R1360" s="108"/>
      <c r="S1360" s="110"/>
      <c r="T1360" s="108"/>
      <c r="U1360" s="111"/>
      <c r="V1360" s="112"/>
    </row>
    <row r="1361">
      <c r="B1361" s="27"/>
      <c r="C1361" s="27"/>
      <c r="D1361" s="165"/>
      <c r="E1361" s="66"/>
      <c r="F1361" s="27"/>
      <c r="G1361" s="166"/>
      <c r="H1361" s="166"/>
      <c r="I1361" s="167"/>
      <c r="J1361" s="167"/>
      <c r="K1361" s="168"/>
      <c r="L1361" s="117"/>
      <c r="M1361" s="117"/>
      <c r="N1361" s="111"/>
      <c r="O1361" s="111"/>
      <c r="P1361" s="111"/>
      <c r="Q1361" s="111"/>
      <c r="R1361" s="108"/>
      <c r="S1361" s="110"/>
      <c r="T1361" s="108"/>
      <c r="U1361" s="111"/>
      <c r="V1361" s="112"/>
    </row>
    <row r="1362">
      <c r="B1362" s="27"/>
      <c r="C1362" s="27"/>
      <c r="D1362" s="165"/>
      <c r="E1362" s="66"/>
      <c r="F1362" s="27"/>
      <c r="G1362" s="166"/>
      <c r="H1362" s="166"/>
      <c r="I1362" s="167"/>
      <c r="J1362" s="167"/>
      <c r="K1362" s="168"/>
      <c r="L1362" s="117"/>
      <c r="M1362" s="117"/>
      <c r="N1362" s="111"/>
      <c r="O1362" s="111"/>
      <c r="P1362" s="111"/>
      <c r="Q1362" s="111"/>
      <c r="R1362" s="108"/>
      <c r="S1362" s="110"/>
      <c r="T1362" s="108"/>
      <c r="U1362" s="111"/>
      <c r="V1362" s="112"/>
    </row>
    <row r="1363">
      <c r="B1363" s="27"/>
      <c r="C1363" s="27"/>
      <c r="D1363" s="165"/>
      <c r="E1363" s="66"/>
      <c r="F1363" s="27"/>
      <c r="G1363" s="166"/>
      <c r="H1363" s="166"/>
      <c r="I1363" s="167"/>
      <c r="J1363" s="167"/>
      <c r="K1363" s="168"/>
      <c r="L1363" s="117"/>
      <c r="M1363" s="117"/>
      <c r="N1363" s="111"/>
      <c r="O1363" s="111"/>
      <c r="P1363" s="111"/>
      <c r="Q1363" s="111"/>
      <c r="R1363" s="108"/>
      <c r="S1363" s="110"/>
      <c r="T1363" s="108"/>
      <c r="U1363" s="111"/>
      <c r="V1363" s="112"/>
    </row>
    <row r="1364">
      <c r="B1364" s="27"/>
      <c r="C1364" s="27"/>
      <c r="D1364" s="165"/>
      <c r="E1364" s="66"/>
      <c r="F1364" s="27"/>
      <c r="G1364" s="166"/>
      <c r="H1364" s="166"/>
      <c r="I1364" s="167"/>
      <c r="J1364" s="167"/>
      <c r="K1364" s="168"/>
      <c r="L1364" s="117"/>
      <c r="M1364" s="117"/>
      <c r="N1364" s="111"/>
      <c r="O1364" s="111"/>
      <c r="P1364" s="111"/>
      <c r="Q1364" s="111"/>
      <c r="R1364" s="108"/>
      <c r="S1364" s="110"/>
      <c r="T1364" s="108"/>
      <c r="U1364" s="111"/>
      <c r="V1364" s="112"/>
    </row>
    <row r="1365">
      <c r="B1365" s="27"/>
      <c r="C1365" s="27"/>
      <c r="D1365" s="165"/>
      <c r="E1365" s="66"/>
      <c r="F1365" s="27"/>
      <c r="G1365" s="166"/>
      <c r="H1365" s="166"/>
      <c r="I1365" s="167"/>
      <c r="J1365" s="167"/>
      <c r="K1365" s="168"/>
      <c r="L1365" s="117"/>
      <c r="M1365" s="117"/>
      <c r="N1365" s="111"/>
      <c r="O1365" s="111"/>
      <c r="P1365" s="111"/>
      <c r="Q1365" s="111"/>
      <c r="R1365" s="108"/>
      <c r="S1365" s="110"/>
      <c r="T1365" s="108"/>
      <c r="U1365" s="111"/>
      <c r="V1365" s="112"/>
    </row>
    <row r="1366">
      <c r="B1366" s="27"/>
      <c r="C1366" s="27"/>
      <c r="D1366" s="165"/>
      <c r="E1366" s="66"/>
      <c r="F1366" s="27"/>
      <c r="G1366" s="166"/>
      <c r="H1366" s="166"/>
      <c r="I1366" s="167"/>
      <c r="J1366" s="167"/>
      <c r="K1366" s="168"/>
      <c r="L1366" s="117"/>
      <c r="M1366" s="117"/>
      <c r="N1366" s="111"/>
      <c r="O1366" s="111"/>
      <c r="P1366" s="111"/>
      <c r="Q1366" s="111"/>
      <c r="R1366" s="108"/>
      <c r="S1366" s="110"/>
      <c r="T1366" s="108"/>
      <c r="U1366" s="111"/>
      <c r="V1366" s="112"/>
    </row>
    <row r="1367">
      <c r="B1367" s="27"/>
      <c r="C1367" s="27"/>
      <c r="D1367" s="165"/>
      <c r="E1367" s="66"/>
      <c r="F1367" s="27"/>
      <c r="G1367" s="166"/>
      <c r="H1367" s="166"/>
      <c r="I1367" s="167"/>
      <c r="J1367" s="167"/>
      <c r="K1367" s="168"/>
      <c r="L1367" s="117"/>
      <c r="M1367" s="117"/>
      <c r="N1367" s="111"/>
      <c r="O1367" s="111"/>
      <c r="P1367" s="111"/>
      <c r="Q1367" s="111"/>
      <c r="R1367" s="108"/>
      <c r="S1367" s="110"/>
      <c r="T1367" s="108"/>
      <c r="U1367" s="111"/>
      <c r="V1367" s="112"/>
    </row>
    <row r="1368">
      <c r="B1368" s="27"/>
      <c r="C1368" s="27"/>
      <c r="D1368" s="165"/>
      <c r="E1368" s="66"/>
      <c r="F1368" s="27"/>
      <c r="G1368" s="166"/>
      <c r="H1368" s="166"/>
      <c r="I1368" s="167"/>
      <c r="J1368" s="167"/>
      <c r="K1368" s="168"/>
      <c r="L1368" s="117"/>
      <c r="M1368" s="117"/>
      <c r="N1368" s="111"/>
      <c r="O1368" s="111"/>
      <c r="P1368" s="111"/>
      <c r="Q1368" s="111"/>
      <c r="R1368" s="108"/>
      <c r="S1368" s="110"/>
      <c r="T1368" s="108"/>
      <c r="U1368" s="111"/>
      <c r="V1368" s="112"/>
    </row>
    <row r="1369">
      <c r="B1369" s="27"/>
      <c r="C1369" s="27"/>
      <c r="D1369" s="165"/>
      <c r="E1369" s="66"/>
      <c r="F1369" s="27"/>
      <c r="G1369" s="166"/>
      <c r="H1369" s="166"/>
      <c r="I1369" s="167"/>
      <c r="J1369" s="167"/>
      <c r="K1369" s="168"/>
      <c r="L1369" s="117"/>
      <c r="M1369" s="117"/>
      <c r="N1369" s="111"/>
      <c r="O1369" s="111"/>
      <c r="P1369" s="111"/>
      <c r="Q1369" s="111"/>
      <c r="R1369" s="108"/>
      <c r="S1369" s="110"/>
      <c r="T1369" s="108"/>
      <c r="U1369" s="111"/>
      <c r="V1369" s="112"/>
    </row>
    <row r="1370">
      <c r="B1370" s="27"/>
      <c r="C1370" s="27"/>
      <c r="D1370" s="165"/>
      <c r="E1370" s="66"/>
      <c r="F1370" s="27"/>
      <c r="G1370" s="166"/>
      <c r="H1370" s="166"/>
      <c r="I1370" s="167"/>
      <c r="J1370" s="167"/>
      <c r="K1370" s="168"/>
      <c r="L1370" s="117"/>
      <c r="M1370" s="117"/>
      <c r="N1370" s="111"/>
      <c r="O1370" s="111"/>
      <c r="P1370" s="111"/>
      <c r="Q1370" s="111"/>
      <c r="R1370" s="108"/>
      <c r="S1370" s="110"/>
      <c r="T1370" s="108"/>
      <c r="U1370" s="111"/>
      <c r="V1370" s="112"/>
    </row>
    <row r="1371">
      <c r="B1371" s="27"/>
      <c r="C1371" s="27"/>
      <c r="D1371" s="165"/>
      <c r="E1371" s="66"/>
      <c r="F1371" s="27"/>
      <c r="G1371" s="166"/>
      <c r="H1371" s="166"/>
      <c r="I1371" s="167"/>
      <c r="J1371" s="167"/>
      <c r="K1371" s="168"/>
      <c r="L1371" s="117"/>
      <c r="M1371" s="117"/>
      <c r="N1371" s="111"/>
      <c r="O1371" s="111"/>
      <c r="P1371" s="111"/>
      <c r="Q1371" s="111"/>
      <c r="R1371" s="108"/>
      <c r="S1371" s="110"/>
      <c r="T1371" s="108"/>
      <c r="U1371" s="111"/>
      <c r="V1371" s="112"/>
    </row>
    <row r="1372">
      <c r="B1372" s="27"/>
      <c r="C1372" s="27"/>
      <c r="D1372" s="165"/>
      <c r="E1372" s="66"/>
      <c r="F1372" s="27"/>
      <c r="G1372" s="166"/>
      <c r="H1372" s="166"/>
      <c r="I1372" s="167"/>
      <c r="J1372" s="167"/>
      <c r="K1372" s="168"/>
      <c r="L1372" s="117"/>
      <c r="M1372" s="117"/>
      <c r="N1372" s="111"/>
      <c r="O1372" s="111"/>
      <c r="P1372" s="111"/>
      <c r="Q1372" s="111"/>
      <c r="R1372" s="108"/>
      <c r="S1372" s="110"/>
      <c r="T1372" s="108"/>
      <c r="U1372" s="111"/>
      <c r="V1372" s="112"/>
    </row>
    <row r="1373">
      <c r="B1373" s="27"/>
      <c r="C1373" s="27"/>
      <c r="D1373" s="165"/>
      <c r="E1373" s="66"/>
      <c r="F1373" s="27"/>
      <c r="G1373" s="166"/>
      <c r="H1373" s="166"/>
      <c r="I1373" s="167"/>
      <c r="J1373" s="167"/>
      <c r="K1373" s="168"/>
      <c r="L1373" s="117"/>
      <c r="M1373" s="117"/>
      <c r="N1373" s="111"/>
      <c r="O1373" s="111"/>
      <c r="P1373" s="111"/>
      <c r="Q1373" s="111"/>
      <c r="R1373" s="108"/>
      <c r="S1373" s="110"/>
      <c r="T1373" s="108"/>
      <c r="U1373" s="111"/>
      <c r="V1373" s="112"/>
    </row>
    <row r="1374">
      <c r="B1374" s="27"/>
      <c r="C1374" s="27"/>
      <c r="D1374" s="165"/>
      <c r="E1374" s="66"/>
      <c r="F1374" s="27"/>
      <c r="G1374" s="166"/>
      <c r="H1374" s="166"/>
      <c r="I1374" s="167"/>
      <c r="J1374" s="167"/>
      <c r="K1374" s="168"/>
      <c r="L1374" s="117"/>
      <c r="M1374" s="117"/>
      <c r="N1374" s="111"/>
      <c r="O1374" s="111"/>
      <c r="P1374" s="111"/>
      <c r="Q1374" s="111"/>
      <c r="R1374" s="108"/>
      <c r="S1374" s="110"/>
      <c r="T1374" s="108"/>
      <c r="U1374" s="111"/>
      <c r="V1374" s="112"/>
    </row>
    <row r="1375">
      <c r="B1375" s="27"/>
      <c r="C1375" s="27"/>
      <c r="D1375" s="165"/>
      <c r="E1375" s="66"/>
      <c r="F1375" s="27"/>
      <c r="G1375" s="166"/>
      <c r="H1375" s="166"/>
      <c r="I1375" s="167"/>
      <c r="J1375" s="167"/>
      <c r="K1375" s="168"/>
      <c r="L1375" s="117"/>
      <c r="M1375" s="117"/>
      <c r="N1375" s="111"/>
      <c r="O1375" s="111"/>
      <c r="P1375" s="111"/>
      <c r="Q1375" s="111"/>
      <c r="R1375" s="108"/>
      <c r="S1375" s="110"/>
      <c r="T1375" s="108"/>
      <c r="U1375" s="111"/>
      <c r="V1375" s="112"/>
    </row>
    <row r="1376">
      <c r="B1376" s="27"/>
      <c r="C1376" s="27"/>
      <c r="D1376" s="165"/>
      <c r="E1376" s="66"/>
      <c r="F1376" s="27"/>
      <c r="G1376" s="166"/>
      <c r="H1376" s="166"/>
      <c r="I1376" s="167"/>
      <c r="J1376" s="167"/>
      <c r="K1376" s="168"/>
      <c r="L1376" s="117"/>
      <c r="M1376" s="117"/>
      <c r="N1376" s="111"/>
      <c r="O1376" s="111"/>
      <c r="P1376" s="111"/>
      <c r="Q1376" s="111"/>
      <c r="R1376" s="108"/>
      <c r="S1376" s="110"/>
      <c r="T1376" s="108"/>
      <c r="U1376" s="111"/>
      <c r="V1376" s="112"/>
    </row>
    <row r="1377">
      <c r="B1377" s="27"/>
      <c r="C1377" s="27"/>
      <c r="D1377" s="165"/>
      <c r="E1377" s="66"/>
      <c r="F1377" s="27"/>
      <c r="G1377" s="166"/>
      <c r="H1377" s="166"/>
      <c r="I1377" s="167"/>
      <c r="J1377" s="167"/>
      <c r="K1377" s="168"/>
      <c r="L1377" s="117"/>
      <c r="M1377" s="117"/>
      <c r="N1377" s="111"/>
      <c r="O1377" s="111"/>
      <c r="P1377" s="111"/>
      <c r="Q1377" s="111"/>
      <c r="R1377" s="108"/>
      <c r="S1377" s="110"/>
      <c r="T1377" s="108"/>
      <c r="U1377" s="111"/>
      <c r="V1377" s="112"/>
    </row>
    <row r="1378">
      <c r="B1378" s="27"/>
      <c r="C1378" s="27"/>
      <c r="D1378" s="165"/>
      <c r="E1378" s="66"/>
      <c r="F1378" s="27"/>
      <c r="G1378" s="166"/>
      <c r="H1378" s="166"/>
      <c r="I1378" s="167"/>
      <c r="J1378" s="167"/>
      <c r="K1378" s="168"/>
      <c r="L1378" s="117"/>
      <c r="M1378" s="117"/>
      <c r="N1378" s="111"/>
      <c r="O1378" s="111"/>
      <c r="P1378" s="111"/>
      <c r="Q1378" s="111"/>
      <c r="R1378" s="108"/>
      <c r="S1378" s="110"/>
      <c r="T1378" s="108"/>
      <c r="U1378" s="111"/>
      <c r="V1378" s="112"/>
    </row>
    <row r="1379">
      <c r="B1379" s="27"/>
      <c r="C1379" s="27"/>
      <c r="D1379" s="165"/>
      <c r="E1379" s="66"/>
      <c r="F1379" s="27"/>
      <c r="G1379" s="166"/>
      <c r="H1379" s="166"/>
      <c r="I1379" s="167"/>
      <c r="J1379" s="167"/>
      <c r="K1379" s="168"/>
      <c r="L1379" s="117"/>
      <c r="M1379" s="117"/>
      <c r="N1379" s="111"/>
      <c r="O1379" s="111"/>
      <c r="P1379" s="111"/>
      <c r="Q1379" s="111"/>
      <c r="R1379" s="108"/>
      <c r="S1379" s="110"/>
      <c r="T1379" s="108"/>
      <c r="U1379" s="111"/>
      <c r="V1379" s="112"/>
    </row>
    <row r="1380">
      <c r="B1380" s="27"/>
      <c r="C1380" s="27"/>
      <c r="D1380" s="165"/>
      <c r="E1380" s="66"/>
      <c r="F1380" s="27"/>
      <c r="G1380" s="166"/>
      <c r="H1380" s="166"/>
      <c r="I1380" s="167"/>
      <c r="J1380" s="167"/>
      <c r="K1380" s="168"/>
      <c r="L1380" s="117"/>
      <c r="M1380" s="117"/>
      <c r="N1380" s="111"/>
      <c r="O1380" s="111"/>
      <c r="P1380" s="111"/>
      <c r="Q1380" s="111"/>
      <c r="R1380" s="108"/>
      <c r="S1380" s="110"/>
      <c r="T1380" s="108"/>
      <c r="U1380" s="111"/>
      <c r="V1380" s="112"/>
    </row>
    <row r="1381">
      <c r="B1381" s="27"/>
      <c r="C1381" s="27"/>
      <c r="D1381" s="165"/>
      <c r="E1381" s="66"/>
      <c r="F1381" s="27"/>
      <c r="G1381" s="166"/>
      <c r="H1381" s="166"/>
      <c r="I1381" s="167"/>
      <c r="J1381" s="167"/>
      <c r="K1381" s="168"/>
      <c r="L1381" s="117"/>
      <c r="M1381" s="117"/>
      <c r="N1381" s="111"/>
      <c r="O1381" s="111"/>
      <c r="P1381" s="111"/>
      <c r="Q1381" s="111"/>
      <c r="R1381" s="108"/>
      <c r="S1381" s="110"/>
      <c r="T1381" s="108"/>
      <c r="U1381" s="111"/>
      <c r="V1381" s="112"/>
    </row>
    <row r="1382">
      <c r="B1382" s="27"/>
      <c r="C1382" s="27"/>
      <c r="D1382" s="165"/>
      <c r="E1382" s="66"/>
      <c r="F1382" s="27"/>
      <c r="G1382" s="166"/>
      <c r="H1382" s="166"/>
      <c r="I1382" s="167"/>
      <c r="J1382" s="167"/>
      <c r="K1382" s="168"/>
      <c r="L1382" s="117"/>
      <c r="M1382" s="117"/>
      <c r="N1382" s="111"/>
      <c r="O1382" s="111"/>
      <c r="P1382" s="111"/>
      <c r="Q1382" s="111"/>
      <c r="R1382" s="108"/>
      <c r="S1382" s="110"/>
      <c r="T1382" s="108"/>
      <c r="U1382" s="111"/>
      <c r="V1382" s="112"/>
    </row>
    <row r="1383">
      <c r="B1383" s="27"/>
      <c r="C1383" s="27"/>
      <c r="D1383" s="165"/>
      <c r="E1383" s="66"/>
      <c r="F1383" s="27"/>
      <c r="G1383" s="166"/>
      <c r="H1383" s="166"/>
      <c r="I1383" s="167"/>
      <c r="J1383" s="167"/>
      <c r="K1383" s="168"/>
      <c r="L1383" s="117"/>
      <c r="M1383" s="117"/>
      <c r="N1383" s="111"/>
      <c r="O1383" s="111"/>
      <c r="P1383" s="111"/>
      <c r="Q1383" s="111"/>
      <c r="R1383" s="108"/>
      <c r="S1383" s="110"/>
      <c r="T1383" s="108"/>
      <c r="U1383" s="111"/>
      <c r="V1383" s="112"/>
    </row>
    <row r="1384">
      <c r="B1384" s="27"/>
      <c r="C1384" s="27"/>
      <c r="D1384" s="165"/>
      <c r="E1384" s="66"/>
      <c r="F1384" s="27"/>
      <c r="G1384" s="166"/>
      <c r="H1384" s="166"/>
      <c r="I1384" s="167"/>
      <c r="J1384" s="167"/>
      <c r="K1384" s="168"/>
      <c r="L1384" s="117"/>
      <c r="M1384" s="117"/>
      <c r="N1384" s="111"/>
      <c r="O1384" s="111"/>
      <c r="P1384" s="111"/>
      <c r="Q1384" s="111"/>
      <c r="R1384" s="108"/>
      <c r="S1384" s="110"/>
      <c r="T1384" s="108"/>
      <c r="U1384" s="111"/>
      <c r="V1384" s="112"/>
    </row>
    <row r="1385">
      <c r="B1385" s="27"/>
      <c r="C1385" s="27"/>
      <c r="D1385" s="165"/>
      <c r="E1385" s="66"/>
      <c r="F1385" s="27"/>
      <c r="G1385" s="166"/>
      <c r="H1385" s="166"/>
      <c r="I1385" s="167"/>
      <c r="J1385" s="167"/>
      <c r="K1385" s="168"/>
      <c r="L1385" s="117"/>
      <c r="M1385" s="117"/>
      <c r="N1385" s="111"/>
      <c r="O1385" s="111"/>
      <c r="P1385" s="111"/>
      <c r="Q1385" s="111"/>
      <c r="R1385" s="108"/>
      <c r="S1385" s="110"/>
      <c r="T1385" s="108"/>
      <c r="U1385" s="111"/>
      <c r="V1385" s="112"/>
    </row>
    <row r="1386">
      <c r="B1386" s="27"/>
      <c r="C1386" s="27"/>
      <c r="D1386" s="165"/>
      <c r="E1386" s="66"/>
      <c r="F1386" s="27"/>
      <c r="G1386" s="166"/>
      <c r="H1386" s="166"/>
      <c r="I1386" s="167"/>
      <c r="J1386" s="167"/>
      <c r="K1386" s="168"/>
      <c r="L1386" s="117"/>
      <c r="M1386" s="117"/>
      <c r="N1386" s="111"/>
      <c r="O1386" s="111"/>
      <c r="P1386" s="111"/>
      <c r="Q1386" s="111"/>
      <c r="R1386" s="108"/>
      <c r="S1386" s="110"/>
      <c r="T1386" s="108"/>
      <c r="U1386" s="111"/>
      <c r="V1386" s="112"/>
    </row>
    <row r="1387">
      <c r="B1387" s="27"/>
      <c r="C1387" s="27"/>
      <c r="D1387" s="165"/>
      <c r="E1387" s="66"/>
      <c r="F1387" s="27"/>
      <c r="G1387" s="166"/>
      <c r="H1387" s="166"/>
      <c r="I1387" s="167"/>
      <c r="J1387" s="167"/>
      <c r="K1387" s="168"/>
      <c r="L1387" s="117"/>
      <c r="M1387" s="117"/>
      <c r="N1387" s="111"/>
      <c r="O1387" s="111"/>
      <c r="P1387" s="111"/>
      <c r="Q1387" s="111"/>
      <c r="R1387" s="108"/>
      <c r="S1387" s="110"/>
      <c r="T1387" s="108"/>
      <c r="U1387" s="111"/>
      <c r="V1387" s="112"/>
    </row>
    <row r="1388">
      <c r="B1388" s="27"/>
      <c r="C1388" s="27"/>
      <c r="D1388" s="165"/>
      <c r="E1388" s="66"/>
      <c r="F1388" s="27"/>
      <c r="G1388" s="166"/>
      <c r="H1388" s="166"/>
      <c r="I1388" s="167"/>
      <c r="J1388" s="167"/>
      <c r="K1388" s="168"/>
      <c r="L1388" s="117"/>
      <c r="M1388" s="117"/>
      <c r="N1388" s="111"/>
      <c r="O1388" s="111"/>
      <c r="P1388" s="111"/>
      <c r="Q1388" s="111"/>
      <c r="R1388" s="108"/>
      <c r="S1388" s="110"/>
      <c r="T1388" s="108"/>
      <c r="U1388" s="111"/>
      <c r="V1388" s="112"/>
    </row>
    <row r="1389">
      <c r="B1389" s="27"/>
      <c r="C1389" s="27"/>
      <c r="D1389" s="165"/>
      <c r="E1389" s="66"/>
      <c r="F1389" s="27"/>
      <c r="G1389" s="166"/>
      <c r="H1389" s="166"/>
      <c r="I1389" s="167"/>
      <c r="J1389" s="167"/>
      <c r="K1389" s="168"/>
      <c r="L1389" s="117"/>
      <c r="M1389" s="117"/>
      <c r="N1389" s="111"/>
      <c r="O1389" s="111"/>
      <c r="P1389" s="111"/>
      <c r="Q1389" s="111"/>
      <c r="R1389" s="108"/>
      <c r="S1389" s="110"/>
      <c r="T1389" s="108"/>
      <c r="U1389" s="111"/>
      <c r="V1389" s="112"/>
    </row>
    <row r="1390">
      <c r="B1390" s="27"/>
      <c r="C1390" s="27"/>
      <c r="D1390" s="165"/>
      <c r="E1390" s="66"/>
      <c r="F1390" s="27"/>
      <c r="G1390" s="166"/>
      <c r="H1390" s="166"/>
      <c r="I1390" s="167"/>
      <c r="J1390" s="167"/>
      <c r="K1390" s="168"/>
      <c r="L1390" s="117"/>
      <c r="M1390" s="117"/>
      <c r="N1390" s="111"/>
      <c r="O1390" s="111"/>
      <c r="P1390" s="111"/>
      <c r="Q1390" s="111"/>
      <c r="R1390" s="108"/>
      <c r="S1390" s="110"/>
      <c r="T1390" s="108"/>
      <c r="U1390" s="111"/>
      <c r="V1390" s="112"/>
    </row>
    <row r="1391">
      <c r="B1391" s="27"/>
      <c r="C1391" s="27"/>
      <c r="D1391" s="165"/>
      <c r="E1391" s="66"/>
      <c r="F1391" s="27"/>
      <c r="G1391" s="166"/>
      <c r="H1391" s="166"/>
      <c r="I1391" s="167"/>
      <c r="J1391" s="167"/>
      <c r="K1391" s="168"/>
      <c r="L1391" s="117"/>
      <c r="M1391" s="117"/>
      <c r="N1391" s="111"/>
      <c r="O1391" s="111"/>
      <c r="P1391" s="111"/>
      <c r="Q1391" s="111"/>
      <c r="R1391" s="108"/>
      <c r="S1391" s="110"/>
      <c r="T1391" s="108"/>
      <c r="U1391" s="111"/>
      <c r="V1391" s="112"/>
    </row>
    <row r="1392">
      <c r="B1392" s="27"/>
      <c r="C1392" s="27"/>
      <c r="D1392" s="165"/>
      <c r="E1392" s="66"/>
      <c r="F1392" s="27"/>
      <c r="G1392" s="166"/>
      <c r="H1392" s="166"/>
      <c r="I1392" s="167"/>
      <c r="J1392" s="167"/>
      <c r="K1392" s="168"/>
      <c r="L1392" s="117"/>
      <c r="M1392" s="117"/>
      <c r="N1392" s="111"/>
      <c r="O1392" s="111"/>
      <c r="P1392" s="111"/>
      <c r="Q1392" s="111"/>
      <c r="R1392" s="108"/>
      <c r="S1392" s="110"/>
      <c r="T1392" s="108"/>
      <c r="U1392" s="111"/>
      <c r="V1392" s="112"/>
    </row>
    <row r="1393">
      <c r="B1393" s="27"/>
      <c r="C1393" s="27"/>
      <c r="D1393" s="165"/>
      <c r="E1393" s="66"/>
      <c r="F1393" s="27"/>
      <c r="G1393" s="166"/>
      <c r="H1393" s="166"/>
      <c r="I1393" s="167"/>
      <c r="J1393" s="167"/>
      <c r="K1393" s="168"/>
      <c r="L1393" s="117"/>
      <c r="M1393" s="117"/>
      <c r="N1393" s="111"/>
      <c r="O1393" s="111"/>
      <c r="P1393" s="111"/>
      <c r="Q1393" s="111"/>
      <c r="R1393" s="108"/>
      <c r="S1393" s="110"/>
      <c r="T1393" s="108"/>
      <c r="U1393" s="111"/>
      <c r="V1393" s="112"/>
    </row>
    <row r="1394">
      <c r="B1394" s="27"/>
      <c r="C1394" s="27"/>
      <c r="D1394" s="165"/>
      <c r="E1394" s="66"/>
      <c r="F1394" s="27"/>
      <c r="G1394" s="166"/>
      <c r="H1394" s="166"/>
      <c r="I1394" s="167"/>
      <c r="J1394" s="167"/>
      <c r="K1394" s="168"/>
      <c r="L1394" s="117"/>
      <c r="M1394" s="117"/>
      <c r="N1394" s="111"/>
      <c r="O1394" s="111"/>
      <c r="P1394" s="111"/>
      <c r="Q1394" s="111"/>
      <c r="R1394" s="108"/>
      <c r="S1394" s="110"/>
      <c r="T1394" s="108"/>
      <c r="U1394" s="111"/>
      <c r="V1394" s="112"/>
    </row>
    <row r="1395">
      <c r="B1395" s="27"/>
      <c r="C1395" s="27"/>
      <c r="D1395" s="165"/>
      <c r="E1395" s="66"/>
      <c r="F1395" s="27"/>
      <c r="G1395" s="166"/>
      <c r="H1395" s="166"/>
      <c r="I1395" s="167"/>
      <c r="J1395" s="167"/>
      <c r="K1395" s="168"/>
      <c r="L1395" s="117"/>
      <c r="M1395" s="117"/>
      <c r="N1395" s="111"/>
      <c r="O1395" s="111"/>
      <c r="P1395" s="111"/>
      <c r="Q1395" s="111"/>
      <c r="R1395" s="108"/>
      <c r="S1395" s="110"/>
      <c r="T1395" s="108"/>
      <c r="U1395" s="111"/>
      <c r="V1395" s="112"/>
    </row>
    <row r="1396">
      <c r="B1396" s="27"/>
      <c r="C1396" s="27"/>
      <c r="D1396" s="165"/>
      <c r="E1396" s="66"/>
      <c r="F1396" s="27"/>
      <c r="G1396" s="166"/>
      <c r="H1396" s="166"/>
      <c r="I1396" s="167"/>
      <c r="J1396" s="167"/>
      <c r="K1396" s="168"/>
      <c r="L1396" s="117"/>
      <c r="M1396" s="117"/>
      <c r="N1396" s="111"/>
      <c r="O1396" s="111"/>
      <c r="P1396" s="111"/>
      <c r="Q1396" s="111"/>
      <c r="R1396" s="108"/>
      <c r="S1396" s="110"/>
      <c r="T1396" s="108"/>
      <c r="U1396" s="111"/>
      <c r="V1396" s="112"/>
    </row>
    <row r="1397">
      <c r="B1397" s="27"/>
      <c r="C1397" s="27"/>
      <c r="D1397" s="165"/>
      <c r="E1397" s="66"/>
      <c r="F1397" s="27"/>
      <c r="G1397" s="166"/>
      <c r="H1397" s="166"/>
      <c r="I1397" s="167"/>
      <c r="J1397" s="167"/>
      <c r="K1397" s="168"/>
      <c r="L1397" s="117"/>
      <c r="M1397" s="117"/>
      <c r="N1397" s="111"/>
      <c r="O1397" s="111"/>
      <c r="P1397" s="111"/>
      <c r="Q1397" s="111"/>
      <c r="R1397" s="108"/>
      <c r="S1397" s="110"/>
      <c r="T1397" s="108"/>
      <c r="U1397" s="111"/>
      <c r="V1397" s="112"/>
    </row>
    <row r="1398">
      <c r="B1398" s="27"/>
      <c r="C1398" s="27"/>
      <c r="D1398" s="165"/>
      <c r="E1398" s="66"/>
      <c r="F1398" s="27"/>
      <c r="G1398" s="166"/>
      <c r="H1398" s="166"/>
      <c r="I1398" s="167"/>
      <c r="J1398" s="167"/>
      <c r="K1398" s="168"/>
      <c r="L1398" s="117"/>
      <c r="M1398" s="117"/>
      <c r="N1398" s="111"/>
      <c r="O1398" s="111"/>
      <c r="P1398" s="111"/>
      <c r="Q1398" s="111"/>
      <c r="R1398" s="108"/>
      <c r="S1398" s="110"/>
      <c r="T1398" s="108"/>
      <c r="U1398" s="111"/>
      <c r="V1398" s="112"/>
    </row>
    <row r="1399">
      <c r="B1399" s="27"/>
      <c r="C1399" s="27"/>
      <c r="D1399" s="165"/>
      <c r="E1399" s="66"/>
      <c r="F1399" s="27"/>
      <c r="G1399" s="166"/>
      <c r="H1399" s="166"/>
      <c r="I1399" s="167"/>
      <c r="J1399" s="167"/>
      <c r="K1399" s="168"/>
      <c r="L1399" s="117"/>
      <c r="M1399" s="117"/>
      <c r="N1399" s="111"/>
      <c r="O1399" s="111"/>
      <c r="P1399" s="111"/>
      <c r="Q1399" s="111"/>
      <c r="R1399" s="108"/>
      <c r="S1399" s="110"/>
      <c r="T1399" s="108"/>
      <c r="U1399" s="111"/>
      <c r="V1399" s="112"/>
    </row>
    <row r="1400">
      <c r="B1400" s="27"/>
      <c r="C1400" s="27"/>
      <c r="D1400" s="165"/>
      <c r="E1400" s="66"/>
      <c r="F1400" s="27"/>
      <c r="G1400" s="166"/>
      <c r="H1400" s="166"/>
      <c r="I1400" s="167"/>
      <c r="J1400" s="167"/>
      <c r="K1400" s="168"/>
      <c r="L1400" s="117"/>
      <c r="M1400" s="117"/>
      <c r="N1400" s="111"/>
      <c r="O1400" s="111"/>
      <c r="P1400" s="111"/>
      <c r="Q1400" s="111"/>
      <c r="R1400" s="108"/>
      <c r="S1400" s="110"/>
      <c r="T1400" s="108"/>
      <c r="U1400" s="111"/>
      <c r="V1400" s="112"/>
    </row>
    <row r="1401">
      <c r="B1401" s="27"/>
      <c r="C1401" s="27"/>
      <c r="D1401" s="165"/>
      <c r="E1401" s="66"/>
      <c r="F1401" s="27"/>
      <c r="G1401" s="166"/>
      <c r="H1401" s="166"/>
      <c r="I1401" s="167"/>
      <c r="J1401" s="167"/>
      <c r="K1401" s="168"/>
      <c r="L1401" s="117"/>
      <c r="M1401" s="117"/>
      <c r="N1401" s="111"/>
      <c r="O1401" s="111"/>
      <c r="P1401" s="111"/>
      <c r="Q1401" s="111"/>
      <c r="R1401" s="108"/>
      <c r="S1401" s="110"/>
      <c r="T1401" s="108"/>
      <c r="U1401" s="111"/>
      <c r="V1401" s="112"/>
    </row>
    <row r="1402">
      <c r="B1402" s="27"/>
      <c r="C1402" s="27"/>
      <c r="D1402" s="165"/>
      <c r="E1402" s="66"/>
      <c r="F1402" s="27"/>
      <c r="G1402" s="166"/>
      <c r="H1402" s="166"/>
      <c r="I1402" s="167"/>
      <c r="J1402" s="167"/>
      <c r="K1402" s="168"/>
      <c r="L1402" s="117"/>
      <c r="M1402" s="117"/>
      <c r="N1402" s="111"/>
      <c r="O1402" s="111"/>
      <c r="P1402" s="111"/>
      <c r="Q1402" s="111"/>
      <c r="R1402" s="108"/>
      <c r="S1402" s="110"/>
      <c r="T1402" s="108"/>
      <c r="U1402" s="111"/>
      <c r="V1402" s="112"/>
    </row>
    <row r="1403">
      <c r="B1403" s="27"/>
      <c r="C1403" s="27"/>
      <c r="D1403" s="165"/>
      <c r="E1403" s="66"/>
      <c r="F1403" s="27"/>
      <c r="G1403" s="166"/>
      <c r="H1403" s="166"/>
      <c r="I1403" s="167"/>
      <c r="J1403" s="167"/>
      <c r="K1403" s="168"/>
      <c r="L1403" s="117"/>
      <c r="M1403" s="117"/>
      <c r="N1403" s="111"/>
      <c r="O1403" s="111"/>
      <c r="P1403" s="111"/>
      <c r="Q1403" s="111"/>
      <c r="R1403" s="108"/>
      <c r="S1403" s="110"/>
      <c r="T1403" s="108"/>
      <c r="U1403" s="111"/>
      <c r="V1403" s="112"/>
    </row>
    <row r="1404">
      <c r="B1404" s="27"/>
      <c r="C1404" s="27"/>
      <c r="D1404" s="165"/>
      <c r="E1404" s="66"/>
      <c r="F1404" s="27"/>
      <c r="G1404" s="166"/>
      <c r="H1404" s="166"/>
      <c r="I1404" s="167"/>
      <c r="J1404" s="167"/>
      <c r="K1404" s="168"/>
      <c r="L1404" s="117"/>
      <c r="M1404" s="117"/>
      <c r="N1404" s="111"/>
      <c r="O1404" s="111"/>
      <c r="P1404" s="111"/>
      <c r="Q1404" s="111"/>
      <c r="R1404" s="108"/>
      <c r="S1404" s="110"/>
      <c r="T1404" s="108"/>
      <c r="U1404" s="111"/>
      <c r="V1404" s="112"/>
    </row>
    <row r="1405">
      <c r="B1405" s="27"/>
      <c r="C1405" s="27"/>
      <c r="D1405" s="165"/>
      <c r="E1405" s="66"/>
      <c r="F1405" s="27"/>
      <c r="G1405" s="166"/>
      <c r="H1405" s="166"/>
      <c r="I1405" s="167"/>
      <c r="J1405" s="167"/>
      <c r="K1405" s="168"/>
      <c r="L1405" s="117"/>
      <c r="M1405" s="117"/>
      <c r="N1405" s="111"/>
      <c r="O1405" s="111"/>
      <c r="P1405" s="111"/>
      <c r="Q1405" s="111"/>
      <c r="R1405" s="108"/>
      <c r="S1405" s="110"/>
      <c r="T1405" s="108"/>
      <c r="U1405" s="111"/>
      <c r="V1405" s="112"/>
    </row>
    <row r="1406">
      <c r="B1406" s="27"/>
      <c r="C1406" s="27"/>
      <c r="D1406" s="165"/>
      <c r="E1406" s="66"/>
      <c r="F1406" s="27"/>
      <c r="G1406" s="166"/>
      <c r="H1406" s="166"/>
      <c r="I1406" s="167"/>
      <c r="J1406" s="167"/>
      <c r="K1406" s="168"/>
      <c r="L1406" s="117"/>
      <c r="M1406" s="117"/>
      <c r="N1406" s="111"/>
      <c r="O1406" s="111"/>
      <c r="P1406" s="111"/>
      <c r="Q1406" s="111"/>
      <c r="R1406" s="108"/>
      <c r="S1406" s="110"/>
      <c r="T1406" s="108"/>
      <c r="U1406" s="111"/>
      <c r="V1406" s="112"/>
    </row>
    <row r="1407">
      <c r="B1407" s="27"/>
      <c r="C1407" s="27"/>
      <c r="D1407" s="165"/>
      <c r="E1407" s="66"/>
      <c r="F1407" s="27"/>
      <c r="G1407" s="166"/>
      <c r="H1407" s="166"/>
      <c r="I1407" s="167"/>
      <c r="J1407" s="167"/>
      <c r="K1407" s="168"/>
      <c r="L1407" s="117"/>
      <c r="M1407" s="117"/>
      <c r="N1407" s="111"/>
      <c r="O1407" s="111"/>
      <c r="P1407" s="111"/>
      <c r="Q1407" s="111"/>
      <c r="R1407" s="108"/>
      <c r="S1407" s="110"/>
      <c r="T1407" s="108"/>
      <c r="U1407" s="111"/>
      <c r="V1407" s="112"/>
    </row>
    <row r="1408">
      <c r="B1408" s="27"/>
      <c r="C1408" s="27"/>
      <c r="D1408" s="165"/>
      <c r="E1408" s="66"/>
      <c r="F1408" s="27"/>
      <c r="G1408" s="166"/>
      <c r="H1408" s="166"/>
      <c r="I1408" s="167"/>
      <c r="J1408" s="167"/>
      <c r="K1408" s="168"/>
      <c r="L1408" s="117"/>
      <c r="M1408" s="117"/>
      <c r="N1408" s="111"/>
      <c r="O1408" s="111"/>
      <c r="P1408" s="111"/>
      <c r="Q1408" s="111"/>
      <c r="R1408" s="108"/>
      <c r="S1408" s="110"/>
      <c r="T1408" s="108"/>
      <c r="U1408" s="111"/>
      <c r="V1408" s="112"/>
    </row>
    <row r="1409">
      <c r="B1409" s="27"/>
      <c r="C1409" s="27"/>
      <c r="D1409" s="165"/>
      <c r="E1409" s="66"/>
      <c r="F1409" s="27"/>
      <c r="G1409" s="166"/>
      <c r="H1409" s="166"/>
      <c r="I1409" s="167"/>
      <c r="J1409" s="167"/>
      <c r="K1409" s="168"/>
      <c r="L1409" s="117"/>
      <c r="M1409" s="117"/>
      <c r="N1409" s="111"/>
      <c r="O1409" s="111"/>
      <c r="P1409" s="111"/>
      <c r="Q1409" s="111"/>
      <c r="R1409" s="108"/>
      <c r="S1409" s="110"/>
      <c r="T1409" s="108"/>
      <c r="U1409" s="111"/>
      <c r="V1409" s="112"/>
    </row>
    <row r="1410">
      <c r="B1410" s="27"/>
      <c r="C1410" s="27"/>
      <c r="D1410" s="165"/>
      <c r="E1410" s="66"/>
      <c r="F1410" s="27"/>
      <c r="G1410" s="166"/>
      <c r="H1410" s="166"/>
      <c r="I1410" s="167"/>
      <c r="J1410" s="167"/>
      <c r="K1410" s="168"/>
      <c r="L1410" s="117"/>
      <c r="M1410" s="117"/>
      <c r="N1410" s="111"/>
      <c r="O1410" s="111"/>
      <c r="P1410" s="111"/>
      <c r="Q1410" s="111"/>
      <c r="R1410" s="108"/>
      <c r="S1410" s="110"/>
      <c r="T1410" s="108"/>
      <c r="U1410" s="111"/>
      <c r="V1410" s="112"/>
    </row>
    <row r="1411">
      <c r="B1411" s="27"/>
      <c r="C1411" s="27"/>
      <c r="D1411" s="165"/>
      <c r="E1411" s="66"/>
      <c r="F1411" s="27"/>
      <c r="G1411" s="166"/>
      <c r="H1411" s="166"/>
      <c r="I1411" s="167"/>
      <c r="J1411" s="167"/>
      <c r="K1411" s="168"/>
      <c r="L1411" s="117"/>
      <c r="M1411" s="117"/>
      <c r="N1411" s="111"/>
      <c r="O1411" s="111"/>
      <c r="P1411" s="111"/>
      <c r="Q1411" s="111"/>
      <c r="R1411" s="108"/>
      <c r="S1411" s="110"/>
      <c r="T1411" s="108"/>
      <c r="U1411" s="111"/>
      <c r="V1411" s="112"/>
    </row>
    <row r="1412">
      <c r="B1412" s="27"/>
      <c r="C1412" s="27"/>
      <c r="D1412" s="165"/>
      <c r="E1412" s="66"/>
      <c r="F1412" s="27"/>
      <c r="G1412" s="166"/>
      <c r="H1412" s="166"/>
      <c r="I1412" s="167"/>
      <c r="J1412" s="167"/>
      <c r="K1412" s="168"/>
      <c r="L1412" s="117"/>
      <c r="M1412" s="117"/>
      <c r="N1412" s="111"/>
      <c r="O1412" s="111"/>
      <c r="P1412" s="111"/>
      <c r="Q1412" s="111"/>
      <c r="R1412" s="108"/>
      <c r="S1412" s="110"/>
      <c r="T1412" s="108"/>
      <c r="U1412" s="111"/>
      <c r="V1412" s="112"/>
    </row>
    <row r="1413">
      <c r="B1413" s="27"/>
      <c r="C1413" s="27"/>
      <c r="D1413" s="165"/>
      <c r="E1413" s="66"/>
      <c r="F1413" s="27"/>
      <c r="G1413" s="166"/>
      <c r="H1413" s="166"/>
      <c r="I1413" s="167"/>
      <c r="J1413" s="167"/>
      <c r="K1413" s="168"/>
      <c r="L1413" s="117"/>
      <c r="M1413" s="117"/>
      <c r="N1413" s="111"/>
      <c r="O1413" s="111"/>
      <c r="P1413" s="111"/>
      <c r="Q1413" s="111"/>
      <c r="R1413" s="108"/>
      <c r="S1413" s="110"/>
      <c r="T1413" s="108"/>
      <c r="U1413" s="111"/>
      <c r="V1413" s="112"/>
    </row>
    <row r="1414">
      <c r="B1414" s="27"/>
      <c r="C1414" s="27"/>
      <c r="D1414" s="165"/>
      <c r="E1414" s="66"/>
      <c r="F1414" s="27"/>
      <c r="G1414" s="166"/>
      <c r="H1414" s="166"/>
      <c r="I1414" s="167"/>
      <c r="J1414" s="167"/>
      <c r="K1414" s="168"/>
      <c r="L1414" s="117"/>
      <c r="M1414" s="117"/>
      <c r="N1414" s="111"/>
      <c r="O1414" s="111"/>
      <c r="P1414" s="111"/>
      <c r="Q1414" s="111"/>
      <c r="R1414" s="108"/>
      <c r="S1414" s="110"/>
      <c r="T1414" s="108"/>
      <c r="U1414" s="111"/>
      <c r="V1414" s="112"/>
    </row>
    <row r="1415">
      <c r="B1415" s="27"/>
      <c r="C1415" s="27"/>
      <c r="D1415" s="165"/>
      <c r="E1415" s="66"/>
      <c r="F1415" s="27"/>
      <c r="G1415" s="166"/>
      <c r="H1415" s="166"/>
      <c r="I1415" s="167"/>
      <c r="J1415" s="167"/>
      <c r="K1415" s="168"/>
      <c r="L1415" s="117"/>
      <c r="M1415" s="117"/>
      <c r="N1415" s="111"/>
      <c r="O1415" s="111"/>
      <c r="P1415" s="111"/>
      <c r="Q1415" s="111"/>
      <c r="R1415" s="108"/>
      <c r="S1415" s="110"/>
      <c r="T1415" s="108"/>
      <c r="U1415" s="111"/>
      <c r="V1415" s="112"/>
    </row>
    <row r="1416">
      <c r="B1416" s="27"/>
      <c r="C1416" s="27"/>
      <c r="D1416" s="165"/>
      <c r="E1416" s="66"/>
      <c r="F1416" s="27"/>
      <c r="G1416" s="166"/>
      <c r="H1416" s="166"/>
      <c r="I1416" s="167"/>
      <c r="J1416" s="167"/>
      <c r="K1416" s="168"/>
      <c r="L1416" s="117"/>
      <c r="M1416" s="117"/>
      <c r="N1416" s="111"/>
      <c r="O1416" s="111"/>
      <c r="P1416" s="111"/>
      <c r="Q1416" s="111"/>
      <c r="R1416" s="108"/>
      <c r="S1416" s="110"/>
      <c r="T1416" s="108"/>
      <c r="U1416" s="111"/>
      <c r="V1416" s="112"/>
    </row>
    <row r="1417">
      <c r="B1417" s="27"/>
      <c r="C1417" s="27"/>
      <c r="D1417" s="165"/>
      <c r="E1417" s="66"/>
      <c r="F1417" s="27"/>
      <c r="G1417" s="166"/>
      <c r="H1417" s="166"/>
      <c r="I1417" s="167"/>
      <c r="J1417" s="167"/>
      <c r="K1417" s="168"/>
      <c r="L1417" s="117"/>
      <c r="M1417" s="117"/>
      <c r="N1417" s="111"/>
      <c r="O1417" s="111"/>
      <c r="P1417" s="111"/>
      <c r="Q1417" s="111"/>
      <c r="R1417" s="108"/>
      <c r="S1417" s="110"/>
      <c r="T1417" s="108"/>
      <c r="U1417" s="111"/>
      <c r="V1417" s="112"/>
    </row>
    <row r="1418">
      <c r="B1418" s="27"/>
      <c r="C1418" s="27"/>
      <c r="D1418" s="165"/>
      <c r="E1418" s="66"/>
      <c r="F1418" s="27"/>
      <c r="G1418" s="166"/>
      <c r="H1418" s="166"/>
      <c r="I1418" s="167"/>
      <c r="J1418" s="167"/>
      <c r="K1418" s="168"/>
      <c r="L1418" s="117"/>
      <c r="M1418" s="117"/>
      <c r="N1418" s="111"/>
      <c r="O1418" s="111"/>
      <c r="P1418" s="111"/>
      <c r="Q1418" s="111"/>
      <c r="R1418" s="108"/>
      <c r="S1418" s="110"/>
      <c r="T1418" s="108"/>
      <c r="U1418" s="111"/>
      <c r="V1418" s="112"/>
    </row>
    <row r="1419">
      <c r="B1419" s="27"/>
      <c r="C1419" s="27"/>
      <c r="D1419" s="165"/>
      <c r="E1419" s="66"/>
      <c r="F1419" s="27"/>
      <c r="G1419" s="166"/>
      <c r="H1419" s="166"/>
      <c r="I1419" s="167"/>
      <c r="J1419" s="167"/>
      <c r="K1419" s="168"/>
      <c r="L1419" s="117"/>
      <c r="M1419" s="117"/>
      <c r="N1419" s="111"/>
      <c r="O1419" s="111"/>
      <c r="P1419" s="111"/>
      <c r="Q1419" s="111"/>
      <c r="R1419" s="108"/>
      <c r="S1419" s="110"/>
      <c r="T1419" s="108"/>
      <c r="U1419" s="111"/>
      <c r="V1419" s="112"/>
    </row>
    <row r="1420">
      <c r="B1420" s="27"/>
      <c r="C1420" s="27"/>
      <c r="D1420" s="165"/>
      <c r="E1420" s="66"/>
      <c r="F1420" s="27"/>
      <c r="G1420" s="166"/>
      <c r="H1420" s="166"/>
      <c r="I1420" s="167"/>
      <c r="J1420" s="167"/>
      <c r="K1420" s="168"/>
      <c r="L1420" s="117"/>
      <c r="M1420" s="117"/>
      <c r="N1420" s="111"/>
      <c r="O1420" s="111"/>
      <c r="P1420" s="111"/>
      <c r="Q1420" s="111"/>
      <c r="R1420" s="108"/>
      <c r="S1420" s="110"/>
      <c r="T1420" s="108"/>
      <c r="U1420" s="111"/>
      <c r="V1420" s="112"/>
    </row>
    <row r="1421">
      <c r="B1421" s="27"/>
      <c r="C1421" s="27"/>
      <c r="D1421" s="165"/>
      <c r="E1421" s="66"/>
      <c r="F1421" s="27"/>
      <c r="G1421" s="166"/>
      <c r="H1421" s="166"/>
      <c r="I1421" s="167"/>
      <c r="J1421" s="167"/>
      <c r="K1421" s="168"/>
      <c r="L1421" s="117"/>
      <c r="M1421" s="117"/>
      <c r="N1421" s="111"/>
      <c r="O1421" s="111"/>
      <c r="P1421" s="111"/>
      <c r="Q1421" s="111"/>
      <c r="R1421" s="108"/>
      <c r="S1421" s="110"/>
      <c r="T1421" s="108"/>
      <c r="U1421" s="111"/>
      <c r="V1421" s="112"/>
    </row>
    <row r="1422">
      <c r="B1422" s="27"/>
      <c r="C1422" s="27"/>
      <c r="D1422" s="165"/>
      <c r="E1422" s="66"/>
      <c r="F1422" s="27"/>
      <c r="G1422" s="166"/>
      <c r="H1422" s="166"/>
      <c r="I1422" s="167"/>
      <c r="J1422" s="167"/>
      <c r="K1422" s="168"/>
      <c r="L1422" s="117"/>
      <c r="M1422" s="117"/>
      <c r="N1422" s="111"/>
      <c r="O1422" s="111"/>
      <c r="P1422" s="111"/>
      <c r="Q1422" s="111"/>
      <c r="R1422" s="108"/>
      <c r="S1422" s="110"/>
      <c r="T1422" s="108"/>
      <c r="U1422" s="111"/>
      <c r="V1422" s="112"/>
    </row>
    <row r="1423">
      <c r="B1423" s="27"/>
      <c r="C1423" s="27"/>
      <c r="D1423" s="165"/>
      <c r="E1423" s="66"/>
      <c r="F1423" s="27"/>
      <c r="G1423" s="166"/>
      <c r="H1423" s="166"/>
      <c r="I1423" s="167"/>
      <c r="J1423" s="167"/>
      <c r="K1423" s="168"/>
      <c r="L1423" s="117"/>
      <c r="M1423" s="117"/>
      <c r="N1423" s="111"/>
      <c r="O1423" s="111"/>
      <c r="P1423" s="111"/>
      <c r="Q1423" s="111"/>
      <c r="R1423" s="108"/>
      <c r="S1423" s="110"/>
      <c r="T1423" s="108"/>
      <c r="U1423" s="111"/>
      <c r="V1423" s="112"/>
    </row>
    <row r="1424">
      <c r="B1424" s="27"/>
      <c r="C1424" s="27"/>
      <c r="D1424" s="165"/>
      <c r="E1424" s="66"/>
      <c r="F1424" s="27"/>
      <c r="G1424" s="166"/>
      <c r="H1424" s="166"/>
      <c r="I1424" s="167"/>
      <c r="J1424" s="167"/>
      <c r="K1424" s="168"/>
      <c r="L1424" s="117"/>
      <c r="M1424" s="117"/>
      <c r="N1424" s="111"/>
      <c r="O1424" s="111"/>
      <c r="P1424" s="111"/>
      <c r="Q1424" s="111"/>
      <c r="R1424" s="108"/>
      <c r="S1424" s="110"/>
      <c r="T1424" s="108"/>
      <c r="U1424" s="111"/>
      <c r="V1424" s="112"/>
    </row>
    <row r="1425">
      <c r="B1425" s="27"/>
      <c r="C1425" s="27"/>
      <c r="D1425" s="165"/>
      <c r="E1425" s="66"/>
      <c r="F1425" s="27"/>
      <c r="G1425" s="166"/>
      <c r="H1425" s="166"/>
      <c r="I1425" s="167"/>
      <c r="J1425" s="167"/>
      <c r="K1425" s="168"/>
      <c r="L1425" s="117"/>
      <c r="M1425" s="117"/>
      <c r="N1425" s="111"/>
      <c r="O1425" s="111"/>
      <c r="P1425" s="111"/>
      <c r="Q1425" s="111"/>
      <c r="R1425" s="108"/>
      <c r="S1425" s="110"/>
      <c r="T1425" s="108"/>
      <c r="U1425" s="111"/>
      <c r="V1425" s="112"/>
    </row>
    <row r="1426">
      <c r="B1426" s="27"/>
      <c r="C1426" s="27"/>
      <c r="D1426" s="165"/>
      <c r="E1426" s="66"/>
      <c r="F1426" s="27"/>
      <c r="G1426" s="166"/>
      <c r="H1426" s="166"/>
      <c r="I1426" s="167"/>
      <c r="J1426" s="167"/>
      <c r="K1426" s="168"/>
      <c r="L1426" s="117"/>
      <c r="M1426" s="117"/>
      <c r="N1426" s="111"/>
      <c r="O1426" s="111"/>
      <c r="P1426" s="111"/>
      <c r="Q1426" s="111"/>
      <c r="R1426" s="108"/>
      <c r="S1426" s="110"/>
      <c r="T1426" s="108"/>
      <c r="U1426" s="111"/>
      <c r="V1426" s="112"/>
    </row>
    <row r="1427">
      <c r="B1427" s="27"/>
      <c r="C1427" s="27"/>
      <c r="D1427" s="165"/>
      <c r="E1427" s="66"/>
      <c r="F1427" s="27"/>
      <c r="G1427" s="166"/>
      <c r="H1427" s="166"/>
      <c r="I1427" s="167"/>
      <c r="J1427" s="167"/>
      <c r="K1427" s="168"/>
      <c r="L1427" s="117"/>
      <c r="M1427" s="117"/>
      <c r="N1427" s="111"/>
      <c r="O1427" s="111"/>
      <c r="P1427" s="111"/>
      <c r="Q1427" s="111"/>
      <c r="R1427" s="108"/>
      <c r="S1427" s="110"/>
      <c r="T1427" s="108"/>
      <c r="U1427" s="111"/>
      <c r="V1427" s="112"/>
    </row>
    <row r="1428">
      <c r="B1428" s="27"/>
      <c r="C1428" s="27"/>
      <c r="D1428" s="165"/>
      <c r="E1428" s="66"/>
      <c r="F1428" s="27"/>
      <c r="G1428" s="166"/>
      <c r="H1428" s="166"/>
      <c r="I1428" s="167"/>
      <c r="J1428" s="167"/>
      <c r="K1428" s="168"/>
      <c r="L1428" s="117"/>
      <c r="M1428" s="117"/>
      <c r="N1428" s="111"/>
      <c r="O1428" s="111"/>
      <c r="P1428" s="111"/>
      <c r="Q1428" s="111"/>
      <c r="R1428" s="108"/>
      <c r="S1428" s="110"/>
      <c r="T1428" s="108"/>
      <c r="U1428" s="111"/>
      <c r="V1428" s="112"/>
    </row>
    <row r="1429">
      <c r="B1429" s="27"/>
      <c r="C1429" s="27"/>
      <c r="D1429" s="165"/>
      <c r="E1429" s="66"/>
      <c r="F1429" s="27"/>
      <c r="G1429" s="166"/>
      <c r="H1429" s="166"/>
      <c r="I1429" s="167"/>
      <c r="J1429" s="167"/>
      <c r="K1429" s="168"/>
      <c r="L1429" s="117"/>
      <c r="M1429" s="117"/>
      <c r="N1429" s="111"/>
      <c r="O1429" s="111"/>
      <c r="P1429" s="111"/>
      <c r="Q1429" s="111"/>
      <c r="R1429" s="108"/>
      <c r="S1429" s="110"/>
      <c r="T1429" s="108"/>
      <c r="U1429" s="111"/>
      <c r="V1429" s="112"/>
    </row>
    <row r="1430">
      <c r="B1430" s="27"/>
      <c r="C1430" s="27"/>
      <c r="D1430" s="165"/>
      <c r="E1430" s="66"/>
      <c r="F1430" s="27"/>
      <c r="G1430" s="166"/>
      <c r="H1430" s="166"/>
      <c r="I1430" s="167"/>
      <c r="J1430" s="167"/>
      <c r="K1430" s="168"/>
      <c r="L1430" s="117"/>
      <c r="M1430" s="117"/>
      <c r="N1430" s="111"/>
      <c r="O1430" s="111"/>
      <c r="P1430" s="111"/>
      <c r="Q1430" s="111"/>
      <c r="R1430" s="108"/>
      <c r="S1430" s="110"/>
      <c r="T1430" s="108"/>
      <c r="U1430" s="111"/>
      <c r="V1430" s="112"/>
    </row>
    <row r="1431">
      <c r="B1431" s="27"/>
      <c r="C1431" s="27"/>
      <c r="D1431" s="165"/>
      <c r="E1431" s="66"/>
      <c r="F1431" s="27"/>
      <c r="G1431" s="166"/>
      <c r="H1431" s="166"/>
      <c r="I1431" s="167"/>
      <c r="J1431" s="167"/>
      <c r="K1431" s="168"/>
      <c r="L1431" s="117"/>
      <c r="M1431" s="117"/>
      <c r="N1431" s="111"/>
      <c r="O1431" s="111"/>
      <c r="P1431" s="111"/>
      <c r="Q1431" s="111"/>
      <c r="R1431" s="108"/>
      <c r="S1431" s="110"/>
      <c r="T1431" s="108"/>
      <c r="U1431" s="111"/>
      <c r="V1431" s="112"/>
    </row>
    <row r="1432">
      <c r="B1432" s="27"/>
      <c r="C1432" s="27"/>
      <c r="D1432" s="165"/>
      <c r="E1432" s="66"/>
      <c r="F1432" s="27"/>
      <c r="G1432" s="166"/>
      <c r="H1432" s="166"/>
      <c r="I1432" s="167"/>
      <c r="J1432" s="167"/>
      <c r="K1432" s="168"/>
      <c r="L1432" s="117"/>
      <c r="M1432" s="117"/>
      <c r="N1432" s="111"/>
      <c r="O1432" s="111"/>
      <c r="P1432" s="111"/>
      <c r="Q1432" s="111"/>
      <c r="R1432" s="108"/>
      <c r="S1432" s="110"/>
      <c r="T1432" s="108"/>
      <c r="U1432" s="111"/>
      <c r="V1432" s="112"/>
    </row>
    <row r="1433">
      <c r="B1433" s="27"/>
      <c r="C1433" s="27"/>
      <c r="D1433" s="165"/>
      <c r="E1433" s="66"/>
      <c r="F1433" s="27"/>
      <c r="G1433" s="166"/>
      <c r="H1433" s="166"/>
      <c r="I1433" s="167"/>
      <c r="J1433" s="167"/>
      <c r="K1433" s="168"/>
      <c r="L1433" s="117"/>
      <c r="M1433" s="117"/>
      <c r="N1433" s="111"/>
      <c r="O1433" s="111"/>
      <c r="P1433" s="111"/>
      <c r="Q1433" s="111"/>
      <c r="R1433" s="108"/>
      <c r="S1433" s="110"/>
      <c r="T1433" s="108"/>
      <c r="U1433" s="111"/>
      <c r="V1433" s="112"/>
    </row>
    <row r="1434">
      <c r="B1434" s="27"/>
      <c r="C1434" s="27"/>
      <c r="D1434" s="165"/>
      <c r="E1434" s="66"/>
      <c r="F1434" s="27"/>
      <c r="G1434" s="166"/>
      <c r="H1434" s="166"/>
      <c r="I1434" s="167"/>
      <c r="J1434" s="167"/>
      <c r="K1434" s="168"/>
      <c r="L1434" s="117"/>
      <c r="M1434" s="117"/>
      <c r="N1434" s="111"/>
      <c r="O1434" s="111"/>
      <c r="P1434" s="111"/>
      <c r="Q1434" s="111"/>
      <c r="R1434" s="108"/>
      <c r="S1434" s="110"/>
      <c r="T1434" s="108"/>
      <c r="U1434" s="111"/>
      <c r="V1434" s="112"/>
    </row>
    <row r="1435">
      <c r="B1435" s="27"/>
      <c r="C1435" s="27"/>
      <c r="D1435" s="165"/>
      <c r="E1435" s="66"/>
      <c r="F1435" s="27"/>
      <c r="G1435" s="166"/>
      <c r="H1435" s="166"/>
      <c r="I1435" s="167"/>
      <c r="J1435" s="167"/>
      <c r="K1435" s="168"/>
      <c r="L1435" s="117"/>
      <c r="M1435" s="117"/>
      <c r="N1435" s="111"/>
      <c r="O1435" s="111"/>
      <c r="P1435" s="111"/>
      <c r="Q1435" s="111"/>
      <c r="R1435" s="108"/>
      <c r="S1435" s="110"/>
      <c r="T1435" s="108"/>
      <c r="U1435" s="111"/>
      <c r="V1435" s="112"/>
    </row>
    <row r="1436">
      <c r="B1436" s="27"/>
      <c r="C1436" s="27"/>
      <c r="D1436" s="165"/>
      <c r="E1436" s="66"/>
      <c r="F1436" s="27"/>
      <c r="G1436" s="166"/>
      <c r="H1436" s="166"/>
      <c r="I1436" s="167"/>
      <c r="J1436" s="167"/>
      <c r="K1436" s="168"/>
      <c r="L1436" s="117"/>
      <c r="M1436" s="117"/>
      <c r="N1436" s="111"/>
      <c r="O1436" s="111"/>
      <c r="P1436" s="111"/>
      <c r="Q1436" s="111"/>
      <c r="R1436" s="108"/>
      <c r="S1436" s="110"/>
      <c r="T1436" s="108"/>
      <c r="U1436" s="111"/>
      <c r="V1436" s="112"/>
    </row>
    <row r="1437">
      <c r="B1437" s="27"/>
      <c r="C1437" s="27"/>
      <c r="D1437" s="165"/>
      <c r="E1437" s="66"/>
      <c r="F1437" s="27"/>
      <c r="G1437" s="166"/>
      <c r="H1437" s="166"/>
      <c r="I1437" s="167"/>
      <c r="J1437" s="167"/>
      <c r="K1437" s="168"/>
      <c r="L1437" s="117"/>
      <c r="M1437" s="117"/>
      <c r="N1437" s="111"/>
      <c r="O1437" s="111"/>
      <c r="P1437" s="111"/>
      <c r="Q1437" s="111"/>
      <c r="R1437" s="108"/>
      <c r="S1437" s="110"/>
      <c r="T1437" s="108"/>
      <c r="U1437" s="111"/>
      <c r="V1437" s="112"/>
    </row>
    <row r="1438">
      <c r="B1438" s="27"/>
      <c r="C1438" s="27"/>
      <c r="D1438" s="165"/>
      <c r="E1438" s="66"/>
      <c r="F1438" s="27"/>
      <c r="G1438" s="166"/>
      <c r="H1438" s="166"/>
      <c r="I1438" s="167"/>
      <c r="J1438" s="167"/>
      <c r="K1438" s="168"/>
      <c r="L1438" s="117"/>
      <c r="M1438" s="117"/>
      <c r="N1438" s="111"/>
      <c r="O1438" s="111"/>
      <c r="P1438" s="111"/>
      <c r="Q1438" s="111"/>
      <c r="R1438" s="108"/>
      <c r="S1438" s="110"/>
      <c r="T1438" s="108"/>
      <c r="U1438" s="111"/>
      <c r="V1438" s="112"/>
    </row>
    <row r="1439">
      <c r="B1439" s="27"/>
      <c r="C1439" s="27"/>
      <c r="D1439" s="165"/>
      <c r="E1439" s="66"/>
      <c r="F1439" s="27"/>
      <c r="G1439" s="166"/>
      <c r="H1439" s="166"/>
      <c r="I1439" s="167"/>
      <c r="J1439" s="167"/>
      <c r="K1439" s="168"/>
      <c r="L1439" s="117"/>
      <c r="M1439" s="117"/>
      <c r="N1439" s="111"/>
      <c r="O1439" s="111"/>
      <c r="P1439" s="111"/>
      <c r="Q1439" s="111"/>
      <c r="R1439" s="108"/>
      <c r="S1439" s="110"/>
      <c r="T1439" s="108"/>
      <c r="U1439" s="111"/>
      <c r="V1439" s="112"/>
    </row>
    <row r="1440">
      <c r="B1440" s="27"/>
      <c r="C1440" s="27"/>
      <c r="D1440" s="165"/>
      <c r="E1440" s="66"/>
      <c r="F1440" s="27"/>
      <c r="G1440" s="166"/>
      <c r="H1440" s="166"/>
      <c r="I1440" s="167"/>
      <c r="J1440" s="167"/>
      <c r="K1440" s="168"/>
      <c r="L1440" s="117"/>
      <c r="M1440" s="117"/>
      <c r="N1440" s="111"/>
      <c r="O1440" s="111"/>
      <c r="P1440" s="111"/>
      <c r="Q1440" s="111"/>
      <c r="R1440" s="108"/>
      <c r="S1440" s="110"/>
      <c r="T1440" s="108"/>
      <c r="U1440" s="111"/>
      <c r="V1440" s="112"/>
    </row>
    <row r="1441">
      <c r="B1441" s="27"/>
      <c r="C1441" s="27"/>
      <c r="D1441" s="165"/>
      <c r="E1441" s="66"/>
      <c r="F1441" s="27"/>
      <c r="G1441" s="166"/>
      <c r="H1441" s="166"/>
      <c r="I1441" s="167"/>
      <c r="J1441" s="167"/>
      <c r="K1441" s="168"/>
      <c r="L1441" s="117"/>
      <c r="M1441" s="117"/>
      <c r="N1441" s="111"/>
      <c r="O1441" s="111"/>
      <c r="P1441" s="111"/>
      <c r="Q1441" s="111"/>
      <c r="R1441" s="108"/>
      <c r="S1441" s="110"/>
      <c r="T1441" s="108"/>
      <c r="U1441" s="111"/>
      <c r="V1441" s="112"/>
    </row>
    <row r="1442">
      <c r="B1442" s="27"/>
      <c r="C1442" s="27"/>
      <c r="D1442" s="165"/>
      <c r="E1442" s="66"/>
      <c r="F1442" s="27"/>
      <c r="G1442" s="166"/>
      <c r="H1442" s="166"/>
      <c r="I1442" s="167"/>
      <c r="J1442" s="167"/>
      <c r="K1442" s="168"/>
      <c r="L1442" s="117"/>
      <c r="M1442" s="117"/>
      <c r="N1442" s="111"/>
      <c r="O1442" s="111"/>
      <c r="P1442" s="111"/>
      <c r="Q1442" s="111"/>
      <c r="R1442" s="108"/>
      <c r="S1442" s="110"/>
      <c r="T1442" s="108"/>
      <c r="U1442" s="111"/>
      <c r="V1442" s="112"/>
    </row>
    <row r="1443">
      <c r="B1443" s="27"/>
      <c r="C1443" s="27"/>
      <c r="D1443" s="165"/>
      <c r="E1443" s="66"/>
      <c r="F1443" s="27"/>
      <c r="G1443" s="166"/>
      <c r="H1443" s="166"/>
      <c r="I1443" s="167"/>
      <c r="J1443" s="167"/>
      <c r="K1443" s="168"/>
      <c r="L1443" s="117"/>
      <c r="M1443" s="117"/>
      <c r="N1443" s="111"/>
      <c r="O1443" s="111"/>
      <c r="P1443" s="111"/>
      <c r="Q1443" s="111"/>
      <c r="R1443" s="108"/>
      <c r="S1443" s="110"/>
      <c r="T1443" s="108"/>
      <c r="U1443" s="111"/>
      <c r="V1443" s="112"/>
    </row>
    <row r="1444">
      <c r="B1444" s="27"/>
      <c r="C1444" s="27"/>
      <c r="D1444" s="165"/>
      <c r="E1444" s="66"/>
      <c r="F1444" s="27"/>
      <c r="G1444" s="166"/>
      <c r="H1444" s="166"/>
      <c r="I1444" s="167"/>
      <c r="J1444" s="167"/>
      <c r="K1444" s="168"/>
      <c r="L1444" s="117"/>
      <c r="M1444" s="117"/>
      <c r="N1444" s="111"/>
      <c r="O1444" s="111"/>
      <c r="P1444" s="111"/>
      <c r="Q1444" s="111"/>
      <c r="R1444" s="108"/>
      <c r="S1444" s="110"/>
      <c r="T1444" s="108"/>
      <c r="U1444" s="111"/>
      <c r="V1444" s="112"/>
    </row>
    <row r="1445">
      <c r="B1445" s="27"/>
      <c r="C1445" s="27"/>
      <c r="D1445" s="165"/>
      <c r="E1445" s="66"/>
      <c r="F1445" s="27"/>
      <c r="G1445" s="166"/>
      <c r="H1445" s="166"/>
      <c r="I1445" s="167"/>
      <c r="J1445" s="167"/>
      <c r="K1445" s="168"/>
      <c r="L1445" s="117"/>
      <c r="M1445" s="117"/>
      <c r="N1445" s="111"/>
      <c r="O1445" s="111"/>
      <c r="P1445" s="111"/>
      <c r="Q1445" s="111"/>
      <c r="R1445" s="108"/>
      <c r="S1445" s="110"/>
      <c r="T1445" s="108"/>
      <c r="U1445" s="111"/>
      <c r="V1445" s="112"/>
    </row>
    <row r="1446">
      <c r="B1446" s="27"/>
      <c r="C1446" s="27"/>
      <c r="D1446" s="165"/>
      <c r="E1446" s="66"/>
      <c r="F1446" s="27"/>
      <c r="G1446" s="166"/>
      <c r="H1446" s="166"/>
      <c r="I1446" s="167"/>
      <c r="J1446" s="167"/>
      <c r="K1446" s="168"/>
      <c r="L1446" s="117"/>
      <c r="M1446" s="117"/>
      <c r="N1446" s="111"/>
      <c r="O1446" s="111"/>
      <c r="P1446" s="111"/>
      <c r="Q1446" s="111"/>
      <c r="R1446" s="108"/>
      <c r="S1446" s="110"/>
      <c r="T1446" s="108"/>
      <c r="U1446" s="111"/>
      <c r="V1446" s="112"/>
    </row>
    <row r="1447">
      <c r="B1447" s="27"/>
      <c r="C1447" s="27"/>
      <c r="D1447" s="165"/>
      <c r="E1447" s="66"/>
      <c r="F1447" s="27"/>
      <c r="G1447" s="166"/>
      <c r="H1447" s="166"/>
      <c r="I1447" s="167"/>
      <c r="J1447" s="167"/>
      <c r="K1447" s="168"/>
      <c r="L1447" s="117"/>
      <c r="M1447" s="117"/>
      <c r="N1447" s="111"/>
      <c r="O1447" s="111"/>
      <c r="P1447" s="111"/>
      <c r="Q1447" s="111"/>
      <c r="R1447" s="108"/>
      <c r="S1447" s="110"/>
      <c r="T1447" s="108"/>
      <c r="U1447" s="111"/>
      <c r="V1447" s="112"/>
    </row>
    <row r="1448">
      <c r="B1448" s="27"/>
      <c r="C1448" s="27"/>
      <c r="D1448" s="165"/>
      <c r="E1448" s="66"/>
      <c r="F1448" s="27"/>
      <c r="G1448" s="166"/>
      <c r="H1448" s="166"/>
      <c r="I1448" s="167"/>
      <c r="J1448" s="167"/>
      <c r="K1448" s="168"/>
      <c r="L1448" s="117"/>
      <c r="M1448" s="117"/>
      <c r="N1448" s="111"/>
      <c r="O1448" s="111"/>
      <c r="P1448" s="111"/>
      <c r="Q1448" s="111"/>
      <c r="R1448" s="108"/>
      <c r="S1448" s="110"/>
      <c r="T1448" s="108"/>
      <c r="U1448" s="111"/>
      <c r="V1448" s="112"/>
    </row>
    <row r="1449">
      <c r="B1449" s="27"/>
      <c r="C1449" s="27"/>
      <c r="D1449" s="165"/>
      <c r="E1449" s="66"/>
      <c r="F1449" s="27"/>
      <c r="G1449" s="166"/>
      <c r="H1449" s="166"/>
      <c r="I1449" s="167"/>
      <c r="J1449" s="167"/>
      <c r="K1449" s="168"/>
      <c r="L1449" s="117"/>
      <c r="M1449" s="117"/>
      <c r="N1449" s="111"/>
      <c r="O1449" s="111"/>
      <c r="P1449" s="111"/>
      <c r="Q1449" s="111"/>
      <c r="R1449" s="108"/>
      <c r="S1449" s="110"/>
      <c r="T1449" s="108"/>
      <c r="U1449" s="111"/>
      <c r="V1449" s="112"/>
    </row>
    <row r="1450">
      <c r="B1450" s="27"/>
      <c r="C1450" s="27"/>
      <c r="D1450" s="165"/>
      <c r="E1450" s="66"/>
      <c r="F1450" s="27"/>
      <c r="G1450" s="166"/>
      <c r="H1450" s="166"/>
      <c r="I1450" s="167"/>
      <c r="J1450" s="167"/>
      <c r="K1450" s="168"/>
      <c r="L1450" s="117"/>
      <c r="M1450" s="117"/>
      <c r="N1450" s="111"/>
      <c r="O1450" s="111"/>
      <c r="P1450" s="111"/>
      <c r="Q1450" s="111"/>
      <c r="R1450" s="108"/>
      <c r="S1450" s="110"/>
      <c r="T1450" s="108"/>
      <c r="U1450" s="111"/>
      <c r="V1450" s="112"/>
    </row>
    <row r="1451">
      <c r="B1451" s="27"/>
      <c r="C1451" s="27"/>
      <c r="D1451" s="165"/>
      <c r="E1451" s="66"/>
      <c r="F1451" s="27"/>
      <c r="G1451" s="166"/>
      <c r="H1451" s="166"/>
      <c r="I1451" s="167"/>
      <c r="J1451" s="167"/>
      <c r="K1451" s="168"/>
      <c r="L1451" s="117"/>
      <c r="M1451" s="117"/>
      <c r="N1451" s="111"/>
      <c r="O1451" s="111"/>
      <c r="P1451" s="111"/>
      <c r="Q1451" s="111"/>
      <c r="R1451" s="108"/>
      <c r="S1451" s="110"/>
      <c r="T1451" s="108"/>
      <c r="U1451" s="111"/>
      <c r="V1451" s="112"/>
    </row>
    <row r="1452">
      <c r="B1452" s="27"/>
      <c r="C1452" s="27"/>
      <c r="D1452" s="165"/>
      <c r="E1452" s="66"/>
      <c r="F1452" s="27"/>
      <c r="G1452" s="166"/>
      <c r="H1452" s="166"/>
      <c r="I1452" s="167"/>
      <c r="J1452" s="167"/>
      <c r="K1452" s="168"/>
      <c r="L1452" s="117"/>
      <c r="M1452" s="117"/>
      <c r="N1452" s="111"/>
      <c r="O1452" s="111"/>
      <c r="P1452" s="111"/>
      <c r="Q1452" s="111"/>
      <c r="R1452" s="108"/>
      <c r="S1452" s="110"/>
      <c r="T1452" s="108"/>
      <c r="U1452" s="111"/>
      <c r="V1452" s="112"/>
    </row>
    <row r="1453">
      <c r="B1453" s="27"/>
      <c r="C1453" s="27"/>
      <c r="D1453" s="165"/>
      <c r="E1453" s="66"/>
      <c r="F1453" s="27"/>
      <c r="G1453" s="166"/>
      <c r="H1453" s="166"/>
      <c r="I1453" s="167"/>
      <c r="J1453" s="167"/>
      <c r="K1453" s="168"/>
      <c r="L1453" s="117"/>
      <c r="M1453" s="117"/>
      <c r="N1453" s="111"/>
      <c r="O1453" s="111"/>
      <c r="P1453" s="111"/>
      <c r="Q1453" s="111"/>
      <c r="R1453" s="108"/>
      <c r="S1453" s="110"/>
      <c r="T1453" s="108"/>
      <c r="U1453" s="111"/>
      <c r="V1453" s="112"/>
    </row>
    <row r="1454">
      <c r="B1454" s="27"/>
      <c r="C1454" s="27"/>
      <c r="D1454" s="165"/>
      <c r="E1454" s="66"/>
      <c r="F1454" s="27"/>
      <c r="G1454" s="166"/>
      <c r="H1454" s="166"/>
      <c r="I1454" s="167"/>
      <c r="J1454" s="167"/>
      <c r="K1454" s="168"/>
      <c r="L1454" s="117"/>
      <c r="M1454" s="117"/>
      <c r="N1454" s="111"/>
      <c r="O1454" s="111"/>
      <c r="P1454" s="111"/>
      <c r="Q1454" s="111"/>
      <c r="R1454" s="108"/>
      <c r="S1454" s="110"/>
      <c r="T1454" s="108"/>
      <c r="U1454" s="111"/>
      <c r="V1454" s="112"/>
    </row>
    <row r="1455">
      <c r="B1455" s="27"/>
      <c r="C1455" s="27"/>
      <c r="D1455" s="165"/>
      <c r="E1455" s="66"/>
      <c r="F1455" s="27"/>
      <c r="G1455" s="166"/>
      <c r="H1455" s="166"/>
      <c r="I1455" s="167"/>
      <c r="J1455" s="167"/>
      <c r="K1455" s="168"/>
      <c r="L1455" s="117"/>
      <c r="M1455" s="117"/>
      <c r="N1455" s="111"/>
      <c r="O1455" s="111"/>
      <c r="P1455" s="111"/>
      <c r="Q1455" s="111"/>
      <c r="R1455" s="108"/>
      <c r="S1455" s="110"/>
      <c r="T1455" s="108"/>
      <c r="U1455" s="111"/>
      <c r="V1455" s="112"/>
    </row>
    <row r="1456">
      <c r="B1456" s="27"/>
      <c r="C1456" s="27"/>
      <c r="D1456" s="165"/>
      <c r="E1456" s="66"/>
      <c r="F1456" s="27"/>
      <c r="G1456" s="166"/>
      <c r="H1456" s="166"/>
      <c r="I1456" s="167"/>
      <c r="J1456" s="167"/>
      <c r="K1456" s="168"/>
      <c r="L1456" s="117"/>
      <c r="M1456" s="117"/>
      <c r="N1456" s="111"/>
      <c r="O1456" s="111"/>
      <c r="P1456" s="111"/>
      <c r="Q1456" s="111"/>
      <c r="R1456" s="108"/>
      <c r="S1456" s="110"/>
      <c r="T1456" s="108"/>
      <c r="U1456" s="111"/>
      <c r="V1456" s="112"/>
    </row>
    <row r="1457">
      <c r="B1457" s="27"/>
      <c r="C1457" s="27"/>
      <c r="D1457" s="165"/>
      <c r="E1457" s="66"/>
      <c r="F1457" s="27"/>
      <c r="G1457" s="166"/>
      <c r="H1457" s="166"/>
      <c r="I1457" s="167"/>
      <c r="J1457" s="167"/>
      <c r="K1457" s="168"/>
      <c r="L1457" s="117"/>
      <c r="M1457" s="117"/>
      <c r="N1457" s="111"/>
      <c r="O1457" s="111"/>
      <c r="P1457" s="111"/>
      <c r="Q1457" s="111"/>
      <c r="R1457" s="108"/>
      <c r="S1457" s="110"/>
      <c r="T1457" s="108"/>
      <c r="U1457" s="111"/>
      <c r="V1457" s="112"/>
    </row>
    <row r="1458">
      <c r="B1458" s="27"/>
      <c r="C1458" s="27"/>
      <c r="D1458" s="165"/>
      <c r="E1458" s="66"/>
      <c r="F1458" s="27"/>
      <c r="G1458" s="166"/>
      <c r="H1458" s="166"/>
      <c r="I1458" s="167"/>
      <c r="J1458" s="167"/>
      <c r="K1458" s="168"/>
      <c r="L1458" s="117"/>
      <c r="M1458" s="117"/>
      <c r="N1458" s="111"/>
      <c r="O1458" s="111"/>
      <c r="P1458" s="111"/>
      <c r="Q1458" s="111"/>
      <c r="R1458" s="108"/>
      <c r="S1458" s="110"/>
      <c r="T1458" s="108"/>
      <c r="U1458" s="111"/>
      <c r="V1458" s="112"/>
    </row>
    <row r="1459">
      <c r="B1459" s="27"/>
      <c r="C1459" s="27"/>
      <c r="D1459" s="165"/>
      <c r="E1459" s="66"/>
      <c r="F1459" s="27"/>
      <c r="G1459" s="166"/>
      <c r="H1459" s="166"/>
      <c r="I1459" s="167"/>
      <c r="J1459" s="167"/>
      <c r="K1459" s="168"/>
      <c r="L1459" s="117"/>
      <c r="M1459" s="117"/>
      <c r="N1459" s="111"/>
      <c r="O1459" s="111"/>
      <c r="P1459" s="111"/>
      <c r="Q1459" s="111"/>
      <c r="R1459" s="108"/>
      <c r="S1459" s="110"/>
      <c r="T1459" s="108"/>
      <c r="U1459" s="111"/>
      <c r="V1459" s="112"/>
    </row>
    <row r="1460">
      <c r="B1460" s="27"/>
      <c r="C1460" s="27"/>
      <c r="D1460" s="165"/>
      <c r="E1460" s="66"/>
      <c r="F1460" s="27"/>
      <c r="G1460" s="166"/>
      <c r="H1460" s="166"/>
      <c r="I1460" s="167"/>
      <c r="J1460" s="167"/>
      <c r="K1460" s="168"/>
      <c r="L1460" s="117"/>
      <c r="M1460" s="117"/>
      <c r="N1460" s="111"/>
      <c r="O1460" s="111"/>
      <c r="P1460" s="111"/>
      <c r="Q1460" s="111"/>
      <c r="R1460" s="108"/>
      <c r="S1460" s="110"/>
      <c r="T1460" s="108"/>
      <c r="U1460" s="111"/>
      <c r="V1460" s="112"/>
    </row>
    <row r="1461">
      <c r="B1461" s="27"/>
      <c r="C1461" s="27"/>
      <c r="D1461" s="165"/>
      <c r="E1461" s="66"/>
      <c r="F1461" s="27"/>
      <c r="G1461" s="166"/>
      <c r="H1461" s="166"/>
      <c r="I1461" s="167"/>
      <c r="J1461" s="167"/>
      <c r="K1461" s="168"/>
      <c r="L1461" s="117"/>
      <c r="M1461" s="117"/>
      <c r="N1461" s="111"/>
      <c r="O1461" s="111"/>
      <c r="P1461" s="111"/>
      <c r="Q1461" s="111"/>
      <c r="R1461" s="108"/>
      <c r="S1461" s="110"/>
      <c r="T1461" s="108"/>
      <c r="U1461" s="111"/>
      <c r="V1461" s="112"/>
    </row>
    <row r="1462">
      <c r="B1462" s="27"/>
      <c r="C1462" s="27"/>
      <c r="D1462" s="165"/>
      <c r="E1462" s="66"/>
      <c r="F1462" s="27"/>
      <c r="G1462" s="166"/>
      <c r="H1462" s="166"/>
      <c r="I1462" s="167"/>
      <c r="J1462" s="167"/>
      <c r="K1462" s="168"/>
      <c r="L1462" s="117"/>
      <c r="M1462" s="117"/>
      <c r="N1462" s="111"/>
      <c r="O1462" s="111"/>
      <c r="P1462" s="111"/>
      <c r="Q1462" s="111"/>
      <c r="R1462" s="108"/>
      <c r="S1462" s="110"/>
      <c r="T1462" s="108"/>
      <c r="U1462" s="111"/>
      <c r="V1462" s="112"/>
    </row>
    <row r="1463">
      <c r="B1463" s="27"/>
      <c r="C1463" s="27"/>
      <c r="D1463" s="165"/>
      <c r="E1463" s="66"/>
      <c r="F1463" s="27"/>
      <c r="G1463" s="166"/>
      <c r="H1463" s="166"/>
      <c r="I1463" s="167"/>
      <c r="J1463" s="167"/>
      <c r="K1463" s="168"/>
      <c r="L1463" s="117"/>
      <c r="M1463" s="117"/>
      <c r="N1463" s="111"/>
      <c r="O1463" s="111"/>
      <c r="P1463" s="111"/>
      <c r="Q1463" s="111"/>
      <c r="R1463" s="108"/>
      <c r="S1463" s="110"/>
      <c r="T1463" s="108"/>
      <c r="U1463" s="111"/>
      <c r="V1463" s="112"/>
    </row>
    <row r="1464">
      <c r="B1464" s="27"/>
      <c r="C1464" s="27"/>
      <c r="D1464" s="165"/>
      <c r="E1464" s="66"/>
      <c r="F1464" s="27"/>
      <c r="G1464" s="166"/>
      <c r="H1464" s="166"/>
      <c r="I1464" s="167"/>
      <c r="J1464" s="167"/>
      <c r="K1464" s="168"/>
      <c r="L1464" s="117"/>
      <c r="M1464" s="117"/>
      <c r="N1464" s="111"/>
      <c r="O1464" s="111"/>
      <c r="P1464" s="111"/>
      <c r="Q1464" s="111"/>
      <c r="R1464" s="108"/>
      <c r="S1464" s="110"/>
      <c r="T1464" s="108"/>
      <c r="U1464" s="111"/>
      <c r="V1464" s="112"/>
    </row>
    <row r="1465">
      <c r="B1465" s="27"/>
      <c r="C1465" s="27"/>
      <c r="D1465" s="165"/>
      <c r="E1465" s="66"/>
      <c r="F1465" s="27"/>
      <c r="G1465" s="166"/>
      <c r="H1465" s="166"/>
      <c r="I1465" s="167"/>
      <c r="J1465" s="167"/>
      <c r="K1465" s="168"/>
      <c r="L1465" s="117"/>
      <c r="M1465" s="117"/>
      <c r="N1465" s="111"/>
      <c r="O1465" s="111"/>
      <c r="P1465" s="111"/>
      <c r="Q1465" s="111"/>
      <c r="R1465" s="108"/>
      <c r="S1465" s="110"/>
      <c r="T1465" s="108"/>
      <c r="U1465" s="111"/>
      <c r="V1465" s="112"/>
    </row>
    <row r="1466">
      <c r="B1466" s="27"/>
      <c r="C1466" s="27"/>
      <c r="D1466" s="165"/>
      <c r="E1466" s="66"/>
      <c r="F1466" s="27"/>
      <c r="G1466" s="166"/>
      <c r="H1466" s="166"/>
      <c r="I1466" s="167"/>
      <c r="J1466" s="167"/>
      <c r="K1466" s="168"/>
      <c r="L1466" s="117"/>
      <c r="M1466" s="117"/>
      <c r="N1466" s="111"/>
      <c r="O1466" s="111"/>
      <c r="P1466" s="111"/>
      <c r="Q1466" s="111"/>
      <c r="R1466" s="108"/>
      <c r="S1466" s="110"/>
      <c r="T1466" s="108"/>
      <c r="U1466" s="111"/>
      <c r="V1466" s="112"/>
    </row>
    <row r="1467">
      <c r="B1467" s="27"/>
      <c r="C1467" s="27"/>
      <c r="D1467" s="165"/>
      <c r="E1467" s="66"/>
      <c r="F1467" s="27"/>
      <c r="G1467" s="166"/>
      <c r="H1467" s="166"/>
      <c r="I1467" s="167"/>
      <c r="J1467" s="167"/>
      <c r="K1467" s="168"/>
      <c r="L1467" s="117"/>
      <c r="M1467" s="117"/>
      <c r="N1467" s="111"/>
      <c r="O1467" s="111"/>
      <c r="P1467" s="111"/>
      <c r="Q1467" s="111"/>
      <c r="R1467" s="108"/>
      <c r="S1467" s="110"/>
      <c r="T1467" s="108"/>
      <c r="U1467" s="111"/>
      <c r="V1467" s="112"/>
    </row>
    <row r="1468">
      <c r="B1468" s="27"/>
      <c r="C1468" s="27"/>
      <c r="D1468" s="165"/>
      <c r="E1468" s="66"/>
      <c r="F1468" s="27"/>
      <c r="G1468" s="166"/>
      <c r="H1468" s="166"/>
      <c r="I1468" s="167"/>
      <c r="J1468" s="167"/>
      <c r="K1468" s="168"/>
      <c r="L1468" s="117"/>
      <c r="M1468" s="117"/>
      <c r="N1468" s="111"/>
      <c r="O1468" s="111"/>
      <c r="P1468" s="111"/>
      <c r="Q1468" s="111"/>
      <c r="R1468" s="108"/>
      <c r="S1468" s="110"/>
      <c r="T1468" s="108"/>
      <c r="U1468" s="111"/>
      <c r="V1468" s="112"/>
    </row>
    <row r="1469">
      <c r="B1469" s="27"/>
      <c r="C1469" s="27"/>
      <c r="D1469" s="165"/>
      <c r="E1469" s="66"/>
      <c r="F1469" s="27"/>
      <c r="G1469" s="166"/>
      <c r="H1469" s="166"/>
      <c r="I1469" s="167"/>
      <c r="J1469" s="167"/>
      <c r="K1469" s="168"/>
      <c r="L1469" s="117"/>
      <c r="M1469" s="117"/>
      <c r="N1469" s="111"/>
      <c r="O1469" s="111"/>
      <c r="P1469" s="111"/>
      <c r="Q1469" s="111"/>
      <c r="R1469" s="108"/>
      <c r="S1469" s="110"/>
      <c r="T1469" s="108"/>
      <c r="U1469" s="111"/>
      <c r="V1469" s="112"/>
    </row>
    <row r="1470">
      <c r="B1470" s="27"/>
      <c r="C1470" s="27"/>
      <c r="D1470" s="165"/>
      <c r="E1470" s="66"/>
      <c r="F1470" s="27"/>
      <c r="G1470" s="166"/>
      <c r="H1470" s="166"/>
      <c r="I1470" s="167"/>
      <c r="J1470" s="167"/>
      <c r="K1470" s="168"/>
      <c r="L1470" s="117"/>
      <c r="M1470" s="117"/>
      <c r="N1470" s="111"/>
      <c r="O1470" s="111"/>
      <c r="P1470" s="111"/>
      <c r="Q1470" s="111"/>
      <c r="R1470" s="108"/>
      <c r="S1470" s="110"/>
      <c r="T1470" s="108"/>
      <c r="U1470" s="111"/>
      <c r="V1470" s="112"/>
    </row>
    <row r="1471">
      <c r="B1471" s="27"/>
      <c r="C1471" s="27"/>
      <c r="D1471" s="165"/>
      <c r="E1471" s="66"/>
      <c r="F1471" s="27"/>
      <c r="G1471" s="166"/>
      <c r="H1471" s="166"/>
      <c r="I1471" s="167"/>
      <c r="J1471" s="167"/>
      <c r="K1471" s="168"/>
      <c r="L1471" s="117"/>
      <c r="M1471" s="117"/>
      <c r="N1471" s="111"/>
      <c r="O1471" s="111"/>
      <c r="P1471" s="111"/>
      <c r="Q1471" s="111"/>
      <c r="R1471" s="108"/>
      <c r="S1471" s="110"/>
      <c r="T1471" s="108"/>
      <c r="U1471" s="111"/>
      <c r="V1471" s="112"/>
    </row>
    <row r="1472">
      <c r="B1472" s="27"/>
      <c r="C1472" s="27"/>
      <c r="D1472" s="165"/>
      <c r="E1472" s="66"/>
      <c r="F1472" s="27"/>
      <c r="G1472" s="166"/>
      <c r="H1472" s="166"/>
      <c r="I1472" s="167"/>
      <c r="J1472" s="167"/>
      <c r="K1472" s="168"/>
      <c r="L1472" s="117"/>
      <c r="M1472" s="117"/>
      <c r="N1472" s="111"/>
      <c r="O1472" s="111"/>
      <c r="P1472" s="111"/>
      <c r="Q1472" s="111"/>
      <c r="R1472" s="108"/>
      <c r="S1472" s="110"/>
      <c r="T1472" s="108"/>
      <c r="U1472" s="111"/>
      <c r="V1472" s="112"/>
    </row>
    <row r="1473">
      <c r="B1473" s="27"/>
      <c r="C1473" s="27"/>
      <c r="D1473" s="165"/>
      <c r="E1473" s="66"/>
      <c r="F1473" s="27"/>
      <c r="G1473" s="166"/>
      <c r="H1473" s="166"/>
      <c r="I1473" s="167"/>
      <c r="J1473" s="167"/>
      <c r="K1473" s="168"/>
      <c r="L1473" s="117"/>
      <c r="M1473" s="117"/>
      <c r="N1473" s="111"/>
      <c r="O1473" s="111"/>
      <c r="P1473" s="111"/>
      <c r="Q1473" s="111"/>
      <c r="R1473" s="108"/>
      <c r="S1473" s="110"/>
      <c r="T1473" s="108"/>
      <c r="U1473" s="111"/>
      <c r="V1473" s="112"/>
    </row>
    <row r="1474">
      <c r="B1474" s="27"/>
      <c r="C1474" s="27"/>
      <c r="D1474" s="165"/>
      <c r="E1474" s="66"/>
      <c r="F1474" s="27"/>
      <c r="G1474" s="166"/>
      <c r="H1474" s="166"/>
      <c r="I1474" s="167"/>
      <c r="J1474" s="167"/>
      <c r="K1474" s="168"/>
      <c r="L1474" s="117"/>
      <c r="M1474" s="117"/>
      <c r="N1474" s="111"/>
      <c r="O1474" s="111"/>
      <c r="P1474" s="111"/>
      <c r="Q1474" s="111"/>
      <c r="R1474" s="108"/>
      <c r="S1474" s="110"/>
      <c r="T1474" s="108"/>
      <c r="U1474" s="111"/>
      <c r="V1474" s="112"/>
    </row>
    <row r="1475">
      <c r="B1475" s="27"/>
      <c r="C1475" s="27"/>
      <c r="D1475" s="165"/>
      <c r="E1475" s="66"/>
      <c r="F1475" s="27"/>
      <c r="G1475" s="166"/>
      <c r="H1475" s="166"/>
      <c r="I1475" s="167"/>
      <c r="J1475" s="167"/>
      <c r="K1475" s="168"/>
      <c r="L1475" s="117"/>
      <c r="M1475" s="117"/>
      <c r="N1475" s="111"/>
      <c r="O1475" s="111"/>
      <c r="P1475" s="111"/>
      <c r="Q1475" s="111"/>
      <c r="R1475" s="108"/>
      <c r="S1475" s="110"/>
      <c r="T1475" s="108"/>
      <c r="U1475" s="111"/>
      <c r="V1475" s="112"/>
    </row>
    <row r="1476">
      <c r="B1476" s="27"/>
      <c r="C1476" s="27"/>
      <c r="D1476" s="165"/>
      <c r="E1476" s="66"/>
      <c r="F1476" s="27"/>
      <c r="G1476" s="166"/>
      <c r="H1476" s="166"/>
      <c r="I1476" s="167"/>
      <c r="J1476" s="167"/>
      <c r="K1476" s="168"/>
      <c r="L1476" s="117"/>
      <c r="M1476" s="117"/>
      <c r="N1476" s="111"/>
      <c r="O1476" s="111"/>
      <c r="P1476" s="111"/>
      <c r="Q1476" s="111"/>
      <c r="R1476" s="108"/>
      <c r="S1476" s="110"/>
      <c r="T1476" s="108"/>
      <c r="U1476" s="111"/>
      <c r="V1476" s="112"/>
    </row>
    <row r="1477">
      <c r="B1477" s="27"/>
      <c r="C1477" s="27"/>
      <c r="D1477" s="165"/>
      <c r="E1477" s="66"/>
      <c r="F1477" s="27"/>
      <c r="G1477" s="166"/>
      <c r="H1477" s="166"/>
      <c r="I1477" s="167"/>
      <c r="J1477" s="167"/>
      <c r="K1477" s="168"/>
      <c r="L1477" s="117"/>
      <c r="M1477" s="117"/>
      <c r="N1477" s="111"/>
      <c r="O1477" s="111"/>
      <c r="P1477" s="111"/>
      <c r="Q1477" s="111"/>
      <c r="R1477" s="108"/>
      <c r="S1477" s="110"/>
      <c r="T1477" s="108"/>
      <c r="U1477" s="111"/>
      <c r="V1477" s="112"/>
    </row>
    <row r="1478">
      <c r="B1478" s="27"/>
      <c r="C1478" s="27"/>
      <c r="D1478" s="165"/>
      <c r="E1478" s="66"/>
      <c r="F1478" s="27"/>
      <c r="G1478" s="166"/>
      <c r="H1478" s="166"/>
      <c r="I1478" s="167"/>
      <c r="J1478" s="167"/>
      <c r="K1478" s="168"/>
      <c r="L1478" s="117"/>
      <c r="M1478" s="117"/>
      <c r="N1478" s="111"/>
      <c r="O1478" s="111"/>
      <c r="P1478" s="111"/>
      <c r="Q1478" s="111"/>
      <c r="R1478" s="108"/>
      <c r="S1478" s="110"/>
      <c r="T1478" s="108"/>
      <c r="U1478" s="111"/>
      <c r="V1478" s="112"/>
    </row>
    <row r="1479">
      <c r="B1479" s="27"/>
      <c r="C1479" s="27"/>
      <c r="D1479" s="165"/>
      <c r="E1479" s="66"/>
      <c r="F1479" s="27"/>
      <c r="G1479" s="166"/>
      <c r="H1479" s="166"/>
      <c r="I1479" s="167"/>
      <c r="J1479" s="167"/>
      <c r="K1479" s="168"/>
      <c r="L1479" s="117"/>
      <c r="M1479" s="117"/>
      <c r="N1479" s="111"/>
      <c r="O1479" s="111"/>
      <c r="P1479" s="111"/>
      <c r="Q1479" s="111"/>
      <c r="R1479" s="108"/>
      <c r="S1479" s="110"/>
      <c r="T1479" s="108"/>
      <c r="U1479" s="111"/>
      <c r="V1479" s="112"/>
    </row>
    <row r="1480">
      <c r="B1480" s="27"/>
      <c r="C1480" s="27"/>
      <c r="D1480" s="165"/>
      <c r="E1480" s="66"/>
      <c r="F1480" s="27"/>
      <c r="G1480" s="166"/>
      <c r="H1480" s="166"/>
      <c r="I1480" s="167"/>
      <c r="J1480" s="167"/>
      <c r="K1480" s="168"/>
      <c r="L1480" s="117"/>
      <c r="M1480" s="117"/>
      <c r="N1480" s="111"/>
      <c r="O1480" s="111"/>
      <c r="P1480" s="111"/>
      <c r="Q1480" s="111"/>
      <c r="R1480" s="108"/>
      <c r="S1480" s="110"/>
      <c r="T1480" s="108"/>
      <c r="U1480" s="111"/>
      <c r="V1480" s="112"/>
    </row>
    <row r="1481">
      <c r="B1481" s="27"/>
      <c r="C1481" s="27"/>
      <c r="D1481" s="165"/>
      <c r="E1481" s="66"/>
      <c r="F1481" s="27"/>
      <c r="G1481" s="166"/>
      <c r="H1481" s="166"/>
      <c r="I1481" s="167"/>
      <c r="J1481" s="167"/>
      <c r="K1481" s="168"/>
      <c r="L1481" s="117"/>
      <c r="M1481" s="117"/>
      <c r="N1481" s="111"/>
      <c r="O1481" s="111"/>
      <c r="P1481" s="111"/>
      <c r="Q1481" s="111"/>
      <c r="R1481" s="108"/>
      <c r="S1481" s="110"/>
      <c r="T1481" s="108"/>
      <c r="U1481" s="111"/>
      <c r="V1481" s="112"/>
    </row>
    <row r="1482">
      <c r="B1482" s="27"/>
      <c r="C1482" s="27"/>
      <c r="D1482" s="165"/>
      <c r="E1482" s="66"/>
      <c r="F1482" s="27"/>
      <c r="G1482" s="166"/>
      <c r="H1482" s="166"/>
      <c r="I1482" s="167"/>
      <c r="J1482" s="167"/>
      <c r="K1482" s="168"/>
      <c r="L1482" s="117"/>
      <c r="M1482" s="117"/>
      <c r="N1482" s="111"/>
      <c r="O1482" s="111"/>
      <c r="P1482" s="111"/>
      <c r="Q1482" s="111"/>
      <c r="R1482" s="108"/>
      <c r="S1482" s="110"/>
      <c r="T1482" s="108"/>
      <c r="U1482" s="111"/>
      <c r="V1482" s="112"/>
    </row>
    <row r="1483">
      <c r="B1483" s="27"/>
      <c r="C1483" s="27"/>
      <c r="D1483" s="165"/>
      <c r="E1483" s="66"/>
      <c r="F1483" s="27"/>
      <c r="G1483" s="166"/>
      <c r="H1483" s="166"/>
      <c r="I1483" s="167"/>
      <c r="J1483" s="167"/>
      <c r="K1483" s="168"/>
      <c r="L1483" s="117"/>
      <c r="M1483" s="117"/>
      <c r="N1483" s="111"/>
      <c r="O1483" s="111"/>
      <c r="P1483" s="111"/>
      <c r="Q1483" s="111"/>
      <c r="R1483" s="108"/>
      <c r="S1483" s="110"/>
      <c r="T1483" s="108"/>
      <c r="U1483" s="111"/>
      <c r="V1483" s="112"/>
    </row>
    <row r="1484">
      <c r="B1484" s="27"/>
      <c r="C1484" s="27"/>
      <c r="D1484" s="165"/>
      <c r="E1484" s="66"/>
      <c r="F1484" s="27"/>
      <c r="G1484" s="166"/>
      <c r="H1484" s="166"/>
      <c r="I1484" s="167"/>
      <c r="J1484" s="167"/>
      <c r="K1484" s="168"/>
      <c r="L1484" s="117"/>
      <c r="M1484" s="117"/>
      <c r="N1484" s="111"/>
      <c r="O1484" s="111"/>
      <c r="P1484" s="111"/>
      <c r="Q1484" s="111"/>
      <c r="R1484" s="108"/>
      <c r="S1484" s="110"/>
      <c r="T1484" s="108"/>
      <c r="U1484" s="111"/>
      <c r="V1484" s="112"/>
    </row>
    <row r="1485">
      <c r="B1485" s="27"/>
      <c r="C1485" s="27"/>
      <c r="D1485" s="165"/>
      <c r="E1485" s="66"/>
      <c r="F1485" s="27"/>
      <c r="G1485" s="166"/>
      <c r="H1485" s="166"/>
      <c r="I1485" s="167"/>
      <c r="J1485" s="167"/>
      <c r="K1485" s="168"/>
      <c r="L1485" s="117"/>
      <c r="M1485" s="117"/>
      <c r="N1485" s="111"/>
      <c r="O1485" s="111"/>
      <c r="P1485" s="111"/>
      <c r="Q1485" s="111"/>
      <c r="R1485" s="108"/>
      <c r="S1485" s="110"/>
      <c r="T1485" s="108"/>
      <c r="U1485" s="111"/>
      <c r="V1485" s="112"/>
    </row>
    <row r="1486">
      <c r="B1486" s="27"/>
      <c r="C1486" s="27"/>
      <c r="D1486" s="165"/>
      <c r="E1486" s="66"/>
      <c r="F1486" s="27"/>
      <c r="G1486" s="166"/>
      <c r="H1486" s="166"/>
      <c r="I1486" s="167"/>
      <c r="J1486" s="167"/>
      <c r="K1486" s="168"/>
      <c r="L1486" s="117"/>
      <c r="M1486" s="117"/>
      <c r="N1486" s="111"/>
      <c r="O1486" s="111"/>
      <c r="P1486" s="111"/>
      <c r="Q1486" s="111"/>
      <c r="R1486" s="108"/>
      <c r="S1486" s="110"/>
      <c r="T1486" s="108"/>
      <c r="U1486" s="111"/>
      <c r="V1486" s="112"/>
    </row>
    <row r="1487">
      <c r="B1487" s="27"/>
      <c r="C1487" s="27"/>
      <c r="D1487" s="165"/>
      <c r="E1487" s="66"/>
      <c r="F1487" s="27"/>
      <c r="G1487" s="166"/>
      <c r="H1487" s="166"/>
      <c r="I1487" s="167"/>
      <c r="J1487" s="167"/>
      <c r="K1487" s="168"/>
      <c r="L1487" s="117"/>
      <c r="M1487" s="117"/>
      <c r="N1487" s="111"/>
      <c r="O1487" s="111"/>
      <c r="P1487" s="111"/>
      <c r="Q1487" s="111"/>
      <c r="R1487" s="108"/>
      <c r="S1487" s="110"/>
      <c r="T1487" s="108"/>
      <c r="U1487" s="111"/>
      <c r="V1487" s="112"/>
    </row>
    <row r="1488">
      <c r="B1488" s="27"/>
      <c r="C1488" s="27"/>
      <c r="D1488" s="165"/>
      <c r="E1488" s="66"/>
      <c r="F1488" s="27"/>
      <c r="G1488" s="166"/>
      <c r="H1488" s="166"/>
      <c r="I1488" s="167"/>
      <c r="J1488" s="167"/>
      <c r="K1488" s="168"/>
      <c r="L1488" s="117"/>
      <c r="M1488" s="117"/>
      <c r="N1488" s="111"/>
      <c r="O1488" s="111"/>
      <c r="P1488" s="111"/>
      <c r="Q1488" s="111"/>
      <c r="R1488" s="108"/>
      <c r="S1488" s="110"/>
      <c r="T1488" s="108"/>
      <c r="U1488" s="111"/>
      <c r="V1488" s="112"/>
    </row>
    <row r="1489">
      <c r="B1489" s="27"/>
      <c r="C1489" s="27"/>
      <c r="D1489" s="165"/>
      <c r="E1489" s="66"/>
      <c r="F1489" s="27"/>
      <c r="G1489" s="166"/>
      <c r="H1489" s="166"/>
      <c r="I1489" s="167"/>
      <c r="J1489" s="167"/>
      <c r="K1489" s="168"/>
      <c r="L1489" s="117"/>
      <c r="M1489" s="117"/>
      <c r="N1489" s="111"/>
      <c r="O1489" s="111"/>
      <c r="P1489" s="111"/>
      <c r="Q1489" s="111"/>
      <c r="R1489" s="108"/>
      <c r="S1489" s="110"/>
      <c r="T1489" s="108"/>
      <c r="U1489" s="111"/>
      <c r="V1489" s="112"/>
    </row>
    <row r="1490">
      <c r="B1490" s="27"/>
      <c r="C1490" s="27"/>
      <c r="D1490" s="165"/>
      <c r="E1490" s="66"/>
      <c r="F1490" s="27"/>
      <c r="G1490" s="166"/>
      <c r="H1490" s="166"/>
      <c r="I1490" s="167"/>
      <c r="J1490" s="167"/>
      <c r="K1490" s="168"/>
      <c r="L1490" s="117"/>
      <c r="M1490" s="117"/>
      <c r="N1490" s="111"/>
      <c r="O1490" s="111"/>
      <c r="P1490" s="111"/>
      <c r="Q1490" s="111"/>
      <c r="R1490" s="108"/>
      <c r="S1490" s="110"/>
      <c r="T1490" s="108"/>
      <c r="U1490" s="111"/>
      <c r="V1490" s="112"/>
    </row>
    <row r="1491">
      <c r="B1491" s="27"/>
      <c r="C1491" s="27"/>
      <c r="D1491" s="165"/>
      <c r="E1491" s="66"/>
      <c r="F1491" s="27"/>
      <c r="G1491" s="166"/>
      <c r="H1491" s="166"/>
      <c r="I1491" s="167"/>
      <c r="J1491" s="167"/>
      <c r="K1491" s="168"/>
      <c r="L1491" s="117"/>
      <c r="M1491" s="117"/>
      <c r="N1491" s="111"/>
      <c r="O1491" s="111"/>
      <c r="P1491" s="111"/>
      <c r="Q1491" s="111"/>
      <c r="R1491" s="108"/>
      <c r="S1491" s="110"/>
      <c r="T1491" s="108"/>
      <c r="U1491" s="111"/>
      <c r="V1491" s="112"/>
    </row>
    <row r="1492">
      <c r="B1492" s="27"/>
      <c r="C1492" s="27"/>
      <c r="D1492" s="165"/>
      <c r="E1492" s="66"/>
      <c r="F1492" s="27"/>
      <c r="G1492" s="166"/>
      <c r="H1492" s="166"/>
      <c r="I1492" s="167"/>
      <c r="J1492" s="167"/>
      <c r="K1492" s="168"/>
      <c r="L1492" s="117"/>
      <c r="M1492" s="117"/>
      <c r="N1492" s="111"/>
      <c r="O1492" s="111"/>
      <c r="P1492" s="111"/>
      <c r="Q1492" s="111"/>
      <c r="R1492" s="108"/>
      <c r="S1492" s="110"/>
      <c r="T1492" s="108"/>
      <c r="U1492" s="111"/>
      <c r="V1492" s="112"/>
    </row>
    <row r="1493">
      <c r="B1493" s="27"/>
      <c r="C1493" s="27"/>
      <c r="D1493" s="165"/>
      <c r="E1493" s="66"/>
      <c r="F1493" s="27"/>
      <c r="G1493" s="166"/>
      <c r="H1493" s="166"/>
      <c r="I1493" s="167"/>
      <c r="J1493" s="167"/>
      <c r="K1493" s="168"/>
      <c r="L1493" s="117"/>
      <c r="M1493" s="117"/>
      <c r="N1493" s="111"/>
      <c r="O1493" s="111"/>
      <c r="P1493" s="111"/>
      <c r="Q1493" s="111"/>
      <c r="R1493" s="108"/>
      <c r="S1493" s="110"/>
      <c r="T1493" s="108"/>
      <c r="U1493" s="111"/>
      <c r="V1493" s="112"/>
    </row>
    <row r="1494">
      <c r="B1494" s="27"/>
      <c r="C1494" s="27"/>
      <c r="D1494" s="165"/>
      <c r="E1494" s="66"/>
      <c r="F1494" s="27"/>
      <c r="G1494" s="166"/>
      <c r="H1494" s="166"/>
      <c r="I1494" s="167"/>
      <c r="J1494" s="167"/>
      <c r="K1494" s="168"/>
      <c r="L1494" s="117"/>
      <c r="M1494" s="117"/>
      <c r="N1494" s="111"/>
      <c r="O1494" s="111"/>
      <c r="P1494" s="111"/>
      <c r="Q1494" s="111"/>
      <c r="R1494" s="108"/>
      <c r="S1494" s="110"/>
      <c r="T1494" s="108"/>
      <c r="U1494" s="111"/>
      <c r="V1494" s="112"/>
    </row>
    <row r="1495">
      <c r="B1495" s="27"/>
      <c r="C1495" s="27"/>
      <c r="D1495" s="165"/>
      <c r="E1495" s="66"/>
      <c r="F1495" s="27"/>
      <c r="G1495" s="166"/>
      <c r="H1495" s="166"/>
      <c r="I1495" s="167"/>
      <c r="J1495" s="167"/>
      <c r="K1495" s="168"/>
      <c r="L1495" s="117"/>
      <c r="M1495" s="117"/>
      <c r="N1495" s="111"/>
      <c r="O1495" s="111"/>
      <c r="P1495" s="111"/>
      <c r="Q1495" s="111"/>
      <c r="R1495" s="108"/>
      <c r="S1495" s="110"/>
      <c r="T1495" s="108"/>
      <c r="U1495" s="111"/>
      <c r="V1495" s="112"/>
    </row>
    <row r="1496">
      <c r="B1496" s="27"/>
      <c r="C1496" s="27"/>
      <c r="D1496" s="165"/>
      <c r="E1496" s="66"/>
      <c r="F1496" s="27"/>
      <c r="G1496" s="166"/>
      <c r="H1496" s="166"/>
      <c r="I1496" s="167"/>
      <c r="J1496" s="167"/>
      <c r="K1496" s="168"/>
      <c r="L1496" s="117"/>
      <c r="M1496" s="117"/>
      <c r="N1496" s="111"/>
      <c r="O1496" s="111"/>
      <c r="P1496" s="111"/>
      <c r="Q1496" s="111"/>
      <c r="R1496" s="108"/>
      <c r="S1496" s="110"/>
      <c r="T1496" s="108"/>
      <c r="U1496" s="111"/>
      <c r="V1496" s="112"/>
    </row>
    <row r="1497">
      <c r="B1497" s="27"/>
      <c r="C1497" s="27"/>
      <c r="D1497" s="165"/>
      <c r="E1497" s="66"/>
      <c r="F1497" s="27"/>
      <c r="G1497" s="166"/>
      <c r="H1497" s="166"/>
      <c r="I1497" s="167"/>
      <c r="J1497" s="167"/>
      <c r="K1497" s="168"/>
      <c r="L1497" s="117"/>
      <c r="M1497" s="117"/>
      <c r="N1497" s="111"/>
      <c r="O1497" s="111"/>
      <c r="P1497" s="111"/>
      <c r="Q1497" s="111"/>
      <c r="R1497" s="108"/>
      <c r="S1497" s="110"/>
      <c r="T1497" s="108"/>
      <c r="U1497" s="111"/>
      <c r="V1497" s="112"/>
    </row>
    <row r="1498">
      <c r="B1498" s="27"/>
      <c r="C1498" s="27"/>
      <c r="D1498" s="165"/>
      <c r="E1498" s="66"/>
      <c r="F1498" s="27"/>
      <c r="G1498" s="166"/>
      <c r="H1498" s="166"/>
      <c r="I1498" s="167"/>
      <c r="J1498" s="167"/>
      <c r="K1498" s="168"/>
      <c r="L1498" s="117"/>
      <c r="M1498" s="117"/>
      <c r="N1498" s="111"/>
      <c r="O1498" s="111"/>
      <c r="P1498" s="111"/>
      <c r="Q1498" s="111"/>
      <c r="R1498" s="108"/>
      <c r="S1498" s="110"/>
      <c r="T1498" s="108"/>
      <c r="U1498" s="111"/>
      <c r="V1498" s="112"/>
    </row>
    <row r="1499">
      <c r="B1499" s="27"/>
      <c r="C1499" s="27"/>
      <c r="D1499" s="165"/>
      <c r="E1499" s="66"/>
      <c r="F1499" s="27"/>
      <c r="G1499" s="166"/>
      <c r="H1499" s="166"/>
      <c r="I1499" s="167"/>
      <c r="J1499" s="167"/>
      <c r="K1499" s="168"/>
      <c r="L1499" s="117"/>
      <c r="M1499" s="117"/>
      <c r="N1499" s="111"/>
      <c r="O1499" s="111"/>
      <c r="P1499" s="111"/>
      <c r="Q1499" s="111"/>
      <c r="R1499" s="108"/>
      <c r="S1499" s="110"/>
      <c r="T1499" s="108"/>
      <c r="U1499" s="111"/>
      <c r="V1499" s="112"/>
    </row>
    <row r="1500">
      <c r="B1500" s="27"/>
      <c r="C1500" s="27"/>
      <c r="D1500" s="165"/>
      <c r="E1500" s="66"/>
      <c r="F1500" s="27"/>
      <c r="G1500" s="166"/>
      <c r="H1500" s="166"/>
      <c r="I1500" s="167"/>
      <c r="J1500" s="167"/>
      <c r="K1500" s="168"/>
      <c r="L1500" s="117"/>
      <c r="M1500" s="117"/>
      <c r="N1500" s="111"/>
      <c r="O1500" s="111"/>
      <c r="P1500" s="111"/>
      <c r="Q1500" s="111"/>
      <c r="R1500" s="108"/>
      <c r="S1500" s="110"/>
      <c r="T1500" s="108"/>
      <c r="U1500" s="111"/>
      <c r="V1500" s="112"/>
    </row>
    <row r="1501">
      <c r="B1501" s="27"/>
      <c r="C1501" s="27"/>
      <c r="D1501" s="165"/>
      <c r="E1501" s="66"/>
      <c r="F1501" s="27"/>
      <c r="G1501" s="166"/>
      <c r="H1501" s="166"/>
      <c r="I1501" s="167"/>
      <c r="J1501" s="167"/>
      <c r="K1501" s="168"/>
      <c r="L1501" s="117"/>
      <c r="M1501" s="117"/>
      <c r="N1501" s="111"/>
      <c r="O1501" s="111"/>
      <c r="P1501" s="111"/>
      <c r="Q1501" s="111"/>
      <c r="R1501" s="108"/>
      <c r="S1501" s="110"/>
      <c r="T1501" s="108"/>
      <c r="U1501" s="111"/>
      <c r="V1501" s="112"/>
    </row>
    <row r="1502">
      <c r="B1502" s="27"/>
      <c r="C1502" s="27"/>
      <c r="D1502" s="165"/>
      <c r="E1502" s="66"/>
      <c r="F1502" s="27"/>
      <c r="G1502" s="166"/>
      <c r="H1502" s="166"/>
      <c r="I1502" s="167"/>
      <c r="J1502" s="167"/>
      <c r="K1502" s="168"/>
      <c r="L1502" s="117"/>
      <c r="M1502" s="117"/>
      <c r="N1502" s="111"/>
      <c r="O1502" s="111"/>
      <c r="P1502" s="111"/>
      <c r="Q1502" s="111"/>
      <c r="R1502" s="108"/>
      <c r="S1502" s="110"/>
      <c r="T1502" s="108"/>
      <c r="U1502" s="111"/>
      <c r="V1502" s="112"/>
    </row>
    <row r="1503">
      <c r="B1503" s="27"/>
      <c r="C1503" s="27"/>
      <c r="D1503" s="165"/>
      <c r="E1503" s="66"/>
      <c r="F1503" s="27"/>
      <c r="G1503" s="166"/>
      <c r="H1503" s="166"/>
      <c r="I1503" s="167"/>
      <c r="J1503" s="167"/>
      <c r="K1503" s="168"/>
      <c r="L1503" s="117"/>
      <c r="M1503" s="117"/>
      <c r="N1503" s="111"/>
      <c r="O1503" s="111"/>
      <c r="P1503" s="111"/>
      <c r="Q1503" s="111"/>
      <c r="R1503" s="108"/>
      <c r="S1503" s="110"/>
      <c r="T1503" s="108"/>
      <c r="U1503" s="111"/>
      <c r="V1503" s="112"/>
    </row>
    <row r="1504">
      <c r="B1504" s="27"/>
      <c r="C1504" s="27"/>
      <c r="D1504" s="165"/>
      <c r="E1504" s="66"/>
      <c r="F1504" s="27"/>
      <c r="G1504" s="166"/>
      <c r="H1504" s="166"/>
      <c r="I1504" s="167"/>
      <c r="J1504" s="167"/>
      <c r="K1504" s="168"/>
      <c r="L1504" s="117"/>
      <c r="M1504" s="117"/>
      <c r="N1504" s="111"/>
      <c r="O1504" s="111"/>
      <c r="P1504" s="111"/>
      <c r="Q1504" s="111"/>
      <c r="R1504" s="108"/>
      <c r="S1504" s="110"/>
      <c r="T1504" s="108"/>
      <c r="U1504" s="111"/>
      <c r="V1504" s="112"/>
    </row>
    <row r="1505">
      <c r="B1505" s="27"/>
      <c r="C1505" s="27"/>
      <c r="D1505" s="165"/>
      <c r="E1505" s="66"/>
      <c r="F1505" s="27"/>
      <c r="G1505" s="166"/>
      <c r="H1505" s="166"/>
      <c r="I1505" s="167"/>
      <c r="J1505" s="167"/>
      <c r="K1505" s="168"/>
      <c r="L1505" s="117"/>
      <c r="M1505" s="117"/>
      <c r="N1505" s="111"/>
      <c r="O1505" s="111"/>
      <c r="P1505" s="111"/>
      <c r="Q1505" s="111"/>
      <c r="R1505" s="108"/>
      <c r="S1505" s="110"/>
      <c r="T1505" s="108"/>
      <c r="U1505" s="111"/>
      <c r="V1505" s="112"/>
    </row>
    <row r="1506">
      <c r="B1506" s="27"/>
      <c r="C1506" s="27"/>
      <c r="D1506" s="165"/>
      <c r="E1506" s="66"/>
      <c r="F1506" s="27"/>
      <c r="G1506" s="166"/>
      <c r="H1506" s="166"/>
      <c r="I1506" s="167"/>
      <c r="J1506" s="167"/>
      <c r="K1506" s="168"/>
      <c r="L1506" s="117"/>
      <c r="M1506" s="117"/>
      <c r="N1506" s="111"/>
      <c r="O1506" s="111"/>
      <c r="P1506" s="111"/>
      <c r="Q1506" s="111"/>
      <c r="R1506" s="108"/>
      <c r="S1506" s="110"/>
      <c r="T1506" s="108"/>
      <c r="U1506" s="111"/>
      <c r="V1506" s="112"/>
    </row>
    <row r="1507">
      <c r="B1507" s="27"/>
      <c r="C1507" s="27"/>
      <c r="D1507" s="165"/>
      <c r="E1507" s="66"/>
      <c r="F1507" s="27"/>
      <c r="G1507" s="166"/>
      <c r="H1507" s="166"/>
      <c r="I1507" s="167"/>
      <c r="J1507" s="167"/>
      <c r="K1507" s="168"/>
      <c r="L1507" s="117"/>
      <c r="M1507" s="117"/>
      <c r="N1507" s="111"/>
      <c r="O1507" s="111"/>
      <c r="P1507" s="111"/>
      <c r="Q1507" s="111"/>
      <c r="R1507" s="108"/>
      <c r="S1507" s="110"/>
      <c r="T1507" s="108"/>
      <c r="U1507" s="111"/>
      <c r="V1507" s="112"/>
    </row>
    <row r="1508">
      <c r="B1508" s="27"/>
      <c r="C1508" s="27"/>
      <c r="D1508" s="165"/>
      <c r="E1508" s="66"/>
      <c r="F1508" s="27"/>
      <c r="G1508" s="166"/>
      <c r="H1508" s="166"/>
      <c r="I1508" s="167"/>
      <c r="J1508" s="167"/>
      <c r="K1508" s="168"/>
      <c r="L1508" s="117"/>
      <c r="M1508" s="117"/>
      <c r="N1508" s="111"/>
      <c r="O1508" s="111"/>
      <c r="P1508" s="111"/>
      <c r="Q1508" s="111"/>
      <c r="R1508" s="108"/>
      <c r="S1508" s="110"/>
      <c r="T1508" s="108"/>
      <c r="U1508" s="111"/>
      <c r="V1508" s="112"/>
    </row>
    <row r="1509">
      <c r="B1509" s="27"/>
      <c r="C1509" s="27"/>
      <c r="D1509" s="165"/>
      <c r="E1509" s="66"/>
      <c r="F1509" s="27"/>
      <c r="G1509" s="166"/>
      <c r="H1509" s="166"/>
      <c r="I1509" s="167"/>
      <c r="J1509" s="167"/>
      <c r="K1509" s="168"/>
      <c r="L1509" s="117"/>
      <c r="M1509" s="117"/>
      <c r="N1509" s="111"/>
      <c r="O1509" s="111"/>
      <c r="P1509" s="111"/>
      <c r="Q1509" s="111"/>
      <c r="R1509" s="108"/>
      <c r="S1509" s="110"/>
      <c r="T1509" s="108"/>
      <c r="U1509" s="111"/>
      <c r="V1509" s="112"/>
    </row>
    <row r="1510">
      <c r="B1510" s="27"/>
      <c r="C1510" s="27"/>
      <c r="D1510" s="165"/>
      <c r="E1510" s="66"/>
      <c r="F1510" s="27"/>
      <c r="G1510" s="166"/>
      <c r="H1510" s="166"/>
      <c r="I1510" s="167"/>
      <c r="J1510" s="167"/>
      <c r="K1510" s="168"/>
      <c r="L1510" s="117"/>
      <c r="M1510" s="117"/>
      <c r="N1510" s="111"/>
      <c r="O1510" s="111"/>
      <c r="P1510" s="111"/>
      <c r="Q1510" s="111"/>
      <c r="R1510" s="108"/>
      <c r="S1510" s="110"/>
      <c r="T1510" s="108"/>
      <c r="U1510" s="111"/>
      <c r="V1510" s="112"/>
    </row>
    <row r="1511">
      <c r="B1511" s="27"/>
      <c r="C1511" s="27"/>
      <c r="D1511" s="165"/>
      <c r="E1511" s="66"/>
      <c r="F1511" s="27"/>
      <c r="G1511" s="166"/>
      <c r="H1511" s="166"/>
      <c r="I1511" s="167"/>
      <c r="J1511" s="167"/>
      <c r="K1511" s="168"/>
      <c r="L1511" s="117"/>
      <c r="M1511" s="117"/>
      <c r="N1511" s="111"/>
      <c r="O1511" s="111"/>
      <c r="P1511" s="111"/>
      <c r="Q1511" s="111"/>
      <c r="R1511" s="108"/>
      <c r="S1511" s="110"/>
      <c r="T1511" s="108"/>
      <c r="U1511" s="111"/>
      <c r="V1511" s="112"/>
    </row>
    <row r="1512">
      <c r="B1512" s="27"/>
      <c r="C1512" s="27"/>
      <c r="D1512" s="165"/>
      <c r="E1512" s="66"/>
      <c r="F1512" s="27"/>
      <c r="G1512" s="166"/>
      <c r="H1512" s="166"/>
      <c r="I1512" s="167"/>
      <c r="J1512" s="167"/>
      <c r="K1512" s="168"/>
      <c r="L1512" s="117"/>
      <c r="M1512" s="117"/>
      <c r="N1512" s="111"/>
      <c r="O1512" s="111"/>
      <c r="P1512" s="111"/>
      <c r="Q1512" s="111"/>
      <c r="R1512" s="108"/>
      <c r="S1512" s="110"/>
      <c r="T1512" s="108"/>
      <c r="U1512" s="111"/>
      <c r="V1512" s="112"/>
    </row>
    <row r="1513">
      <c r="B1513" s="27"/>
      <c r="C1513" s="27"/>
      <c r="D1513" s="165"/>
      <c r="E1513" s="66"/>
      <c r="F1513" s="27"/>
      <c r="G1513" s="166"/>
      <c r="H1513" s="166"/>
      <c r="I1513" s="167"/>
      <c r="J1513" s="167"/>
      <c r="K1513" s="168"/>
      <c r="L1513" s="117"/>
      <c r="M1513" s="117"/>
      <c r="N1513" s="111"/>
      <c r="O1513" s="111"/>
      <c r="P1513" s="111"/>
      <c r="Q1513" s="111"/>
      <c r="R1513" s="108"/>
      <c r="S1513" s="110"/>
      <c r="T1513" s="108"/>
      <c r="U1513" s="111"/>
      <c r="V1513" s="112"/>
    </row>
    <row r="1514">
      <c r="B1514" s="27"/>
      <c r="C1514" s="27"/>
      <c r="D1514" s="165"/>
      <c r="E1514" s="66"/>
      <c r="F1514" s="27"/>
      <c r="G1514" s="166"/>
      <c r="H1514" s="166"/>
      <c r="I1514" s="167"/>
      <c r="J1514" s="167"/>
      <c r="K1514" s="168"/>
      <c r="L1514" s="117"/>
      <c r="M1514" s="117"/>
      <c r="N1514" s="111"/>
      <c r="O1514" s="111"/>
      <c r="P1514" s="111"/>
      <c r="Q1514" s="111"/>
      <c r="R1514" s="108"/>
      <c r="S1514" s="110"/>
      <c r="T1514" s="108"/>
      <c r="U1514" s="111"/>
      <c r="V1514" s="112"/>
    </row>
    <row r="1515">
      <c r="B1515" s="27"/>
      <c r="C1515" s="27"/>
      <c r="D1515" s="165"/>
      <c r="E1515" s="66"/>
      <c r="F1515" s="27"/>
      <c r="G1515" s="166"/>
      <c r="H1515" s="166"/>
      <c r="I1515" s="167"/>
      <c r="J1515" s="167"/>
      <c r="K1515" s="168"/>
      <c r="L1515" s="117"/>
      <c r="M1515" s="117"/>
      <c r="N1515" s="111"/>
      <c r="O1515" s="111"/>
      <c r="P1515" s="111"/>
      <c r="Q1515" s="111"/>
      <c r="R1515" s="108"/>
      <c r="S1515" s="110"/>
      <c r="T1515" s="108"/>
      <c r="U1515" s="111"/>
      <c r="V1515" s="112"/>
    </row>
    <row r="1516">
      <c r="B1516" s="27"/>
      <c r="C1516" s="27"/>
      <c r="D1516" s="165"/>
      <c r="E1516" s="66"/>
      <c r="F1516" s="27"/>
      <c r="G1516" s="166"/>
      <c r="H1516" s="166"/>
      <c r="I1516" s="167"/>
      <c r="J1516" s="167"/>
      <c r="K1516" s="168"/>
      <c r="L1516" s="117"/>
      <c r="M1516" s="117"/>
      <c r="N1516" s="111"/>
      <c r="O1516" s="111"/>
      <c r="P1516" s="111"/>
      <c r="Q1516" s="111"/>
      <c r="R1516" s="108"/>
      <c r="S1516" s="110"/>
      <c r="T1516" s="108"/>
      <c r="U1516" s="111"/>
      <c r="V1516" s="112"/>
    </row>
    <row r="1517">
      <c r="B1517" s="27"/>
      <c r="C1517" s="27"/>
      <c r="D1517" s="165"/>
      <c r="E1517" s="66"/>
      <c r="F1517" s="27"/>
      <c r="G1517" s="166"/>
      <c r="H1517" s="166"/>
      <c r="I1517" s="167"/>
      <c r="J1517" s="167"/>
      <c r="K1517" s="168"/>
      <c r="L1517" s="117"/>
      <c r="M1517" s="117"/>
      <c r="N1517" s="111"/>
      <c r="O1517" s="111"/>
      <c r="P1517" s="111"/>
      <c r="Q1517" s="111"/>
      <c r="R1517" s="108"/>
      <c r="S1517" s="110"/>
      <c r="T1517" s="108"/>
      <c r="U1517" s="111"/>
      <c r="V1517" s="112"/>
    </row>
    <row r="1518">
      <c r="B1518" s="27"/>
      <c r="C1518" s="27"/>
      <c r="D1518" s="165"/>
      <c r="E1518" s="66"/>
      <c r="F1518" s="27"/>
      <c r="G1518" s="166"/>
      <c r="H1518" s="166"/>
      <c r="I1518" s="167"/>
      <c r="J1518" s="167"/>
      <c r="K1518" s="168"/>
      <c r="L1518" s="117"/>
      <c r="M1518" s="117"/>
      <c r="N1518" s="111"/>
      <c r="O1518" s="111"/>
      <c r="P1518" s="111"/>
      <c r="Q1518" s="111"/>
      <c r="R1518" s="108"/>
      <c r="S1518" s="110"/>
      <c r="T1518" s="108"/>
      <c r="U1518" s="111"/>
      <c r="V1518" s="112"/>
    </row>
    <row r="1519">
      <c r="B1519" s="27"/>
      <c r="C1519" s="27"/>
      <c r="D1519" s="165"/>
      <c r="E1519" s="66"/>
      <c r="F1519" s="27"/>
      <c r="G1519" s="166"/>
      <c r="H1519" s="166"/>
      <c r="I1519" s="167"/>
      <c r="J1519" s="167"/>
      <c r="K1519" s="168"/>
      <c r="L1519" s="117"/>
      <c r="M1519" s="117"/>
      <c r="N1519" s="111"/>
      <c r="O1519" s="111"/>
      <c r="P1519" s="111"/>
      <c r="Q1519" s="111"/>
      <c r="R1519" s="108"/>
      <c r="S1519" s="110"/>
      <c r="T1519" s="108"/>
      <c r="U1519" s="111"/>
      <c r="V1519" s="112"/>
    </row>
    <row r="1520">
      <c r="B1520" s="27"/>
      <c r="C1520" s="27"/>
      <c r="D1520" s="165"/>
      <c r="E1520" s="66"/>
      <c r="F1520" s="27"/>
      <c r="G1520" s="166"/>
      <c r="H1520" s="166"/>
      <c r="I1520" s="167"/>
      <c r="J1520" s="167"/>
      <c r="K1520" s="168"/>
      <c r="L1520" s="117"/>
      <c r="M1520" s="117"/>
      <c r="N1520" s="111"/>
      <c r="O1520" s="111"/>
      <c r="P1520" s="111"/>
      <c r="Q1520" s="111"/>
      <c r="R1520" s="108"/>
      <c r="S1520" s="110"/>
      <c r="T1520" s="108"/>
      <c r="U1520" s="111"/>
      <c r="V1520" s="112"/>
    </row>
    <row r="1521">
      <c r="B1521" s="27"/>
      <c r="C1521" s="27"/>
      <c r="D1521" s="165"/>
      <c r="E1521" s="66"/>
      <c r="F1521" s="27"/>
      <c r="G1521" s="166"/>
      <c r="H1521" s="166"/>
      <c r="I1521" s="167"/>
      <c r="J1521" s="167"/>
      <c r="K1521" s="168"/>
      <c r="L1521" s="117"/>
      <c r="M1521" s="117"/>
      <c r="N1521" s="111"/>
      <c r="O1521" s="111"/>
      <c r="P1521" s="111"/>
      <c r="Q1521" s="111"/>
      <c r="R1521" s="108"/>
      <c r="S1521" s="110"/>
      <c r="T1521" s="108"/>
      <c r="U1521" s="111"/>
      <c r="V1521" s="112"/>
    </row>
    <row r="1522">
      <c r="B1522" s="27"/>
      <c r="C1522" s="27"/>
      <c r="D1522" s="165"/>
      <c r="E1522" s="66"/>
      <c r="F1522" s="27"/>
      <c r="G1522" s="166"/>
      <c r="H1522" s="166"/>
      <c r="I1522" s="167"/>
      <c r="J1522" s="167"/>
      <c r="K1522" s="168"/>
      <c r="L1522" s="117"/>
      <c r="M1522" s="117"/>
      <c r="N1522" s="111"/>
      <c r="O1522" s="111"/>
      <c r="P1522" s="111"/>
      <c r="Q1522" s="111"/>
      <c r="R1522" s="108"/>
      <c r="S1522" s="110"/>
      <c r="T1522" s="108"/>
      <c r="U1522" s="111"/>
      <c r="V1522" s="112"/>
    </row>
    <row r="1523">
      <c r="B1523" s="27"/>
      <c r="C1523" s="27"/>
      <c r="D1523" s="165"/>
      <c r="E1523" s="66"/>
      <c r="F1523" s="27"/>
      <c r="G1523" s="166"/>
      <c r="H1523" s="166"/>
      <c r="I1523" s="167"/>
      <c r="J1523" s="167"/>
      <c r="K1523" s="168"/>
      <c r="L1523" s="117"/>
      <c r="M1523" s="117"/>
      <c r="N1523" s="111"/>
      <c r="O1523" s="111"/>
      <c r="P1523" s="111"/>
      <c r="Q1523" s="111"/>
      <c r="R1523" s="108"/>
      <c r="S1523" s="110"/>
      <c r="T1523" s="108"/>
      <c r="U1523" s="111"/>
      <c r="V1523" s="112"/>
    </row>
    <row r="1524">
      <c r="B1524" s="27"/>
      <c r="C1524" s="27"/>
      <c r="D1524" s="165"/>
      <c r="E1524" s="66"/>
      <c r="F1524" s="27"/>
      <c r="G1524" s="166"/>
      <c r="H1524" s="166"/>
      <c r="I1524" s="167"/>
      <c r="J1524" s="167"/>
      <c r="K1524" s="168"/>
      <c r="L1524" s="117"/>
      <c r="M1524" s="117"/>
      <c r="N1524" s="111"/>
      <c r="O1524" s="111"/>
      <c r="P1524" s="111"/>
      <c r="Q1524" s="111"/>
      <c r="R1524" s="108"/>
      <c r="S1524" s="110"/>
      <c r="T1524" s="108"/>
      <c r="U1524" s="111"/>
      <c r="V1524" s="112"/>
    </row>
    <row r="1525">
      <c r="B1525" s="27"/>
      <c r="C1525" s="27"/>
      <c r="D1525" s="165"/>
      <c r="E1525" s="66"/>
      <c r="F1525" s="27"/>
      <c r="G1525" s="166"/>
      <c r="H1525" s="166"/>
      <c r="I1525" s="167"/>
      <c r="J1525" s="167"/>
      <c r="K1525" s="168"/>
      <c r="L1525" s="117"/>
      <c r="M1525" s="117"/>
      <c r="N1525" s="111"/>
      <c r="O1525" s="111"/>
      <c r="P1525" s="111"/>
      <c r="Q1525" s="111"/>
      <c r="R1525" s="108"/>
      <c r="S1525" s="110"/>
      <c r="T1525" s="108"/>
      <c r="U1525" s="111"/>
      <c r="V1525" s="112"/>
    </row>
    <row r="1526">
      <c r="B1526" s="27"/>
      <c r="C1526" s="27"/>
      <c r="D1526" s="165"/>
      <c r="E1526" s="66"/>
      <c r="F1526" s="27"/>
      <c r="G1526" s="166"/>
      <c r="H1526" s="166"/>
      <c r="I1526" s="167"/>
      <c r="J1526" s="167"/>
      <c r="K1526" s="168"/>
      <c r="L1526" s="117"/>
      <c r="M1526" s="117"/>
      <c r="N1526" s="111"/>
      <c r="O1526" s="111"/>
      <c r="P1526" s="111"/>
      <c r="Q1526" s="111"/>
      <c r="R1526" s="108"/>
      <c r="S1526" s="110"/>
      <c r="T1526" s="108"/>
      <c r="U1526" s="111"/>
      <c r="V1526" s="112"/>
    </row>
    <row r="1527">
      <c r="B1527" s="27"/>
      <c r="C1527" s="27"/>
      <c r="D1527" s="165"/>
      <c r="E1527" s="66"/>
      <c r="F1527" s="27"/>
      <c r="G1527" s="166"/>
      <c r="H1527" s="166"/>
      <c r="I1527" s="167"/>
      <c r="J1527" s="167"/>
      <c r="K1527" s="168"/>
      <c r="L1527" s="117"/>
      <c r="M1527" s="117"/>
      <c r="N1527" s="111"/>
      <c r="O1527" s="111"/>
      <c r="P1527" s="111"/>
      <c r="Q1527" s="111"/>
      <c r="R1527" s="108"/>
      <c r="S1527" s="110"/>
      <c r="T1527" s="108"/>
      <c r="U1527" s="111"/>
      <c r="V1527" s="112"/>
    </row>
    <row r="1528">
      <c r="B1528" s="27"/>
      <c r="C1528" s="27"/>
      <c r="D1528" s="165"/>
      <c r="E1528" s="66"/>
      <c r="F1528" s="27"/>
      <c r="G1528" s="166"/>
      <c r="H1528" s="166"/>
      <c r="I1528" s="167"/>
      <c r="J1528" s="167"/>
      <c r="K1528" s="168"/>
      <c r="L1528" s="117"/>
      <c r="M1528" s="117"/>
      <c r="N1528" s="111"/>
      <c r="O1528" s="111"/>
      <c r="P1528" s="111"/>
      <c r="Q1528" s="111"/>
      <c r="R1528" s="108"/>
      <c r="S1528" s="110"/>
      <c r="T1528" s="108"/>
      <c r="U1528" s="111"/>
      <c r="V1528" s="112"/>
    </row>
    <row r="1529">
      <c r="B1529" s="27"/>
      <c r="C1529" s="27"/>
      <c r="D1529" s="165"/>
      <c r="E1529" s="66"/>
      <c r="F1529" s="27"/>
      <c r="G1529" s="166"/>
      <c r="H1529" s="166"/>
      <c r="I1529" s="167"/>
      <c r="J1529" s="167"/>
      <c r="K1529" s="168"/>
      <c r="L1529" s="117"/>
      <c r="M1529" s="117"/>
      <c r="N1529" s="111"/>
      <c r="O1529" s="111"/>
      <c r="P1529" s="111"/>
      <c r="Q1529" s="111"/>
      <c r="R1529" s="108"/>
      <c r="S1529" s="110"/>
      <c r="T1529" s="108"/>
      <c r="U1529" s="111"/>
      <c r="V1529" s="112"/>
    </row>
    <row r="1530">
      <c r="B1530" s="27"/>
      <c r="C1530" s="27"/>
      <c r="D1530" s="165"/>
      <c r="E1530" s="66"/>
      <c r="F1530" s="27"/>
      <c r="G1530" s="166"/>
      <c r="H1530" s="166"/>
      <c r="I1530" s="167"/>
      <c r="J1530" s="167"/>
      <c r="K1530" s="168"/>
      <c r="L1530" s="117"/>
      <c r="M1530" s="117"/>
      <c r="N1530" s="111"/>
      <c r="O1530" s="111"/>
      <c r="P1530" s="111"/>
      <c r="Q1530" s="111"/>
      <c r="R1530" s="108"/>
      <c r="S1530" s="110"/>
      <c r="T1530" s="108"/>
      <c r="U1530" s="111"/>
      <c r="V1530" s="112"/>
    </row>
    <row r="1531">
      <c r="B1531" s="27"/>
      <c r="C1531" s="27"/>
      <c r="D1531" s="165"/>
      <c r="E1531" s="66"/>
      <c r="F1531" s="27"/>
      <c r="G1531" s="166"/>
      <c r="H1531" s="166"/>
      <c r="I1531" s="167"/>
      <c r="J1531" s="167"/>
      <c r="K1531" s="168"/>
      <c r="L1531" s="117"/>
      <c r="M1531" s="117"/>
      <c r="N1531" s="111"/>
      <c r="O1531" s="111"/>
      <c r="P1531" s="111"/>
      <c r="Q1531" s="111"/>
      <c r="R1531" s="108"/>
      <c r="S1531" s="110"/>
      <c r="T1531" s="108"/>
      <c r="U1531" s="111"/>
      <c r="V1531" s="112"/>
    </row>
    <row r="1532">
      <c r="B1532" s="27"/>
      <c r="C1532" s="27"/>
      <c r="D1532" s="165"/>
      <c r="E1532" s="66"/>
      <c r="F1532" s="27"/>
      <c r="G1532" s="166"/>
      <c r="H1532" s="166"/>
      <c r="I1532" s="167"/>
      <c r="J1532" s="167"/>
      <c r="K1532" s="168"/>
      <c r="L1532" s="117"/>
      <c r="M1532" s="117"/>
      <c r="N1532" s="111"/>
      <c r="O1532" s="111"/>
      <c r="P1532" s="111"/>
      <c r="Q1532" s="111"/>
      <c r="R1532" s="108"/>
      <c r="S1532" s="110"/>
      <c r="T1532" s="108"/>
      <c r="U1532" s="111"/>
      <c r="V1532" s="112"/>
    </row>
    <row r="1533">
      <c r="B1533" s="27"/>
      <c r="C1533" s="27"/>
      <c r="D1533" s="165"/>
      <c r="E1533" s="66"/>
      <c r="F1533" s="27"/>
      <c r="G1533" s="166"/>
      <c r="H1533" s="166"/>
      <c r="I1533" s="167"/>
      <c r="J1533" s="167"/>
      <c r="K1533" s="168"/>
      <c r="L1533" s="117"/>
      <c r="M1533" s="117"/>
      <c r="N1533" s="111"/>
      <c r="O1533" s="111"/>
      <c r="P1533" s="111"/>
      <c r="Q1533" s="111"/>
      <c r="R1533" s="108"/>
      <c r="S1533" s="110"/>
      <c r="T1533" s="108"/>
      <c r="U1533" s="111"/>
      <c r="V1533" s="112"/>
    </row>
    <row r="1534">
      <c r="B1534" s="27"/>
      <c r="C1534" s="27"/>
      <c r="D1534" s="165"/>
      <c r="E1534" s="66"/>
      <c r="F1534" s="27"/>
      <c r="G1534" s="166"/>
      <c r="H1534" s="166"/>
      <c r="I1534" s="167"/>
      <c r="J1534" s="167"/>
      <c r="K1534" s="168"/>
      <c r="L1534" s="117"/>
      <c r="M1534" s="117"/>
      <c r="N1534" s="111"/>
      <c r="O1534" s="111"/>
      <c r="P1534" s="111"/>
      <c r="Q1534" s="111"/>
      <c r="R1534" s="108"/>
      <c r="S1534" s="110"/>
      <c r="T1534" s="108"/>
      <c r="U1534" s="111"/>
      <c r="V1534" s="112"/>
    </row>
    <row r="1535">
      <c r="B1535" s="27"/>
      <c r="C1535" s="27"/>
      <c r="D1535" s="165"/>
      <c r="E1535" s="66"/>
      <c r="F1535" s="27"/>
      <c r="G1535" s="166"/>
      <c r="H1535" s="166"/>
      <c r="I1535" s="167"/>
      <c r="J1535" s="167"/>
      <c r="K1535" s="168"/>
      <c r="L1535" s="117"/>
      <c r="M1535" s="117"/>
      <c r="N1535" s="111"/>
      <c r="O1535" s="111"/>
      <c r="P1535" s="111"/>
      <c r="Q1535" s="111"/>
      <c r="R1535" s="108"/>
      <c r="S1535" s="110"/>
      <c r="T1535" s="108"/>
      <c r="U1535" s="111"/>
      <c r="V1535" s="112"/>
    </row>
    <row r="1536">
      <c r="B1536" s="27"/>
      <c r="C1536" s="27"/>
      <c r="D1536" s="165"/>
      <c r="E1536" s="66"/>
      <c r="F1536" s="27"/>
      <c r="G1536" s="166"/>
      <c r="H1536" s="166"/>
      <c r="I1536" s="167"/>
      <c r="J1536" s="167"/>
      <c r="K1536" s="168"/>
      <c r="L1536" s="117"/>
      <c r="M1536" s="117"/>
      <c r="N1536" s="111"/>
      <c r="O1536" s="111"/>
      <c r="P1536" s="111"/>
      <c r="Q1536" s="111"/>
      <c r="R1536" s="108"/>
      <c r="S1536" s="110"/>
      <c r="T1536" s="108"/>
      <c r="U1536" s="111"/>
      <c r="V1536" s="112"/>
    </row>
    <row r="1537">
      <c r="B1537" s="27"/>
      <c r="C1537" s="27"/>
      <c r="D1537" s="165"/>
      <c r="E1537" s="66"/>
      <c r="F1537" s="27"/>
      <c r="G1537" s="166"/>
      <c r="H1537" s="166"/>
      <c r="I1537" s="167"/>
      <c r="J1537" s="167"/>
      <c r="K1537" s="168"/>
      <c r="L1537" s="117"/>
      <c r="M1537" s="117"/>
      <c r="N1537" s="111"/>
      <c r="O1537" s="111"/>
      <c r="P1537" s="111"/>
      <c r="Q1537" s="111"/>
      <c r="R1537" s="108"/>
      <c r="S1537" s="110"/>
      <c r="T1537" s="108"/>
      <c r="U1537" s="111"/>
      <c r="V1537" s="112"/>
    </row>
    <row r="1538">
      <c r="B1538" s="27"/>
      <c r="C1538" s="27"/>
      <c r="D1538" s="165"/>
      <c r="E1538" s="66"/>
      <c r="F1538" s="27"/>
      <c r="G1538" s="166"/>
      <c r="H1538" s="166"/>
      <c r="I1538" s="167"/>
      <c r="J1538" s="167"/>
      <c r="K1538" s="168"/>
      <c r="L1538" s="117"/>
      <c r="M1538" s="117"/>
      <c r="N1538" s="111"/>
      <c r="O1538" s="111"/>
      <c r="P1538" s="111"/>
      <c r="Q1538" s="111"/>
      <c r="R1538" s="108"/>
      <c r="S1538" s="110"/>
      <c r="T1538" s="108"/>
      <c r="U1538" s="111"/>
      <c r="V1538" s="112"/>
    </row>
    <row r="1539">
      <c r="B1539" s="27"/>
      <c r="C1539" s="27"/>
      <c r="D1539" s="165"/>
      <c r="E1539" s="66"/>
      <c r="F1539" s="27"/>
      <c r="G1539" s="166"/>
      <c r="H1539" s="166"/>
      <c r="I1539" s="167"/>
      <c r="J1539" s="167"/>
      <c r="K1539" s="168"/>
      <c r="L1539" s="117"/>
      <c r="M1539" s="117"/>
      <c r="N1539" s="111"/>
      <c r="O1539" s="111"/>
      <c r="P1539" s="111"/>
      <c r="Q1539" s="111"/>
      <c r="R1539" s="108"/>
      <c r="S1539" s="110"/>
      <c r="T1539" s="108"/>
      <c r="U1539" s="111"/>
      <c r="V1539" s="112"/>
    </row>
    <row r="1540">
      <c r="B1540" s="27"/>
      <c r="C1540" s="27"/>
      <c r="D1540" s="165"/>
      <c r="E1540" s="66"/>
      <c r="F1540" s="27"/>
      <c r="G1540" s="166"/>
      <c r="H1540" s="166"/>
      <c r="I1540" s="167"/>
      <c r="J1540" s="167"/>
      <c r="K1540" s="168"/>
      <c r="L1540" s="117"/>
      <c r="M1540" s="117"/>
      <c r="N1540" s="111"/>
      <c r="O1540" s="111"/>
      <c r="P1540" s="111"/>
      <c r="Q1540" s="111"/>
      <c r="R1540" s="108"/>
      <c r="S1540" s="110"/>
      <c r="T1540" s="108"/>
      <c r="U1540" s="111"/>
      <c r="V1540" s="112"/>
    </row>
    <row r="1541">
      <c r="B1541" s="27"/>
      <c r="C1541" s="27"/>
      <c r="D1541" s="165"/>
      <c r="E1541" s="66"/>
      <c r="F1541" s="27"/>
      <c r="G1541" s="166"/>
      <c r="H1541" s="166"/>
      <c r="I1541" s="167"/>
      <c r="J1541" s="167"/>
      <c r="K1541" s="168"/>
      <c r="L1541" s="117"/>
      <c r="M1541" s="117"/>
      <c r="N1541" s="111"/>
      <c r="O1541" s="111"/>
      <c r="P1541" s="111"/>
      <c r="Q1541" s="111"/>
      <c r="R1541" s="108"/>
      <c r="S1541" s="110"/>
      <c r="T1541" s="108"/>
      <c r="U1541" s="111"/>
      <c r="V1541" s="112"/>
    </row>
    <row r="1542">
      <c r="B1542" s="27"/>
      <c r="C1542" s="27"/>
      <c r="D1542" s="165"/>
      <c r="E1542" s="66"/>
      <c r="F1542" s="27"/>
      <c r="G1542" s="166"/>
      <c r="H1542" s="166"/>
      <c r="I1542" s="167"/>
      <c r="J1542" s="167"/>
      <c r="K1542" s="168"/>
      <c r="L1542" s="117"/>
      <c r="M1542" s="117"/>
      <c r="N1542" s="111"/>
      <c r="O1542" s="111"/>
      <c r="P1542" s="111"/>
      <c r="Q1542" s="111"/>
      <c r="R1542" s="108"/>
      <c r="S1542" s="110"/>
      <c r="T1542" s="108"/>
      <c r="U1542" s="111"/>
      <c r="V1542" s="112"/>
    </row>
    <row r="1543">
      <c r="B1543" s="27"/>
      <c r="C1543" s="27"/>
      <c r="D1543" s="165"/>
      <c r="E1543" s="66"/>
      <c r="F1543" s="27"/>
      <c r="G1543" s="166"/>
      <c r="H1543" s="166"/>
      <c r="I1543" s="167"/>
      <c r="J1543" s="167"/>
      <c r="K1543" s="168"/>
      <c r="L1543" s="117"/>
      <c r="M1543" s="117"/>
      <c r="N1543" s="111"/>
      <c r="O1543" s="111"/>
      <c r="P1543" s="111"/>
      <c r="Q1543" s="111"/>
      <c r="R1543" s="108"/>
      <c r="S1543" s="110"/>
      <c r="T1543" s="108"/>
      <c r="U1543" s="111"/>
      <c r="V1543" s="112"/>
    </row>
    <row r="1544">
      <c r="B1544" s="27"/>
      <c r="C1544" s="27"/>
      <c r="D1544" s="165"/>
      <c r="E1544" s="66"/>
      <c r="F1544" s="27"/>
      <c r="G1544" s="166"/>
      <c r="H1544" s="166"/>
      <c r="I1544" s="167"/>
      <c r="J1544" s="167"/>
      <c r="K1544" s="168"/>
      <c r="L1544" s="117"/>
      <c r="M1544" s="117"/>
      <c r="N1544" s="111"/>
      <c r="O1544" s="111"/>
      <c r="P1544" s="111"/>
      <c r="Q1544" s="111"/>
      <c r="R1544" s="108"/>
      <c r="S1544" s="110"/>
      <c r="T1544" s="108"/>
      <c r="U1544" s="111"/>
      <c r="V1544" s="112"/>
    </row>
    <row r="1545">
      <c r="B1545" s="27"/>
      <c r="C1545" s="27"/>
      <c r="D1545" s="165"/>
      <c r="E1545" s="66"/>
      <c r="F1545" s="27"/>
      <c r="G1545" s="166"/>
      <c r="H1545" s="166"/>
      <c r="I1545" s="167"/>
      <c r="J1545" s="167"/>
      <c r="K1545" s="168"/>
      <c r="L1545" s="117"/>
      <c r="M1545" s="117"/>
      <c r="N1545" s="111"/>
      <c r="O1545" s="111"/>
      <c r="P1545" s="111"/>
      <c r="Q1545" s="111"/>
      <c r="R1545" s="108"/>
      <c r="S1545" s="110"/>
      <c r="T1545" s="108"/>
      <c r="U1545" s="111"/>
      <c r="V1545" s="112"/>
    </row>
    <row r="1546">
      <c r="B1546" s="27"/>
      <c r="C1546" s="27"/>
      <c r="D1546" s="165"/>
      <c r="E1546" s="66"/>
      <c r="F1546" s="27"/>
      <c r="G1546" s="166"/>
      <c r="H1546" s="166"/>
      <c r="I1546" s="167"/>
      <c r="J1546" s="167"/>
      <c r="K1546" s="168"/>
      <c r="L1546" s="117"/>
      <c r="M1546" s="117"/>
      <c r="N1546" s="111"/>
      <c r="O1546" s="111"/>
      <c r="P1546" s="111"/>
      <c r="Q1546" s="111"/>
      <c r="R1546" s="108"/>
      <c r="S1546" s="110"/>
      <c r="T1546" s="108"/>
      <c r="U1546" s="111"/>
      <c r="V1546" s="112"/>
    </row>
    <row r="1547">
      <c r="B1547" s="27"/>
      <c r="C1547" s="27"/>
      <c r="D1547" s="165"/>
      <c r="E1547" s="66"/>
      <c r="F1547" s="27"/>
      <c r="G1547" s="166"/>
      <c r="H1547" s="166"/>
      <c r="I1547" s="167"/>
      <c r="J1547" s="167"/>
      <c r="K1547" s="168"/>
      <c r="L1547" s="117"/>
      <c r="M1547" s="117"/>
      <c r="N1547" s="111"/>
      <c r="O1547" s="111"/>
      <c r="P1547" s="111"/>
      <c r="Q1547" s="111"/>
      <c r="R1547" s="108"/>
      <c r="S1547" s="110"/>
      <c r="T1547" s="108"/>
      <c r="U1547" s="111"/>
      <c r="V1547" s="112"/>
    </row>
    <row r="1548">
      <c r="B1548" s="27"/>
      <c r="C1548" s="27"/>
      <c r="D1548" s="165"/>
      <c r="E1548" s="66"/>
      <c r="F1548" s="27"/>
      <c r="G1548" s="166"/>
      <c r="H1548" s="166"/>
      <c r="I1548" s="167"/>
      <c r="J1548" s="167"/>
      <c r="K1548" s="168"/>
      <c r="L1548" s="117"/>
      <c r="M1548" s="117"/>
      <c r="N1548" s="111"/>
      <c r="O1548" s="111"/>
      <c r="P1548" s="111"/>
      <c r="Q1548" s="111"/>
      <c r="R1548" s="108"/>
      <c r="S1548" s="110"/>
      <c r="T1548" s="108"/>
      <c r="U1548" s="111"/>
      <c r="V1548" s="112"/>
    </row>
    <row r="1549">
      <c r="B1549" s="27"/>
      <c r="C1549" s="27"/>
      <c r="D1549" s="165"/>
      <c r="E1549" s="66"/>
      <c r="F1549" s="27"/>
      <c r="G1549" s="166"/>
      <c r="H1549" s="166"/>
      <c r="I1549" s="167"/>
      <c r="J1549" s="167"/>
      <c r="K1549" s="168"/>
      <c r="L1549" s="117"/>
      <c r="M1549" s="117"/>
      <c r="N1549" s="111"/>
      <c r="O1549" s="111"/>
      <c r="P1549" s="111"/>
      <c r="Q1549" s="111"/>
      <c r="R1549" s="108"/>
      <c r="S1549" s="110"/>
      <c r="T1549" s="108"/>
      <c r="U1549" s="111"/>
      <c r="V1549" s="112"/>
    </row>
    <row r="1550">
      <c r="B1550" s="27"/>
      <c r="C1550" s="27"/>
      <c r="D1550" s="165"/>
      <c r="E1550" s="66"/>
      <c r="F1550" s="27"/>
      <c r="G1550" s="166"/>
      <c r="H1550" s="166"/>
      <c r="I1550" s="167"/>
      <c r="J1550" s="167"/>
      <c r="K1550" s="168"/>
      <c r="L1550" s="117"/>
      <c r="M1550" s="117"/>
      <c r="N1550" s="111"/>
      <c r="O1550" s="111"/>
      <c r="P1550" s="111"/>
      <c r="Q1550" s="111"/>
      <c r="R1550" s="108"/>
      <c r="S1550" s="110"/>
      <c r="T1550" s="108"/>
      <c r="U1550" s="111"/>
      <c r="V1550" s="112"/>
    </row>
    <row r="1551">
      <c r="B1551" s="27"/>
      <c r="C1551" s="27"/>
      <c r="D1551" s="165"/>
      <c r="E1551" s="66"/>
      <c r="F1551" s="27"/>
      <c r="G1551" s="166"/>
      <c r="H1551" s="166"/>
      <c r="I1551" s="167"/>
      <c r="J1551" s="167"/>
      <c r="K1551" s="168"/>
      <c r="L1551" s="117"/>
      <c r="M1551" s="117"/>
      <c r="N1551" s="111"/>
      <c r="O1551" s="111"/>
      <c r="P1551" s="111"/>
      <c r="Q1551" s="111"/>
      <c r="R1551" s="108"/>
      <c r="S1551" s="110"/>
      <c r="T1551" s="108"/>
      <c r="U1551" s="111"/>
      <c r="V1551" s="112"/>
    </row>
    <row r="1552">
      <c r="B1552" s="27"/>
      <c r="C1552" s="27"/>
      <c r="D1552" s="165"/>
      <c r="E1552" s="66"/>
      <c r="F1552" s="27"/>
      <c r="G1552" s="166"/>
      <c r="H1552" s="166"/>
      <c r="I1552" s="167"/>
      <c r="J1552" s="167"/>
      <c r="K1552" s="168"/>
      <c r="L1552" s="117"/>
      <c r="M1552" s="117"/>
      <c r="N1552" s="111"/>
      <c r="O1552" s="111"/>
      <c r="P1552" s="111"/>
      <c r="Q1552" s="111"/>
      <c r="R1552" s="108"/>
      <c r="S1552" s="110"/>
      <c r="T1552" s="108"/>
      <c r="U1552" s="111"/>
      <c r="V1552" s="112"/>
    </row>
    <row r="1553">
      <c r="B1553" s="27"/>
      <c r="C1553" s="27"/>
      <c r="D1553" s="165"/>
      <c r="E1553" s="66"/>
      <c r="F1553" s="27"/>
      <c r="G1553" s="166"/>
      <c r="H1553" s="166"/>
      <c r="I1553" s="167"/>
      <c r="J1553" s="167"/>
      <c r="K1553" s="168"/>
      <c r="L1553" s="117"/>
      <c r="M1553" s="117"/>
      <c r="N1553" s="111"/>
      <c r="O1553" s="111"/>
      <c r="P1553" s="111"/>
      <c r="Q1553" s="111"/>
      <c r="R1553" s="108"/>
      <c r="S1553" s="110"/>
      <c r="T1553" s="108"/>
      <c r="U1553" s="111"/>
      <c r="V1553" s="112"/>
    </row>
    <row r="1554">
      <c r="B1554" s="27"/>
      <c r="C1554" s="27"/>
      <c r="D1554" s="165"/>
      <c r="E1554" s="66"/>
      <c r="F1554" s="27"/>
      <c r="G1554" s="166"/>
      <c r="H1554" s="166"/>
      <c r="I1554" s="167"/>
      <c r="J1554" s="167"/>
      <c r="K1554" s="168"/>
      <c r="L1554" s="117"/>
      <c r="M1554" s="117"/>
      <c r="N1554" s="111"/>
      <c r="O1554" s="111"/>
      <c r="P1554" s="111"/>
      <c r="Q1554" s="111"/>
      <c r="R1554" s="108"/>
      <c r="S1554" s="110"/>
      <c r="T1554" s="108"/>
      <c r="U1554" s="111"/>
      <c r="V1554" s="112"/>
    </row>
    <row r="1555">
      <c r="B1555" s="27"/>
      <c r="C1555" s="27"/>
      <c r="D1555" s="165"/>
      <c r="E1555" s="66"/>
      <c r="F1555" s="27"/>
      <c r="G1555" s="166"/>
      <c r="H1555" s="166"/>
      <c r="I1555" s="167"/>
      <c r="J1555" s="167"/>
      <c r="K1555" s="168"/>
      <c r="L1555" s="117"/>
      <c r="M1555" s="117"/>
      <c r="N1555" s="111"/>
      <c r="O1555" s="111"/>
      <c r="P1555" s="111"/>
      <c r="Q1555" s="111"/>
      <c r="R1555" s="108"/>
      <c r="S1555" s="110"/>
      <c r="T1555" s="108"/>
      <c r="U1555" s="111"/>
      <c r="V1555" s="112"/>
    </row>
    <row r="1556">
      <c r="B1556" s="27"/>
      <c r="C1556" s="27"/>
      <c r="D1556" s="165"/>
      <c r="E1556" s="66"/>
      <c r="F1556" s="27"/>
      <c r="G1556" s="166"/>
      <c r="H1556" s="166"/>
      <c r="I1556" s="167"/>
      <c r="J1556" s="167"/>
      <c r="K1556" s="168"/>
      <c r="L1556" s="117"/>
      <c r="M1556" s="117"/>
      <c r="N1556" s="111"/>
      <c r="O1556" s="111"/>
      <c r="P1556" s="111"/>
      <c r="Q1556" s="111"/>
      <c r="R1556" s="108"/>
      <c r="S1556" s="110"/>
      <c r="T1556" s="108"/>
      <c r="U1556" s="111"/>
      <c r="V1556" s="112"/>
    </row>
    <row r="1557">
      <c r="B1557" s="27"/>
      <c r="C1557" s="27"/>
      <c r="D1557" s="165"/>
      <c r="E1557" s="66"/>
      <c r="F1557" s="27"/>
      <c r="G1557" s="166"/>
      <c r="H1557" s="166"/>
      <c r="I1557" s="167"/>
      <c r="J1557" s="167"/>
      <c r="K1557" s="168"/>
      <c r="L1557" s="117"/>
      <c r="M1557" s="117"/>
      <c r="N1557" s="111"/>
      <c r="O1557" s="111"/>
      <c r="P1557" s="111"/>
      <c r="Q1557" s="111"/>
      <c r="R1557" s="108"/>
      <c r="S1557" s="110"/>
      <c r="T1557" s="108"/>
      <c r="U1557" s="111"/>
      <c r="V1557" s="112"/>
    </row>
    <row r="1558">
      <c r="B1558" s="27"/>
      <c r="C1558" s="27"/>
      <c r="D1558" s="165"/>
      <c r="E1558" s="66"/>
      <c r="F1558" s="27"/>
      <c r="G1558" s="166"/>
      <c r="H1558" s="166"/>
      <c r="I1558" s="167"/>
      <c r="J1558" s="167"/>
      <c r="K1558" s="168"/>
      <c r="L1558" s="117"/>
      <c r="M1558" s="117"/>
      <c r="N1558" s="111"/>
      <c r="O1558" s="111"/>
      <c r="P1558" s="111"/>
      <c r="Q1558" s="111"/>
      <c r="R1558" s="108"/>
      <c r="S1558" s="110"/>
      <c r="T1558" s="108"/>
      <c r="U1558" s="111"/>
      <c r="V1558" s="112"/>
    </row>
    <row r="1559">
      <c r="B1559" s="27"/>
      <c r="C1559" s="27"/>
      <c r="D1559" s="165"/>
      <c r="E1559" s="66"/>
      <c r="F1559" s="27"/>
      <c r="G1559" s="166"/>
      <c r="H1559" s="166"/>
      <c r="I1559" s="167"/>
      <c r="J1559" s="167"/>
      <c r="K1559" s="168"/>
      <c r="L1559" s="117"/>
      <c r="M1559" s="117"/>
      <c r="N1559" s="111"/>
      <c r="O1559" s="111"/>
      <c r="P1559" s="111"/>
      <c r="Q1559" s="111"/>
      <c r="R1559" s="108"/>
      <c r="S1559" s="110"/>
      <c r="T1559" s="108"/>
      <c r="U1559" s="111"/>
      <c r="V1559" s="112"/>
    </row>
    <row r="1560">
      <c r="B1560" s="27"/>
      <c r="C1560" s="27"/>
      <c r="D1560" s="165"/>
      <c r="E1560" s="66"/>
      <c r="F1560" s="27"/>
      <c r="G1560" s="166"/>
      <c r="H1560" s="166"/>
      <c r="I1560" s="167"/>
      <c r="J1560" s="167"/>
      <c r="K1560" s="168"/>
      <c r="L1560" s="117"/>
      <c r="M1560" s="117"/>
      <c r="N1560" s="111"/>
      <c r="O1560" s="111"/>
      <c r="P1560" s="111"/>
      <c r="Q1560" s="111"/>
      <c r="R1560" s="108"/>
      <c r="S1560" s="110"/>
      <c r="T1560" s="108"/>
      <c r="U1560" s="111"/>
      <c r="V1560" s="112"/>
    </row>
    <row r="1561">
      <c r="B1561" s="27"/>
      <c r="C1561" s="27"/>
      <c r="D1561" s="165"/>
      <c r="E1561" s="66"/>
      <c r="F1561" s="27"/>
      <c r="G1561" s="166"/>
      <c r="H1561" s="166"/>
      <c r="I1561" s="167"/>
      <c r="J1561" s="167"/>
      <c r="K1561" s="168"/>
      <c r="L1561" s="117"/>
      <c r="M1561" s="117"/>
      <c r="N1561" s="111"/>
      <c r="O1561" s="111"/>
      <c r="P1561" s="111"/>
      <c r="Q1561" s="111"/>
      <c r="R1561" s="108"/>
      <c r="S1561" s="110"/>
      <c r="T1561" s="108"/>
      <c r="U1561" s="111"/>
      <c r="V1561" s="112"/>
    </row>
    <row r="1562">
      <c r="B1562" s="27"/>
      <c r="C1562" s="27"/>
      <c r="D1562" s="165"/>
      <c r="E1562" s="66"/>
      <c r="F1562" s="27"/>
      <c r="G1562" s="166"/>
      <c r="H1562" s="166"/>
      <c r="I1562" s="167"/>
      <c r="J1562" s="167"/>
      <c r="K1562" s="168"/>
      <c r="L1562" s="117"/>
      <c r="M1562" s="117"/>
      <c r="N1562" s="111"/>
      <c r="O1562" s="111"/>
      <c r="P1562" s="111"/>
      <c r="Q1562" s="111"/>
      <c r="R1562" s="108"/>
      <c r="S1562" s="110"/>
      <c r="T1562" s="108"/>
      <c r="U1562" s="111"/>
      <c r="V1562" s="112"/>
    </row>
    <row r="1563">
      <c r="B1563" s="27"/>
      <c r="C1563" s="27"/>
      <c r="D1563" s="165"/>
      <c r="E1563" s="66"/>
      <c r="F1563" s="27"/>
      <c r="G1563" s="166"/>
      <c r="H1563" s="166"/>
      <c r="I1563" s="167"/>
      <c r="J1563" s="167"/>
      <c r="K1563" s="168"/>
      <c r="L1563" s="117"/>
      <c r="M1563" s="117"/>
      <c r="N1563" s="111"/>
      <c r="O1563" s="111"/>
      <c r="P1563" s="111"/>
      <c r="Q1563" s="111"/>
      <c r="R1563" s="108"/>
      <c r="S1563" s="110"/>
      <c r="T1563" s="108"/>
      <c r="U1563" s="111"/>
      <c r="V1563" s="112"/>
    </row>
    <row r="1564">
      <c r="B1564" s="27"/>
      <c r="C1564" s="27"/>
      <c r="D1564" s="165"/>
      <c r="E1564" s="66"/>
      <c r="F1564" s="27"/>
      <c r="G1564" s="166"/>
      <c r="H1564" s="166"/>
      <c r="I1564" s="167"/>
      <c r="J1564" s="167"/>
      <c r="K1564" s="168"/>
      <c r="L1564" s="117"/>
      <c r="M1564" s="117"/>
      <c r="N1564" s="111"/>
      <c r="O1564" s="111"/>
      <c r="P1564" s="111"/>
      <c r="Q1564" s="111"/>
      <c r="R1564" s="108"/>
      <c r="S1564" s="110"/>
      <c r="T1564" s="108"/>
      <c r="U1564" s="111"/>
      <c r="V1564" s="112"/>
    </row>
    <row r="1565">
      <c r="B1565" s="27"/>
      <c r="C1565" s="27"/>
      <c r="D1565" s="165"/>
      <c r="E1565" s="66"/>
      <c r="F1565" s="27"/>
      <c r="G1565" s="166"/>
      <c r="H1565" s="166"/>
      <c r="I1565" s="167"/>
      <c r="J1565" s="167"/>
      <c r="K1565" s="168"/>
      <c r="L1565" s="117"/>
      <c r="M1565" s="117"/>
      <c r="N1565" s="111"/>
      <c r="O1565" s="111"/>
      <c r="P1565" s="111"/>
      <c r="Q1565" s="111"/>
      <c r="R1565" s="108"/>
      <c r="S1565" s="110"/>
      <c r="T1565" s="108"/>
      <c r="U1565" s="111"/>
      <c r="V1565" s="112"/>
    </row>
    <row r="1566">
      <c r="B1566" s="27"/>
      <c r="C1566" s="27"/>
      <c r="D1566" s="165"/>
      <c r="E1566" s="66"/>
      <c r="F1566" s="27"/>
      <c r="G1566" s="166"/>
      <c r="H1566" s="166"/>
      <c r="I1566" s="167"/>
      <c r="J1566" s="167"/>
      <c r="K1566" s="168"/>
      <c r="L1566" s="117"/>
      <c r="M1566" s="117"/>
      <c r="N1566" s="111"/>
      <c r="O1566" s="111"/>
      <c r="P1566" s="111"/>
      <c r="Q1566" s="111"/>
      <c r="R1566" s="108"/>
      <c r="S1566" s="110"/>
      <c r="T1566" s="108"/>
      <c r="U1566" s="111"/>
      <c r="V1566" s="112"/>
    </row>
    <row r="1567">
      <c r="B1567" s="27"/>
      <c r="C1567" s="27"/>
      <c r="D1567" s="165"/>
      <c r="E1567" s="66"/>
      <c r="F1567" s="27"/>
      <c r="G1567" s="166"/>
      <c r="H1567" s="166"/>
      <c r="I1567" s="167"/>
      <c r="J1567" s="167"/>
      <c r="K1567" s="168"/>
      <c r="L1567" s="117"/>
      <c r="M1567" s="117"/>
      <c r="N1567" s="111"/>
      <c r="O1567" s="111"/>
      <c r="P1567" s="111"/>
      <c r="Q1567" s="111"/>
      <c r="R1567" s="108"/>
      <c r="S1567" s="110"/>
      <c r="T1567" s="108"/>
      <c r="U1567" s="111"/>
      <c r="V1567" s="112"/>
    </row>
    <row r="1568">
      <c r="B1568" s="27"/>
      <c r="C1568" s="27"/>
      <c r="D1568" s="165"/>
      <c r="E1568" s="66"/>
      <c r="F1568" s="27"/>
      <c r="G1568" s="166"/>
      <c r="H1568" s="166"/>
      <c r="I1568" s="167"/>
      <c r="J1568" s="167"/>
      <c r="K1568" s="168"/>
      <c r="L1568" s="117"/>
      <c r="M1568" s="117"/>
      <c r="N1568" s="111"/>
      <c r="O1568" s="111"/>
      <c r="P1568" s="111"/>
      <c r="Q1568" s="111"/>
      <c r="R1568" s="108"/>
      <c r="S1568" s="110"/>
      <c r="T1568" s="108"/>
      <c r="U1568" s="111"/>
      <c r="V1568" s="112"/>
    </row>
    <row r="1569">
      <c r="B1569" s="27"/>
      <c r="C1569" s="27"/>
      <c r="D1569" s="165"/>
      <c r="E1569" s="66"/>
      <c r="F1569" s="27"/>
      <c r="G1569" s="166"/>
      <c r="H1569" s="166"/>
      <c r="I1569" s="167"/>
      <c r="J1569" s="167"/>
      <c r="K1569" s="168"/>
      <c r="L1569" s="117"/>
      <c r="M1569" s="117"/>
      <c r="N1569" s="111"/>
      <c r="O1569" s="111"/>
      <c r="P1569" s="111"/>
      <c r="Q1569" s="111"/>
      <c r="R1569" s="108"/>
      <c r="S1569" s="110"/>
      <c r="T1569" s="108"/>
      <c r="U1569" s="111"/>
      <c r="V1569" s="112"/>
    </row>
    <row r="1570">
      <c r="B1570" s="27"/>
      <c r="C1570" s="27"/>
      <c r="D1570" s="165"/>
      <c r="E1570" s="66"/>
      <c r="F1570" s="27"/>
      <c r="G1570" s="166"/>
      <c r="H1570" s="166"/>
      <c r="I1570" s="167"/>
      <c r="J1570" s="167"/>
      <c r="K1570" s="168"/>
      <c r="L1570" s="117"/>
      <c r="M1570" s="117"/>
      <c r="N1570" s="111"/>
      <c r="O1570" s="111"/>
      <c r="P1570" s="111"/>
      <c r="Q1570" s="111"/>
      <c r="R1570" s="108"/>
      <c r="S1570" s="110"/>
      <c r="T1570" s="108"/>
      <c r="U1570" s="111"/>
      <c r="V1570" s="112"/>
    </row>
    <row r="1571">
      <c r="B1571" s="27"/>
      <c r="C1571" s="27"/>
      <c r="D1571" s="165"/>
      <c r="E1571" s="66"/>
      <c r="F1571" s="27"/>
      <c r="G1571" s="166"/>
      <c r="H1571" s="166"/>
      <c r="I1571" s="167"/>
      <c r="J1571" s="167"/>
      <c r="K1571" s="168"/>
      <c r="L1571" s="117"/>
      <c r="M1571" s="117"/>
      <c r="N1571" s="111"/>
      <c r="O1571" s="111"/>
      <c r="P1571" s="111"/>
      <c r="Q1571" s="111"/>
      <c r="R1571" s="108"/>
      <c r="S1571" s="110"/>
      <c r="T1571" s="108"/>
      <c r="U1571" s="111"/>
      <c r="V1571" s="112"/>
    </row>
    <row r="1572">
      <c r="B1572" s="27"/>
      <c r="C1572" s="27"/>
      <c r="D1572" s="165"/>
      <c r="E1572" s="66"/>
      <c r="F1572" s="27"/>
      <c r="G1572" s="166"/>
      <c r="H1572" s="166"/>
      <c r="I1572" s="167"/>
      <c r="J1572" s="167"/>
      <c r="K1572" s="168"/>
      <c r="L1572" s="117"/>
      <c r="M1572" s="117"/>
      <c r="N1572" s="111"/>
      <c r="O1572" s="111"/>
      <c r="P1572" s="111"/>
      <c r="Q1572" s="111"/>
      <c r="R1572" s="108"/>
      <c r="S1572" s="110"/>
      <c r="T1572" s="108"/>
      <c r="U1572" s="111"/>
      <c r="V1572" s="112"/>
    </row>
    <row r="1573">
      <c r="B1573" s="27"/>
      <c r="C1573" s="27"/>
      <c r="D1573" s="165"/>
      <c r="E1573" s="66"/>
      <c r="F1573" s="27"/>
      <c r="G1573" s="166"/>
      <c r="H1573" s="166"/>
      <c r="I1573" s="167"/>
      <c r="J1573" s="167"/>
      <c r="K1573" s="168"/>
      <c r="L1573" s="117"/>
      <c r="M1573" s="117"/>
      <c r="N1573" s="111"/>
      <c r="O1573" s="111"/>
      <c r="P1573" s="111"/>
      <c r="Q1573" s="111"/>
      <c r="R1573" s="108"/>
      <c r="S1573" s="110"/>
      <c r="T1573" s="108"/>
      <c r="U1573" s="111"/>
      <c r="V1573" s="112"/>
    </row>
    <row r="1574">
      <c r="B1574" s="27"/>
      <c r="C1574" s="27"/>
      <c r="D1574" s="165"/>
      <c r="E1574" s="66"/>
      <c r="F1574" s="27"/>
      <c r="G1574" s="166"/>
      <c r="H1574" s="166"/>
      <c r="I1574" s="167"/>
      <c r="J1574" s="167"/>
      <c r="K1574" s="168"/>
      <c r="L1574" s="117"/>
      <c r="M1574" s="117"/>
      <c r="N1574" s="111"/>
      <c r="O1574" s="111"/>
      <c r="P1574" s="111"/>
      <c r="Q1574" s="111"/>
      <c r="R1574" s="108"/>
      <c r="S1574" s="110"/>
      <c r="T1574" s="108"/>
      <c r="U1574" s="111"/>
      <c r="V1574" s="112"/>
    </row>
    <row r="1575">
      <c r="B1575" s="27"/>
      <c r="C1575" s="27"/>
      <c r="D1575" s="165"/>
      <c r="E1575" s="66"/>
      <c r="F1575" s="27"/>
      <c r="G1575" s="166"/>
      <c r="H1575" s="166"/>
      <c r="I1575" s="167"/>
      <c r="J1575" s="167"/>
      <c r="K1575" s="168"/>
      <c r="L1575" s="117"/>
      <c r="M1575" s="117"/>
      <c r="N1575" s="111"/>
      <c r="O1575" s="111"/>
      <c r="P1575" s="111"/>
      <c r="Q1575" s="111"/>
      <c r="R1575" s="108"/>
      <c r="S1575" s="110"/>
      <c r="T1575" s="108"/>
      <c r="U1575" s="111"/>
      <c r="V1575" s="112"/>
    </row>
    <row r="1576">
      <c r="B1576" s="27"/>
      <c r="C1576" s="27"/>
      <c r="D1576" s="165"/>
      <c r="E1576" s="66"/>
      <c r="F1576" s="27"/>
      <c r="G1576" s="166"/>
      <c r="H1576" s="166"/>
      <c r="I1576" s="167"/>
      <c r="J1576" s="167"/>
      <c r="K1576" s="168"/>
      <c r="L1576" s="117"/>
      <c r="M1576" s="117"/>
      <c r="N1576" s="111"/>
      <c r="O1576" s="111"/>
      <c r="P1576" s="111"/>
      <c r="Q1576" s="111"/>
      <c r="R1576" s="108"/>
      <c r="S1576" s="110"/>
      <c r="T1576" s="108"/>
      <c r="U1576" s="111"/>
      <c r="V1576" s="112"/>
    </row>
    <row r="1577">
      <c r="B1577" s="27"/>
      <c r="C1577" s="27"/>
      <c r="D1577" s="165"/>
      <c r="E1577" s="66"/>
      <c r="F1577" s="27"/>
      <c r="G1577" s="166"/>
      <c r="H1577" s="166"/>
      <c r="I1577" s="167"/>
      <c r="J1577" s="167"/>
      <c r="K1577" s="168"/>
      <c r="L1577" s="117"/>
      <c r="M1577" s="117"/>
      <c r="N1577" s="111"/>
      <c r="O1577" s="111"/>
      <c r="P1577" s="111"/>
      <c r="Q1577" s="111"/>
      <c r="R1577" s="108"/>
      <c r="S1577" s="110"/>
      <c r="T1577" s="108"/>
      <c r="U1577" s="111"/>
      <c r="V1577" s="112"/>
    </row>
    <row r="1578">
      <c r="B1578" s="27"/>
      <c r="C1578" s="27"/>
      <c r="D1578" s="165"/>
      <c r="E1578" s="66"/>
      <c r="F1578" s="27"/>
      <c r="G1578" s="166"/>
      <c r="H1578" s="166"/>
      <c r="I1578" s="167"/>
      <c r="J1578" s="167"/>
      <c r="K1578" s="168"/>
      <c r="L1578" s="117"/>
      <c r="M1578" s="117"/>
      <c r="N1578" s="111"/>
      <c r="O1578" s="111"/>
      <c r="P1578" s="111"/>
      <c r="Q1578" s="111"/>
      <c r="R1578" s="108"/>
      <c r="S1578" s="110"/>
      <c r="T1578" s="108"/>
      <c r="U1578" s="111"/>
      <c r="V1578" s="112"/>
    </row>
    <row r="1579">
      <c r="B1579" s="27"/>
      <c r="C1579" s="27"/>
      <c r="D1579" s="165"/>
      <c r="E1579" s="66"/>
      <c r="F1579" s="27"/>
      <c r="G1579" s="166"/>
      <c r="H1579" s="166"/>
      <c r="I1579" s="167"/>
      <c r="J1579" s="167"/>
      <c r="K1579" s="168"/>
      <c r="L1579" s="117"/>
      <c r="M1579" s="117"/>
      <c r="N1579" s="111"/>
      <c r="O1579" s="111"/>
      <c r="P1579" s="111"/>
      <c r="Q1579" s="111"/>
      <c r="R1579" s="108"/>
      <c r="S1579" s="110"/>
      <c r="T1579" s="108"/>
      <c r="U1579" s="111"/>
      <c r="V1579" s="112"/>
    </row>
    <row r="1580">
      <c r="B1580" s="27"/>
      <c r="C1580" s="27"/>
      <c r="D1580" s="165"/>
      <c r="E1580" s="66"/>
      <c r="F1580" s="27"/>
      <c r="G1580" s="166"/>
      <c r="H1580" s="166"/>
      <c r="I1580" s="167"/>
      <c r="J1580" s="167"/>
      <c r="K1580" s="168"/>
      <c r="L1580" s="117"/>
      <c r="M1580" s="117"/>
      <c r="N1580" s="111"/>
      <c r="O1580" s="111"/>
      <c r="P1580" s="111"/>
      <c r="Q1580" s="111"/>
      <c r="R1580" s="108"/>
      <c r="S1580" s="110"/>
      <c r="T1580" s="108"/>
      <c r="U1580" s="111"/>
      <c r="V1580" s="112"/>
    </row>
    <row r="1581">
      <c r="B1581" s="27"/>
      <c r="C1581" s="27"/>
      <c r="D1581" s="165"/>
      <c r="E1581" s="66"/>
      <c r="F1581" s="27"/>
      <c r="G1581" s="166"/>
      <c r="H1581" s="166"/>
      <c r="I1581" s="167"/>
      <c r="J1581" s="167"/>
      <c r="K1581" s="168"/>
      <c r="L1581" s="117"/>
      <c r="M1581" s="117"/>
      <c r="N1581" s="111"/>
      <c r="O1581" s="111"/>
      <c r="P1581" s="111"/>
      <c r="Q1581" s="111"/>
      <c r="R1581" s="108"/>
      <c r="S1581" s="110"/>
      <c r="T1581" s="108"/>
      <c r="U1581" s="111"/>
      <c r="V1581" s="112"/>
    </row>
    <row r="1582">
      <c r="B1582" s="27"/>
      <c r="C1582" s="27"/>
      <c r="D1582" s="165"/>
      <c r="E1582" s="66"/>
      <c r="F1582" s="27"/>
      <c r="G1582" s="166"/>
      <c r="H1582" s="166"/>
      <c r="I1582" s="167"/>
      <c r="J1582" s="167"/>
      <c r="K1582" s="168"/>
      <c r="L1582" s="117"/>
      <c r="M1582" s="117"/>
      <c r="N1582" s="111"/>
      <c r="O1582" s="111"/>
      <c r="P1582" s="111"/>
      <c r="Q1582" s="111"/>
      <c r="R1582" s="108"/>
      <c r="S1582" s="110"/>
      <c r="T1582" s="108"/>
      <c r="U1582" s="111"/>
      <c r="V1582" s="112"/>
    </row>
    <row r="1583">
      <c r="B1583" s="27"/>
      <c r="C1583" s="27"/>
      <c r="D1583" s="165"/>
      <c r="E1583" s="66"/>
      <c r="F1583" s="27"/>
      <c r="G1583" s="166"/>
      <c r="H1583" s="166"/>
      <c r="I1583" s="167"/>
      <c r="J1583" s="167"/>
      <c r="K1583" s="168"/>
      <c r="L1583" s="117"/>
      <c r="M1583" s="117"/>
      <c r="N1583" s="111"/>
      <c r="O1583" s="111"/>
      <c r="P1583" s="111"/>
      <c r="Q1583" s="111"/>
      <c r="R1583" s="108"/>
      <c r="S1583" s="110"/>
      <c r="T1583" s="108"/>
      <c r="U1583" s="111"/>
      <c r="V1583" s="112"/>
    </row>
    <row r="1584">
      <c r="B1584" s="27"/>
      <c r="C1584" s="27"/>
      <c r="D1584" s="165"/>
      <c r="E1584" s="66"/>
      <c r="F1584" s="27"/>
      <c r="G1584" s="166"/>
      <c r="H1584" s="166"/>
      <c r="I1584" s="167"/>
      <c r="J1584" s="167"/>
      <c r="K1584" s="168"/>
      <c r="L1584" s="117"/>
      <c r="M1584" s="117"/>
      <c r="N1584" s="111"/>
      <c r="O1584" s="111"/>
      <c r="P1584" s="111"/>
      <c r="Q1584" s="111"/>
      <c r="R1584" s="108"/>
      <c r="S1584" s="110"/>
      <c r="T1584" s="108"/>
      <c r="U1584" s="111"/>
      <c r="V1584" s="112"/>
    </row>
    <row r="1585">
      <c r="B1585" s="27"/>
      <c r="C1585" s="27"/>
      <c r="D1585" s="165"/>
      <c r="E1585" s="66"/>
      <c r="F1585" s="27"/>
      <c r="G1585" s="166"/>
      <c r="H1585" s="166"/>
      <c r="I1585" s="167"/>
      <c r="J1585" s="167"/>
      <c r="K1585" s="168"/>
      <c r="L1585" s="117"/>
      <c r="M1585" s="117"/>
      <c r="N1585" s="111"/>
      <c r="O1585" s="111"/>
      <c r="P1585" s="111"/>
      <c r="Q1585" s="111"/>
      <c r="R1585" s="108"/>
      <c r="S1585" s="110"/>
      <c r="T1585" s="108"/>
      <c r="U1585" s="111"/>
      <c r="V1585" s="112"/>
    </row>
    <row r="1586">
      <c r="B1586" s="27"/>
      <c r="C1586" s="27"/>
      <c r="D1586" s="165"/>
      <c r="E1586" s="66"/>
      <c r="F1586" s="27"/>
      <c r="G1586" s="166"/>
      <c r="H1586" s="166"/>
      <c r="I1586" s="167"/>
      <c r="J1586" s="167"/>
      <c r="K1586" s="168"/>
      <c r="L1586" s="117"/>
      <c r="M1586" s="117"/>
      <c r="N1586" s="111"/>
      <c r="O1586" s="111"/>
      <c r="P1586" s="111"/>
      <c r="Q1586" s="111"/>
      <c r="R1586" s="108"/>
      <c r="S1586" s="110"/>
      <c r="T1586" s="108"/>
      <c r="U1586" s="111"/>
      <c r="V1586" s="112"/>
    </row>
    <row r="1587">
      <c r="B1587" s="27"/>
      <c r="C1587" s="27"/>
      <c r="D1587" s="165"/>
      <c r="E1587" s="66"/>
      <c r="F1587" s="27"/>
      <c r="G1587" s="166"/>
      <c r="H1587" s="166"/>
      <c r="I1587" s="167"/>
      <c r="J1587" s="167"/>
      <c r="K1587" s="168"/>
      <c r="L1587" s="117"/>
      <c r="M1587" s="117"/>
      <c r="N1587" s="111"/>
      <c r="O1587" s="111"/>
      <c r="P1587" s="111"/>
      <c r="Q1587" s="111"/>
      <c r="R1587" s="108"/>
      <c r="S1587" s="110"/>
      <c r="T1587" s="108"/>
      <c r="U1587" s="111"/>
      <c r="V1587" s="112"/>
    </row>
    <row r="1588">
      <c r="B1588" s="27"/>
      <c r="C1588" s="27"/>
      <c r="D1588" s="165"/>
      <c r="E1588" s="66"/>
      <c r="F1588" s="27"/>
      <c r="G1588" s="166"/>
      <c r="H1588" s="166"/>
      <c r="I1588" s="167"/>
      <c r="J1588" s="167"/>
      <c r="K1588" s="168"/>
      <c r="L1588" s="117"/>
      <c r="M1588" s="117"/>
      <c r="N1588" s="111"/>
      <c r="O1588" s="111"/>
      <c r="P1588" s="111"/>
      <c r="Q1588" s="111"/>
      <c r="R1588" s="108"/>
      <c r="S1588" s="110"/>
      <c r="T1588" s="108"/>
      <c r="U1588" s="111"/>
      <c r="V1588" s="112"/>
    </row>
    <row r="1589">
      <c r="B1589" s="27"/>
      <c r="C1589" s="27"/>
      <c r="D1589" s="165"/>
      <c r="E1589" s="66"/>
      <c r="F1589" s="27"/>
      <c r="G1589" s="166"/>
      <c r="H1589" s="166"/>
      <c r="I1589" s="167"/>
      <c r="J1589" s="167"/>
      <c r="K1589" s="168"/>
      <c r="L1589" s="117"/>
      <c r="M1589" s="117"/>
      <c r="N1589" s="111"/>
      <c r="O1589" s="111"/>
      <c r="P1589" s="111"/>
      <c r="Q1589" s="111"/>
      <c r="R1589" s="108"/>
      <c r="S1589" s="110"/>
      <c r="T1589" s="108"/>
      <c r="U1589" s="111"/>
      <c r="V1589" s="112"/>
    </row>
    <row r="1590">
      <c r="B1590" s="27"/>
      <c r="C1590" s="27"/>
      <c r="D1590" s="165"/>
      <c r="E1590" s="66"/>
      <c r="F1590" s="27"/>
      <c r="G1590" s="166"/>
      <c r="H1590" s="166"/>
      <c r="I1590" s="167"/>
      <c r="J1590" s="167"/>
      <c r="K1590" s="168"/>
      <c r="L1590" s="117"/>
      <c r="M1590" s="117"/>
      <c r="N1590" s="111"/>
      <c r="O1590" s="111"/>
      <c r="P1590" s="111"/>
      <c r="Q1590" s="111"/>
      <c r="R1590" s="108"/>
      <c r="S1590" s="110"/>
      <c r="T1590" s="108"/>
      <c r="U1590" s="111"/>
      <c r="V1590" s="112"/>
    </row>
    <row r="1591">
      <c r="B1591" s="27"/>
      <c r="C1591" s="27"/>
      <c r="D1591" s="165"/>
      <c r="E1591" s="66"/>
      <c r="F1591" s="27"/>
      <c r="G1591" s="166"/>
      <c r="H1591" s="166"/>
      <c r="I1591" s="167"/>
      <c r="J1591" s="167"/>
      <c r="K1591" s="168"/>
      <c r="L1591" s="117"/>
      <c r="M1591" s="117"/>
      <c r="N1591" s="111"/>
      <c r="O1591" s="111"/>
      <c r="P1591" s="111"/>
      <c r="Q1591" s="111"/>
      <c r="R1591" s="108"/>
      <c r="S1591" s="110"/>
      <c r="T1591" s="108"/>
      <c r="U1591" s="111"/>
      <c r="V1591" s="112"/>
    </row>
    <row r="1592">
      <c r="B1592" s="27"/>
      <c r="C1592" s="27"/>
      <c r="D1592" s="165"/>
      <c r="E1592" s="66"/>
      <c r="F1592" s="27"/>
      <c r="G1592" s="166"/>
      <c r="H1592" s="166"/>
      <c r="I1592" s="167"/>
      <c r="J1592" s="167"/>
      <c r="K1592" s="168"/>
      <c r="L1592" s="117"/>
      <c r="M1592" s="117"/>
      <c r="N1592" s="111"/>
      <c r="O1592" s="111"/>
      <c r="P1592" s="111"/>
      <c r="Q1592" s="111"/>
      <c r="R1592" s="108"/>
      <c r="S1592" s="110"/>
      <c r="T1592" s="108"/>
      <c r="U1592" s="111"/>
      <c r="V1592" s="112"/>
    </row>
    <row r="1593">
      <c r="B1593" s="27"/>
      <c r="C1593" s="27"/>
      <c r="D1593" s="165"/>
      <c r="E1593" s="66"/>
      <c r="F1593" s="27"/>
      <c r="G1593" s="166"/>
      <c r="H1593" s="166"/>
      <c r="I1593" s="167"/>
      <c r="J1593" s="167"/>
      <c r="K1593" s="168"/>
      <c r="L1593" s="117"/>
      <c r="M1593" s="117"/>
      <c r="N1593" s="111"/>
      <c r="O1593" s="111"/>
      <c r="P1593" s="111"/>
      <c r="Q1593" s="111"/>
      <c r="R1593" s="108"/>
      <c r="S1593" s="110"/>
      <c r="T1593" s="108"/>
      <c r="U1593" s="111"/>
      <c r="V1593" s="112"/>
    </row>
    <row r="1594">
      <c r="B1594" s="27"/>
      <c r="C1594" s="27"/>
      <c r="D1594" s="165"/>
      <c r="E1594" s="66"/>
      <c r="F1594" s="27"/>
      <c r="G1594" s="166"/>
      <c r="H1594" s="166"/>
      <c r="I1594" s="167"/>
      <c r="J1594" s="167"/>
      <c r="K1594" s="168"/>
      <c r="L1594" s="117"/>
      <c r="M1594" s="117"/>
      <c r="N1594" s="111"/>
      <c r="O1594" s="111"/>
      <c r="P1594" s="111"/>
      <c r="Q1594" s="111"/>
      <c r="R1594" s="108"/>
      <c r="S1594" s="110"/>
      <c r="T1594" s="108"/>
      <c r="U1594" s="111"/>
      <c r="V1594" s="112"/>
    </row>
    <row r="1595">
      <c r="B1595" s="27"/>
      <c r="C1595" s="27"/>
      <c r="D1595" s="165"/>
      <c r="E1595" s="66"/>
      <c r="F1595" s="27"/>
      <c r="G1595" s="166"/>
      <c r="H1595" s="166"/>
      <c r="I1595" s="167"/>
      <c r="J1595" s="167"/>
      <c r="K1595" s="168"/>
      <c r="L1595" s="117"/>
      <c r="M1595" s="117"/>
      <c r="N1595" s="111"/>
      <c r="O1595" s="111"/>
      <c r="P1595" s="111"/>
      <c r="Q1595" s="111"/>
      <c r="R1595" s="108"/>
      <c r="S1595" s="110"/>
      <c r="T1595" s="108"/>
      <c r="U1595" s="111"/>
      <c r="V1595" s="112"/>
    </row>
    <row r="1596">
      <c r="B1596" s="27"/>
      <c r="C1596" s="27"/>
      <c r="D1596" s="165"/>
      <c r="E1596" s="66"/>
      <c r="F1596" s="27"/>
      <c r="G1596" s="166"/>
      <c r="H1596" s="166"/>
      <c r="I1596" s="167"/>
      <c r="J1596" s="167"/>
      <c r="K1596" s="168"/>
      <c r="L1596" s="117"/>
      <c r="M1596" s="117"/>
      <c r="N1596" s="111"/>
      <c r="O1596" s="111"/>
      <c r="P1596" s="111"/>
      <c r="Q1596" s="111"/>
      <c r="R1596" s="108"/>
      <c r="S1596" s="110"/>
      <c r="T1596" s="108"/>
      <c r="U1596" s="111"/>
      <c r="V1596" s="112"/>
    </row>
    <row r="1597">
      <c r="B1597" s="27"/>
      <c r="C1597" s="27"/>
      <c r="D1597" s="165"/>
      <c r="E1597" s="66"/>
      <c r="F1597" s="27"/>
      <c r="G1597" s="166"/>
      <c r="H1597" s="166"/>
      <c r="I1597" s="167"/>
      <c r="J1597" s="167"/>
      <c r="K1597" s="168"/>
      <c r="L1597" s="117"/>
      <c r="M1597" s="117"/>
      <c r="N1597" s="111"/>
      <c r="O1597" s="111"/>
      <c r="P1597" s="111"/>
      <c r="Q1597" s="111"/>
      <c r="R1597" s="108"/>
      <c r="S1597" s="110"/>
      <c r="T1597" s="108"/>
      <c r="U1597" s="111"/>
      <c r="V1597" s="112"/>
    </row>
    <row r="1598">
      <c r="B1598" s="27"/>
      <c r="C1598" s="27"/>
      <c r="D1598" s="165"/>
      <c r="E1598" s="66"/>
      <c r="F1598" s="27"/>
      <c r="G1598" s="166"/>
      <c r="H1598" s="166"/>
      <c r="I1598" s="167"/>
      <c r="J1598" s="167"/>
      <c r="K1598" s="168"/>
      <c r="L1598" s="117"/>
      <c r="M1598" s="117"/>
      <c r="N1598" s="111"/>
      <c r="O1598" s="111"/>
      <c r="P1598" s="111"/>
      <c r="Q1598" s="111"/>
      <c r="R1598" s="108"/>
      <c r="S1598" s="110"/>
      <c r="T1598" s="108"/>
      <c r="U1598" s="111"/>
      <c r="V1598" s="112"/>
    </row>
    <row r="1599">
      <c r="B1599" s="27"/>
      <c r="C1599" s="27"/>
      <c r="D1599" s="165"/>
      <c r="E1599" s="66"/>
      <c r="F1599" s="27"/>
      <c r="G1599" s="166"/>
      <c r="H1599" s="166"/>
      <c r="I1599" s="167"/>
      <c r="J1599" s="167"/>
      <c r="K1599" s="168"/>
      <c r="L1599" s="117"/>
      <c r="M1599" s="117"/>
      <c r="N1599" s="111"/>
      <c r="O1599" s="111"/>
      <c r="P1599" s="111"/>
      <c r="Q1599" s="111"/>
      <c r="R1599" s="108"/>
      <c r="S1599" s="110"/>
      <c r="T1599" s="108"/>
      <c r="U1599" s="111"/>
      <c r="V1599" s="112"/>
    </row>
    <row r="1600">
      <c r="B1600" s="27"/>
      <c r="C1600" s="27"/>
      <c r="D1600" s="165"/>
      <c r="E1600" s="66"/>
      <c r="F1600" s="27"/>
      <c r="G1600" s="166"/>
      <c r="H1600" s="166"/>
      <c r="I1600" s="167"/>
      <c r="J1600" s="167"/>
      <c r="K1600" s="168"/>
      <c r="L1600" s="117"/>
      <c r="M1600" s="117"/>
      <c r="N1600" s="111"/>
      <c r="O1600" s="111"/>
      <c r="P1600" s="111"/>
      <c r="Q1600" s="111"/>
      <c r="R1600" s="108"/>
      <c r="S1600" s="110"/>
      <c r="T1600" s="108"/>
      <c r="U1600" s="111"/>
      <c r="V1600" s="112"/>
    </row>
    <row r="1601">
      <c r="B1601" s="27"/>
      <c r="C1601" s="27"/>
      <c r="D1601" s="165"/>
      <c r="E1601" s="66"/>
      <c r="F1601" s="27"/>
      <c r="G1601" s="166"/>
      <c r="H1601" s="166"/>
      <c r="I1601" s="167"/>
      <c r="J1601" s="167"/>
      <c r="K1601" s="168"/>
      <c r="L1601" s="117"/>
      <c r="M1601" s="117"/>
      <c r="N1601" s="111"/>
      <c r="O1601" s="111"/>
      <c r="P1601" s="111"/>
      <c r="Q1601" s="111"/>
      <c r="R1601" s="108"/>
      <c r="S1601" s="110"/>
      <c r="T1601" s="108"/>
      <c r="U1601" s="111"/>
      <c r="V1601" s="112"/>
    </row>
    <row r="1602">
      <c r="B1602" s="27"/>
      <c r="C1602" s="27"/>
      <c r="D1602" s="165"/>
      <c r="E1602" s="66"/>
      <c r="F1602" s="27"/>
      <c r="G1602" s="166"/>
      <c r="H1602" s="166"/>
      <c r="I1602" s="167"/>
      <c r="J1602" s="167"/>
      <c r="K1602" s="168"/>
      <c r="L1602" s="117"/>
      <c r="M1602" s="117"/>
      <c r="N1602" s="111"/>
      <c r="O1602" s="111"/>
      <c r="P1602" s="111"/>
      <c r="Q1602" s="111"/>
      <c r="R1602" s="108"/>
      <c r="S1602" s="110"/>
      <c r="T1602" s="108"/>
      <c r="U1602" s="111"/>
      <c r="V1602" s="112"/>
    </row>
    <row r="1603">
      <c r="B1603" s="27"/>
      <c r="C1603" s="27"/>
      <c r="D1603" s="165"/>
      <c r="E1603" s="66"/>
      <c r="F1603" s="27"/>
      <c r="G1603" s="166"/>
      <c r="H1603" s="166"/>
      <c r="I1603" s="167"/>
      <c r="J1603" s="167"/>
      <c r="K1603" s="168"/>
      <c r="L1603" s="117"/>
      <c r="M1603" s="117"/>
      <c r="N1603" s="111"/>
      <c r="O1603" s="111"/>
      <c r="P1603" s="111"/>
      <c r="Q1603" s="111"/>
      <c r="R1603" s="108"/>
      <c r="S1603" s="110"/>
      <c r="T1603" s="108"/>
      <c r="U1603" s="111"/>
      <c r="V1603" s="112"/>
    </row>
    <row r="1604">
      <c r="B1604" s="27"/>
      <c r="C1604" s="27"/>
      <c r="D1604" s="165"/>
      <c r="E1604" s="66"/>
      <c r="F1604" s="27"/>
      <c r="G1604" s="166"/>
      <c r="H1604" s="166"/>
      <c r="I1604" s="167"/>
      <c r="J1604" s="167"/>
      <c r="K1604" s="168"/>
      <c r="L1604" s="117"/>
      <c r="M1604" s="117"/>
      <c r="N1604" s="111"/>
      <c r="O1604" s="111"/>
      <c r="P1604" s="111"/>
      <c r="Q1604" s="111"/>
      <c r="R1604" s="108"/>
      <c r="S1604" s="110"/>
      <c r="T1604" s="108"/>
      <c r="U1604" s="111"/>
      <c r="V1604" s="112"/>
    </row>
    <row r="1605">
      <c r="B1605" s="27"/>
      <c r="C1605" s="27"/>
      <c r="D1605" s="165"/>
      <c r="E1605" s="66"/>
      <c r="F1605" s="27"/>
      <c r="G1605" s="166"/>
      <c r="H1605" s="166"/>
      <c r="I1605" s="167"/>
      <c r="J1605" s="167"/>
      <c r="K1605" s="168"/>
      <c r="L1605" s="117"/>
      <c r="M1605" s="117"/>
      <c r="N1605" s="111"/>
      <c r="O1605" s="111"/>
      <c r="P1605" s="111"/>
      <c r="Q1605" s="111"/>
      <c r="R1605" s="108"/>
      <c r="S1605" s="110"/>
      <c r="T1605" s="108"/>
      <c r="U1605" s="111"/>
      <c r="V1605" s="112"/>
    </row>
    <row r="1606">
      <c r="B1606" s="27"/>
      <c r="C1606" s="27"/>
      <c r="D1606" s="165"/>
      <c r="E1606" s="66"/>
      <c r="F1606" s="27"/>
      <c r="G1606" s="166"/>
      <c r="H1606" s="166"/>
      <c r="I1606" s="167"/>
      <c r="J1606" s="167"/>
      <c r="K1606" s="168"/>
      <c r="L1606" s="117"/>
      <c r="M1606" s="117"/>
      <c r="N1606" s="111"/>
      <c r="O1606" s="111"/>
      <c r="P1606" s="111"/>
      <c r="Q1606" s="111"/>
      <c r="R1606" s="108"/>
      <c r="S1606" s="110"/>
      <c r="T1606" s="108"/>
      <c r="U1606" s="111"/>
      <c r="V1606" s="112"/>
    </row>
    <row r="1607">
      <c r="B1607" s="27"/>
      <c r="C1607" s="27"/>
      <c r="D1607" s="165"/>
      <c r="E1607" s="66"/>
      <c r="F1607" s="27"/>
      <c r="G1607" s="166"/>
      <c r="H1607" s="166"/>
      <c r="I1607" s="167"/>
      <c r="J1607" s="167"/>
      <c r="K1607" s="168"/>
      <c r="L1607" s="117"/>
      <c r="M1607" s="117"/>
      <c r="N1607" s="111"/>
      <c r="O1607" s="111"/>
      <c r="P1607" s="111"/>
      <c r="Q1607" s="111"/>
      <c r="R1607" s="108"/>
      <c r="S1607" s="110"/>
      <c r="T1607" s="108"/>
      <c r="U1607" s="111"/>
      <c r="V1607" s="112"/>
    </row>
    <row r="1608">
      <c r="B1608" s="27"/>
      <c r="C1608" s="27"/>
      <c r="D1608" s="165"/>
      <c r="E1608" s="66"/>
      <c r="F1608" s="27"/>
      <c r="G1608" s="166"/>
      <c r="H1608" s="166"/>
      <c r="I1608" s="167"/>
      <c r="J1608" s="167"/>
      <c r="K1608" s="168"/>
      <c r="L1608" s="117"/>
      <c r="M1608" s="117"/>
      <c r="N1608" s="111"/>
      <c r="O1608" s="111"/>
      <c r="P1608" s="111"/>
      <c r="Q1608" s="111"/>
      <c r="R1608" s="108"/>
      <c r="S1608" s="110"/>
      <c r="T1608" s="108"/>
      <c r="U1608" s="111"/>
      <c r="V1608" s="112"/>
    </row>
    <row r="1609">
      <c r="B1609" s="27"/>
      <c r="C1609" s="27"/>
      <c r="D1609" s="165"/>
      <c r="E1609" s="66"/>
      <c r="F1609" s="27"/>
      <c r="G1609" s="166"/>
      <c r="H1609" s="166"/>
      <c r="I1609" s="167"/>
      <c r="J1609" s="167"/>
      <c r="K1609" s="168"/>
      <c r="L1609" s="117"/>
      <c r="M1609" s="117"/>
      <c r="N1609" s="111"/>
      <c r="O1609" s="111"/>
      <c r="P1609" s="111"/>
      <c r="Q1609" s="111"/>
      <c r="R1609" s="108"/>
      <c r="S1609" s="110"/>
      <c r="T1609" s="108"/>
      <c r="U1609" s="111"/>
      <c r="V1609" s="112"/>
    </row>
    <row r="1610">
      <c r="B1610" s="27"/>
      <c r="C1610" s="27"/>
      <c r="D1610" s="165"/>
      <c r="E1610" s="66"/>
      <c r="F1610" s="27"/>
      <c r="G1610" s="166"/>
      <c r="H1610" s="166"/>
      <c r="I1610" s="167"/>
      <c r="J1610" s="167"/>
      <c r="K1610" s="168"/>
      <c r="L1610" s="117"/>
      <c r="M1610" s="117"/>
      <c r="N1610" s="111"/>
      <c r="O1610" s="111"/>
      <c r="P1610" s="111"/>
      <c r="Q1610" s="111"/>
      <c r="R1610" s="108"/>
      <c r="S1610" s="110"/>
      <c r="T1610" s="108"/>
      <c r="U1610" s="111"/>
      <c r="V1610" s="112"/>
    </row>
    <row r="1611">
      <c r="B1611" s="27"/>
      <c r="C1611" s="27"/>
      <c r="D1611" s="165"/>
      <c r="E1611" s="66"/>
      <c r="F1611" s="27"/>
      <c r="G1611" s="166"/>
      <c r="H1611" s="166"/>
      <c r="I1611" s="167"/>
      <c r="J1611" s="167"/>
      <c r="K1611" s="168"/>
      <c r="L1611" s="117"/>
      <c r="M1611" s="117"/>
      <c r="N1611" s="111"/>
      <c r="O1611" s="111"/>
      <c r="P1611" s="111"/>
      <c r="Q1611" s="111"/>
      <c r="R1611" s="108"/>
      <c r="S1611" s="110"/>
      <c r="T1611" s="108"/>
      <c r="U1611" s="111"/>
      <c r="V1611" s="112"/>
    </row>
    <row r="1612">
      <c r="B1612" s="27"/>
      <c r="C1612" s="27"/>
      <c r="D1612" s="165"/>
      <c r="E1612" s="66"/>
      <c r="F1612" s="27"/>
      <c r="G1612" s="166"/>
      <c r="H1612" s="166"/>
      <c r="I1612" s="167"/>
      <c r="J1612" s="167"/>
      <c r="K1612" s="168"/>
      <c r="L1612" s="117"/>
      <c r="M1612" s="117"/>
      <c r="N1612" s="111"/>
      <c r="O1612" s="111"/>
      <c r="P1612" s="111"/>
      <c r="Q1612" s="111"/>
      <c r="R1612" s="108"/>
      <c r="S1612" s="110"/>
      <c r="T1612" s="108"/>
      <c r="U1612" s="111"/>
      <c r="V1612" s="112"/>
    </row>
    <row r="1613">
      <c r="B1613" s="27"/>
      <c r="C1613" s="27"/>
      <c r="D1613" s="165"/>
      <c r="E1613" s="66"/>
      <c r="F1613" s="27"/>
      <c r="G1613" s="166"/>
      <c r="H1613" s="166"/>
      <c r="I1613" s="167"/>
      <c r="J1613" s="167"/>
      <c r="K1613" s="168"/>
      <c r="L1613" s="117"/>
      <c r="M1613" s="117"/>
      <c r="N1613" s="111"/>
      <c r="O1613" s="111"/>
      <c r="P1613" s="111"/>
      <c r="Q1613" s="111"/>
      <c r="R1613" s="108"/>
      <c r="S1613" s="110"/>
      <c r="T1613" s="108"/>
      <c r="U1613" s="111"/>
      <c r="V1613" s="112"/>
    </row>
    <row r="1614">
      <c r="B1614" s="27"/>
      <c r="C1614" s="27"/>
      <c r="D1614" s="165"/>
      <c r="E1614" s="66"/>
      <c r="F1614" s="27"/>
      <c r="G1614" s="166"/>
      <c r="H1614" s="166"/>
      <c r="I1614" s="167"/>
      <c r="J1614" s="167"/>
      <c r="K1614" s="168"/>
      <c r="L1614" s="117"/>
      <c r="M1614" s="117"/>
      <c r="N1614" s="111"/>
      <c r="O1614" s="111"/>
      <c r="P1614" s="111"/>
      <c r="Q1614" s="111"/>
      <c r="R1614" s="108"/>
      <c r="S1614" s="110"/>
      <c r="T1614" s="108"/>
      <c r="U1614" s="111"/>
      <c r="V1614" s="112"/>
    </row>
    <row r="1615">
      <c r="B1615" s="27"/>
      <c r="C1615" s="27"/>
      <c r="D1615" s="165"/>
      <c r="E1615" s="66"/>
      <c r="F1615" s="27"/>
      <c r="G1615" s="166"/>
      <c r="H1615" s="166"/>
      <c r="I1615" s="167"/>
      <c r="J1615" s="167"/>
      <c r="K1615" s="168"/>
      <c r="L1615" s="117"/>
      <c r="M1615" s="117"/>
      <c r="N1615" s="111"/>
      <c r="O1615" s="111"/>
      <c r="P1615" s="111"/>
      <c r="Q1615" s="111"/>
      <c r="R1615" s="108"/>
      <c r="S1615" s="110"/>
      <c r="T1615" s="108"/>
      <c r="U1615" s="111"/>
      <c r="V1615" s="112"/>
    </row>
    <row r="1616">
      <c r="B1616" s="27"/>
      <c r="C1616" s="27"/>
      <c r="D1616" s="165"/>
      <c r="E1616" s="66"/>
      <c r="F1616" s="27"/>
      <c r="G1616" s="166"/>
      <c r="H1616" s="166"/>
      <c r="I1616" s="167"/>
      <c r="J1616" s="167"/>
      <c r="K1616" s="168"/>
      <c r="L1616" s="117"/>
      <c r="M1616" s="117"/>
      <c r="N1616" s="111"/>
      <c r="O1616" s="111"/>
      <c r="P1616" s="111"/>
      <c r="Q1616" s="111"/>
      <c r="R1616" s="108"/>
      <c r="S1616" s="110"/>
      <c r="T1616" s="108"/>
      <c r="U1616" s="111"/>
      <c r="V1616" s="112"/>
    </row>
    <row r="1617">
      <c r="B1617" s="27"/>
      <c r="C1617" s="27"/>
      <c r="D1617" s="165"/>
      <c r="E1617" s="66"/>
      <c r="F1617" s="27"/>
      <c r="G1617" s="166"/>
      <c r="H1617" s="166"/>
      <c r="I1617" s="167"/>
      <c r="J1617" s="167"/>
      <c r="K1617" s="168"/>
      <c r="L1617" s="117"/>
      <c r="M1617" s="117"/>
      <c r="N1617" s="111"/>
      <c r="O1617" s="111"/>
      <c r="P1617" s="111"/>
      <c r="Q1617" s="111"/>
      <c r="R1617" s="108"/>
      <c r="S1617" s="110"/>
      <c r="T1617" s="108"/>
      <c r="U1617" s="111"/>
      <c r="V1617" s="112"/>
    </row>
    <row r="1618">
      <c r="B1618" s="27"/>
      <c r="C1618" s="27"/>
      <c r="D1618" s="165"/>
      <c r="E1618" s="66"/>
      <c r="F1618" s="27"/>
      <c r="G1618" s="166"/>
      <c r="H1618" s="166"/>
      <c r="I1618" s="167"/>
      <c r="J1618" s="167"/>
      <c r="K1618" s="168"/>
      <c r="L1618" s="117"/>
      <c r="M1618" s="117"/>
      <c r="N1618" s="111"/>
      <c r="O1618" s="111"/>
      <c r="P1618" s="111"/>
      <c r="Q1618" s="111"/>
      <c r="R1618" s="108"/>
      <c r="S1618" s="110"/>
      <c r="T1618" s="108"/>
      <c r="U1618" s="111"/>
      <c r="V1618" s="112"/>
    </row>
    <row r="1619">
      <c r="B1619" s="27"/>
      <c r="C1619" s="27"/>
      <c r="D1619" s="165"/>
      <c r="E1619" s="66"/>
      <c r="F1619" s="27"/>
      <c r="G1619" s="166"/>
      <c r="H1619" s="166"/>
      <c r="I1619" s="167"/>
      <c r="J1619" s="167"/>
      <c r="K1619" s="168"/>
      <c r="L1619" s="117"/>
      <c r="M1619" s="117"/>
      <c r="N1619" s="111"/>
      <c r="O1619" s="111"/>
      <c r="P1619" s="111"/>
      <c r="Q1619" s="111"/>
      <c r="R1619" s="108"/>
      <c r="S1619" s="110"/>
      <c r="T1619" s="108"/>
      <c r="U1619" s="111"/>
      <c r="V1619" s="112"/>
    </row>
    <row r="1620">
      <c r="B1620" s="27"/>
      <c r="C1620" s="27"/>
      <c r="D1620" s="165"/>
      <c r="E1620" s="66"/>
      <c r="F1620" s="27"/>
      <c r="G1620" s="166"/>
      <c r="H1620" s="166"/>
      <c r="I1620" s="167"/>
      <c r="J1620" s="167"/>
      <c r="K1620" s="168"/>
      <c r="L1620" s="117"/>
      <c r="M1620" s="117"/>
      <c r="N1620" s="111"/>
      <c r="O1620" s="111"/>
      <c r="P1620" s="111"/>
      <c r="Q1620" s="111"/>
      <c r="R1620" s="108"/>
      <c r="S1620" s="110"/>
      <c r="T1620" s="108"/>
      <c r="U1620" s="111"/>
      <c r="V1620" s="112"/>
    </row>
    <row r="1621">
      <c r="B1621" s="27"/>
      <c r="C1621" s="27"/>
      <c r="D1621" s="165"/>
      <c r="E1621" s="66"/>
      <c r="F1621" s="27"/>
      <c r="G1621" s="166"/>
      <c r="H1621" s="166"/>
      <c r="I1621" s="167"/>
      <c r="J1621" s="167"/>
      <c r="K1621" s="168"/>
      <c r="L1621" s="117"/>
      <c r="M1621" s="117"/>
      <c r="N1621" s="111"/>
      <c r="O1621" s="111"/>
      <c r="P1621" s="111"/>
      <c r="Q1621" s="111"/>
      <c r="R1621" s="108"/>
      <c r="S1621" s="110"/>
      <c r="T1621" s="108"/>
      <c r="U1621" s="111"/>
      <c r="V1621" s="112"/>
    </row>
    <row r="1622">
      <c r="B1622" s="27"/>
      <c r="C1622" s="27"/>
      <c r="D1622" s="165"/>
      <c r="E1622" s="66"/>
      <c r="F1622" s="27"/>
      <c r="G1622" s="166"/>
      <c r="H1622" s="166"/>
      <c r="I1622" s="167"/>
      <c r="J1622" s="167"/>
      <c r="K1622" s="168"/>
      <c r="L1622" s="117"/>
      <c r="M1622" s="117"/>
      <c r="N1622" s="111"/>
      <c r="O1622" s="111"/>
      <c r="P1622" s="111"/>
      <c r="Q1622" s="111"/>
      <c r="R1622" s="108"/>
      <c r="S1622" s="110"/>
      <c r="T1622" s="108"/>
      <c r="U1622" s="111"/>
      <c r="V1622" s="112"/>
    </row>
    <row r="1623">
      <c r="B1623" s="27"/>
      <c r="C1623" s="27"/>
      <c r="D1623" s="165"/>
      <c r="E1623" s="66"/>
      <c r="F1623" s="27"/>
      <c r="G1623" s="166"/>
      <c r="H1623" s="166"/>
      <c r="I1623" s="167"/>
      <c r="J1623" s="167"/>
      <c r="K1623" s="168"/>
      <c r="L1623" s="117"/>
      <c r="M1623" s="117"/>
      <c r="N1623" s="111"/>
      <c r="O1623" s="111"/>
      <c r="P1623" s="111"/>
      <c r="Q1623" s="111"/>
      <c r="R1623" s="108"/>
      <c r="S1623" s="110"/>
      <c r="T1623" s="108"/>
      <c r="U1623" s="111"/>
      <c r="V1623" s="112"/>
    </row>
    <row r="1624">
      <c r="B1624" s="27"/>
      <c r="C1624" s="27"/>
      <c r="D1624" s="165"/>
      <c r="E1624" s="66"/>
      <c r="F1624" s="27"/>
      <c r="G1624" s="166"/>
      <c r="H1624" s="166"/>
      <c r="I1624" s="167"/>
      <c r="J1624" s="167"/>
      <c r="K1624" s="168"/>
      <c r="L1624" s="117"/>
      <c r="M1624" s="117"/>
      <c r="N1624" s="111"/>
      <c r="O1624" s="111"/>
      <c r="P1624" s="111"/>
      <c r="Q1624" s="111"/>
      <c r="R1624" s="108"/>
      <c r="S1624" s="110"/>
      <c r="T1624" s="108"/>
      <c r="U1624" s="111"/>
      <c r="V1624" s="112"/>
    </row>
    <row r="1625">
      <c r="B1625" s="27"/>
      <c r="C1625" s="27"/>
      <c r="D1625" s="165"/>
      <c r="E1625" s="66"/>
      <c r="F1625" s="27"/>
      <c r="G1625" s="166"/>
      <c r="H1625" s="166"/>
      <c r="I1625" s="167"/>
      <c r="J1625" s="167"/>
      <c r="K1625" s="168"/>
      <c r="L1625" s="117"/>
      <c r="M1625" s="117"/>
      <c r="N1625" s="111"/>
      <c r="O1625" s="111"/>
      <c r="P1625" s="111"/>
      <c r="Q1625" s="111"/>
      <c r="R1625" s="108"/>
      <c r="S1625" s="110"/>
      <c r="T1625" s="108"/>
      <c r="U1625" s="111"/>
      <c r="V1625" s="112"/>
    </row>
    <row r="1626">
      <c r="B1626" s="27"/>
      <c r="C1626" s="27"/>
      <c r="D1626" s="165"/>
      <c r="E1626" s="66"/>
      <c r="F1626" s="27"/>
      <c r="G1626" s="166"/>
      <c r="H1626" s="166"/>
      <c r="I1626" s="167"/>
      <c r="J1626" s="167"/>
      <c r="K1626" s="168"/>
      <c r="L1626" s="117"/>
      <c r="M1626" s="117"/>
      <c r="N1626" s="111"/>
      <c r="O1626" s="111"/>
      <c r="P1626" s="111"/>
      <c r="Q1626" s="111"/>
      <c r="R1626" s="108"/>
      <c r="S1626" s="110"/>
      <c r="T1626" s="108"/>
      <c r="U1626" s="111"/>
      <c r="V1626" s="112"/>
    </row>
    <row r="1627">
      <c r="B1627" s="27"/>
      <c r="C1627" s="27"/>
      <c r="D1627" s="165"/>
      <c r="E1627" s="66"/>
      <c r="F1627" s="27"/>
      <c r="G1627" s="166"/>
      <c r="H1627" s="166"/>
      <c r="I1627" s="167"/>
      <c r="J1627" s="167"/>
      <c r="K1627" s="168"/>
      <c r="L1627" s="117"/>
      <c r="M1627" s="117"/>
      <c r="N1627" s="111"/>
      <c r="O1627" s="111"/>
      <c r="P1627" s="111"/>
      <c r="Q1627" s="111"/>
      <c r="R1627" s="108"/>
      <c r="S1627" s="110"/>
      <c r="T1627" s="108"/>
      <c r="U1627" s="111"/>
      <c r="V1627" s="112"/>
    </row>
    <row r="1628">
      <c r="B1628" s="27"/>
      <c r="C1628" s="27"/>
      <c r="D1628" s="165"/>
      <c r="E1628" s="66"/>
      <c r="F1628" s="27"/>
      <c r="G1628" s="166"/>
      <c r="H1628" s="166"/>
      <c r="I1628" s="167"/>
      <c r="J1628" s="167"/>
      <c r="K1628" s="168"/>
      <c r="L1628" s="117"/>
      <c r="M1628" s="117"/>
      <c r="N1628" s="111"/>
      <c r="O1628" s="111"/>
      <c r="P1628" s="111"/>
      <c r="Q1628" s="111"/>
      <c r="R1628" s="108"/>
      <c r="S1628" s="110"/>
      <c r="T1628" s="108"/>
      <c r="U1628" s="111"/>
      <c r="V1628" s="112"/>
    </row>
    <row r="1629">
      <c r="B1629" s="27"/>
      <c r="C1629" s="27"/>
      <c r="D1629" s="165"/>
      <c r="E1629" s="66"/>
      <c r="F1629" s="27"/>
      <c r="G1629" s="166"/>
      <c r="H1629" s="166"/>
      <c r="I1629" s="167"/>
      <c r="J1629" s="167"/>
      <c r="K1629" s="168"/>
      <c r="L1629" s="117"/>
      <c r="M1629" s="117"/>
      <c r="N1629" s="111"/>
      <c r="O1629" s="111"/>
      <c r="P1629" s="111"/>
      <c r="Q1629" s="111"/>
      <c r="R1629" s="108"/>
      <c r="S1629" s="110"/>
      <c r="T1629" s="108"/>
      <c r="U1629" s="111"/>
      <c r="V1629" s="112"/>
    </row>
    <row r="1630">
      <c r="B1630" s="27"/>
      <c r="C1630" s="27"/>
      <c r="D1630" s="165"/>
      <c r="E1630" s="66"/>
      <c r="F1630" s="27"/>
      <c r="G1630" s="166"/>
      <c r="H1630" s="166"/>
      <c r="I1630" s="167"/>
      <c r="J1630" s="167"/>
      <c r="K1630" s="168"/>
      <c r="L1630" s="117"/>
      <c r="M1630" s="117"/>
      <c r="N1630" s="111"/>
      <c r="O1630" s="111"/>
      <c r="P1630" s="111"/>
      <c r="Q1630" s="111"/>
      <c r="R1630" s="108"/>
      <c r="S1630" s="110"/>
      <c r="T1630" s="108"/>
      <c r="U1630" s="111"/>
      <c r="V1630" s="112"/>
    </row>
    <row r="1631">
      <c r="B1631" s="27"/>
      <c r="C1631" s="27"/>
      <c r="D1631" s="165"/>
      <c r="E1631" s="66"/>
      <c r="F1631" s="27"/>
      <c r="G1631" s="166"/>
      <c r="H1631" s="166"/>
      <c r="I1631" s="167"/>
      <c r="J1631" s="167"/>
      <c r="K1631" s="168"/>
      <c r="L1631" s="117"/>
      <c r="M1631" s="117"/>
      <c r="N1631" s="111"/>
      <c r="O1631" s="111"/>
      <c r="P1631" s="111"/>
      <c r="Q1631" s="111"/>
      <c r="R1631" s="108"/>
      <c r="S1631" s="110"/>
      <c r="T1631" s="108"/>
      <c r="U1631" s="111"/>
      <c r="V1631" s="112"/>
    </row>
    <row r="1632">
      <c r="B1632" s="27"/>
      <c r="C1632" s="27"/>
      <c r="D1632" s="165"/>
      <c r="E1632" s="66"/>
      <c r="F1632" s="27"/>
      <c r="G1632" s="166"/>
      <c r="H1632" s="166"/>
      <c r="I1632" s="167"/>
      <c r="J1632" s="167"/>
      <c r="K1632" s="168"/>
      <c r="L1632" s="117"/>
      <c r="M1632" s="117"/>
      <c r="N1632" s="111"/>
      <c r="O1632" s="111"/>
      <c r="P1632" s="111"/>
      <c r="Q1632" s="111"/>
      <c r="R1632" s="108"/>
      <c r="S1632" s="110"/>
      <c r="T1632" s="108"/>
      <c r="U1632" s="111"/>
      <c r="V1632" s="112"/>
    </row>
    <row r="1633">
      <c r="B1633" s="27"/>
      <c r="C1633" s="27"/>
      <c r="D1633" s="165"/>
      <c r="E1633" s="66"/>
      <c r="F1633" s="27"/>
      <c r="G1633" s="166"/>
      <c r="H1633" s="166"/>
      <c r="I1633" s="167"/>
      <c r="J1633" s="167"/>
      <c r="K1633" s="168"/>
      <c r="L1633" s="117"/>
      <c r="M1633" s="117"/>
      <c r="N1633" s="111"/>
      <c r="O1633" s="111"/>
      <c r="P1633" s="111"/>
      <c r="Q1633" s="111"/>
      <c r="R1633" s="108"/>
      <c r="S1633" s="110"/>
      <c r="T1633" s="108"/>
      <c r="U1633" s="111"/>
      <c r="V1633" s="112"/>
    </row>
    <row r="1634">
      <c r="B1634" s="27"/>
      <c r="C1634" s="27"/>
      <c r="D1634" s="165"/>
      <c r="E1634" s="66"/>
      <c r="F1634" s="27"/>
      <c r="G1634" s="166"/>
      <c r="H1634" s="166"/>
      <c r="I1634" s="167"/>
      <c r="J1634" s="167"/>
      <c r="K1634" s="168"/>
      <c r="L1634" s="117"/>
      <c r="M1634" s="117"/>
      <c r="N1634" s="111"/>
      <c r="O1634" s="111"/>
      <c r="P1634" s="111"/>
      <c r="Q1634" s="111"/>
      <c r="R1634" s="108"/>
      <c r="S1634" s="110"/>
      <c r="T1634" s="108"/>
      <c r="U1634" s="111"/>
      <c r="V1634" s="112"/>
    </row>
    <row r="1635">
      <c r="B1635" s="27"/>
      <c r="C1635" s="27"/>
      <c r="D1635" s="165"/>
      <c r="E1635" s="66"/>
      <c r="F1635" s="27"/>
      <c r="G1635" s="166"/>
      <c r="H1635" s="166"/>
      <c r="I1635" s="167"/>
      <c r="J1635" s="167"/>
      <c r="K1635" s="168"/>
      <c r="L1635" s="117"/>
      <c r="M1635" s="117"/>
      <c r="N1635" s="111"/>
      <c r="O1635" s="111"/>
      <c r="P1635" s="111"/>
      <c r="Q1635" s="111"/>
      <c r="R1635" s="108"/>
      <c r="S1635" s="110"/>
      <c r="T1635" s="108"/>
      <c r="U1635" s="111"/>
      <c r="V1635" s="112"/>
    </row>
    <row r="1636">
      <c r="B1636" s="27"/>
      <c r="C1636" s="27"/>
      <c r="D1636" s="165"/>
      <c r="E1636" s="66"/>
      <c r="F1636" s="27"/>
      <c r="G1636" s="166"/>
      <c r="H1636" s="166"/>
      <c r="I1636" s="167"/>
      <c r="J1636" s="167"/>
      <c r="K1636" s="168"/>
      <c r="L1636" s="117"/>
      <c r="M1636" s="117"/>
      <c r="N1636" s="111"/>
      <c r="O1636" s="111"/>
      <c r="P1636" s="111"/>
      <c r="Q1636" s="111"/>
      <c r="R1636" s="108"/>
      <c r="S1636" s="110"/>
      <c r="T1636" s="108"/>
      <c r="U1636" s="111"/>
      <c r="V1636" s="112"/>
    </row>
    <row r="1637">
      <c r="B1637" s="27"/>
      <c r="C1637" s="27"/>
      <c r="D1637" s="165"/>
      <c r="E1637" s="66"/>
      <c r="F1637" s="27"/>
      <c r="G1637" s="166"/>
      <c r="H1637" s="166"/>
      <c r="I1637" s="167"/>
      <c r="J1637" s="167"/>
      <c r="K1637" s="168"/>
      <c r="L1637" s="117"/>
      <c r="M1637" s="117"/>
      <c r="N1637" s="111"/>
      <c r="O1637" s="111"/>
      <c r="P1637" s="111"/>
      <c r="Q1637" s="111"/>
      <c r="R1637" s="108"/>
      <c r="S1637" s="110"/>
      <c r="T1637" s="108"/>
      <c r="U1637" s="111"/>
      <c r="V1637" s="112"/>
    </row>
    <row r="1638">
      <c r="B1638" s="27"/>
      <c r="C1638" s="27"/>
      <c r="D1638" s="165"/>
      <c r="E1638" s="66"/>
      <c r="F1638" s="27"/>
      <c r="G1638" s="166"/>
      <c r="H1638" s="166"/>
      <c r="I1638" s="167"/>
      <c r="J1638" s="167"/>
      <c r="K1638" s="168"/>
      <c r="L1638" s="117"/>
      <c r="M1638" s="117"/>
      <c r="N1638" s="111"/>
      <c r="O1638" s="111"/>
      <c r="P1638" s="111"/>
      <c r="Q1638" s="111"/>
      <c r="R1638" s="108"/>
      <c r="S1638" s="110"/>
      <c r="T1638" s="108"/>
      <c r="U1638" s="111"/>
      <c r="V1638" s="112"/>
    </row>
    <row r="1639">
      <c r="B1639" s="27"/>
      <c r="C1639" s="27"/>
      <c r="D1639" s="165"/>
      <c r="E1639" s="66"/>
      <c r="F1639" s="27"/>
      <c r="G1639" s="166"/>
      <c r="H1639" s="166"/>
      <c r="I1639" s="167"/>
      <c r="J1639" s="167"/>
      <c r="K1639" s="168"/>
      <c r="L1639" s="117"/>
      <c r="M1639" s="117"/>
      <c r="N1639" s="111"/>
      <c r="O1639" s="111"/>
      <c r="P1639" s="111"/>
      <c r="Q1639" s="111"/>
      <c r="R1639" s="108"/>
      <c r="S1639" s="110"/>
      <c r="T1639" s="108"/>
      <c r="U1639" s="111"/>
      <c r="V1639" s="112"/>
    </row>
    <row r="1640">
      <c r="B1640" s="27"/>
      <c r="C1640" s="27"/>
      <c r="D1640" s="165"/>
      <c r="E1640" s="66"/>
      <c r="F1640" s="27"/>
      <c r="G1640" s="166"/>
      <c r="H1640" s="166"/>
      <c r="I1640" s="167"/>
      <c r="J1640" s="167"/>
      <c r="K1640" s="168"/>
      <c r="L1640" s="117"/>
      <c r="M1640" s="117"/>
      <c r="N1640" s="111"/>
      <c r="O1640" s="111"/>
      <c r="P1640" s="111"/>
      <c r="Q1640" s="111"/>
      <c r="R1640" s="108"/>
      <c r="S1640" s="110"/>
      <c r="T1640" s="108"/>
      <c r="U1640" s="111"/>
      <c r="V1640" s="112"/>
    </row>
    <row r="1641">
      <c r="B1641" s="27"/>
      <c r="C1641" s="27"/>
      <c r="D1641" s="165"/>
      <c r="E1641" s="66"/>
      <c r="F1641" s="27"/>
      <c r="G1641" s="166"/>
      <c r="H1641" s="166"/>
      <c r="I1641" s="167"/>
      <c r="J1641" s="167"/>
      <c r="K1641" s="168"/>
      <c r="L1641" s="117"/>
      <c r="M1641" s="117"/>
      <c r="N1641" s="111"/>
      <c r="O1641" s="111"/>
      <c r="P1641" s="111"/>
      <c r="Q1641" s="111"/>
      <c r="R1641" s="108"/>
      <c r="S1641" s="110"/>
      <c r="T1641" s="108"/>
      <c r="U1641" s="111"/>
      <c r="V1641" s="112"/>
    </row>
    <row r="1642">
      <c r="B1642" s="27"/>
      <c r="C1642" s="27"/>
      <c r="D1642" s="165"/>
      <c r="E1642" s="66"/>
      <c r="F1642" s="27"/>
      <c r="G1642" s="166"/>
      <c r="H1642" s="166"/>
      <c r="I1642" s="167"/>
      <c r="J1642" s="167"/>
      <c r="K1642" s="168"/>
      <c r="L1642" s="117"/>
      <c r="M1642" s="117"/>
      <c r="N1642" s="111"/>
      <c r="O1642" s="111"/>
      <c r="P1642" s="111"/>
      <c r="Q1642" s="111"/>
      <c r="R1642" s="108"/>
      <c r="S1642" s="110"/>
      <c r="T1642" s="108"/>
      <c r="U1642" s="111"/>
      <c r="V1642" s="112"/>
    </row>
    <row r="1643">
      <c r="B1643" s="27"/>
      <c r="C1643" s="27"/>
      <c r="D1643" s="165"/>
      <c r="E1643" s="66"/>
      <c r="F1643" s="27"/>
      <c r="G1643" s="166"/>
      <c r="H1643" s="166"/>
      <c r="I1643" s="167"/>
      <c r="J1643" s="167"/>
      <c r="K1643" s="168"/>
      <c r="L1643" s="117"/>
      <c r="M1643" s="117"/>
      <c r="N1643" s="111"/>
      <c r="O1643" s="111"/>
      <c r="P1643" s="111"/>
      <c r="Q1643" s="111"/>
      <c r="R1643" s="108"/>
      <c r="S1643" s="110"/>
      <c r="T1643" s="108"/>
      <c r="U1643" s="111"/>
      <c r="V1643" s="112"/>
    </row>
    <row r="1644">
      <c r="B1644" s="27"/>
      <c r="C1644" s="27"/>
      <c r="D1644" s="165"/>
      <c r="E1644" s="66"/>
      <c r="F1644" s="27"/>
      <c r="G1644" s="166"/>
      <c r="H1644" s="166"/>
      <c r="I1644" s="167"/>
      <c r="J1644" s="167"/>
      <c r="K1644" s="168"/>
      <c r="L1644" s="117"/>
      <c r="M1644" s="117"/>
      <c r="N1644" s="111"/>
      <c r="O1644" s="111"/>
      <c r="P1644" s="111"/>
      <c r="Q1644" s="111"/>
      <c r="R1644" s="108"/>
      <c r="S1644" s="110"/>
      <c r="T1644" s="108"/>
      <c r="U1644" s="111"/>
      <c r="V1644" s="112"/>
    </row>
    <row r="1645">
      <c r="B1645" s="27"/>
      <c r="C1645" s="27"/>
      <c r="D1645" s="165"/>
      <c r="E1645" s="66"/>
      <c r="F1645" s="27"/>
      <c r="G1645" s="166"/>
      <c r="H1645" s="166"/>
      <c r="I1645" s="167"/>
      <c r="J1645" s="167"/>
      <c r="K1645" s="168"/>
      <c r="L1645" s="117"/>
      <c r="M1645" s="117"/>
      <c r="N1645" s="111"/>
      <c r="O1645" s="111"/>
      <c r="P1645" s="111"/>
      <c r="Q1645" s="111"/>
      <c r="R1645" s="108"/>
      <c r="S1645" s="110"/>
      <c r="T1645" s="108"/>
      <c r="U1645" s="111"/>
      <c r="V1645" s="112"/>
    </row>
    <row r="1646">
      <c r="B1646" s="27"/>
      <c r="C1646" s="27"/>
      <c r="D1646" s="165"/>
      <c r="E1646" s="66"/>
      <c r="F1646" s="27"/>
      <c r="G1646" s="166"/>
      <c r="H1646" s="166"/>
      <c r="I1646" s="167"/>
      <c r="J1646" s="167"/>
      <c r="K1646" s="168"/>
      <c r="L1646" s="117"/>
      <c r="M1646" s="117"/>
      <c r="N1646" s="111"/>
      <c r="O1646" s="111"/>
      <c r="P1646" s="111"/>
      <c r="Q1646" s="111"/>
      <c r="R1646" s="108"/>
      <c r="S1646" s="110"/>
      <c r="T1646" s="108"/>
      <c r="U1646" s="111"/>
      <c r="V1646" s="112"/>
    </row>
    <row r="1647">
      <c r="B1647" s="27"/>
      <c r="C1647" s="27"/>
      <c r="D1647" s="165"/>
      <c r="E1647" s="66"/>
      <c r="F1647" s="27"/>
      <c r="G1647" s="166"/>
      <c r="H1647" s="166"/>
      <c r="I1647" s="167"/>
      <c r="J1647" s="167"/>
      <c r="K1647" s="168"/>
      <c r="L1647" s="117"/>
      <c r="M1647" s="117"/>
      <c r="N1647" s="111"/>
      <c r="O1647" s="111"/>
      <c r="P1647" s="111"/>
      <c r="Q1647" s="111"/>
      <c r="R1647" s="108"/>
      <c r="S1647" s="110"/>
      <c r="T1647" s="108"/>
      <c r="U1647" s="111"/>
      <c r="V1647" s="112"/>
    </row>
    <row r="1648">
      <c r="B1648" s="27"/>
      <c r="C1648" s="27"/>
      <c r="D1648" s="165"/>
      <c r="E1648" s="66"/>
      <c r="F1648" s="27"/>
      <c r="G1648" s="166"/>
      <c r="H1648" s="166"/>
      <c r="I1648" s="167"/>
      <c r="J1648" s="167"/>
      <c r="K1648" s="168"/>
      <c r="L1648" s="117"/>
      <c r="M1648" s="117"/>
      <c r="N1648" s="111"/>
      <c r="O1648" s="111"/>
      <c r="P1648" s="111"/>
      <c r="Q1648" s="111"/>
      <c r="R1648" s="108"/>
      <c r="S1648" s="110"/>
      <c r="T1648" s="108"/>
      <c r="U1648" s="111"/>
      <c r="V1648" s="112"/>
    </row>
    <row r="1649">
      <c r="B1649" s="27"/>
      <c r="C1649" s="27"/>
      <c r="D1649" s="165"/>
      <c r="E1649" s="66"/>
      <c r="F1649" s="27"/>
      <c r="G1649" s="166"/>
      <c r="H1649" s="166"/>
      <c r="I1649" s="167"/>
      <c r="J1649" s="167"/>
      <c r="K1649" s="168"/>
      <c r="L1649" s="117"/>
      <c r="M1649" s="117"/>
      <c r="N1649" s="111"/>
      <c r="O1649" s="111"/>
      <c r="P1649" s="111"/>
      <c r="Q1649" s="111"/>
      <c r="R1649" s="108"/>
      <c r="S1649" s="110"/>
      <c r="T1649" s="108"/>
      <c r="U1649" s="111"/>
      <c r="V1649" s="112"/>
    </row>
    <row r="1650">
      <c r="B1650" s="27"/>
      <c r="C1650" s="27"/>
      <c r="D1650" s="165"/>
      <c r="E1650" s="66"/>
      <c r="F1650" s="27"/>
      <c r="G1650" s="166"/>
      <c r="H1650" s="166"/>
      <c r="I1650" s="167"/>
      <c r="J1650" s="167"/>
      <c r="K1650" s="168"/>
      <c r="L1650" s="117"/>
      <c r="M1650" s="117"/>
      <c r="N1650" s="111"/>
      <c r="O1650" s="111"/>
      <c r="P1650" s="111"/>
      <c r="Q1650" s="111"/>
      <c r="R1650" s="108"/>
      <c r="S1650" s="110"/>
      <c r="T1650" s="108"/>
      <c r="U1650" s="111"/>
      <c r="V1650" s="112"/>
    </row>
    <row r="1651">
      <c r="B1651" s="27"/>
      <c r="C1651" s="27"/>
      <c r="D1651" s="165"/>
      <c r="E1651" s="66"/>
      <c r="F1651" s="27"/>
      <c r="G1651" s="166"/>
      <c r="H1651" s="166"/>
      <c r="I1651" s="167"/>
      <c r="J1651" s="167"/>
      <c r="K1651" s="168"/>
      <c r="L1651" s="117"/>
      <c r="M1651" s="117"/>
      <c r="N1651" s="111"/>
      <c r="O1651" s="111"/>
      <c r="P1651" s="111"/>
      <c r="Q1651" s="111"/>
      <c r="R1651" s="108"/>
      <c r="S1651" s="110"/>
      <c r="T1651" s="108"/>
      <c r="U1651" s="111"/>
      <c r="V1651" s="112"/>
    </row>
    <row r="1652">
      <c r="B1652" s="27"/>
      <c r="C1652" s="27"/>
      <c r="D1652" s="165"/>
      <c r="E1652" s="66"/>
      <c r="F1652" s="27"/>
      <c r="G1652" s="166"/>
      <c r="H1652" s="166"/>
      <c r="I1652" s="167"/>
      <c r="J1652" s="167"/>
      <c r="K1652" s="168"/>
      <c r="L1652" s="117"/>
      <c r="M1652" s="117"/>
      <c r="N1652" s="111"/>
      <c r="O1652" s="111"/>
      <c r="P1652" s="111"/>
      <c r="Q1652" s="111"/>
      <c r="R1652" s="108"/>
      <c r="S1652" s="110"/>
      <c r="T1652" s="108"/>
      <c r="U1652" s="111"/>
      <c r="V1652" s="112"/>
    </row>
    <row r="1653">
      <c r="B1653" s="27"/>
      <c r="C1653" s="27"/>
      <c r="D1653" s="165"/>
      <c r="E1653" s="66"/>
      <c r="F1653" s="27"/>
      <c r="G1653" s="166"/>
      <c r="H1653" s="166"/>
      <c r="I1653" s="167"/>
      <c r="J1653" s="167"/>
      <c r="K1653" s="168"/>
      <c r="L1653" s="117"/>
      <c r="M1653" s="117"/>
      <c r="N1653" s="111"/>
      <c r="O1653" s="111"/>
      <c r="P1653" s="111"/>
      <c r="Q1653" s="111"/>
      <c r="R1653" s="108"/>
      <c r="S1653" s="110"/>
      <c r="T1653" s="108"/>
      <c r="U1653" s="111"/>
      <c r="V1653" s="112"/>
    </row>
    <row r="1654">
      <c r="B1654" s="27"/>
      <c r="C1654" s="27"/>
      <c r="D1654" s="165"/>
      <c r="E1654" s="66"/>
      <c r="F1654" s="27"/>
      <c r="G1654" s="166"/>
      <c r="H1654" s="166"/>
      <c r="I1654" s="167"/>
      <c r="J1654" s="167"/>
      <c r="K1654" s="168"/>
      <c r="L1654" s="117"/>
      <c r="M1654" s="117"/>
      <c r="N1654" s="111"/>
      <c r="O1654" s="111"/>
      <c r="P1654" s="111"/>
      <c r="Q1654" s="111"/>
      <c r="R1654" s="108"/>
      <c r="S1654" s="110"/>
      <c r="T1654" s="108"/>
      <c r="U1654" s="111"/>
      <c r="V1654" s="112"/>
    </row>
    <row r="1655">
      <c r="B1655" s="27"/>
      <c r="C1655" s="27"/>
      <c r="D1655" s="165"/>
      <c r="E1655" s="66"/>
      <c r="F1655" s="27"/>
      <c r="G1655" s="166"/>
      <c r="H1655" s="166"/>
      <c r="I1655" s="167"/>
      <c r="J1655" s="167"/>
      <c r="K1655" s="168"/>
      <c r="L1655" s="117"/>
      <c r="M1655" s="117"/>
      <c r="N1655" s="111"/>
      <c r="O1655" s="111"/>
      <c r="P1655" s="111"/>
      <c r="Q1655" s="111"/>
      <c r="R1655" s="108"/>
      <c r="S1655" s="110"/>
      <c r="T1655" s="108"/>
      <c r="U1655" s="111"/>
      <c r="V1655" s="112"/>
    </row>
    <row r="1656">
      <c r="B1656" s="27"/>
      <c r="C1656" s="27"/>
      <c r="D1656" s="165"/>
      <c r="E1656" s="66"/>
      <c r="F1656" s="27"/>
      <c r="G1656" s="166"/>
      <c r="H1656" s="166"/>
      <c r="I1656" s="167"/>
      <c r="J1656" s="167"/>
      <c r="K1656" s="168"/>
      <c r="L1656" s="117"/>
      <c r="M1656" s="117"/>
      <c r="N1656" s="111"/>
      <c r="O1656" s="111"/>
      <c r="P1656" s="111"/>
      <c r="Q1656" s="111"/>
      <c r="R1656" s="108"/>
      <c r="S1656" s="110"/>
      <c r="T1656" s="108"/>
      <c r="U1656" s="111"/>
      <c r="V1656" s="112"/>
    </row>
    <row r="1657">
      <c r="B1657" s="27"/>
      <c r="C1657" s="27"/>
      <c r="D1657" s="165"/>
      <c r="E1657" s="66"/>
      <c r="F1657" s="27"/>
      <c r="G1657" s="166"/>
      <c r="H1657" s="166"/>
      <c r="I1657" s="167"/>
      <c r="J1657" s="167"/>
      <c r="K1657" s="168"/>
      <c r="L1657" s="117"/>
      <c r="M1657" s="117"/>
      <c r="N1657" s="111"/>
      <c r="O1657" s="111"/>
      <c r="P1657" s="111"/>
      <c r="Q1657" s="111"/>
      <c r="R1657" s="108"/>
      <c r="S1657" s="110"/>
      <c r="T1657" s="108"/>
      <c r="U1657" s="111"/>
      <c r="V1657" s="112"/>
    </row>
    <row r="1658">
      <c r="B1658" s="27"/>
      <c r="C1658" s="27"/>
      <c r="D1658" s="165"/>
      <c r="E1658" s="66"/>
      <c r="F1658" s="27"/>
      <c r="G1658" s="166"/>
      <c r="H1658" s="166"/>
      <c r="I1658" s="167"/>
      <c r="J1658" s="167"/>
      <c r="K1658" s="168"/>
      <c r="L1658" s="117"/>
      <c r="M1658" s="117"/>
      <c r="N1658" s="111"/>
      <c r="O1658" s="111"/>
      <c r="P1658" s="111"/>
      <c r="Q1658" s="111"/>
      <c r="R1658" s="108"/>
      <c r="S1658" s="110"/>
      <c r="T1658" s="108"/>
      <c r="U1658" s="111"/>
      <c r="V1658" s="112"/>
    </row>
    <row r="1659">
      <c r="B1659" s="27"/>
      <c r="C1659" s="27"/>
      <c r="D1659" s="165"/>
      <c r="E1659" s="66"/>
      <c r="F1659" s="27"/>
      <c r="G1659" s="166"/>
      <c r="H1659" s="166"/>
      <c r="I1659" s="167"/>
      <c r="J1659" s="167"/>
      <c r="K1659" s="168"/>
      <c r="L1659" s="117"/>
      <c r="M1659" s="117"/>
      <c r="N1659" s="111"/>
      <c r="O1659" s="111"/>
      <c r="P1659" s="111"/>
      <c r="Q1659" s="111"/>
      <c r="R1659" s="108"/>
      <c r="S1659" s="110"/>
      <c r="T1659" s="108"/>
      <c r="U1659" s="111"/>
      <c r="V1659" s="112"/>
    </row>
    <row r="1660">
      <c r="B1660" s="27"/>
      <c r="C1660" s="27"/>
      <c r="D1660" s="165"/>
      <c r="E1660" s="66"/>
      <c r="F1660" s="27"/>
      <c r="G1660" s="166"/>
      <c r="H1660" s="166"/>
      <c r="I1660" s="167"/>
      <c r="J1660" s="167"/>
      <c r="K1660" s="168"/>
      <c r="L1660" s="117"/>
      <c r="M1660" s="117"/>
      <c r="N1660" s="111"/>
      <c r="O1660" s="111"/>
      <c r="P1660" s="111"/>
      <c r="Q1660" s="111"/>
      <c r="R1660" s="108"/>
      <c r="S1660" s="110"/>
      <c r="T1660" s="108"/>
      <c r="U1660" s="111"/>
      <c r="V1660" s="112"/>
    </row>
    <row r="1661">
      <c r="B1661" s="27"/>
      <c r="C1661" s="27"/>
      <c r="D1661" s="165"/>
      <c r="E1661" s="66"/>
      <c r="F1661" s="27"/>
      <c r="G1661" s="166"/>
      <c r="H1661" s="166"/>
      <c r="I1661" s="167"/>
      <c r="J1661" s="167"/>
      <c r="K1661" s="168"/>
      <c r="L1661" s="117"/>
      <c r="M1661" s="117"/>
      <c r="N1661" s="111"/>
      <c r="O1661" s="111"/>
      <c r="P1661" s="111"/>
      <c r="Q1661" s="111"/>
      <c r="R1661" s="108"/>
      <c r="S1661" s="110"/>
      <c r="T1661" s="108"/>
      <c r="U1661" s="111"/>
      <c r="V1661" s="112"/>
    </row>
    <row r="1662">
      <c r="B1662" s="27"/>
      <c r="C1662" s="27"/>
      <c r="D1662" s="165"/>
      <c r="E1662" s="66"/>
      <c r="F1662" s="27"/>
      <c r="G1662" s="166"/>
      <c r="H1662" s="166"/>
      <c r="I1662" s="167"/>
      <c r="J1662" s="167"/>
      <c r="K1662" s="168"/>
      <c r="L1662" s="117"/>
      <c r="M1662" s="117"/>
      <c r="N1662" s="111"/>
      <c r="O1662" s="111"/>
      <c r="P1662" s="111"/>
      <c r="Q1662" s="111"/>
      <c r="R1662" s="108"/>
      <c r="S1662" s="110"/>
      <c r="T1662" s="108"/>
      <c r="U1662" s="111"/>
      <c r="V1662" s="112"/>
    </row>
    <row r="1663">
      <c r="B1663" s="27"/>
      <c r="C1663" s="27"/>
      <c r="D1663" s="165"/>
      <c r="E1663" s="66"/>
      <c r="F1663" s="27"/>
      <c r="G1663" s="166"/>
      <c r="H1663" s="166"/>
      <c r="I1663" s="167"/>
      <c r="J1663" s="167"/>
      <c r="K1663" s="168"/>
      <c r="L1663" s="117"/>
      <c r="M1663" s="117"/>
      <c r="N1663" s="111"/>
      <c r="O1663" s="111"/>
      <c r="P1663" s="111"/>
      <c r="Q1663" s="111"/>
      <c r="R1663" s="108"/>
      <c r="S1663" s="110"/>
      <c r="T1663" s="108"/>
      <c r="U1663" s="111"/>
      <c r="V1663" s="112"/>
    </row>
    <row r="1664">
      <c r="B1664" s="27"/>
      <c r="C1664" s="27"/>
      <c r="D1664" s="165"/>
      <c r="E1664" s="66"/>
      <c r="F1664" s="27"/>
      <c r="G1664" s="166"/>
      <c r="H1664" s="166"/>
      <c r="I1664" s="167"/>
      <c r="J1664" s="167"/>
      <c r="K1664" s="168"/>
      <c r="L1664" s="117"/>
      <c r="M1664" s="117"/>
      <c r="N1664" s="111"/>
      <c r="O1664" s="111"/>
      <c r="P1664" s="111"/>
      <c r="Q1664" s="111"/>
      <c r="R1664" s="108"/>
      <c r="S1664" s="110"/>
      <c r="T1664" s="108"/>
      <c r="U1664" s="111"/>
      <c r="V1664" s="112"/>
    </row>
    <row r="1665">
      <c r="B1665" s="27"/>
      <c r="C1665" s="27"/>
      <c r="D1665" s="165"/>
      <c r="E1665" s="66"/>
      <c r="F1665" s="27"/>
      <c r="G1665" s="166"/>
      <c r="H1665" s="166"/>
      <c r="I1665" s="167"/>
      <c r="J1665" s="167"/>
      <c r="K1665" s="168"/>
      <c r="L1665" s="117"/>
      <c r="M1665" s="117"/>
      <c r="N1665" s="111"/>
      <c r="O1665" s="111"/>
      <c r="P1665" s="111"/>
      <c r="Q1665" s="111"/>
      <c r="R1665" s="108"/>
      <c r="S1665" s="110"/>
      <c r="T1665" s="108"/>
      <c r="U1665" s="111"/>
      <c r="V1665" s="112"/>
    </row>
    <row r="1666">
      <c r="B1666" s="27"/>
      <c r="C1666" s="27"/>
      <c r="D1666" s="165"/>
      <c r="E1666" s="66"/>
      <c r="F1666" s="27"/>
      <c r="G1666" s="166"/>
      <c r="H1666" s="166"/>
      <c r="I1666" s="167"/>
      <c r="J1666" s="167"/>
      <c r="K1666" s="168"/>
      <c r="L1666" s="117"/>
      <c r="M1666" s="117"/>
      <c r="N1666" s="111"/>
      <c r="O1666" s="111"/>
      <c r="P1666" s="111"/>
      <c r="Q1666" s="111"/>
      <c r="R1666" s="108"/>
      <c r="S1666" s="110"/>
      <c r="T1666" s="108"/>
      <c r="U1666" s="111"/>
      <c r="V1666" s="112"/>
    </row>
    <row r="1667">
      <c r="B1667" s="27"/>
      <c r="C1667" s="27"/>
      <c r="D1667" s="165"/>
      <c r="E1667" s="66"/>
      <c r="F1667" s="27"/>
      <c r="G1667" s="166"/>
      <c r="H1667" s="166"/>
      <c r="I1667" s="167"/>
      <c r="J1667" s="167"/>
      <c r="K1667" s="168"/>
      <c r="L1667" s="117"/>
      <c r="M1667" s="117"/>
      <c r="N1667" s="111"/>
      <c r="O1667" s="111"/>
      <c r="P1667" s="111"/>
      <c r="Q1667" s="111"/>
      <c r="R1667" s="108"/>
      <c r="S1667" s="110"/>
      <c r="T1667" s="108"/>
      <c r="U1667" s="111"/>
      <c r="V1667" s="112"/>
    </row>
  </sheetData>
  <autoFilter ref="$A$1:$W$1199">
    <filterColumn colId="2">
      <filters>
        <filter val="TimedOut"/>
        <filter val="Killed"/>
        <filter val="Approved"/>
        <filter val="Rejected"/>
        <filter val="Cancelled"/>
        <filter val="Executed_err"/>
        <filter val="Preparing"/>
        <filter val="Deciding"/>
        <filter val="Executed"/>
      </filters>
    </filterColumn>
    <sortState ref="A1:W1199">
      <sortCondition ref="A1:A1199"/>
      <sortCondition descending="1" ref="J1:J1199"/>
    </sortState>
  </autoFilter>
  <dataValidations>
    <dataValidation type="list" allowBlank="1" showErrorMessage="1" sqref="M2:M1667">
      <formula1>"Other,Polkadot Protocol &amp; SDK,Smart Contracts,SDKs,Protocol Subsidies,Privacy,ZK,Staking,Wallets,Explorers,Software Services,Light Clients,Bridge,Multisig,Indexing,RPCs and Nodes,Software Development,Data Services &amp; Indexing,Snapshots,Governance,Events,Ev"&amp;"ents/Conference Hosting,Events/Conference Attendance &amp; Side Events,Events/Meetups,Education,Anti-Scam,Research,Community Building,Events/Meetups,Infrastructure,Media,Business Development,Incubation,Games,Ecosystem Services,Advertising,Advertising/Sponsors"&amp;"hips,Advertising/Influencers,Advertising/Digital Ads,Advertising/Platform Integrations,Advertising/Physical Ads,Recruiting,Trainings &amp; Hackathon,Security,Stablecoins,Loans,Market Operations,Legal,PR"</formula1>
    </dataValidation>
    <dataValidation type="list" allowBlank="1" showErrorMessage="1" sqref="L2:L1667">
      <formula1>"Development,Operations,Outreach,Research,Talent &amp; Education,Economy"</formula1>
    </dataValidation>
  </dataValidations>
  <hyperlinks>
    <hyperlink r:id="rId1" ref="B328"/>
  </hyperlinks>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0.0"/>
    <col customWidth="1" min="3" max="3" width="13.38"/>
  </cols>
  <sheetData>
    <row r="1">
      <c r="A1" s="27" t="s">
        <v>3380</v>
      </c>
      <c r="E1" s="27" t="s">
        <v>2593</v>
      </c>
    </row>
    <row r="2">
      <c r="E2" s="89" t="s">
        <v>128</v>
      </c>
      <c r="F2" s="89" t="s">
        <v>2596</v>
      </c>
      <c r="G2" s="89" t="s">
        <v>68</v>
      </c>
    </row>
    <row r="3">
      <c r="E3" s="89"/>
      <c r="F3" s="107">
        <v>0.0</v>
      </c>
      <c r="G3" s="106">
        <v>0.0</v>
      </c>
    </row>
    <row r="4">
      <c r="E4" s="89" t="s">
        <v>2673</v>
      </c>
      <c r="F4" s="107">
        <v>0.0</v>
      </c>
      <c r="G4" s="106">
        <v>0.0</v>
      </c>
    </row>
    <row r="5">
      <c r="E5" s="89" t="s">
        <v>81</v>
      </c>
      <c r="F5" s="107">
        <v>4.34857784177869E7</v>
      </c>
      <c r="G5" s="106">
        <v>6959333.462756012</v>
      </c>
    </row>
    <row r="6">
      <c r="E6" s="89" t="s">
        <v>83</v>
      </c>
      <c r="F6" s="107">
        <v>1.5261618886884496E7</v>
      </c>
      <c r="G6" s="106">
        <v>2000496.55</v>
      </c>
    </row>
    <row r="7">
      <c r="E7" s="89" t="s">
        <v>84</v>
      </c>
      <c r="F7" s="107">
        <v>7179736.792125967</v>
      </c>
      <c r="G7" s="106">
        <v>1131588.4621358311</v>
      </c>
    </row>
    <row r="8">
      <c r="E8" s="89" t="s">
        <v>137</v>
      </c>
      <c r="F8" s="107">
        <v>3.995118142685809E7</v>
      </c>
      <c r="G8" s="106">
        <v>5789294.263283067</v>
      </c>
    </row>
    <row r="9">
      <c r="E9" s="89" t="s">
        <v>85</v>
      </c>
      <c r="F9" s="107">
        <v>2678328.037922779</v>
      </c>
      <c r="G9" s="106">
        <v>382599.3322936366</v>
      </c>
    </row>
    <row r="10">
      <c r="E10" s="89" t="s">
        <v>82</v>
      </c>
      <c r="F10" s="107">
        <v>1.2540782772419883E7</v>
      </c>
      <c r="G10" s="106">
        <v>2186004.2088471605</v>
      </c>
    </row>
    <row r="11">
      <c r="E11" s="89" t="s">
        <v>71</v>
      </c>
      <c r="F11" s="107">
        <v>1.2109742633399808E8</v>
      </c>
      <c r="G11" s="106">
        <v>1.8449316279315695E7</v>
      </c>
    </row>
    <row r="12">
      <c r="A12" s="27" t="s">
        <v>2614</v>
      </c>
    </row>
    <row r="13">
      <c r="E13" s="27" t="s">
        <v>3381</v>
      </c>
    </row>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sheetData>
  <drawing r:id="rId4"/>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8.88"/>
    <col customWidth="1" min="3" max="3" width="35.0"/>
  </cols>
  <sheetData>
    <row r="5">
      <c r="D5" s="27" t="s">
        <v>3383</v>
      </c>
      <c r="E5" s="27" t="s">
        <v>3384</v>
      </c>
    </row>
    <row r="6">
      <c r="D6" s="27">
        <v>30.0</v>
      </c>
      <c r="S6" s="27" t="s">
        <v>3386</v>
      </c>
    </row>
    <row r="7">
      <c r="D7" s="27">
        <v>31.0</v>
      </c>
      <c r="E7" s="89">
        <f t="shared" ref="E7:E22" si="1">C7/D7</f>
        <v>2</v>
      </c>
      <c r="S7" s="169">
        <f t="shared" ref="S7:S23" si="2">L7/(L7+P7)</f>
        <v>0.7777777778</v>
      </c>
    </row>
    <row r="8">
      <c r="D8" s="27">
        <v>31.0</v>
      </c>
      <c r="E8" s="89">
        <f t="shared" si="1"/>
        <v>1.258064516</v>
      </c>
      <c r="S8" s="169">
        <f t="shared" si="2"/>
        <v>0.641509434</v>
      </c>
    </row>
    <row r="9">
      <c r="D9" s="27">
        <v>30.0</v>
      </c>
      <c r="E9" s="89">
        <f t="shared" si="1"/>
        <v>1.233333333</v>
      </c>
      <c r="S9" s="169">
        <f t="shared" si="2"/>
        <v>0.6944444444</v>
      </c>
    </row>
    <row r="10">
      <c r="D10" s="27">
        <v>31.0</v>
      </c>
      <c r="E10" s="89">
        <f t="shared" si="1"/>
        <v>1.580645161</v>
      </c>
      <c r="S10" s="169">
        <f t="shared" si="2"/>
        <v>0.5142857143</v>
      </c>
    </row>
    <row r="11">
      <c r="D11" s="27">
        <v>30.0</v>
      </c>
      <c r="E11" s="89">
        <f t="shared" si="1"/>
        <v>2.133333333</v>
      </c>
      <c r="S11" s="169">
        <f t="shared" si="2"/>
        <v>0.8043478261</v>
      </c>
    </row>
    <row r="12">
      <c r="D12" s="27">
        <v>31.0</v>
      </c>
      <c r="E12" s="89">
        <f t="shared" si="1"/>
        <v>3.032258065</v>
      </c>
      <c r="S12" s="169">
        <f t="shared" si="2"/>
        <v>0.75</v>
      </c>
    </row>
    <row r="13">
      <c r="D13" s="27">
        <v>31.0</v>
      </c>
      <c r="E13" s="89">
        <f t="shared" si="1"/>
        <v>2.258064516</v>
      </c>
      <c r="S13" s="169">
        <f t="shared" si="2"/>
        <v>0.5342465753</v>
      </c>
    </row>
    <row r="14">
      <c r="D14" s="27">
        <v>29.0</v>
      </c>
      <c r="E14" s="89">
        <f t="shared" si="1"/>
        <v>2.24137931</v>
      </c>
      <c r="S14" s="169">
        <f t="shared" si="2"/>
        <v>0.7580645161</v>
      </c>
    </row>
    <row r="15">
      <c r="D15" s="27">
        <v>31.0</v>
      </c>
      <c r="E15" s="89">
        <f t="shared" si="1"/>
        <v>2.774193548</v>
      </c>
      <c r="S15" s="169">
        <f t="shared" si="2"/>
        <v>0.7258064516</v>
      </c>
    </row>
    <row r="16">
      <c r="D16" s="27">
        <v>30.0</v>
      </c>
      <c r="E16" s="89">
        <f t="shared" si="1"/>
        <v>3.133333333</v>
      </c>
      <c r="S16" s="169">
        <f t="shared" si="2"/>
        <v>0.6712328767</v>
      </c>
    </row>
    <row r="17">
      <c r="D17" s="27">
        <v>31.0</v>
      </c>
      <c r="E17" s="89">
        <f t="shared" si="1"/>
        <v>2.870967742</v>
      </c>
      <c r="S17" s="169">
        <f t="shared" si="2"/>
        <v>0.7790697674</v>
      </c>
    </row>
    <row r="18">
      <c r="D18" s="27">
        <v>30.0</v>
      </c>
      <c r="E18" s="89">
        <f t="shared" si="1"/>
        <v>3.9</v>
      </c>
      <c r="S18" s="169">
        <f t="shared" si="2"/>
        <v>0.7066666667</v>
      </c>
    </row>
    <row r="19">
      <c r="D19" s="27">
        <v>31.0</v>
      </c>
      <c r="E19" s="89">
        <f t="shared" si="1"/>
        <v>3.483870968</v>
      </c>
      <c r="S19" s="169">
        <f t="shared" si="2"/>
        <v>0.7422680412</v>
      </c>
    </row>
    <row r="20">
      <c r="D20" s="27">
        <v>31.0</v>
      </c>
      <c r="E20" s="89">
        <f t="shared" si="1"/>
        <v>3.096774194</v>
      </c>
      <c r="S20" s="169">
        <f t="shared" si="2"/>
        <v>0.6428571429</v>
      </c>
    </row>
    <row r="21">
      <c r="D21" s="27">
        <v>30.0</v>
      </c>
      <c r="E21" s="89">
        <f t="shared" si="1"/>
        <v>3.933333333</v>
      </c>
      <c r="S21" s="169">
        <f t="shared" si="2"/>
        <v>0.5421686747</v>
      </c>
    </row>
    <row r="22">
      <c r="D22" s="89">
        <f>SUM(D6:D21)</f>
        <v>488</v>
      </c>
      <c r="E22" s="89">
        <f t="shared" si="1"/>
        <v>2.454918033</v>
      </c>
      <c r="S22" s="169">
        <f t="shared" si="2"/>
        <v>0.5744680851</v>
      </c>
    </row>
    <row r="23">
      <c r="S23" s="169">
        <f t="shared" si="2"/>
        <v>0.6765609007</v>
      </c>
    </row>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c r="F69" s="27" t="s">
        <v>3078</v>
      </c>
    </row>
    <row r="70"/>
    <row r="71"/>
    <row r="72"/>
    <row r="73"/>
    <row r="74"/>
    <row r="75"/>
    <row r="76"/>
    <row r="77"/>
    <row r="78"/>
    <row r="79"/>
    <row r="80"/>
    <row r="81"/>
    <row r="82"/>
    <row r="83"/>
    <row r="84"/>
    <row r="85"/>
    <row r="86"/>
    <row r="87">
      <c r="I87" s="89">
        <f>H87/G87</f>
        <v>0.1151919866</v>
      </c>
    </row>
    <row r="88"/>
    <row r="89"/>
    <row r="90"/>
    <row r="91"/>
    <row r="92"/>
    <row r="93"/>
    <row r="94"/>
    <row r="95"/>
    <row r="96"/>
    <row r="97"/>
    <row r="98"/>
    <row r="99"/>
    <row r="100"/>
    <row r="101"/>
    <row r="102"/>
    <row r="103"/>
    <row r="104"/>
    <row r="105"/>
    <row r="106"/>
    <row r="107"/>
    <row r="108"/>
    <row r="109"/>
    <row r="110"/>
    <row r="111"/>
    <row r="112"/>
    <row r="113"/>
  </sheetData>
  <drawing r:id="rId7"/>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47.5"/>
    <col customWidth="1" min="3" max="3" width="20.0"/>
    <col customWidth="1" min="4" max="4" width="23.13"/>
  </cols>
  <sheetData>
    <row r="1">
      <c r="A1" s="170" t="s">
        <v>604</v>
      </c>
      <c r="B1" s="170" t="s">
        <v>3388</v>
      </c>
      <c r="C1" s="132" t="s">
        <v>128</v>
      </c>
      <c r="D1" s="132" t="s">
        <v>129</v>
      </c>
      <c r="E1" s="171" t="s">
        <v>3389</v>
      </c>
    </row>
    <row r="2">
      <c r="A2" s="172">
        <v>17.0</v>
      </c>
      <c r="B2" s="114" t="s">
        <v>2606</v>
      </c>
      <c r="C2" s="114" t="s">
        <v>137</v>
      </c>
      <c r="D2" s="117" t="s">
        <v>323</v>
      </c>
      <c r="E2" s="173">
        <v>833540.0</v>
      </c>
    </row>
    <row r="3">
      <c r="A3" s="172">
        <v>10.0</v>
      </c>
      <c r="B3" s="114" t="s">
        <v>2609</v>
      </c>
      <c r="C3" s="114"/>
      <c r="D3" s="114"/>
      <c r="E3" s="173">
        <v>776640.0</v>
      </c>
    </row>
    <row r="4">
      <c r="A4" s="172">
        <v>36.0</v>
      </c>
      <c r="B4" s="114" t="s">
        <v>2613</v>
      </c>
      <c r="C4" s="114" t="s">
        <v>81</v>
      </c>
      <c r="D4" s="114" t="s">
        <v>179</v>
      </c>
      <c r="E4" s="173">
        <v>536230.0</v>
      </c>
    </row>
    <row r="5">
      <c r="A5" s="172">
        <v>38.0</v>
      </c>
      <c r="B5" s="114" t="s">
        <v>2637</v>
      </c>
      <c r="C5" s="114" t="s">
        <v>81</v>
      </c>
      <c r="D5" s="114" t="s">
        <v>231</v>
      </c>
      <c r="E5" s="173">
        <v>500000.0</v>
      </c>
    </row>
    <row r="6">
      <c r="A6" s="172">
        <v>22.0</v>
      </c>
      <c r="B6" s="114" t="s">
        <v>2608</v>
      </c>
      <c r="C6" s="114" t="s">
        <v>81</v>
      </c>
      <c r="D6" s="114" t="s">
        <v>470</v>
      </c>
      <c r="E6" s="173">
        <v>374270.0</v>
      </c>
    </row>
    <row r="7">
      <c r="A7" s="172">
        <v>50.0</v>
      </c>
      <c r="B7" s="114" t="s">
        <v>2611</v>
      </c>
      <c r="C7" s="114" t="s">
        <v>84</v>
      </c>
      <c r="D7" s="114" t="s">
        <v>171</v>
      </c>
      <c r="E7" s="173">
        <v>299840.0</v>
      </c>
    </row>
    <row r="8">
      <c r="A8" s="174">
        <v>19.0</v>
      </c>
      <c r="B8" s="117" t="s">
        <v>2607</v>
      </c>
      <c r="C8" s="117" t="s">
        <v>81</v>
      </c>
      <c r="D8" s="117" t="s">
        <v>158</v>
      </c>
      <c r="E8" s="175">
        <v>122560.0</v>
      </c>
    </row>
    <row r="9">
      <c r="A9" s="176">
        <v>59.0</v>
      </c>
      <c r="B9" s="163" t="s">
        <v>3390</v>
      </c>
      <c r="C9" s="163" t="s">
        <v>81</v>
      </c>
      <c r="D9" s="163" t="s">
        <v>179</v>
      </c>
      <c r="E9" s="173">
        <v>96000.0</v>
      </c>
    </row>
    <row r="10">
      <c r="A10" s="174">
        <v>39.0</v>
      </c>
      <c r="B10" s="117" t="s">
        <v>2631</v>
      </c>
      <c r="C10" s="117" t="s">
        <v>137</v>
      </c>
      <c r="D10" s="117" t="s">
        <v>243</v>
      </c>
      <c r="E10" s="175">
        <v>95000.0</v>
      </c>
    </row>
    <row r="11">
      <c r="A11" s="174">
        <v>37.0</v>
      </c>
      <c r="B11" s="117" t="s">
        <v>2612</v>
      </c>
      <c r="C11" s="117" t="s">
        <v>84</v>
      </c>
      <c r="D11" s="117" t="s">
        <v>1554</v>
      </c>
      <c r="E11" s="175">
        <v>70020.0</v>
      </c>
    </row>
    <row r="12">
      <c r="A12" s="176">
        <v>52.0</v>
      </c>
      <c r="B12" s="163" t="s">
        <v>3391</v>
      </c>
      <c r="C12" s="163" t="s">
        <v>85</v>
      </c>
      <c r="D12" s="163" t="s">
        <v>3392</v>
      </c>
      <c r="E12" s="173">
        <v>67678.0</v>
      </c>
    </row>
    <row r="13">
      <c r="A13" s="172">
        <v>27.0</v>
      </c>
      <c r="B13" s="114" t="s">
        <v>2619</v>
      </c>
      <c r="C13" s="114" t="s">
        <v>81</v>
      </c>
      <c r="D13" s="114" t="s">
        <v>140</v>
      </c>
      <c r="E13" s="173">
        <v>65910.0</v>
      </c>
    </row>
    <row r="14">
      <c r="A14" s="174">
        <v>11.0</v>
      </c>
      <c r="B14" s="117" t="s">
        <v>2610</v>
      </c>
      <c r="C14" s="117" t="s">
        <v>85</v>
      </c>
      <c r="D14" s="117" t="s">
        <v>611</v>
      </c>
      <c r="E14" s="175">
        <v>39860.0</v>
      </c>
    </row>
    <row r="15">
      <c r="A15" s="174">
        <v>44.0</v>
      </c>
      <c r="B15" s="117" t="s">
        <v>3393</v>
      </c>
      <c r="C15" s="117" t="s">
        <v>85</v>
      </c>
      <c r="D15" s="117" t="s">
        <v>511</v>
      </c>
      <c r="E15" s="175">
        <v>30581.0</v>
      </c>
    </row>
    <row r="16">
      <c r="A16" s="174">
        <v>33.0</v>
      </c>
      <c r="B16" s="117" t="s">
        <v>2605</v>
      </c>
      <c r="C16" s="117" t="s">
        <v>137</v>
      </c>
      <c r="D16" s="117" t="s">
        <v>523</v>
      </c>
      <c r="E16" s="175">
        <v>30330.0</v>
      </c>
    </row>
    <row r="17">
      <c r="A17" s="174">
        <v>49.0</v>
      </c>
      <c r="B17" s="117" t="s">
        <v>3394</v>
      </c>
      <c r="C17" s="117" t="s">
        <v>81</v>
      </c>
      <c r="D17" s="117" t="s">
        <v>470</v>
      </c>
      <c r="E17" s="175">
        <v>30000.0</v>
      </c>
    </row>
    <row r="18">
      <c r="A18" s="172">
        <v>32.0</v>
      </c>
      <c r="B18" s="114" t="s">
        <v>2623</v>
      </c>
      <c r="C18" s="114" t="s">
        <v>84</v>
      </c>
      <c r="D18" s="114" t="s">
        <v>171</v>
      </c>
      <c r="E18" s="173">
        <v>24610.0</v>
      </c>
    </row>
    <row r="19">
      <c r="A19" s="174">
        <v>31.0</v>
      </c>
      <c r="B19" s="117" t="s">
        <v>2621</v>
      </c>
      <c r="C19" s="117" t="s">
        <v>84</v>
      </c>
      <c r="D19" s="117" t="s">
        <v>171</v>
      </c>
      <c r="E19" s="175">
        <v>21280.0</v>
      </c>
    </row>
    <row r="20">
      <c r="A20" s="174">
        <v>24.0</v>
      </c>
      <c r="B20" s="117" t="s">
        <v>2615</v>
      </c>
      <c r="C20" s="117" t="s">
        <v>137</v>
      </c>
      <c r="D20" s="117" t="s">
        <v>191</v>
      </c>
      <c r="E20" s="175">
        <v>12110.0</v>
      </c>
    </row>
    <row r="21">
      <c r="A21" s="174">
        <v>42.0</v>
      </c>
      <c r="B21" s="117" t="s">
        <v>2616</v>
      </c>
      <c r="C21" s="117" t="s">
        <v>137</v>
      </c>
      <c r="D21" s="117" t="s">
        <v>138</v>
      </c>
      <c r="E21" s="175">
        <v>9890.0</v>
      </c>
    </row>
    <row r="22">
      <c r="A22" s="172">
        <v>40.0</v>
      </c>
      <c r="B22" s="114" t="s">
        <v>2633</v>
      </c>
      <c r="C22" s="114" t="s">
        <v>137</v>
      </c>
      <c r="D22" s="114" t="s">
        <v>243</v>
      </c>
      <c r="E22" s="173">
        <v>9826.0</v>
      </c>
    </row>
    <row r="23">
      <c r="A23" s="172">
        <v>43.0</v>
      </c>
      <c r="B23" s="114" t="s">
        <v>2635</v>
      </c>
      <c r="C23" s="114" t="s">
        <v>137</v>
      </c>
      <c r="D23" s="117" t="s">
        <v>323</v>
      </c>
      <c r="E23" s="173">
        <v>2370.0</v>
      </c>
    </row>
    <row r="24">
      <c r="A24" s="3">
        <v>46.0</v>
      </c>
      <c r="B24" s="3" t="s">
        <v>2628</v>
      </c>
      <c r="C24" s="163" t="s">
        <v>137</v>
      </c>
      <c r="D24" s="163" t="s">
        <v>144</v>
      </c>
      <c r="E24" s="1"/>
    </row>
    <row r="25">
      <c r="A25" s="27">
        <v>13.0</v>
      </c>
      <c r="B25" s="3" t="s">
        <v>2625</v>
      </c>
      <c r="C25" s="1"/>
      <c r="D25" s="1"/>
      <c r="E25" s="177"/>
    </row>
    <row r="27">
      <c r="A27" s="3"/>
    </row>
  </sheetData>
  <autoFilter ref="$A$1:$E$25">
    <sortState ref="A1:E25">
      <sortCondition descending="1" ref="E1:E25"/>
      <sortCondition descending="1" ref="A1:A25"/>
    </sortState>
  </autoFilter>
  <dataValidations>
    <dataValidation type="list" allowBlank="1" showErrorMessage="1" sqref="D2 D23">
      <formula1>"Other,Polkadot Protocol &amp; SDK,Smart Contracts,SDKs,Protocol Subsidies,Privacy,ZK,Staking,Wallets,Explorers,Software Services,Light Clients,Bridge,Multisig,Indexing,RPCs and Nodes,Software Development,Data Services,Snapshots,UIs,Governance,Events,Events/Co"&amp;"nference Hosting,Events/Conference Attendance &amp; Side Events,Events/Meetups,Education,Anti-Scam,Research,Community Building,Events/Meetups,Infrastructure,Media,Business Development,Incubation,Games,Ecosystem Services,Advertising/Sponsorships,Advertising/In"&amp;"fluencers,Advertising/Digital Ads,Advertising/Platform Integrations,Advertising/Physical Ads,Recruiting,Trainings &amp; Hackathon,Security,Stablecoins,Loans,Market Operations"</formula1>
    </dataValidation>
    <dataValidation type="list" allowBlank="1" showErrorMessage="1" sqref="C2:C24">
      <formula1>"Development,Operations,Outreach,Research,Talent &amp; Education,Economy"</formula1>
    </dataValidation>
    <dataValidation type="list" allowBlank="1" showErrorMessage="1" sqref="D3:D22 D24">
      <formula1>"Smart Contracts,Explorers,RPCs and Nodes,SDKs,Protocol Subsidies,Events,Privacy,ZK,Trainings/Hackathon,Governance,Education,Wallets,Snapshots,Anti-Scam,Staking,Research,Multisig,Other,Conference Attendance,Conference Hosting,Substrate,Indexing,Software Se"&amp;"rvices,Bridge,Light Clients,Polkadot SDK,Recruiting,Community Building,Media,Software Development,Business Development,Incubation,Advertising,Infrastructure,Local Outreach,Games,UIs,Loans,Stablecoins,Market Operations,Security,Ecosystem Services,Events/Lo"&amp;"cal Outreach &amp; Meetups,User Experience"</formula1>
    </dataValidation>
  </dataValidations>
  <hyperlinks>
    <hyperlink r:id="rId1" ref="A2"/>
    <hyperlink r:id="rId2" ref="A3"/>
    <hyperlink r:id="rId3" ref="A4"/>
    <hyperlink r:id="rId4" ref="A5"/>
    <hyperlink r:id="rId5" ref="A6"/>
    <hyperlink r:id="rId6" ref="A7"/>
    <hyperlink r:id="rId7" ref="A8"/>
    <hyperlink r:id="rId8" ref="A10"/>
    <hyperlink r:id="rId9" ref="A11"/>
    <hyperlink r:id="rId10" ref="A13"/>
    <hyperlink r:id="rId11" ref="A14"/>
    <hyperlink r:id="rId12" ref="A15"/>
    <hyperlink r:id="rId13" ref="A16"/>
    <hyperlink r:id="rId14" ref="A17"/>
    <hyperlink r:id="rId15" ref="A18"/>
    <hyperlink r:id="rId16" ref="A19"/>
    <hyperlink r:id="rId17" ref="A20"/>
    <hyperlink r:id="rId18" ref="A21"/>
    <hyperlink r:id="rId19" ref="A22"/>
    <hyperlink r:id="rId20" ref="A23"/>
  </hyperlinks>
  <drawing r:id="rId2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4" max="4" width="35.5"/>
    <col hidden="1" min="5" max="8" width="12.63"/>
    <col customWidth="1" min="12" max="12" width="34.5"/>
    <col customWidth="1" min="14" max="14" width="20.25"/>
  </cols>
  <sheetData>
    <row r="1">
      <c r="A1" s="1" t="s">
        <v>604</v>
      </c>
      <c r="B1" s="1" t="s">
        <v>2598</v>
      </c>
      <c r="C1" s="1" t="s">
        <v>3395</v>
      </c>
      <c r="D1" s="1" t="s">
        <v>609</v>
      </c>
      <c r="E1" s="5" t="s">
        <v>3</v>
      </c>
      <c r="F1" s="6" t="s">
        <v>3396</v>
      </c>
      <c r="G1" s="1" t="s">
        <v>3397</v>
      </c>
      <c r="H1" s="178" t="s">
        <v>3398</v>
      </c>
      <c r="I1" s="178" t="s">
        <v>605</v>
      </c>
      <c r="J1" s="6" t="s">
        <v>606</v>
      </c>
      <c r="K1" s="137" t="s">
        <v>128</v>
      </c>
      <c r="L1" s="137" t="s">
        <v>129</v>
      </c>
      <c r="M1" s="7" t="s">
        <v>3399</v>
      </c>
      <c r="N1" s="7" t="s">
        <v>3400</v>
      </c>
      <c r="O1" s="7" t="s">
        <v>607</v>
      </c>
      <c r="P1" s="7" t="s">
        <v>608</v>
      </c>
      <c r="Q1" s="179" t="s">
        <v>130</v>
      </c>
      <c r="R1" s="180" t="s">
        <v>94</v>
      </c>
      <c r="S1" s="179" t="s">
        <v>98</v>
      </c>
      <c r="T1" s="181" t="s">
        <v>131</v>
      </c>
      <c r="U1" s="182" t="s">
        <v>3401</v>
      </c>
      <c r="V1" s="7" t="s">
        <v>2599</v>
      </c>
      <c r="W1" s="27" t="s">
        <v>3402</v>
      </c>
      <c r="X1" s="27" t="s">
        <v>3403</v>
      </c>
    </row>
    <row r="2" hidden="1">
      <c r="A2" s="109">
        <f>HYPERLINK("https://polkadot.subsquare.io/treasury/child-bounties/0", 0)</f>
        <v>0</v>
      </c>
      <c r="B2" s="183">
        <v>11.0</v>
      </c>
      <c r="C2" s="27" t="s">
        <v>3404</v>
      </c>
      <c r="D2" s="27" t="s">
        <v>612</v>
      </c>
      <c r="E2" s="129">
        <v>140.0</v>
      </c>
      <c r="F2" s="66">
        <v>2003.8342475891113</v>
      </c>
      <c r="G2" s="27" t="s">
        <v>3405</v>
      </c>
      <c r="H2" s="167">
        <v>44684.0</v>
      </c>
      <c r="I2" s="167">
        <v>44694.0</v>
      </c>
      <c r="J2" s="66">
        <v>1487.4488639831543</v>
      </c>
      <c r="K2" s="1"/>
      <c r="L2" s="1"/>
      <c r="M2" s="1" t="str">
        <f>VLOOKUP(B2,Bounties!A:D,3,FALSE)</f>
        <v>Research</v>
      </c>
      <c r="N2" s="1" t="str">
        <f>VLOOKUP(B2,Bounties!A:D,4,FALSE)</f>
        <v>Anti-Scam</v>
      </c>
      <c r="O2" s="1" t="str">
        <f t="shared" ref="O2:P2" si="1">IF(ISBLANK(K2),M2,K2)</f>
        <v>Research</v>
      </c>
      <c r="P2" s="1" t="str">
        <f t="shared" si="1"/>
        <v>Anti-Scam</v>
      </c>
      <c r="Q2" s="108" t="str">
        <f t="shared" ref="Q2:Q2166" si="3">LEFT(I2,4)</f>
        <v>2022</v>
      </c>
      <c r="R2" s="110">
        <f t="shared" ref="R2:R2166" si="4">VALUE(RIGHT(LEFT(I2,7),2))</f>
        <v>5</v>
      </c>
      <c r="S2" s="108" t="str">
        <f t="shared" ref="S2:S2166" si="5">Q2 &amp; "-Q" &amp; CHOOSE(CEILING(R2/3, 1), "1", "2", "3", "4")</f>
        <v>2022-Q2</v>
      </c>
      <c r="T2" s="111" t="str">
        <f t="shared" ref="T2:T2166" si="6">Q2&amp;"-"&amp;TEXT(R2, "00")</f>
        <v>2022-05</v>
      </c>
      <c r="U2" s="112" t="str">
        <f t="shared" ref="U2:U2166" si="7">Q2 &amp; "-H" &amp; CHOOSE(CEILING(R2/6, 1), "1", "2")</f>
        <v>2022-H1</v>
      </c>
      <c r="V2" s="1" t="str">
        <f>VLOOKUP(B2,Bounties!A:E,2,FALSE)</f>
        <v>Anti-Scam Bounty</v>
      </c>
    </row>
    <row r="3" hidden="1">
      <c r="A3" s="109">
        <f>HYPERLINK("https://polkadot.subsquare.io/treasury/child-bounties/1", 1)</f>
        <v>1</v>
      </c>
      <c r="B3" s="183">
        <v>11.0</v>
      </c>
      <c r="C3" s="27" t="s">
        <v>3404</v>
      </c>
      <c r="D3" s="27" t="s">
        <v>613</v>
      </c>
      <c r="E3" s="129">
        <v>238.0</v>
      </c>
      <c r="F3" s="66">
        <v>3278.605613708496</v>
      </c>
      <c r="G3" s="27" t="s">
        <v>3406</v>
      </c>
      <c r="H3" s="167">
        <v>44685.0</v>
      </c>
      <c r="I3" s="167">
        <v>44694.0</v>
      </c>
      <c r="J3" s="66">
        <v>2528.6630687713623</v>
      </c>
      <c r="K3" s="1"/>
      <c r="L3" s="1"/>
      <c r="M3" s="1" t="str">
        <f>VLOOKUP(B3,Bounties!A:D,3,FALSE)</f>
        <v>Research</v>
      </c>
      <c r="N3" s="1" t="str">
        <f>VLOOKUP(B3,Bounties!A:D,4,FALSE)</f>
        <v>Anti-Scam</v>
      </c>
      <c r="O3" s="1" t="str">
        <f t="shared" ref="O3:P3" si="2">IF(ISBLANK(K3),M3,K3)</f>
        <v>Research</v>
      </c>
      <c r="P3" s="1" t="str">
        <f t="shared" si="2"/>
        <v>Anti-Scam</v>
      </c>
      <c r="Q3" s="108" t="str">
        <f t="shared" si="3"/>
        <v>2022</v>
      </c>
      <c r="R3" s="110">
        <f t="shared" si="4"/>
        <v>5</v>
      </c>
      <c r="S3" s="108" t="str">
        <f t="shared" si="5"/>
        <v>2022-Q2</v>
      </c>
      <c r="T3" s="111" t="str">
        <f t="shared" si="6"/>
        <v>2022-05</v>
      </c>
      <c r="U3" s="112" t="str">
        <f t="shared" si="7"/>
        <v>2022-H1</v>
      </c>
      <c r="V3" s="1" t="str">
        <f>VLOOKUP(B3,Bounties!A:E,2,FALSE)</f>
        <v>Anti-Scam Bounty</v>
      </c>
    </row>
    <row r="4" hidden="1">
      <c r="A4" s="109">
        <f>HYPERLINK("https://polkadot.subsquare.io/treasury/child-bounties/2", 2)</f>
        <v>2</v>
      </c>
      <c r="B4" s="183">
        <v>11.0</v>
      </c>
      <c r="C4" s="27" t="s">
        <v>3404</v>
      </c>
      <c r="D4" s="27" t="s">
        <v>614</v>
      </c>
      <c r="E4" s="129">
        <v>373.0</v>
      </c>
      <c r="F4" s="66">
        <v>5138.318881988525</v>
      </c>
      <c r="G4" s="27" t="s">
        <v>3407</v>
      </c>
      <c r="H4" s="167">
        <v>44685.0</v>
      </c>
      <c r="I4" s="167">
        <v>44695.0</v>
      </c>
      <c r="J4" s="66">
        <v>3962.9887590408325</v>
      </c>
      <c r="K4" s="1"/>
      <c r="L4" s="1"/>
      <c r="M4" s="1" t="str">
        <f>VLOOKUP(B4,Bounties!A:D,3,FALSE)</f>
        <v>Research</v>
      </c>
      <c r="N4" s="1" t="str">
        <f>VLOOKUP(B4,Bounties!A:D,4,FALSE)</f>
        <v>Anti-Scam</v>
      </c>
      <c r="O4" s="1" t="str">
        <f t="shared" ref="O4:P4" si="8">IF(ISBLANK(K4),M4,K4)</f>
        <v>Research</v>
      </c>
      <c r="P4" s="1" t="str">
        <f t="shared" si="8"/>
        <v>Anti-Scam</v>
      </c>
      <c r="Q4" s="108" t="str">
        <f t="shared" si="3"/>
        <v>2022</v>
      </c>
      <c r="R4" s="110">
        <f t="shared" si="4"/>
        <v>5</v>
      </c>
      <c r="S4" s="108" t="str">
        <f t="shared" si="5"/>
        <v>2022-Q2</v>
      </c>
      <c r="T4" s="111" t="str">
        <f t="shared" si="6"/>
        <v>2022-05</v>
      </c>
      <c r="U4" s="112" t="str">
        <f t="shared" si="7"/>
        <v>2022-H1</v>
      </c>
      <c r="V4" s="1" t="str">
        <f>VLOOKUP(B4,Bounties!A:E,2,FALSE)</f>
        <v>Anti-Scam Bounty</v>
      </c>
    </row>
    <row r="5" hidden="1">
      <c r="A5" s="109">
        <f>HYPERLINK("https://polkadot.subsquare.io/treasury/child-bounties/3", 3)</f>
        <v>3</v>
      </c>
      <c r="B5" s="183">
        <v>11.0</v>
      </c>
      <c r="C5" s="27" t="s">
        <v>3404</v>
      </c>
      <c r="D5" s="27" t="s">
        <v>615</v>
      </c>
      <c r="E5" s="129">
        <v>27.0</v>
      </c>
      <c r="F5" s="66">
        <v>283.31911182403564</v>
      </c>
      <c r="G5" s="27" t="s">
        <v>3408</v>
      </c>
      <c r="H5" s="167">
        <v>44692.0</v>
      </c>
      <c r="I5" s="167">
        <v>44703.0</v>
      </c>
      <c r="J5" s="66">
        <v>266.3977117538452</v>
      </c>
      <c r="K5" s="1"/>
      <c r="L5" s="1"/>
      <c r="M5" s="1" t="str">
        <f>VLOOKUP(B5,Bounties!A:D,3,FALSE)</f>
        <v>Research</v>
      </c>
      <c r="N5" s="1" t="str">
        <f>VLOOKUP(B5,Bounties!A:D,4,FALSE)</f>
        <v>Anti-Scam</v>
      </c>
      <c r="O5" s="1" t="str">
        <f t="shared" ref="O5:P5" si="9">IF(ISBLANK(K5),M5,K5)</f>
        <v>Research</v>
      </c>
      <c r="P5" s="1" t="str">
        <f t="shared" si="9"/>
        <v>Anti-Scam</v>
      </c>
      <c r="Q5" s="108" t="str">
        <f t="shared" si="3"/>
        <v>2022</v>
      </c>
      <c r="R5" s="110">
        <f t="shared" si="4"/>
        <v>5</v>
      </c>
      <c r="S5" s="108" t="str">
        <f t="shared" si="5"/>
        <v>2022-Q2</v>
      </c>
      <c r="T5" s="111" t="str">
        <f t="shared" si="6"/>
        <v>2022-05</v>
      </c>
      <c r="U5" s="112" t="str">
        <f t="shared" si="7"/>
        <v>2022-H1</v>
      </c>
      <c r="V5" s="1" t="str">
        <f>VLOOKUP(B5,Bounties!A:E,2,FALSE)</f>
        <v>Anti-Scam Bounty</v>
      </c>
    </row>
    <row r="6" hidden="1">
      <c r="A6" s="109">
        <f>HYPERLINK("https://polkadot.subsquare.io/treasury/child-bounties/4", 4)</f>
        <v>4</v>
      </c>
      <c r="B6" s="183">
        <v>11.0</v>
      </c>
      <c r="C6" s="27" t="s">
        <v>3404</v>
      </c>
      <c r="D6" s="27" t="s">
        <v>616</v>
      </c>
      <c r="E6" s="129">
        <v>27.0</v>
      </c>
      <c r="F6" s="66">
        <v>306.4683952331543</v>
      </c>
      <c r="G6" s="27" t="s">
        <v>3409</v>
      </c>
      <c r="H6" s="167">
        <v>44692.0</v>
      </c>
      <c r="I6" s="167">
        <v>44701.0</v>
      </c>
      <c r="J6" s="66">
        <v>266.9479465484619</v>
      </c>
      <c r="K6" s="1"/>
      <c r="L6" s="1"/>
      <c r="M6" s="1" t="str">
        <f>VLOOKUP(B6,Bounties!A:D,3,FALSE)</f>
        <v>Research</v>
      </c>
      <c r="N6" s="1" t="str">
        <f>VLOOKUP(B6,Bounties!A:D,4,FALSE)</f>
        <v>Anti-Scam</v>
      </c>
      <c r="O6" s="1" t="str">
        <f t="shared" ref="O6:P6" si="10">IF(ISBLANK(K6),M6,K6)</f>
        <v>Research</v>
      </c>
      <c r="P6" s="1" t="str">
        <f t="shared" si="10"/>
        <v>Anti-Scam</v>
      </c>
      <c r="Q6" s="108" t="str">
        <f t="shared" si="3"/>
        <v>2022</v>
      </c>
      <c r="R6" s="110">
        <f t="shared" si="4"/>
        <v>5</v>
      </c>
      <c r="S6" s="108" t="str">
        <f t="shared" si="5"/>
        <v>2022-Q2</v>
      </c>
      <c r="T6" s="111" t="str">
        <f t="shared" si="6"/>
        <v>2022-05</v>
      </c>
      <c r="U6" s="112" t="str">
        <f t="shared" si="7"/>
        <v>2022-H1</v>
      </c>
      <c r="V6" s="1" t="str">
        <f>VLOOKUP(B6,Bounties!A:E,2,FALSE)</f>
        <v>Anti-Scam Bounty</v>
      </c>
    </row>
    <row r="7" hidden="1">
      <c r="A7" s="109">
        <f>HYPERLINK("https://polkadot.subsquare.io/treasury/child-bounties/5", 5)</f>
        <v>5</v>
      </c>
      <c r="B7" s="183">
        <v>11.0</v>
      </c>
      <c r="C7" s="27" t="s">
        <v>3404</v>
      </c>
      <c r="D7" s="27" t="s">
        <v>617</v>
      </c>
      <c r="E7" s="129">
        <v>464.0325</v>
      </c>
      <c r="F7" s="66">
        <v>5120.244095456601</v>
      </c>
      <c r="G7" s="27" t="s">
        <v>3405</v>
      </c>
      <c r="H7" s="167">
        <v>44695.0</v>
      </c>
      <c r="I7" s="167">
        <v>44711.0</v>
      </c>
      <c r="J7" s="66">
        <v>4592.845325732232</v>
      </c>
      <c r="K7" s="1"/>
      <c r="L7" s="1"/>
      <c r="M7" s="1" t="str">
        <f>VLOOKUP(B7,Bounties!A:D,3,FALSE)</f>
        <v>Research</v>
      </c>
      <c r="N7" s="1" t="str">
        <f>VLOOKUP(B7,Bounties!A:D,4,FALSE)</f>
        <v>Anti-Scam</v>
      </c>
      <c r="O7" s="1" t="str">
        <f t="shared" ref="O7:P7" si="11">IF(ISBLANK(K7),M7,K7)</f>
        <v>Research</v>
      </c>
      <c r="P7" s="1" t="str">
        <f t="shared" si="11"/>
        <v>Anti-Scam</v>
      </c>
      <c r="Q7" s="108" t="str">
        <f t="shared" si="3"/>
        <v>2022</v>
      </c>
      <c r="R7" s="110">
        <f t="shared" si="4"/>
        <v>5</v>
      </c>
      <c r="S7" s="108" t="str">
        <f t="shared" si="5"/>
        <v>2022-Q2</v>
      </c>
      <c r="T7" s="111" t="str">
        <f t="shared" si="6"/>
        <v>2022-05</v>
      </c>
      <c r="U7" s="112" t="str">
        <f t="shared" si="7"/>
        <v>2022-H1</v>
      </c>
      <c r="V7" s="1" t="str">
        <f>VLOOKUP(B7,Bounties!A:E,2,FALSE)</f>
        <v>Anti-Scam Bounty</v>
      </c>
    </row>
    <row r="8" hidden="1">
      <c r="A8" s="109">
        <f>HYPERLINK("https://polkadot.subsquare.io/treasury/child-bounties/6", 6)</f>
        <v>6</v>
      </c>
      <c r="B8" s="183">
        <v>11.0</v>
      </c>
      <c r="C8" s="27" t="s">
        <v>3404</v>
      </c>
      <c r="D8" s="27" t="s">
        <v>618</v>
      </c>
      <c r="E8" s="129">
        <v>494.47625</v>
      </c>
      <c r="F8" s="66">
        <v>5456.167616289854</v>
      </c>
      <c r="G8" s="27" t="s">
        <v>3406</v>
      </c>
      <c r="H8" s="167">
        <v>44695.0</v>
      </c>
      <c r="I8" s="167">
        <v>44706.0</v>
      </c>
      <c r="J8" s="66">
        <v>4515.508999841213</v>
      </c>
      <c r="K8" s="1"/>
      <c r="L8" s="1"/>
      <c r="M8" s="1" t="str">
        <f>VLOOKUP(B8,Bounties!A:D,3,FALSE)</f>
        <v>Research</v>
      </c>
      <c r="N8" s="1" t="str">
        <f>VLOOKUP(B8,Bounties!A:D,4,FALSE)</f>
        <v>Anti-Scam</v>
      </c>
      <c r="O8" s="1" t="str">
        <f t="shared" ref="O8:P8" si="12">IF(ISBLANK(K8),M8,K8)</f>
        <v>Research</v>
      </c>
      <c r="P8" s="1" t="str">
        <f t="shared" si="12"/>
        <v>Anti-Scam</v>
      </c>
      <c r="Q8" s="108" t="str">
        <f t="shared" si="3"/>
        <v>2022</v>
      </c>
      <c r="R8" s="110">
        <f t="shared" si="4"/>
        <v>5</v>
      </c>
      <c r="S8" s="108" t="str">
        <f t="shared" si="5"/>
        <v>2022-Q2</v>
      </c>
      <c r="T8" s="111" t="str">
        <f t="shared" si="6"/>
        <v>2022-05</v>
      </c>
      <c r="U8" s="112" t="str">
        <f t="shared" si="7"/>
        <v>2022-H1</v>
      </c>
      <c r="V8" s="1" t="str">
        <f>VLOOKUP(B8,Bounties!A:E,2,FALSE)</f>
        <v>Anti-Scam Bounty</v>
      </c>
    </row>
    <row r="9" hidden="1">
      <c r="A9" s="109">
        <f>HYPERLINK("https://polkadot.subsquare.io/treasury/child-bounties/7", 7)</f>
        <v>7</v>
      </c>
      <c r="B9" s="183">
        <v>11.0</v>
      </c>
      <c r="C9" s="27" t="s">
        <v>3404</v>
      </c>
      <c r="D9" s="27" t="s">
        <v>619</v>
      </c>
      <c r="E9" s="129">
        <v>554.47625</v>
      </c>
      <c r="F9" s="66">
        <v>6118.221773546935</v>
      </c>
      <c r="G9" s="27" t="s">
        <v>3407</v>
      </c>
      <c r="H9" s="167">
        <v>44695.0</v>
      </c>
      <c r="I9" s="167">
        <v>44708.0</v>
      </c>
      <c r="J9" s="66">
        <v>5796.991513363124</v>
      </c>
      <c r="K9" s="1"/>
      <c r="L9" s="1"/>
      <c r="M9" s="1" t="str">
        <f>VLOOKUP(B9,Bounties!A:D,3,FALSE)</f>
        <v>Research</v>
      </c>
      <c r="N9" s="1" t="str">
        <f>VLOOKUP(B9,Bounties!A:D,4,FALSE)</f>
        <v>Anti-Scam</v>
      </c>
      <c r="O9" s="1" t="str">
        <f t="shared" ref="O9:P9" si="13">IF(ISBLANK(K9),M9,K9)</f>
        <v>Research</v>
      </c>
      <c r="P9" s="1" t="str">
        <f t="shared" si="13"/>
        <v>Anti-Scam</v>
      </c>
      <c r="Q9" s="108" t="str">
        <f t="shared" si="3"/>
        <v>2022</v>
      </c>
      <c r="R9" s="110">
        <f t="shared" si="4"/>
        <v>5</v>
      </c>
      <c r="S9" s="108" t="str">
        <f t="shared" si="5"/>
        <v>2022-Q2</v>
      </c>
      <c r="T9" s="111" t="str">
        <f t="shared" si="6"/>
        <v>2022-05</v>
      </c>
      <c r="U9" s="112" t="str">
        <f t="shared" si="7"/>
        <v>2022-H1</v>
      </c>
      <c r="V9" s="1" t="str">
        <f>VLOOKUP(B9,Bounties!A:E,2,FALSE)</f>
        <v>Anti-Scam Bounty</v>
      </c>
    </row>
    <row r="10" hidden="1">
      <c r="A10" s="109">
        <f>HYPERLINK("https://polkadot.subsquare.io/treasury/child-bounties/8", 8)</f>
        <v>8</v>
      </c>
      <c r="B10" s="183">
        <v>11.0</v>
      </c>
      <c r="C10" s="27" t="s">
        <v>3404</v>
      </c>
      <c r="D10" s="27" t="s">
        <v>620</v>
      </c>
      <c r="E10" s="129">
        <v>168.145</v>
      </c>
      <c r="F10" s="66">
        <v>1855.3516045331955</v>
      </c>
      <c r="G10" s="27" t="s">
        <v>3410</v>
      </c>
      <c r="H10" s="167">
        <v>44695.0</v>
      </c>
      <c r="I10" s="167">
        <v>44707.0</v>
      </c>
      <c r="J10" s="66">
        <v>1678.2008754825592</v>
      </c>
      <c r="K10" s="1"/>
      <c r="L10" s="1"/>
      <c r="M10" s="1" t="str">
        <f>VLOOKUP(B10,Bounties!A:D,3,FALSE)</f>
        <v>Research</v>
      </c>
      <c r="N10" s="1" t="str">
        <f>VLOOKUP(B10,Bounties!A:D,4,FALSE)</f>
        <v>Anti-Scam</v>
      </c>
      <c r="O10" s="1" t="str">
        <f t="shared" ref="O10:P10" si="14">IF(ISBLANK(K10),M10,K10)</f>
        <v>Research</v>
      </c>
      <c r="P10" s="1" t="str">
        <f t="shared" si="14"/>
        <v>Anti-Scam</v>
      </c>
      <c r="Q10" s="108" t="str">
        <f t="shared" si="3"/>
        <v>2022</v>
      </c>
      <c r="R10" s="110">
        <f t="shared" si="4"/>
        <v>5</v>
      </c>
      <c r="S10" s="108" t="str">
        <f t="shared" si="5"/>
        <v>2022-Q2</v>
      </c>
      <c r="T10" s="111" t="str">
        <f t="shared" si="6"/>
        <v>2022-05</v>
      </c>
      <c r="U10" s="112" t="str">
        <f t="shared" si="7"/>
        <v>2022-H1</v>
      </c>
      <c r="V10" s="1" t="str">
        <f>VLOOKUP(B10,Bounties!A:E,2,FALSE)</f>
        <v>Anti-Scam Bounty</v>
      </c>
    </row>
    <row r="11" hidden="1">
      <c r="A11" s="109">
        <f>HYPERLINK("https://polkadot.subsquare.io/treasury/child-bounties/9", 9)</f>
        <v>9</v>
      </c>
      <c r="B11" s="183">
        <v>11.0</v>
      </c>
      <c r="C11" s="27" t="s">
        <v>3404</v>
      </c>
      <c r="D11" s="27" t="s">
        <v>621</v>
      </c>
      <c r="E11" s="129">
        <v>15.0</v>
      </c>
      <c r="F11" s="66">
        <v>147.99872875213623</v>
      </c>
      <c r="G11" s="27" t="s">
        <v>3410</v>
      </c>
      <c r="H11" s="167">
        <v>44703.0</v>
      </c>
      <c r="I11" s="167">
        <v>45014.0</v>
      </c>
      <c r="J11" s="66">
        <v>95.11535882949829</v>
      </c>
      <c r="K11" s="1"/>
      <c r="L11" s="1"/>
      <c r="M11" s="1" t="str">
        <f>VLOOKUP(B11,Bounties!A:D,3,FALSE)</f>
        <v>Research</v>
      </c>
      <c r="N11" s="1" t="str">
        <f>VLOOKUP(B11,Bounties!A:D,4,FALSE)</f>
        <v>Anti-Scam</v>
      </c>
      <c r="O11" s="1" t="str">
        <f t="shared" ref="O11:P11" si="15">IF(ISBLANK(K11),M11,K11)</f>
        <v>Research</v>
      </c>
      <c r="P11" s="1" t="str">
        <f t="shared" si="15"/>
        <v>Anti-Scam</v>
      </c>
      <c r="Q11" s="108" t="str">
        <f t="shared" si="3"/>
        <v>2023</v>
      </c>
      <c r="R11" s="110">
        <f t="shared" si="4"/>
        <v>3</v>
      </c>
      <c r="S11" s="108" t="str">
        <f t="shared" si="5"/>
        <v>2023-Q1</v>
      </c>
      <c r="T11" s="111" t="str">
        <f t="shared" si="6"/>
        <v>2023-03</v>
      </c>
      <c r="U11" s="112" t="str">
        <f t="shared" si="7"/>
        <v>2023-H1</v>
      </c>
      <c r="V11" s="1" t="str">
        <f>VLOOKUP(B11,Bounties!A:E,2,FALSE)</f>
        <v>Anti-Scam Bounty</v>
      </c>
    </row>
    <row r="12" hidden="1">
      <c r="A12" s="109">
        <f>HYPERLINK("https://polkadot.subsquare.io/treasury/child-bounties/10", 10)</f>
        <v>10</v>
      </c>
      <c r="B12" s="183">
        <v>11.0</v>
      </c>
      <c r="C12" s="27" t="s">
        <v>3404</v>
      </c>
      <c r="D12" s="27" t="s">
        <v>622</v>
      </c>
      <c r="E12" s="129">
        <v>15.0</v>
      </c>
      <c r="F12" s="66">
        <v>147.99872875213623</v>
      </c>
      <c r="G12" s="27" t="s">
        <v>3405</v>
      </c>
      <c r="H12" s="167">
        <v>44703.0</v>
      </c>
      <c r="I12" s="167">
        <v>44734.0</v>
      </c>
      <c r="J12" s="66">
        <v>123.0886173248291</v>
      </c>
      <c r="K12" s="1"/>
      <c r="L12" s="1"/>
      <c r="M12" s="1" t="str">
        <f>VLOOKUP(B12,Bounties!A:D,3,FALSE)</f>
        <v>Research</v>
      </c>
      <c r="N12" s="1" t="str">
        <f>VLOOKUP(B12,Bounties!A:D,4,FALSE)</f>
        <v>Anti-Scam</v>
      </c>
      <c r="O12" s="1" t="str">
        <f t="shared" ref="O12:P12" si="16">IF(ISBLANK(K12),M12,K12)</f>
        <v>Research</v>
      </c>
      <c r="P12" s="1" t="str">
        <f t="shared" si="16"/>
        <v>Anti-Scam</v>
      </c>
      <c r="Q12" s="108" t="str">
        <f t="shared" si="3"/>
        <v>2022</v>
      </c>
      <c r="R12" s="110">
        <f t="shared" si="4"/>
        <v>6</v>
      </c>
      <c r="S12" s="108" t="str">
        <f t="shared" si="5"/>
        <v>2022-Q2</v>
      </c>
      <c r="T12" s="111" t="str">
        <f t="shared" si="6"/>
        <v>2022-06</v>
      </c>
      <c r="U12" s="112" t="str">
        <f t="shared" si="7"/>
        <v>2022-H1</v>
      </c>
      <c r="V12" s="1" t="str">
        <f>VLOOKUP(B12,Bounties!A:E,2,FALSE)</f>
        <v>Anti-Scam Bounty</v>
      </c>
    </row>
    <row r="13" hidden="1">
      <c r="A13" s="109">
        <f>HYPERLINK("https://polkadot.subsquare.io/treasury/child-bounties/11", 11)</f>
        <v>11</v>
      </c>
      <c r="B13" s="183">
        <v>11.0</v>
      </c>
      <c r="C13" s="27" t="s">
        <v>3404</v>
      </c>
      <c r="D13" s="27" t="s">
        <v>623</v>
      </c>
      <c r="E13" s="129">
        <v>15.0</v>
      </c>
      <c r="F13" s="66">
        <v>147.99872875213623</v>
      </c>
      <c r="G13" s="27" t="s">
        <v>3407</v>
      </c>
      <c r="H13" s="167">
        <v>44703.0</v>
      </c>
      <c r="I13" s="167">
        <v>44711.0</v>
      </c>
      <c r="J13" s="66">
        <v>148.4652042388916</v>
      </c>
      <c r="K13" s="1"/>
      <c r="L13" s="1"/>
      <c r="M13" s="1" t="str">
        <f>VLOOKUP(B13,Bounties!A:D,3,FALSE)</f>
        <v>Research</v>
      </c>
      <c r="N13" s="1" t="str">
        <f>VLOOKUP(B13,Bounties!A:D,4,FALSE)</f>
        <v>Anti-Scam</v>
      </c>
      <c r="O13" s="1" t="str">
        <f t="shared" ref="O13:P13" si="17">IF(ISBLANK(K13),M13,K13)</f>
        <v>Research</v>
      </c>
      <c r="P13" s="1" t="str">
        <f t="shared" si="17"/>
        <v>Anti-Scam</v>
      </c>
      <c r="Q13" s="108" t="str">
        <f t="shared" si="3"/>
        <v>2022</v>
      </c>
      <c r="R13" s="110">
        <f t="shared" si="4"/>
        <v>5</v>
      </c>
      <c r="S13" s="108" t="str">
        <f t="shared" si="5"/>
        <v>2022-Q2</v>
      </c>
      <c r="T13" s="111" t="str">
        <f t="shared" si="6"/>
        <v>2022-05</v>
      </c>
      <c r="U13" s="112" t="str">
        <f t="shared" si="7"/>
        <v>2022-H1</v>
      </c>
      <c r="V13" s="1" t="str">
        <f>VLOOKUP(B13,Bounties!A:E,2,FALSE)</f>
        <v>Anti-Scam Bounty</v>
      </c>
    </row>
    <row r="14" hidden="1">
      <c r="A14" s="109">
        <f>HYPERLINK("https://polkadot.subsquare.io/treasury/child-bounties/12", 12)</f>
        <v>12</v>
      </c>
      <c r="B14" s="183">
        <v>11.0</v>
      </c>
      <c r="C14" s="27" t="s">
        <v>3404</v>
      </c>
      <c r="D14" s="27" t="s">
        <v>624</v>
      </c>
      <c r="E14" s="129">
        <v>15.0</v>
      </c>
      <c r="F14" s="66">
        <v>147.99872875213623</v>
      </c>
      <c r="G14" s="27" t="s">
        <v>3406</v>
      </c>
      <c r="H14" s="167">
        <v>44703.0</v>
      </c>
      <c r="I14" s="167">
        <v>44714.0</v>
      </c>
      <c r="J14" s="66">
        <v>141.45888805389404</v>
      </c>
      <c r="K14" s="1"/>
      <c r="L14" s="1"/>
      <c r="M14" s="1" t="str">
        <f>VLOOKUP(B14,Bounties!A:D,3,FALSE)</f>
        <v>Research</v>
      </c>
      <c r="N14" s="1" t="str">
        <f>VLOOKUP(B14,Bounties!A:D,4,FALSE)</f>
        <v>Anti-Scam</v>
      </c>
      <c r="O14" s="1" t="str">
        <f t="shared" ref="O14:P14" si="18">IF(ISBLANK(K14),M14,K14)</f>
        <v>Research</v>
      </c>
      <c r="P14" s="1" t="str">
        <f t="shared" si="18"/>
        <v>Anti-Scam</v>
      </c>
      <c r="Q14" s="108" t="str">
        <f t="shared" si="3"/>
        <v>2022</v>
      </c>
      <c r="R14" s="110">
        <f t="shared" si="4"/>
        <v>6</v>
      </c>
      <c r="S14" s="108" t="str">
        <f t="shared" si="5"/>
        <v>2022-Q2</v>
      </c>
      <c r="T14" s="111" t="str">
        <f t="shared" si="6"/>
        <v>2022-06</v>
      </c>
      <c r="U14" s="112" t="str">
        <f t="shared" si="7"/>
        <v>2022-H1</v>
      </c>
      <c r="V14" s="1" t="str">
        <f>VLOOKUP(B14,Bounties!A:E,2,FALSE)</f>
        <v>Anti-Scam Bounty</v>
      </c>
    </row>
    <row r="15" hidden="1">
      <c r="A15" s="109">
        <f>HYPERLINK("https://polkadot.subsquare.io/treasury/child-bounties/13", 13)</f>
        <v>13</v>
      </c>
      <c r="B15" s="183">
        <v>11.0</v>
      </c>
      <c r="C15" s="27" t="s">
        <v>3404</v>
      </c>
      <c r="D15" s="27" t="s">
        <v>625</v>
      </c>
      <c r="E15" s="129">
        <v>25.0</v>
      </c>
      <c r="F15" s="66">
        <v>234.42325592041016</v>
      </c>
      <c r="G15" s="27" t="s">
        <v>3408</v>
      </c>
      <c r="H15" s="167">
        <v>44712.0</v>
      </c>
      <c r="I15" s="167">
        <v>44723.0</v>
      </c>
      <c r="J15" s="66">
        <v>184.13642644882202</v>
      </c>
      <c r="K15" s="1"/>
      <c r="L15" s="1"/>
      <c r="M15" s="1" t="str">
        <f>VLOOKUP(B15,Bounties!A:D,3,FALSE)</f>
        <v>Research</v>
      </c>
      <c r="N15" s="1" t="str">
        <f>VLOOKUP(B15,Bounties!A:D,4,FALSE)</f>
        <v>Anti-Scam</v>
      </c>
      <c r="O15" s="1" t="str">
        <f t="shared" ref="O15:P15" si="19">IF(ISBLANK(K15),M15,K15)</f>
        <v>Research</v>
      </c>
      <c r="P15" s="1" t="str">
        <f t="shared" si="19"/>
        <v>Anti-Scam</v>
      </c>
      <c r="Q15" s="108" t="str">
        <f t="shared" si="3"/>
        <v>2022</v>
      </c>
      <c r="R15" s="110">
        <f t="shared" si="4"/>
        <v>6</v>
      </c>
      <c r="S15" s="108" t="str">
        <f t="shared" si="5"/>
        <v>2022-Q2</v>
      </c>
      <c r="T15" s="111" t="str">
        <f t="shared" si="6"/>
        <v>2022-06</v>
      </c>
      <c r="U15" s="112" t="str">
        <f t="shared" si="7"/>
        <v>2022-H1</v>
      </c>
      <c r="V15" s="1" t="str">
        <f>VLOOKUP(B15,Bounties!A:E,2,FALSE)</f>
        <v>Anti-Scam Bounty</v>
      </c>
    </row>
    <row r="16" hidden="1">
      <c r="A16" s="109">
        <f>HYPERLINK("https://polkadot.subsquare.io/treasury/child-bounties/14", 14)</f>
        <v>14</v>
      </c>
      <c r="B16" s="183">
        <v>11.0</v>
      </c>
      <c r="C16" s="27" t="s">
        <v>3404</v>
      </c>
      <c r="D16" s="27" t="s">
        <v>626</v>
      </c>
      <c r="E16" s="129">
        <v>25.0</v>
      </c>
      <c r="F16" s="66">
        <v>234.42325592041016</v>
      </c>
      <c r="G16" s="27" t="s">
        <v>3409</v>
      </c>
      <c r="H16" s="167">
        <v>44712.0</v>
      </c>
      <c r="I16" s="167">
        <v>44721.0</v>
      </c>
      <c r="J16" s="66">
        <v>200.40442943572998</v>
      </c>
      <c r="K16" s="1"/>
      <c r="L16" s="1"/>
      <c r="M16" s="1" t="str">
        <f>VLOOKUP(B16,Bounties!A:D,3,FALSE)</f>
        <v>Research</v>
      </c>
      <c r="N16" s="1" t="str">
        <f>VLOOKUP(B16,Bounties!A:D,4,FALSE)</f>
        <v>Anti-Scam</v>
      </c>
      <c r="O16" s="1" t="str">
        <f t="shared" ref="O16:P16" si="20">IF(ISBLANK(K16),M16,K16)</f>
        <v>Research</v>
      </c>
      <c r="P16" s="1" t="str">
        <f t="shared" si="20"/>
        <v>Anti-Scam</v>
      </c>
      <c r="Q16" s="108" t="str">
        <f t="shared" si="3"/>
        <v>2022</v>
      </c>
      <c r="R16" s="110">
        <f t="shared" si="4"/>
        <v>6</v>
      </c>
      <c r="S16" s="108" t="str">
        <f t="shared" si="5"/>
        <v>2022-Q2</v>
      </c>
      <c r="T16" s="111" t="str">
        <f t="shared" si="6"/>
        <v>2022-06</v>
      </c>
      <c r="U16" s="112" t="str">
        <f t="shared" si="7"/>
        <v>2022-H1</v>
      </c>
      <c r="V16" s="1" t="str">
        <f>VLOOKUP(B16,Bounties!A:E,2,FALSE)</f>
        <v>Anti-Scam Bounty</v>
      </c>
    </row>
    <row r="17" hidden="1">
      <c r="A17" s="109">
        <f>HYPERLINK("https://polkadot.subsquare.io/treasury/child-bounties/15", 15)</f>
        <v>15</v>
      </c>
      <c r="B17" s="183">
        <v>11.0</v>
      </c>
      <c r="C17" s="27" t="s">
        <v>3404</v>
      </c>
      <c r="D17" s="27" t="s">
        <v>627</v>
      </c>
      <c r="E17" s="129">
        <v>443.75</v>
      </c>
      <c r="F17" s="66">
        <v>4184.825438261032</v>
      </c>
      <c r="G17" s="27" t="s">
        <v>3407</v>
      </c>
      <c r="H17" s="167">
        <v>44714.0</v>
      </c>
      <c r="I17" s="167">
        <v>44724.0</v>
      </c>
      <c r="J17" s="66">
        <v>3776.436173915863</v>
      </c>
      <c r="K17" s="1"/>
      <c r="L17" s="1"/>
      <c r="M17" s="1" t="str">
        <f>VLOOKUP(B17,Bounties!A:D,3,FALSE)</f>
        <v>Research</v>
      </c>
      <c r="N17" s="1" t="str">
        <f>VLOOKUP(B17,Bounties!A:D,4,FALSE)</f>
        <v>Anti-Scam</v>
      </c>
      <c r="O17" s="1" t="str">
        <f t="shared" ref="O17:P17" si="21">IF(ISBLANK(K17),M17,K17)</f>
        <v>Research</v>
      </c>
      <c r="P17" s="1" t="str">
        <f t="shared" si="21"/>
        <v>Anti-Scam</v>
      </c>
      <c r="Q17" s="108" t="str">
        <f t="shared" si="3"/>
        <v>2022</v>
      </c>
      <c r="R17" s="110">
        <f t="shared" si="4"/>
        <v>6</v>
      </c>
      <c r="S17" s="108" t="str">
        <f t="shared" si="5"/>
        <v>2022-Q2</v>
      </c>
      <c r="T17" s="111" t="str">
        <f t="shared" si="6"/>
        <v>2022-06</v>
      </c>
      <c r="U17" s="112" t="str">
        <f t="shared" si="7"/>
        <v>2022-H1</v>
      </c>
      <c r="V17" s="1" t="str">
        <f>VLOOKUP(B17,Bounties!A:E,2,FALSE)</f>
        <v>Anti-Scam Bounty</v>
      </c>
    </row>
    <row r="18" hidden="1">
      <c r="A18" s="109">
        <f>HYPERLINK("https://polkadot.subsquare.io/treasury/child-bounties/16", 16)</f>
        <v>16</v>
      </c>
      <c r="B18" s="183">
        <v>11.0</v>
      </c>
      <c r="C18" s="27" t="s">
        <v>3404</v>
      </c>
      <c r="D18" s="27" t="s">
        <v>628</v>
      </c>
      <c r="E18" s="129">
        <v>220.01</v>
      </c>
      <c r="F18" s="66">
        <v>2074.8246640491484</v>
      </c>
      <c r="G18" s="27" t="s">
        <v>3406</v>
      </c>
      <c r="H18" s="167">
        <v>44714.0</v>
      </c>
      <c r="I18" s="167">
        <v>44725.0</v>
      </c>
      <c r="J18" s="66">
        <v>1872.3464171791077</v>
      </c>
      <c r="K18" s="1"/>
      <c r="L18" s="1"/>
      <c r="M18" s="1" t="str">
        <f>VLOOKUP(B18,Bounties!A:D,3,FALSE)</f>
        <v>Research</v>
      </c>
      <c r="N18" s="1" t="str">
        <f>VLOOKUP(B18,Bounties!A:D,4,FALSE)</f>
        <v>Anti-Scam</v>
      </c>
      <c r="O18" s="1" t="str">
        <f t="shared" ref="O18:P18" si="22">IF(ISBLANK(K18),M18,K18)</f>
        <v>Research</v>
      </c>
      <c r="P18" s="1" t="str">
        <f t="shared" si="22"/>
        <v>Anti-Scam</v>
      </c>
      <c r="Q18" s="108" t="str">
        <f t="shared" si="3"/>
        <v>2022</v>
      </c>
      <c r="R18" s="110">
        <f t="shared" si="4"/>
        <v>6</v>
      </c>
      <c r="S18" s="108" t="str">
        <f t="shared" si="5"/>
        <v>2022-Q2</v>
      </c>
      <c r="T18" s="111" t="str">
        <f t="shared" si="6"/>
        <v>2022-06</v>
      </c>
      <c r="U18" s="112" t="str">
        <f t="shared" si="7"/>
        <v>2022-H1</v>
      </c>
      <c r="V18" s="1" t="str">
        <f>VLOOKUP(B18,Bounties!A:E,2,FALSE)</f>
        <v>Anti-Scam Bounty</v>
      </c>
    </row>
    <row r="19" hidden="1">
      <c r="A19" s="109">
        <f>HYPERLINK("https://polkadot.subsquare.io/treasury/child-bounties/17", 17)</f>
        <v>17</v>
      </c>
      <c r="B19" s="183">
        <v>11.0</v>
      </c>
      <c r="C19" s="27" t="s">
        <v>3404</v>
      </c>
      <c r="D19" s="27" t="s">
        <v>629</v>
      </c>
      <c r="E19" s="129">
        <v>15.0</v>
      </c>
      <c r="F19" s="66">
        <v>140.1749610900879</v>
      </c>
      <c r="G19" s="27" t="s">
        <v>3407</v>
      </c>
      <c r="H19" s="167">
        <v>44714.0</v>
      </c>
      <c r="I19" s="167">
        <v>44723.0</v>
      </c>
      <c r="J19" s="66">
        <v>110.48185586929321</v>
      </c>
      <c r="K19" s="1"/>
      <c r="L19" s="1"/>
      <c r="M19" s="1" t="str">
        <f>VLOOKUP(B19,Bounties!A:D,3,FALSE)</f>
        <v>Research</v>
      </c>
      <c r="N19" s="1" t="str">
        <f>VLOOKUP(B19,Bounties!A:D,4,FALSE)</f>
        <v>Anti-Scam</v>
      </c>
      <c r="O19" s="1" t="str">
        <f t="shared" ref="O19:P19" si="23">IF(ISBLANK(K19),M19,K19)</f>
        <v>Research</v>
      </c>
      <c r="P19" s="1" t="str">
        <f t="shared" si="23"/>
        <v>Anti-Scam</v>
      </c>
      <c r="Q19" s="108" t="str">
        <f t="shared" si="3"/>
        <v>2022</v>
      </c>
      <c r="R19" s="110">
        <f t="shared" si="4"/>
        <v>6</v>
      </c>
      <c r="S19" s="108" t="str">
        <f t="shared" si="5"/>
        <v>2022-Q2</v>
      </c>
      <c r="T19" s="111" t="str">
        <f t="shared" si="6"/>
        <v>2022-06</v>
      </c>
      <c r="U19" s="112" t="str">
        <f t="shared" si="7"/>
        <v>2022-H1</v>
      </c>
      <c r="V19" s="1" t="str">
        <f>VLOOKUP(B19,Bounties!A:E,2,FALSE)</f>
        <v>Anti-Scam Bounty</v>
      </c>
    </row>
    <row r="20" hidden="1">
      <c r="A20" s="109">
        <f>HYPERLINK("https://polkadot.subsquare.io/treasury/child-bounties/18", 18)</f>
        <v>18</v>
      </c>
      <c r="B20" s="183">
        <v>11.0</v>
      </c>
      <c r="C20" s="27" t="s">
        <v>3404</v>
      </c>
      <c r="D20" s="27" t="s">
        <v>630</v>
      </c>
      <c r="E20" s="129">
        <v>15.0</v>
      </c>
      <c r="F20" s="66">
        <v>140.1749610900879</v>
      </c>
      <c r="G20" s="27" t="s">
        <v>3406</v>
      </c>
      <c r="H20" s="167">
        <v>44714.0</v>
      </c>
      <c r="I20" s="167">
        <v>44725.0</v>
      </c>
      <c r="J20" s="66">
        <v>127.6541805267334</v>
      </c>
      <c r="K20" s="1"/>
      <c r="L20" s="1"/>
      <c r="M20" s="1" t="str">
        <f>VLOOKUP(B20,Bounties!A:D,3,FALSE)</f>
        <v>Research</v>
      </c>
      <c r="N20" s="1" t="str">
        <f>VLOOKUP(B20,Bounties!A:D,4,FALSE)</f>
        <v>Anti-Scam</v>
      </c>
      <c r="O20" s="1" t="str">
        <f t="shared" ref="O20:P20" si="24">IF(ISBLANK(K20),M20,K20)</f>
        <v>Research</v>
      </c>
      <c r="P20" s="1" t="str">
        <f t="shared" si="24"/>
        <v>Anti-Scam</v>
      </c>
      <c r="Q20" s="108" t="str">
        <f t="shared" si="3"/>
        <v>2022</v>
      </c>
      <c r="R20" s="110">
        <f t="shared" si="4"/>
        <v>6</v>
      </c>
      <c r="S20" s="108" t="str">
        <f t="shared" si="5"/>
        <v>2022-Q2</v>
      </c>
      <c r="T20" s="111" t="str">
        <f t="shared" si="6"/>
        <v>2022-06</v>
      </c>
      <c r="U20" s="112" t="str">
        <f t="shared" si="7"/>
        <v>2022-H1</v>
      </c>
      <c r="V20" s="1" t="str">
        <f>VLOOKUP(B20,Bounties!A:E,2,FALSE)</f>
        <v>Anti-Scam Bounty</v>
      </c>
    </row>
    <row r="21" hidden="1">
      <c r="A21" s="109">
        <f>HYPERLINK("https://polkadot.subsquare.io/treasury/child-bounties/19", 19)</f>
        <v>19</v>
      </c>
      <c r="B21" s="183">
        <v>11.0</v>
      </c>
      <c r="C21" s="27" t="s">
        <v>3404</v>
      </c>
      <c r="D21" s="27" t="s">
        <v>631</v>
      </c>
      <c r="E21" s="129">
        <v>100.17</v>
      </c>
      <c r="F21" s="66">
        <v>742.1105630779266</v>
      </c>
      <c r="G21" s="27" t="s">
        <v>3406</v>
      </c>
      <c r="H21" s="167">
        <v>44732.0</v>
      </c>
      <c r="I21" s="167">
        <v>44745.0</v>
      </c>
      <c r="J21" s="66">
        <v>686.106217417717</v>
      </c>
      <c r="K21" s="1"/>
      <c r="L21" s="1"/>
      <c r="M21" s="1" t="str">
        <f>VLOOKUP(B21,Bounties!A:D,3,FALSE)</f>
        <v>Research</v>
      </c>
      <c r="N21" s="1" t="str">
        <f>VLOOKUP(B21,Bounties!A:D,4,FALSE)</f>
        <v>Anti-Scam</v>
      </c>
      <c r="O21" s="1" t="str">
        <f t="shared" ref="O21:P21" si="25">IF(ISBLANK(K21),M21,K21)</f>
        <v>Research</v>
      </c>
      <c r="P21" s="1" t="str">
        <f t="shared" si="25"/>
        <v>Anti-Scam</v>
      </c>
      <c r="Q21" s="108" t="str">
        <f t="shared" si="3"/>
        <v>2022</v>
      </c>
      <c r="R21" s="110">
        <f t="shared" si="4"/>
        <v>7</v>
      </c>
      <c r="S21" s="108" t="str">
        <f t="shared" si="5"/>
        <v>2022-Q3</v>
      </c>
      <c r="T21" s="111" t="str">
        <f t="shared" si="6"/>
        <v>2022-07</v>
      </c>
      <c r="U21" s="112" t="str">
        <f t="shared" si="7"/>
        <v>2022-H2</v>
      </c>
      <c r="V21" s="1" t="str">
        <f>VLOOKUP(B21,Bounties!A:E,2,FALSE)</f>
        <v>Anti-Scam Bounty</v>
      </c>
    </row>
    <row r="22" hidden="1">
      <c r="A22" s="109">
        <f>HYPERLINK("https://polkadot.subsquare.io/treasury/child-bounties/20", 20)</f>
        <v>20</v>
      </c>
      <c r="B22" s="183">
        <v>11.0</v>
      </c>
      <c r="C22" s="27" t="s">
        <v>3404</v>
      </c>
      <c r="D22" s="27" t="s">
        <v>632</v>
      </c>
      <c r="E22" s="129">
        <v>71.367399372</v>
      </c>
      <c r="F22" s="66">
        <v>488.8251615260304</v>
      </c>
      <c r="G22" s="27" t="s">
        <v>3408</v>
      </c>
      <c r="H22" s="167">
        <v>44744.0</v>
      </c>
      <c r="I22" s="167">
        <v>44780.0</v>
      </c>
      <c r="J22" s="66">
        <v>678.138055020363</v>
      </c>
      <c r="K22" s="1"/>
      <c r="L22" s="1"/>
      <c r="M22" s="1" t="str">
        <f>VLOOKUP(B22,Bounties!A:D,3,FALSE)</f>
        <v>Research</v>
      </c>
      <c r="N22" s="1" t="str">
        <f>VLOOKUP(B22,Bounties!A:D,4,FALSE)</f>
        <v>Anti-Scam</v>
      </c>
      <c r="O22" s="1" t="str">
        <f t="shared" ref="O22:P22" si="26">IF(ISBLANK(K22),M22,K22)</f>
        <v>Research</v>
      </c>
      <c r="P22" s="1" t="str">
        <f t="shared" si="26"/>
        <v>Anti-Scam</v>
      </c>
      <c r="Q22" s="108" t="str">
        <f t="shared" si="3"/>
        <v>2022</v>
      </c>
      <c r="R22" s="110">
        <f t="shared" si="4"/>
        <v>8</v>
      </c>
      <c r="S22" s="108" t="str">
        <f t="shared" si="5"/>
        <v>2022-Q3</v>
      </c>
      <c r="T22" s="111" t="str">
        <f t="shared" si="6"/>
        <v>2022-08</v>
      </c>
      <c r="U22" s="112" t="str">
        <f t="shared" si="7"/>
        <v>2022-H2</v>
      </c>
      <c r="V22" s="1" t="str">
        <f>VLOOKUP(B22,Bounties!A:E,2,FALSE)</f>
        <v>Anti-Scam Bounty</v>
      </c>
    </row>
    <row r="23" hidden="1">
      <c r="A23" s="109">
        <f>HYPERLINK("https://polkadot.subsquare.io/treasury/child-bounties/21", 21)</f>
        <v>21</v>
      </c>
      <c r="B23" s="183">
        <v>11.0</v>
      </c>
      <c r="C23" s="27" t="s">
        <v>3404</v>
      </c>
      <c r="D23" s="27" t="s">
        <v>633</v>
      </c>
      <c r="E23" s="129">
        <v>57.0450656</v>
      </c>
      <c r="F23" s="66">
        <v>390.7255084472549</v>
      </c>
      <c r="G23" s="27" t="s">
        <v>3407</v>
      </c>
      <c r="H23" s="167">
        <v>44744.0</v>
      </c>
      <c r="I23" s="167">
        <v>44759.0</v>
      </c>
      <c r="J23" s="66">
        <v>425.8118012939957</v>
      </c>
      <c r="K23" s="1"/>
      <c r="L23" s="1"/>
      <c r="M23" s="1" t="str">
        <f>VLOOKUP(B23,Bounties!A:D,3,FALSE)</f>
        <v>Research</v>
      </c>
      <c r="N23" s="1" t="str">
        <f>VLOOKUP(B23,Bounties!A:D,4,FALSE)</f>
        <v>Anti-Scam</v>
      </c>
      <c r="O23" s="1" t="str">
        <f t="shared" ref="O23:P23" si="27">IF(ISBLANK(K23),M23,K23)</f>
        <v>Research</v>
      </c>
      <c r="P23" s="1" t="str">
        <f t="shared" si="27"/>
        <v>Anti-Scam</v>
      </c>
      <c r="Q23" s="108" t="str">
        <f t="shared" si="3"/>
        <v>2022</v>
      </c>
      <c r="R23" s="110">
        <f t="shared" si="4"/>
        <v>7</v>
      </c>
      <c r="S23" s="108" t="str">
        <f t="shared" si="5"/>
        <v>2022-Q3</v>
      </c>
      <c r="T23" s="111" t="str">
        <f t="shared" si="6"/>
        <v>2022-07</v>
      </c>
      <c r="U23" s="112" t="str">
        <f t="shared" si="7"/>
        <v>2022-H2</v>
      </c>
      <c r="V23" s="1" t="str">
        <f>VLOOKUP(B23,Bounties!A:E,2,FALSE)</f>
        <v>Anti-Scam Bounty</v>
      </c>
    </row>
    <row r="24" hidden="1">
      <c r="A24" s="109">
        <f>HYPERLINK("https://polkadot.subsquare.io/treasury/child-bounties/22", 22)</f>
        <v>22</v>
      </c>
      <c r="B24" s="183">
        <v>11.0</v>
      </c>
      <c r="C24" s="27" t="s">
        <v>3404</v>
      </c>
      <c r="D24" s="27" t="s">
        <v>634</v>
      </c>
      <c r="E24" s="129">
        <v>57.0450656</v>
      </c>
      <c r="F24" s="66">
        <v>390.7255084472549</v>
      </c>
      <c r="G24" s="27" t="s">
        <v>3406</v>
      </c>
      <c r="H24" s="167">
        <v>44744.0</v>
      </c>
      <c r="I24" s="167">
        <v>44772.0</v>
      </c>
      <c r="J24" s="66">
        <v>452.88026637419586</v>
      </c>
      <c r="K24" s="1"/>
      <c r="L24" s="1"/>
      <c r="M24" s="1" t="str">
        <f>VLOOKUP(B24,Bounties!A:D,3,FALSE)</f>
        <v>Research</v>
      </c>
      <c r="N24" s="1" t="str">
        <f>VLOOKUP(B24,Bounties!A:D,4,FALSE)</f>
        <v>Anti-Scam</v>
      </c>
      <c r="O24" s="1" t="str">
        <f t="shared" ref="O24:P24" si="28">IF(ISBLANK(K24),M24,K24)</f>
        <v>Research</v>
      </c>
      <c r="P24" s="1" t="str">
        <f t="shared" si="28"/>
        <v>Anti-Scam</v>
      </c>
      <c r="Q24" s="108" t="str">
        <f t="shared" si="3"/>
        <v>2022</v>
      </c>
      <c r="R24" s="110">
        <f t="shared" si="4"/>
        <v>7</v>
      </c>
      <c r="S24" s="108" t="str">
        <f t="shared" si="5"/>
        <v>2022-Q3</v>
      </c>
      <c r="T24" s="111" t="str">
        <f t="shared" si="6"/>
        <v>2022-07</v>
      </c>
      <c r="U24" s="112" t="str">
        <f t="shared" si="7"/>
        <v>2022-H2</v>
      </c>
      <c r="V24" s="1" t="str">
        <f>VLOOKUP(B24,Bounties!A:E,2,FALSE)</f>
        <v>Anti-Scam Bounty</v>
      </c>
    </row>
    <row r="25" hidden="1">
      <c r="A25" s="109">
        <f>HYPERLINK("https://polkadot.subsquare.io/treasury/child-bounties/23", 23)</f>
        <v>23</v>
      </c>
      <c r="B25" s="183">
        <v>11.0</v>
      </c>
      <c r="C25" s="27" t="s">
        <v>3404</v>
      </c>
      <c r="D25" s="27" t="s">
        <v>635</v>
      </c>
      <c r="E25" s="129">
        <v>71.367399372</v>
      </c>
      <c r="F25" s="66">
        <v>488.8251615260304</v>
      </c>
      <c r="G25" s="27" t="s">
        <v>3409</v>
      </c>
      <c r="H25" s="167">
        <v>44745.0</v>
      </c>
      <c r="I25" s="167">
        <v>44753.0</v>
      </c>
      <c r="J25" s="66">
        <v>479.48800799462566</v>
      </c>
      <c r="K25" s="1"/>
      <c r="L25" s="1"/>
      <c r="M25" s="1" t="str">
        <f>VLOOKUP(B25,Bounties!A:D,3,FALSE)</f>
        <v>Research</v>
      </c>
      <c r="N25" s="1" t="str">
        <f>VLOOKUP(B25,Bounties!A:D,4,FALSE)</f>
        <v>Anti-Scam</v>
      </c>
      <c r="O25" s="1" t="str">
        <f t="shared" ref="O25:P25" si="29">IF(ISBLANK(K25),M25,K25)</f>
        <v>Research</v>
      </c>
      <c r="P25" s="1" t="str">
        <f t="shared" si="29"/>
        <v>Anti-Scam</v>
      </c>
      <c r="Q25" s="108" t="str">
        <f t="shared" si="3"/>
        <v>2022</v>
      </c>
      <c r="R25" s="110">
        <f t="shared" si="4"/>
        <v>7</v>
      </c>
      <c r="S25" s="108" t="str">
        <f t="shared" si="5"/>
        <v>2022-Q3</v>
      </c>
      <c r="T25" s="111" t="str">
        <f t="shared" si="6"/>
        <v>2022-07</v>
      </c>
      <c r="U25" s="112" t="str">
        <f t="shared" si="7"/>
        <v>2022-H2</v>
      </c>
      <c r="V25" s="1" t="str">
        <f>VLOOKUP(B25,Bounties!A:E,2,FALSE)</f>
        <v>Anti-Scam Bounty</v>
      </c>
    </row>
    <row r="26" hidden="1">
      <c r="A26" s="109">
        <f>HYPERLINK("https://polkadot.subsquare.io/treasury/child-bounties/24", 24)</f>
        <v>24</v>
      </c>
      <c r="B26" s="183">
        <v>11.0</v>
      </c>
      <c r="C26" s="27" t="s">
        <v>3404</v>
      </c>
      <c r="D26" s="27" t="s">
        <v>636</v>
      </c>
      <c r="E26" s="129">
        <v>1211.21</v>
      </c>
      <c r="F26" s="66">
        <v>8795.220908465386</v>
      </c>
      <c r="G26" s="27" t="s">
        <v>3407</v>
      </c>
      <c r="H26" s="167">
        <v>44749.0</v>
      </c>
      <c r="I26" s="167">
        <v>44759.0</v>
      </c>
      <c r="J26" s="66">
        <v>9041.05388293743</v>
      </c>
      <c r="K26" s="1"/>
      <c r="L26" s="1"/>
      <c r="M26" s="1" t="str">
        <f>VLOOKUP(B26,Bounties!A:D,3,FALSE)</f>
        <v>Research</v>
      </c>
      <c r="N26" s="1" t="str">
        <f>VLOOKUP(B26,Bounties!A:D,4,FALSE)</f>
        <v>Anti-Scam</v>
      </c>
      <c r="O26" s="1" t="str">
        <f t="shared" ref="O26:P26" si="30">IF(ISBLANK(K26),M26,K26)</f>
        <v>Research</v>
      </c>
      <c r="P26" s="1" t="str">
        <f t="shared" si="30"/>
        <v>Anti-Scam</v>
      </c>
      <c r="Q26" s="108" t="str">
        <f t="shared" si="3"/>
        <v>2022</v>
      </c>
      <c r="R26" s="110">
        <f t="shared" si="4"/>
        <v>7</v>
      </c>
      <c r="S26" s="108" t="str">
        <f t="shared" si="5"/>
        <v>2022-Q3</v>
      </c>
      <c r="T26" s="111" t="str">
        <f t="shared" si="6"/>
        <v>2022-07</v>
      </c>
      <c r="U26" s="112" t="str">
        <f t="shared" si="7"/>
        <v>2022-H2</v>
      </c>
      <c r="V26" s="1" t="str">
        <f>VLOOKUP(B26,Bounties!A:E,2,FALSE)</f>
        <v>Anti-Scam Bounty</v>
      </c>
    </row>
    <row r="27" hidden="1">
      <c r="A27" s="109">
        <f>HYPERLINK("https://polkadot.subsquare.io/treasury/child-bounties/25", 25)</f>
        <v>25</v>
      </c>
      <c r="B27" s="183">
        <v>11.0</v>
      </c>
      <c r="C27" s="27" t="s">
        <v>3404</v>
      </c>
      <c r="D27" s="27" t="s">
        <v>637</v>
      </c>
      <c r="E27" s="129">
        <v>852.58</v>
      </c>
      <c r="F27" s="66">
        <v>6191.023391599655</v>
      </c>
      <c r="G27" s="27" t="s">
        <v>3406</v>
      </c>
      <c r="H27" s="167">
        <v>44749.0</v>
      </c>
      <c r="I27" s="167">
        <v>44760.0</v>
      </c>
      <c r="J27" s="66">
        <v>6364.067106046677</v>
      </c>
      <c r="K27" s="1"/>
      <c r="L27" s="1"/>
      <c r="M27" s="1" t="str">
        <f>VLOOKUP(B27,Bounties!A:D,3,FALSE)</f>
        <v>Research</v>
      </c>
      <c r="N27" s="1" t="str">
        <f>VLOOKUP(B27,Bounties!A:D,4,FALSE)</f>
        <v>Anti-Scam</v>
      </c>
      <c r="O27" s="1" t="str">
        <f t="shared" ref="O27:P27" si="31">IF(ISBLANK(K27),M27,K27)</f>
        <v>Research</v>
      </c>
      <c r="P27" s="1" t="str">
        <f t="shared" si="31"/>
        <v>Anti-Scam</v>
      </c>
      <c r="Q27" s="108" t="str">
        <f t="shared" si="3"/>
        <v>2022</v>
      </c>
      <c r="R27" s="110">
        <f t="shared" si="4"/>
        <v>7</v>
      </c>
      <c r="S27" s="108" t="str">
        <f t="shared" si="5"/>
        <v>2022-Q3</v>
      </c>
      <c r="T27" s="111" t="str">
        <f t="shared" si="6"/>
        <v>2022-07</v>
      </c>
      <c r="U27" s="112" t="str">
        <f t="shared" si="7"/>
        <v>2022-H2</v>
      </c>
      <c r="V27" s="1" t="str">
        <f>VLOOKUP(B27,Bounties!A:E,2,FALSE)</f>
        <v>Anti-Scam Bounty</v>
      </c>
    </row>
    <row r="28" hidden="1">
      <c r="A28" s="109">
        <f>HYPERLINK("https://polkadot.subsquare.io/treasury/child-bounties/26", 26)</f>
        <v>26</v>
      </c>
      <c r="B28" s="183">
        <v>11.0</v>
      </c>
      <c r="C28" s="27" t="s">
        <v>3404</v>
      </c>
      <c r="D28" s="27" t="s">
        <v>638</v>
      </c>
      <c r="E28" s="129">
        <v>163.92</v>
      </c>
      <c r="F28" s="66">
        <v>1190.3077181625365</v>
      </c>
      <c r="G28" s="27" t="s">
        <v>3411</v>
      </c>
      <c r="H28" s="167">
        <v>44749.0</v>
      </c>
      <c r="I28" s="167">
        <v>44759.0</v>
      </c>
      <c r="J28" s="66">
        <v>1223.5777053451536</v>
      </c>
      <c r="K28" s="1"/>
      <c r="L28" s="1"/>
      <c r="M28" s="1" t="str">
        <f>VLOOKUP(B28,Bounties!A:D,3,FALSE)</f>
        <v>Research</v>
      </c>
      <c r="N28" s="1" t="str">
        <f>VLOOKUP(B28,Bounties!A:D,4,FALSE)</f>
        <v>Anti-Scam</v>
      </c>
      <c r="O28" s="1" t="str">
        <f t="shared" ref="O28:P28" si="32">IF(ISBLANK(K28),M28,K28)</f>
        <v>Research</v>
      </c>
      <c r="P28" s="1" t="str">
        <f t="shared" si="32"/>
        <v>Anti-Scam</v>
      </c>
      <c r="Q28" s="108" t="str">
        <f t="shared" si="3"/>
        <v>2022</v>
      </c>
      <c r="R28" s="110">
        <f t="shared" si="4"/>
        <v>7</v>
      </c>
      <c r="S28" s="108" t="str">
        <f t="shared" si="5"/>
        <v>2022-Q3</v>
      </c>
      <c r="T28" s="111" t="str">
        <f t="shared" si="6"/>
        <v>2022-07</v>
      </c>
      <c r="U28" s="112" t="str">
        <f t="shared" si="7"/>
        <v>2022-H2</v>
      </c>
      <c r="V28" s="1" t="str">
        <f>VLOOKUP(B28,Bounties!A:E,2,FALSE)</f>
        <v>Anti-Scam Bounty</v>
      </c>
    </row>
    <row r="29" hidden="1">
      <c r="A29" s="109">
        <f>HYPERLINK("https://polkadot.subsquare.io/treasury/child-bounties/27", 27)</f>
        <v>27</v>
      </c>
      <c r="B29" s="183">
        <v>11.0</v>
      </c>
      <c r="C29" s="27" t="s">
        <v>3404</v>
      </c>
      <c r="D29" s="27" t="s">
        <v>639</v>
      </c>
      <c r="E29" s="129">
        <v>27.23</v>
      </c>
      <c r="F29" s="66">
        <v>216.17872683048247</v>
      </c>
      <c r="G29" s="27" t="s">
        <v>3411</v>
      </c>
      <c r="H29" s="167">
        <v>44773.0</v>
      </c>
      <c r="I29" s="167">
        <v>44781.0</v>
      </c>
      <c r="J29" s="66">
        <v>250.76033290863037</v>
      </c>
      <c r="K29" s="1"/>
      <c r="L29" s="1"/>
      <c r="M29" s="1" t="str">
        <f>VLOOKUP(B29,Bounties!A:D,3,FALSE)</f>
        <v>Research</v>
      </c>
      <c r="N29" s="1" t="str">
        <f>VLOOKUP(B29,Bounties!A:D,4,FALSE)</f>
        <v>Anti-Scam</v>
      </c>
      <c r="O29" s="1" t="str">
        <f t="shared" ref="O29:P29" si="33">IF(ISBLANK(K29),M29,K29)</f>
        <v>Research</v>
      </c>
      <c r="P29" s="1" t="str">
        <f t="shared" si="33"/>
        <v>Anti-Scam</v>
      </c>
      <c r="Q29" s="108" t="str">
        <f t="shared" si="3"/>
        <v>2022</v>
      </c>
      <c r="R29" s="110">
        <f t="shared" si="4"/>
        <v>8</v>
      </c>
      <c r="S29" s="108" t="str">
        <f t="shared" si="5"/>
        <v>2022-Q3</v>
      </c>
      <c r="T29" s="111" t="str">
        <f t="shared" si="6"/>
        <v>2022-08</v>
      </c>
      <c r="U29" s="112" t="str">
        <f t="shared" si="7"/>
        <v>2022-H2</v>
      </c>
      <c r="V29" s="1" t="str">
        <f>VLOOKUP(B29,Bounties!A:E,2,FALSE)</f>
        <v>Anti-Scam Bounty</v>
      </c>
    </row>
    <row r="30" hidden="1">
      <c r="A30" s="109">
        <f>HYPERLINK("https://polkadot.subsquare.io/treasury/child-bounties/28", 28)</f>
        <v>28</v>
      </c>
      <c r="B30" s="183">
        <v>11.0</v>
      </c>
      <c r="C30" s="27" t="s">
        <v>3404</v>
      </c>
      <c r="D30" s="27" t="s">
        <v>640</v>
      </c>
      <c r="E30" s="129">
        <v>62.0116581917</v>
      </c>
      <c r="F30" s="66">
        <v>492.31000060700575</v>
      </c>
      <c r="G30" s="27" t="s">
        <v>3409</v>
      </c>
      <c r="H30" s="167">
        <v>44773.0</v>
      </c>
      <c r="I30" s="167">
        <v>44781.0</v>
      </c>
      <c r="J30" s="66">
        <v>571.0636816880973</v>
      </c>
      <c r="K30" s="1"/>
      <c r="L30" s="1"/>
      <c r="M30" s="1" t="str">
        <f>VLOOKUP(B30,Bounties!A:D,3,FALSE)</f>
        <v>Research</v>
      </c>
      <c r="N30" s="1" t="str">
        <f>VLOOKUP(B30,Bounties!A:D,4,FALSE)</f>
        <v>Anti-Scam</v>
      </c>
      <c r="O30" s="1" t="str">
        <f t="shared" ref="O30:P30" si="34">IF(ISBLANK(K30),M30,K30)</f>
        <v>Research</v>
      </c>
      <c r="P30" s="1" t="str">
        <f t="shared" si="34"/>
        <v>Anti-Scam</v>
      </c>
      <c r="Q30" s="108" t="str">
        <f t="shared" si="3"/>
        <v>2022</v>
      </c>
      <c r="R30" s="110">
        <f t="shared" si="4"/>
        <v>8</v>
      </c>
      <c r="S30" s="108" t="str">
        <f t="shared" si="5"/>
        <v>2022-Q3</v>
      </c>
      <c r="T30" s="111" t="str">
        <f t="shared" si="6"/>
        <v>2022-08</v>
      </c>
      <c r="U30" s="112" t="str">
        <f t="shared" si="7"/>
        <v>2022-H2</v>
      </c>
      <c r="V30" s="1" t="str">
        <f>VLOOKUP(B30,Bounties!A:E,2,FALSE)</f>
        <v>Anti-Scam Bounty</v>
      </c>
    </row>
    <row r="31" hidden="1">
      <c r="A31" s="109">
        <f>HYPERLINK("https://polkadot.subsquare.io/treasury/child-bounties/29", 29)</f>
        <v>29</v>
      </c>
      <c r="B31" s="183">
        <v>11.0</v>
      </c>
      <c r="C31" s="27" t="s">
        <v>3404</v>
      </c>
      <c r="D31" s="27" t="s">
        <v>641</v>
      </c>
      <c r="E31" s="129">
        <v>49.6093266</v>
      </c>
      <c r="F31" s="66">
        <v>393.84800085587915</v>
      </c>
      <c r="G31" s="27" t="s">
        <v>3407</v>
      </c>
      <c r="H31" s="167">
        <v>44773.0</v>
      </c>
      <c r="I31" s="167">
        <v>44781.0</v>
      </c>
      <c r="J31" s="66">
        <v>456.85094577998433</v>
      </c>
      <c r="K31" s="1"/>
      <c r="L31" s="1"/>
      <c r="M31" s="1" t="str">
        <f>VLOOKUP(B31,Bounties!A:D,3,FALSE)</f>
        <v>Research</v>
      </c>
      <c r="N31" s="1" t="str">
        <f>VLOOKUP(B31,Bounties!A:D,4,FALSE)</f>
        <v>Anti-Scam</v>
      </c>
      <c r="O31" s="1" t="str">
        <f t="shared" ref="O31:P31" si="35">IF(ISBLANK(K31),M31,K31)</f>
        <v>Research</v>
      </c>
      <c r="P31" s="1" t="str">
        <f t="shared" si="35"/>
        <v>Anti-Scam</v>
      </c>
      <c r="Q31" s="108" t="str">
        <f t="shared" si="3"/>
        <v>2022</v>
      </c>
      <c r="R31" s="110">
        <f t="shared" si="4"/>
        <v>8</v>
      </c>
      <c r="S31" s="108" t="str">
        <f t="shared" si="5"/>
        <v>2022-Q3</v>
      </c>
      <c r="T31" s="111" t="str">
        <f t="shared" si="6"/>
        <v>2022-08</v>
      </c>
      <c r="U31" s="112" t="str">
        <f t="shared" si="7"/>
        <v>2022-H2</v>
      </c>
      <c r="V31" s="1" t="str">
        <f>VLOOKUP(B31,Bounties!A:E,2,FALSE)</f>
        <v>Anti-Scam Bounty</v>
      </c>
    </row>
    <row r="32" hidden="1">
      <c r="A32" s="109">
        <f>HYPERLINK("https://polkadot.subsquare.io/treasury/child-bounties/30", 30)</f>
        <v>30</v>
      </c>
      <c r="B32" s="183">
        <v>11.0</v>
      </c>
      <c r="C32" s="27" t="s">
        <v>3404</v>
      </c>
      <c r="D32" s="27" t="s">
        <v>642</v>
      </c>
      <c r="E32" s="129">
        <v>49.6093266</v>
      </c>
      <c r="F32" s="66">
        <v>393.84800085587915</v>
      </c>
      <c r="G32" s="27" t="s">
        <v>3406</v>
      </c>
      <c r="H32" s="167">
        <v>44773.0</v>
      </c>
      <c r="I32" s="167">
        <v>44782.0</v>
      </c>
      <c r="J32" s="66">
        <v>456.85094577998433</v>
      </c>
      <c r="K32" s="1"/>
      <c r="L32" s="1"/>
      <c r="M32" s="1" t="str">
        <f>VLOOKUP(B32,Bounties!A:D,3,FALSE)</f>
        <v>Research</v>
      </c>
      <c r="N32" s="1" t="str">
        <f>VLOOKUP(B32,Bounties!A:D,4,FALSE)</f>
        <v>Anti-Scam</v>
      </c>
      <c r="O32" s="1" t="str">
        <f t="shared" ref="O32:P32" si="36">IF(ISBLANK(K32),M32,K32)</f>
        <v>Research</v>
      </c>
      <c r="P32" s="1" t="str">
        <f t="shared" si="36"/>
        <v>Anti-Scam</v>
      </c>
      <c r="Q32" s="108" t="str">
        <f t="shared" si="3"/>
        <v>2022</v>
      </c>
      <c r="R32" s="110">
        <f t="shared" si="4"/>
        <v>8</v>
      </c>
      <c r="S32" s="108" t="str">
        <f t="shared" si="5"/>
        <v>2022-Q3</v>
      </c>
      <c r="T32" s="111" t="str">
        <f t="shared" si="6"/>
        <v>2022-08</v>
      </c>
      <c r="U32" s="112" t="str">
        <f t="shared" si="7"/>
        <v>2022-H2</v>
      </c>
      <c r="V32" s="1" t="str">
        <f>VLOOKUP(B32,Bounties!A:E,2,FALSE)</f>
        <v>Anti-Scam Bounty</v>
      </c>
    </row>
    <row r="33" hidden="1">
      <c r="A33" s="109">
        <f>HYPERLINK("https://polkadot.subsquare.io/treasury/child-bounties/31", 31)</f>
        <v>31</v>
      </c>
      <c r="B33" s="183">
        <v>11.0</v>
      </c>
      <c r="C33" s="27" t="s">
        <v>3404</v>
      </c>
      <c r="D33" s="27" t="s">
        <v>643</v>
      </c>
      <c r="E33" s="129">
        <v>49.6093266</v>
      </c>
      <c r="F33" s="66">
        <v>393.84800085587915</v>
      </c>
      <c r="G33" s="27" t="s">
        <v>3411</v>
      </c>
      <c r="H33" s="167">
        <v>44773.0</v>
      </c>
      <c r="I33" s="167">
        <v>44781.0</v>
      </c>
      <c r="J33" s="66">
        <v>456.85094577998433</v>
      </c>
      <c r="K33" s="1"/>
      <c r="L33" s="1"/>
      <c r="M33" s="1" t="str">
        <f>VLOOKUP(B33,Bounties!A:D,3,FALSE)</f>
        <v>Research</v>
      </c>
      <c r="N33" s="1" t="str">
        <f>VLOOKUP(B33,Bounties!A:D,4,FALSE)</f>
        <v>Anti-Scam</v>
      </c>
      <c r="O33" s="1" t="str">
        <f t="shared" ref="O33:P33" si="37">IF(ISBLANK(K33),M33,K33)</f>
        <v>Research</v>
      </c>
      <c r="P33" s="1" t="str">
        <f t="shared" si="37"/>
        <v>Anti-Scam</v>
      </c>
      <c r="Q33" s="108" t="str">
        <f t="shared" si="3"/>
        <v>2022</v>
      </c>
      <c r="R33" s="110">
        <f t="shared" si="4"/>
        <v>8</v>
      </c>
      <c r="S33" s="108" t="str">
        <f t="shared" si="5"/>
        <v>2022-Q3</v>
      </c>
      <c r="T33" s="111" t="str">
        <f t="shared" si="6"/>
        <v>2022-08</v>
      </c>
      <c r="U33" s="112" t="str">
        <f t="shared" si="7"/>
        <v>2022-H2</v>
      </c>
      <c r="V33" s="1" t="str">
        <f>VLOOKUP(B33,Bounties!A:E,2,FALSE)</f>
        <v>Anti-Scam Bounty</v>
      </c>
    </row>
    <row r="34" hidden="1">
      <c r="A34" s="109">
        <f>HYPERLINK("https://polkadot.subsquare.io/treasury/child-bounties/32", 32)</f>
        <v>32</v>
      </c>
      <c r="B34" s="183">
        <v>13.0</v>
      </c>
      <c r="C34" s="27" t="s">
        <v>3404</v>
      </c>
      <c r="D34" s="184" t="s">
        <v>644</v>
      </c>
      <c r="E34" s="129">
        <v>8800.0</v>
      </c>
      <c r="F34" s="66">
        <v>81560.93978881836</v>
      </c>
      <c r="G34" s="27" t="s">
        <v>3412</v>
      </c>
      <c r="H34" s="167">
        <v>44779.0</v>
      </c>
      <c r="I34" s="167">
        <v>44788.0</v>
      </c>
      <c r="J34" s="66">
        <v>73566.60385131836</v>
      </c>
      <c r="K34" s="1"/>
      <c r="L34" s="1"/>
      <c r="M34" s="1" t="str">
        <f>VLOOKUP(B34,Bounties!A:D,3,FALSE)</f>
        <v/>
      </c>
      <c r="N34" s="1" t="str">
        <f>VLOOKUP(B34,Bounties!A:D,4,FALSE)</f>
        <v/>
      </c>
      <c r="O34" s="1" t="str">
        <f t="shared" ref="O34:P34" si="38">IF(ISBLANK(K34),M34,K34)</f>
        <v/>
      </c>
      <c r="P34" s="1" t="str">
        <f t="shared" si="38"/>
        <v/>
      </c>
      <c r="Q34" s="108" t="str">
        <f t="shared" si="3"/>
        <v>2022</v>
      </c>
      <c r="R34" s="110">
        <f t="shared" si="4"/>
        <v>8</v>
      </c>
      <c r="S34" s="108" t="str">
        <f t="shared" si="5"/>
        <v>2022-Q3</v>
      </c>
      <c r="T34" s="111" t="str">
        <f t="shared" si="6"/>
        <v>2022-08</v>
      </c>
      <c r="U34" s="112" t="str">
        <f t="shared" si="7"/>
        <v>2022-H2</v>
      </c>
      <c r="V34" s="1" t="str">
        <f>VLOOKUP(B34,Bounties!A:E,2,FALSE)</f>
        <v>Security Bug Bounty for Open Runtime Module Library (ORML)</v>
      </c>
    </row>
    <row r="35" hidden="1">
      <c r="A35" s="109">
        <f>HYPERLINK("https://polkadot.subsquare.io/treasury/child-bounties/33", 33)</f>
        <v>33</v>
      </c>
      <c r="B35" s="183">
        <v>17.0</v>
      </c>
      <c r="C35" s="27" t="s">
        <v>3404</v>
      </c>
      <c r="D35" s="27" t="s">
        <v>645</v>
      </c>
      <c r="E35" s="129">
        <v>3468.0</v>
      </c>
      <c r="F35" s="66">
        <v>28991.929790496826</v>
      </c>
      <c r="G35" s="27" t="s">
        <v>3413</v>
      </c>
      <c r="H35" s="167">
        <v>44787.0</v>
      </c>
      <c r="I35" s="167">
        <v>44796.0</v>
      </c>
      <c r="J35" s="66">
        <v>24012.303926467896</v>
      </c>
      <c r="K35" s="1"/>
      <c r="L35" s="1"/>
      <c r="M35" s="1" t="str">
        <f>VLOOKUP(B35,Bounties!A:D,3,FALSE)</f>
        <v>Outreach</v>
      </c>
      <c r="N35" s="1" t="str">
        <f>VLOOKUP(B35,Bounties!A:D,4,FALSE)</f>
        <v>Events/Meetups</v>
      </c>
      <c r="O35" s="1" t="str">
        <f t="shared" ref="O35:P35" si="39">IF(ISBLANK(K35),M35,K35)</f>
        <v>Outreach</v>
      </c>
      <c r="P35" s="1" t="str">
        <f t="shared" si="39"/>
        <v>Events/Meetups</v>
      </c>
      <c r="Q35" s="108" t="str">
        <f t="shared" si="3"/>
        <v>2022</v>
      </c>
      <c r="R35" s="110">
        <f t="shared" si="4"/>
        <v>8</v>
      </c>
      <c r="S35" s="108" t="str">
        <f t="shared" si="5"/>
        <v>2022-Q3</v>
      </c>
      <c r="T35" s="111" t="str">
        <f t="shared" si="6"/>
        <v>2022-08</v>
      </c>
      <c r="U35" s="112" t="str">
        <f t="shared" si="7"/>
        <v>2022-H2</v>
      </c>
      <c r="V35" s="1" t="str">
        <f>VLOOKUP(B35,Bounties!A:E,2,FALSE)</f>
        <v>Events Bounty</v>
      </c>
    </row>
    <row r="36" hidden="1">
      <c r="A36" s="109">
        <f>HYPERLINK("https://polkadot.subsquare.io/treasury/child-bounties/34", 34)</f>
        <v>34</v>
      </c>
      <c r="B36" s="183">
        <v>11.0</v>
      </c>
      <c r="C36" s="27" t="s">
        <v>3404</v>
      </c>
      <c r="D36" s="27" t="s">
        <v>646</v>
      </c>
      <c r="E36" s="129">
        <v>645.285007</v>
      </c>
      <c r="F36" s="66">
        <v>4534.350019097456</v>
      </c>
      <c r="G36" s="27" t="s">
        <v>3406</v>
      </c>
      <c r="H36" s="167">
        <v>44801.0</v>
      </c>
      <c r="I36" s="167">
        <v>44810.0</v>
      </c>
      <c r="J36" s="66">
        <v>4768.932426465491</v>
      </c>
      <c r="K36" s="1"/>
      <c r="L36" s="1"/>
      <c r="M36" s="1" t="str">
        <f>VLOOKUP(B36,Bounties!A:D,3,FALSE)</f>
        <v>Research</v>
      </c>
      <c r="N36" s="1" t="str">
        <f>VLOOKUP(B36,Bounties!A:D,4,FALSE)</f>
        <v>Anti-Scam</v>
      </c>
      <c r="O36" s="1" t="str">
        <f t="shared" ref="O36:P36" si="40">IF(ISBLANK(K36),M36,K36)</f>
        <v>Research</v>
      </c>
      <c r="P36" s="1" t="str">
        <f t="shared" si="40"/>
        <v>Anti-Scam</v>
      </c>
      <c r="Q36" s="108" t="str">
        <f t="shared" si="3"/>
        <v>2022</v>
      </c>
      <c r="R36" s="110">
        <f t="shared" si="4"/>
        <v>9</v>
      </c>
      <c r="S36" s="108" t="str">
        <f t="shared" si="5"/>
        <v>2022-Q3</v>
      </c>
      <c r="T36" s="111" t="str">
        <f t="shared" si="6"/>
        <v>2022-09</v>
      </c>
      <c r="U36" s="112" t="str">
        <f t="shared" si="7"/>
        <v>2022-H2</v>
      </c>
      <c r="V36" s="1" t="str">
        <f>VLOOKUP(B36,Bounties!A:E,2,FALSE)</f>
        <v>Anti-Scam Bounty</v>
      </c>
    </row>
    <row r="37" hidden="1">
      <c r="A37" s="109">
        <f>HYPERLINK("https://polkadot.subsquare.io/treasury/child-bounties/35", 35)</f>
        <v>35</v>
      </c>
      <c r="B37" s="183">
        <v>11.0</v>
      </c>
      <c r="C37" s="27" t="s">
        <v>3404</v>
      </c>
      <c r="D37" s="27" t="s">
        <v>647</v>
      </c>
      <c r="E37" s="129">
        <v>1084.97247</v>
      </c>
      <c r="F37" s="66">
        <v>7623.987674743409</v>
      </c>
      <c r="G37" s="27" t="s">
        <v>3407</v>
      </c>
      <c r="H37" s="167">
        <v>44801.0</v>
      </c>
      <c r="I37" s="167">
        <v>44810.0</v>
      </c>
      <c r="J37" s="66">
        <v>8431.174553519224</v>
      </c>
      <c r="K37" s="1"/>
      <c r="L37" s="1"/>
      <c r="M37" s="1" t="str">
        <f>VLOOKUP(B37,Bounties!A:D,3,FALSE)</f>
        <v>Research</v>
      </c>
      <c r="N37" s="1" t="str">
        <f>VLOOKUP(B37,Bounties!A:D,4,FALSE)</f>
        <v>Anti-Scam</v>
      </c>
      <c r="O37" s="1" t="str">
        <f t="shared" ref="O37:P37" si="41">IF(ISBLANK(K37),M37,K37)</f>
        <v>Research</v>
      </c>
      <c r="P37" s="1" t="str">
        <f t="shared" si="41"/>
        <v>Anti-Scam</v>
      </c>
      <c r="Q37" s="108" t="str">
        <f t="shared" si="3"/>
        <v>2022</v>
      </c>
      <c r="R37" s="110">
        <f t="shared" si="4"/>
        <v>9</v>
      </c>
      <c r="S37" s="108" t="str">
        <f t="shared" si="5"/>
        <v>2022-Q3</v>
      </c>
      <c r="T37" s="111" t="str">
        <f t="shared" si="6"/>
        <v>2022-09</v>
      </c>
      <c r="U37" s="112" t="str">
        <f t="shared" si="7"/>
        <v>2022-H2</v>
      </c>
      <c r="V37" s="1" t="str">
        <f>VLOOKUP(B37,Bounties!A:E,2,FALSE)</f>
        <v>Anti-Scam Bounty</v>
      </c>
    </row>
    <row r="38" hidden="1">
      <c r="A38" s="109">
        <f>HYPERLINK("https://polkadot.subsquare.io/treasury/child-bounties/36", 36)</f>
        <v>36</v>
      </c>
      <c r="B38" s="183">
        <v>11.0</v>
      </c>
      <c r="C38" s="27" t="s">
        <v>3404</v>
      </c>
      <c r="D38" s="27" t="s">
        <v>648</v>
      </c>
      <c r="E38" s="129">
        <v>651.759024</v>
      </c>
      <c r="F38" s="66">
        <v>4579.842257083992</v>
      </c>
      <c r="G38" s="27" t="s">
        <v>3411</v>
      </c>
      <c r="H38" s="167">
        <v>44801.0</v>
      </c>
      <c r="I38" s="167">
        <v>44809.0</v>
      </c>
      <c r="J38" s="66">
        <v>4816.778183403694</v>
      </c>
      <c r="K38" s="1"/>
      <c r="L38" s="1"/>
      <c r="M38" s="1" t="str">
        <f>VLOOKUP(B38,Bounties!A:D,3,FALSE)</f>
        <v>Research</v>
      </c>
      <c r="N38" s="1" t="str">
        <f>VLOOKUP(B38,Bounties!A:D,4,FALSE)</f>
        <v>Anti-Scam</v>
      </c>
      <c r="O38" s="1" t="str">
        <f t="shared" ref="O38:P38" si="42">IF(ISBLANK(K38),M38,K38)</f>
        <v>Research</v>
      </c>
      <c r="P38" s="1" t="str">
        <f t="shared" si="42"/>
        <v>Anti-Scam</v>
      </c>
      <c r="Q38" s="108" t="str">
        <f t="shared" si="3"/>
        <v>2022</v>
      </c>
      <c r="R38" s="110">
        <f t="shared" si="4"/>
        <v>9</v>
      </c>
      <c r="S38" s="108" t="str">
        <f t="shared" si="5"/>
        <v>2022-Q3</v>
      </c>
      <c r="T38" s="111" t="str">
        <f t="shared" si="6"/>
        <v>2022-09</v>
      </c>
      <c r="U38" s="112" t="str">
        <f t="shared" si="7"/>
        <v>2022-H2</v>
      </c>
      <c r="V38" s="1" t="str">
        <f>VLOOKUP(B38,Bounties!A:E,2,FALSE)</f>
        <v>Anti-Scam Bounty</v>
      </c>
    </row>
    <row r="39" hidden="1">
      <c r="A39" s="109">
        <f>HYPERLINK("https://polkadot.subsquare.io/treasury/child-bounties/37", 37)</f>
        <v>37</v>
      </c>
      <c r="B39" s="183">
        <v>11.0</v>
      </c>
      <c r="C39" s="27" t="s">
        <v>3404</v>
      </c>
      <c r="D39" s="27" t="s">
        <v>649</v>
      </c>
      <c r="E39" s="129">
        <v>585.966667</v>
      </c>
      <c r="F39" s="66">
        <v>4268.867388117808</v>
      </c>
      <c r="G39" s="27" t="s">
        <v>3406</v>
      </c>
      <c r="H39" s="167">
        <v>44804.0</v>
      </c>
      <c r="I39" s="167">
        <v>44816.0</v>
      </c>
      <c r="J39" s="66">
        <v>4058.727365450228</v>
      </c>
      <c r="K39" s="1"/>
      <c r="L39" s="1"/>
      <c r="M39" s="1" t="str">
        <f>VLOOKUP(B39,Bounties!A:D,3,FALSE)</f>
        <v>Research</v>
      </c>
      <c r="N39" s="1" t="str">
        <f>VLOOKUP(B39,Bounties!A:D,4,FALSE)</f>
        <v>Anti-Scam</v>
      </c>
      <c r="O39" s="1" t="str">
        <f t="shared" ref="O39:P39" si="43">IF(ISBLANK(K39),M39,K39)</f>
        <v>Research</v>
      </c>
      <c r="P39" s="1" t="str">
        <f t="shared" si="43"/>
        <v>Anti-Scam</v>
      </c>
      <c r="Q39" s="108" t="str">
        <f t="shared" si="3"/>
        <v>2022</v>
      </c>
      <c r="R39" s="110">
        <f t="shared" si="4"/>
        <v>9</v>
      </c>
      <c r="S39" s="108" t="str">
        <f t="shared" si="5"/>
        <v>2022-Q3</v>
      </c>
      <c r="T39" s="111" t="str">
        <f t="shared" si="6"/>
        <v>2022-09</v>
      </c>
      <c r="U39" s="112" t="str">
        <f t="shared" si="7"/>
        <v>2022-H2</v>
      </c>
      <c r="V39" s="1" t="str">
        <f>VLOOKUP(B39,Bounties!A:E,2,FALSE)</f>
        <v>Anti-Scam Bounty</v>
      </c>
    </row>
    <row r="40" hidden="1">
      <c r="A40" s="109">
        <f>HYPERLINK("https://polkadot.subsquare.io/treasury/child-bounties/38", 38)</f>
        <v>38</v>
      </c>
      <c r="B40" s="183">
        <v>11.0</v>
      </c>
      <c r="C40" s="27" t="s">
        <v>3404</v>
      </c>
      <c r="D40" s="27" t="s">
        <v>650</v>
      </c>
      <c r="E40" s="129">
        <v>936.616667</v>
      </c>
      <c r="F40" s="66">
        <v>6823.412610471743</v>
      </c>
      <c r="G40" s="27" t="s">
        <v>3407</v>
      </c>
      <c r="H40" s="167">
        <v>44804.0</v>
      </c>
      <c r="I40" s="167">
        <v>44813.0</v>
      </c>
      <c r="J40" s="66">
        <v>7176.211921051034</v>
      </c>
      <c r="K40" s="1"/>
      <c r="L40" s="1"/>
      <c r="M40" s="1" t="str">
        <f>VLOOKUP(B40,Bounties!A:D,3,FALSE)</f>
        <v>Research</v>
      </c>
      <c r="N40" s="1" t="str">
        <f>VLOOKUP(B40,Bounties!A:D,4,FALSE)</f>
        <v>Anti-Scam</v>
      </c>
      <c r="O40" s="1" t="str">
        <f t="shared" ref="O40:P40" si="44">IF(ISBLANK(K40),M40,K40)</f>
        <v>Research</v>
      </c>
      <c r="P40" s="1" t="str">
        <f t="shared" si="44"/>
        <v>Anti-Scam</v>
      </c>
      <c r="Q40" s="108" t="str">
        <f t="shared" si="3"/>
        <v>2022</v>
      </c>
      <c r="R40" s="110">
        <f t="shared" si="4"/>
        <v>9</v>
      </c>
      <c r="S40" s="108" t="str">
        <f t="shared" si="5"/>
        <v>2022-Q3</v>
      </c>
      <c r="T40" s="111" t="str">
        <f t="shared" si="6"/>
        <v>2022-09</v>
      </c>
      <c r="U40" s="112" t="str">
        <f t="shared" si="7"/>
        <v>2022-H2</v>
      </c>
      <c r="V40" s="1" t="str">
        <f>VLOOKUP(B40,Bounties!A:E,2,FALSE)</f>
        <v>Anti-Scam Bounty</v>
      </c>
    </row>
    <row r="41" hidden="1">
      <c r="A41" s="109">
        <f>HYPERLINK("https://polkadot.subsquare.io/treasury/child-bounties/39", 39)</f>
        <v>39</v>
      </c>
      <c r="B41" s="183">
        <v>11.0</v>
      </c>
      <c r="C41" s="27" t="s">
        <v>3404</v>
      </c>
      <c r="D41" s="27" t="s">
        <v>651</v>
      </c>
      <c r="E41" s="129">
        <v>684.266667</v>
      </c>
      <c r="F41" s="66">
        <v>4984.99970055868</v>
      </c>
      <c r="G41" s="27" t="s">
        <v>3411</v>
      </c>
      <c r="H41" s="167">
        <v>44804.0</v>
      </c>
      <c r="I41" s="167">
        <v>44813.0</v>
      </c>
      <c r="J41" s="66">
        <v>5242.745283010491</v>
      </c>
      <c r="K41" s="1"/>
      <c r="L41" s="1"/>
      <c r="M41" s="1" t="str">
        <f>VLOOKUP(B41,Bounties!A:D,3,FALSE)</f>
        <v>Research</v>
      </c>
      <c r="N41" s="1" t="str">
        <f>VLOOKUP(B41,Bounties!A:D,4,FALSE)</f>
        <v>Anti-Scam</v>
      </c>
      <c r="O41" s="1" t="str">
        <f t="shared" ref="O41:P41" si="45">IF(ISBLANK(K41),M41,K41)</f>
        <v>Research</v>
      </c>
      <c r="P41" s="1" t="str">
        <f t="shared" si="45"/>
        <v>Anti-Scam</v>
      </c>
      <c r="Q41" s="108" t="str">
        <f t="shared" si="3"/>
        <v>2022</v>
      </c>
      <c r="R41" s="110">
        <f t="shared" si="4"/>
        <v>9</v>
      </c>
      <c r="S41" s="108" t="str">
        <f t="shared" si="5"/>
        <v>2022-Q3</v>
      </c>
      <c r="T41" s="111" t="str">
        <f t="shared" si="6"/>
        <v>2022-09</v>
      </c>
      <c r="U41" s="112" t="str">
        <f t="shared" si="7"/>
        <v>2022-H2</v>
      </c>
      <c r="V41" s="1" t="str">
        <f>VLOOKUP(B41,Bounties!A:E,2,FALSE)</f>
        <v>Anti-Scam Bounty</v>
      </c>
    </row>
    <row r="42" hidden="1">
      <c r="A42" s="109">
        <f>HYPERLINK("https://polkadot.subsquare.io/treasury/child-bounties/40", 40)</f>
        <v>40</v>
      </c>
      <c r="B42" s="183">
        <v>11.0</v>
      </c>
      <c r="C42" s="27" t="s">
        <v>3404</v>
      </c>
      <c r="D42" s="27" t="s">
        <v>652</v>
      </c>
      <c r="E42" s="129">
        <v>55.7335934234</v>
      </c>
      <c r="F42" s="66">
        <v>406.02876031473886</v>
      </c>
      <c r="G42" s="27" t="s">
        <v>3407</v>
      </c>
      <c r="H42" s="167">
        <v>44804.0</v>
      </c>
      <c r="I42" s="167">
        <v>44813.0</v>
      </c>
      <c r="J42" s="66">
        <v>427.0221656519108</v>
      </c>
      <c r="K42" s="1"/>
      <c r="L42" s="1"/>
      <c r="M42" s="1" t="str">
        <f>VLOOKUP(B42,Bounties!A:D,3,FALSE)</f>
        <v>Research</v>
      </c>
      <c r="N42" s="1" t="str">
        <f>VLOOKUP(B42,Bounties!A:D,4,FALSE)</f>
        <v>Anti-Scam</v>
      </c>
      <c r="O42" s="1" t="str">
        <f t="shared" ref="O42:P42" si="46">IF(ISBLANK(K42),M42,K42)</f>
        <v>Research</v>
      </c>
      <c r="P42" s="1" t="str">
        <f t="shared" si="46"/>
        <v>Anti-Scam</v>
      </c>
      <c r="Q42" s="108" t="str">
        <f t="shared" si="3"/>
        <v>2022</v>
      </c>
      <c r="R42" s="110">
        <f t="shared" si="4"/>
        <v>9</v>
      </c>
      <c r="S42" s="108" t="str">
        <f t="shared" si="5"/>
        <v>2022-Q3</v>
      </c>
      <c r="T42" s="111" t="str">
        <f t="shared" si="6"/>
        <v>2022-09</v>
      </c>
      <c r="U42" s="112" t="str">
        <f t="shared" si="7"/>
        <v>2022-H2</v>
      </c>
      <c r="V42" s="1" t="str">
        <f>VLOOKUP(B42,Bounties!A:E,2,FALSE)</f>
        <v>Anti-Scam Bounty</v>
      </c>
    </row>
    <row r="43" hidden="1">
      <c r="A43" s="109">
        <f>HYPERLINK("https://polkadot.subsquare.io/treasury/child-bounties/41", 41)</f>
        <v>41</v>
      </c>
      <c r="B43" s="183">
        <v>11.0</v>
      </c>
      <c r="C43" s="27" t="s">
        <v>3404</v>
      </c>
      <c r="D43" s="27" t="s">
        <v>653</v>
      </c>
      <c r="E43" s="129">
        <v>55.7335934234</v>
      </c>
      <c r="F43" s="66">
        <v>406.02876031473886</v>
      </c>
      <c r="G43" s="27" t="s">
        <v>3406</v>
      </c>
      <c r="H43" s="167">
        <v>44804.0</v>
      </c>
      <c r="I43" s="167">
        <v>44814.0</v>
      </c>
      <c r="J43" s="66">
        <v>427.0221656519108</v>
      </c>
      <c r="K43" s="1"/>
      <c r="L43" s="1"/>
      <c r="M43" s="1" t="str">
        <f>VLOOKUP(B43,Bounties!A:D,3,FALSE)</f>
        <v>Research</v>
      </c>
      <c r="N43" s="1" t="str">
        <f>VLOOKUP(B43,Bounties!A:D,4,FALSE)</f>
        <v>Anti-Scam</v>
      </c>
      <c r="O43" s="1" t="str">
        <f t="shared" ref="O43:P43" si="47">IF(ISBLANK(K43),M43,K43)</f>
        <v>Research</v>
      </c>
      <c r="P43" s="1" t="str">
        <f t="shared" si="47"/>
        <v>Anti-Scam</v>
      </c>
      <c r="Q43" s="108" t="str">
        <f t="shared" si="3"/>
        <v>2022</v>
      </c>
      <c r="R43" s="110">
        <f t="shared" si="4"/>
        <v>9</v>
      </c>
      <c r="S43" s="108" t="str">
        <f t="shared" si="5"/>
        <v>2022-Q3</v>
      </c>
      <c r="T43" s="111" t="str">
        <f t="shared" si="6"/>
        <v>2022-09</v>
      </c>
      <c r="U43" s="112" t="str">
        <f t="shared" si="7"/>
        <v>2022-H2</v>
      </c>
      <c r="V43" s="1" t="str">
        <f>VLOOKUP(B43,Bounties!A:E,2,FALSE)</f>
        <v>Anti-Scam Bounty</v>
      </c>
    </row>
    <row r="44" hidden="1">
      <c r="A44" s="109">
        <f>HYPERLINK("https://polkadot.subsquare.io/treasury/child-bounties/42", 42)</f>
        <v>42</v>
      </c>
      <c r="B44" s="183">
        <v>11.0</v>
      </c>
      <c r="C44" s="27" t="s">
        <v>3404</v>
      </c>
      <c r="D44" s="27" t="s">
        <v>654</v>
      </c>
      <c r="E44" s="129">
        <v>55.7335934234</v>
      </c>
      <c r="F44" s="66">
        <v>406.02876031473886</v>
      </c>
      <c r="G44" s="27" t="s">
        <v>3411</v>
      </c>
      <c r="H44" s="167">
        <v>44804.0</v>
      </c>
      <c r="I44" s="167">
        <v>44812.0</v>
      </c>
      <c r="J44" s="66">
        <v>429.0456241659643</v>
      </c>
      <c r="K44" s="1"/>
      <c r="L44" s="1"/>
      <c r="M44" s="1" t="str">
        <f>VLOOKUP(B44,Bounties!A:D,3,FALSE)</f>
        <v>Research</v>
      </c>
      <c r="N44" s="1" t="str">
        <f>VLOOKUP(B44,Bounties!A:D,4,FALSE)</f>
        <v>Anti-Scam</v>
      </c>
      <c r="O44" s="1" t="str">
        <f t="shared" ref="O44:P44" si="48">IF(ISBLANK(K44),M44,K44)</f>
        <v>Research</v>
      </c>
      <c r="P44" s="1" t="str">
        <f t="shared" si="48"/>
        <v>Anti-Scam</v>
      </c>
      <c r="Q44" s="108" t="str">
        <f t="shared" si="3"/>
        <v>2022</v>
      </c>
      <c r="R44" s="110">
        <f t="shared" si="4"/>
        <v>9</v>
      </c>
      <c r="S44" s="108" t="str">
        <f t="shared" si="5"/>
        <v>2022-Q3</v>
      </c>
      <c r="T44" s="111" t="str">
        <f t="shared" si="6"/>
        <v>2022-09</v>
      </c>
      <c r="U44" s="112" t="str">
        <f t="shared" si="7"/>
        <v>2022-H2</v>
      </c>
      <c r="V44" s="1" t="str">
        <f>VLOOKUP(B44,Bounties!A:E,2,FALSE)</f>
        <v>Anti-Scam Bounty</v>
      </c>
    </row>
    <row r="45" hidden="1">
      <c r="A45" s="109">
        <f>HYPERLINK("https://polkadot.subsquare.io/treasury/child-bounties/43", 43)</f>
        <v>43</v>
      </c>
      <c r="B45" s="183">
        <v>11.0</v>
      </c>
      <c r="C45" s="27" t="s">
        <v>3404</v>
      </c>
      <c r="D45" s="27" t="s">
        <v>655</v>
      </c>
      <c r="E45" s="129">
        <v>69.0798563139</v>
      </c>
      <c r="F45" s="66">
        <v>508.71979633594594</v>
      </c>
      <c r="G45" s="27" t="s">
        <v>3409</v>
      </c>
      <c r="H45" s="167">
        <v>44807.0</v>
      </c>
      <c r="I45" s="167">
        <v>44815.0</v>
      </c>
      <c r="J45" s="66">
        <v>497.5934093187661</v>
      </c>
      <c r="K45" s="1"/>
      <c r="L45" s="1"/>
      <c r="M45" s="1" t="str">
        <f>VLOOKUP(B45,Bounties!A:D,3,FALSE)</f>
        <v>Research</v>
      </c>
      <c r="N45" s="1" t="str">
        <f>VLOOKUP(B45,Bounties!A:D,4,FALSE)</f>
        <v>Anti-Scam</v>
      </c>
      <c r="O45" s="1" t="str">
        <f t="shared" ref="O45:P45" si="49">IF(ISBLANK(K45),M45,K45)</f>
        <v>Research</v>
      </c>
      <c r="P45" s="1" t="str">
        <f t="shared" si="49"/>
        <v>Anti-Scam</v>
      </c>
      <c r="Q45" s="108" t="str">
        <f t="shared" si="3"/>
        <v>2022</v>
      </c>
      <c r="R45" s="110">
        <f t="shared" si="4"/>
        <v>9</v>
      </c>
      <c r="S45" s="108" t="str">
        <f t="shared" si="5"/>
        <v>2022-Q3</v>
      </c>
      <c r="T45" s="111" t="str">
        <f t="shared" si="6"/>
        <v>2022-09</v>
      </c>
      <c r="U45" s="112" t="str">
        <f t="shared" si="7"/>
        <v>2022-H2</v>
      </c>
      <c r="V45" s="1" t="str">
        <f>VLOOKUP(B45,Bounties!A:E,2,FALSE)</f>
        <v>Anti-Scam Bounty</v>
      </c>
    </row>
    <row r="46" hidden="1">
      <c r="A46" s="109">
        <f>HYPERLINK("https://polkadot.subsquare.io/treasury/child-bounties/44", 44)</f>
        <v>44</v>
      </c>
      <c r="B46" s="183">
        <v>11.0</v>
      </c>
      <c r="C46" s="27" t="s">
        <v>3404</v>
      </c>
      <c r="D46" s="27" t="s">
        <v>656</v>
      </c>
      <c r="E46" s="129">
        <v>17.2699640785</v>
      </c>
      <c r="F46" s="66">
        <v>127.1799490841706</v>
      </c>
      <c r="G46" s="27" t="s">
        <v>3414</v>
      </c>
      <c r="H46" s="167">
        <v>44807.0</v>
      </c>
      <c r="I46" s="167">
        <v>44817.0</v>
      </c>
      <c r="J46" s="66">
        <v>119.62126815952548</v>
      </c>
      <c r="K46" s="1"/>
      <c r="L46" s="1"/>
      <c r="M46" s="1" t="str">
        <f>VLOOKUP(B46,Bounties!A:D,3,FALSE)</f>
        <v>Research</v>
      </c>
      <c r="N46" s="1" t="str">
        <f>VLOOKUP(B46,Bounties!A:D,4,FALSE)</f>
        <v>Anti-Scam</v>
      </c>
      <c r="O46" s="1" t="str">
        <f t="shared" ref="O46:P46" si="50">IF(ISBLANK(K46),M46,K46)</f>
        <v>Research</v>
      </c>
      <c r="P46" s="1" t="str">
        <f t="shared" si="50"/>
        <v>Anti-Scam</v>
      </c>
      <c r="Q46" s="108" t="str">
        <f t="shared" si="3"/>
        <v>2022</v>
      </c>
      <c r="R46" s="110">
        <f t="shared" si="4"/>
        <v>9</v>
      </c>
      <c r="S46" s="108" t="str">
        <f t="shared" si="5"/>
        <v>2022-Q3</v>
      </c>
      <c r="T46" s="111" t="str">
        <f t="shared" si="6"/>
        <v>2022-09</v>
      </c>
      <c r="U46" s="112" t="str">
        <f t="shared" si="7"/>
        <v>2022-H2</v>
      </c>
      <c r="V46" s="1" t="str">
        <f>VLOOKUP(B46,Bounties!A:E,2,FALSE)</f>
        <v>Anti-Scam Bounty</v>
      </c>
    </row>
    <row r="47" hidden="1">
      <c r="A47" s="109">
        <f>HYPERLINK("https://polkadot.subsquare.io/treasury/child-bounties/45", 45)</f>
        <v>45</v>
      </c>
      <c r="B47" s="183">
        <v>11.0</v>
      </c>
      <c r="C47" s="27" t="s">
        <v>3404</v>
      </c>
      <c r="D47" s="27" t="s">
        <v>657</v>
      </c>
      <c r="E47" s="129">
        <v>134.138162307</v>
      </c>
      <c r="F47" s="66">
        <v>925.1298399106504</v>
      </c>
      <c r="G47" s="27" t="s">
        <v>3407</v>
      </c>
      <c r="H47" s="167">
        <v>44817.0</v>
      </c>
      <c r="I47" s="167">
        <v>44827.0</v>
      </c>
      <c r="J47" s="66">
        <v>831.8104734352271</v>
      </c>
      <c r="K47" s="1"/>
      <c r="L47" s="1"/>
      <c r="M47" s="1" t="str">
        <f>VLOOKUP(B47,Bounties!A:D,3,FALSE)</f>
        <v>Research</v>
      </c>
      <c r="N47" s="1" t="str">
        <f>VLOOKUP(B47,Bounties!A:D,4,FALSE)</f>
        <v>Anti-Scam</v>
      </c>
      <c r="O47" s="1" t="str">
        <f t="shared" ref="O47:P47" si="51">IF(ISBLANK(K47),M47,K47)</f>
        <v>Research</v>
      </c>
      <c r="P47" s="1" t="str">
        <f t="shared" si="51"/>
        <v>Anti-Scam</v>
      </c>
      <c r="Q47" s="108" t="str">
        <f t="shared" si="3"/>
        <v>2022</v>
      </c>
      <c r="R47" s="110">
        <f t="shared" si="4"/>
        <v>9</v>
      </c>
      <c r="S47" s="108" t="str">
        <f t="shared" si="5"/>
        <v>2022-Q3</v>
      </c>
      <c r="T47" s="111" t="str">
        <f t="shared" si="6"/>
        <v>2022-09</v>
      </c>
      <c r="U47" s="112" t="str">
        <f t="shared" si="7"/>
        <v>2022-H2</v>
      </c>
      <c r="V47" s="1" t="str">
        <f>VLOOKUP(B47,Bounties!A:E,2,FALSE)</f>
        <v>Anti-Scam Bounty</v>
      </c>
    </row>
    <row r="48" hidden="1">
      <c r="A48" s="109">
        <f>HYPERLINK("https://polkadot.subsquare.io/treasury/child-bounties/46", 46)</f>
        <v>46</v>
      </c>
      <c r="B48" s="183">
        <v>17.0</v>
      </c>
      <c r="C48" s="27" t="s">
        <v>3404</v>
      </c>
      <c r="D48" s="27" t="s">
        <v>658</v>
      </c>
      <c r="E48" s="129">
        <v>6110.59</v>
      </c>
      <c r="F48" s="66">
        <v>39399.83112504006</v>
      </c>
      <c r="G48" s="27" t="s">
        <v>3415</v>
      </c>
      <c r="H48" s="167">
        <v>44823.0</v>
      </c>
      <c r="I48" s="167">
        <v>44832.0</v>
      </c>
      <c r="J48" s="66">
        <v>38327.18999235153</v>
      </c>
      <c r="K48" s="1"/>
      <c r="L48" s="1"/>
      <c r="M48" s="1" t="str">
        <f>VLOOKUP(B48,Bounties!A:D,3,FALSE)</f>
        <v>Outreach</v>
      </c>
      <c r="N48" s="1" t="str">
        <f>VLOOKUP(B48,Bounties!A:D,4,FALSE)</f>
        <v>Events/Meetups</v>
      </c>
      <c r="O48" s="1" t="str">
        <f t="shared" ref="O48:P48" si="52">IF(ISBLANK(K48),M48,K48)</f>
        <v>Outreach</v>
      </c>
      <c r="P48" s="1" t="str">
        <f t="shared" si="52"/>
        <v>Events/Meetups</v>
      </c>
      <c r="Q48" s="108" t="str">
        <f t="shared" si="3"/>
        <v>2022</v>
      </c>
      <c r="R48" s="110">
        <f t="shared" si="4"/>
        <v>9</v>
      </c>
      <c r="S48" s="108" t="str">
        <f t="shared" si="5"/>
        <v>2022-Q3</v>
      </c>
      <c r="T48" s="111" t="str">
        <f t="shared" si="6"/>
        <v>2022-09</v>
      </c>
      <c r="U48" s="112" t="str">
        <f t="shared" si="7"/>
        <v>2022-H2</v>
      </c>
      <c r="V48" s="1" t="str">
        <f>VLOOKUP(B48,Bounties!A:E,2,FALSE)</f>
        <v>Events Bounty</v>
      </c>
    </row>
    <row r="49" hidden="1">
      <c r="A49" s="109">
        <f>HYPERLINK("https://polkadot.subsquare.io/treasury/child-bounties/47", 47)</f>
        <v>47</v>
      </c>
      <c r="B49" s="183">
        <v>17.0</v>
      </c>
      <c r="C49" s="27" t="s">
        <v>3404</v>
      </c>
      <c r="D49" s="27" t="s">
        <v>659</v>
      </c>
      <c r="E49" s="129">
        <v>21874.0</v>
      </c>
      <c r="F49" s="66">
        <v>141039.06595420837</v>
      </c>
      <c r="G49" s="27" t="s">
        <v>3416</v>
      </c>
      <c r="H49" s="167">
        <v>44823.0</v>
      </c>
      <c r="I49" s="167">
        <v>44836.0</v>
      </c>
      <c r="J49" s="66">
        <v>140764.43520736694</v>
      </c>
      <c r="K49" s="1"/>
      <c r="L49" s="1"/>
      <c r="M49" s="1" t="str">
        <f>VLOOKUP(B49,Bounties!A:D,3,FALSE)</f>
        <v>Outreach</v>
      </c>
      <c r="N49" s="1" t="str">
        <f>VLOOKUP(B49,Bounties!A:D,4,FALSE)</f>
        <v>Events/Meetups</v>
      </c>
      <c r="O49" s="1" t="str">
        <f t="shared" ref="O49:P49" si="53">IF(ISBLANK(K49),M49,K49)</f>
        <v>Outreach</v>
      </c>
      <c r="P49" s="1" t="str">
        <f t="shared" si="53"/>
        <v>Events/Meetups</v>
      </c>
      <c r="Q49" s="108" t="str">
        <f t="shared" si="3"/>
        <v>2022</v>
      </c>
      <c r="R49" s="110">
        <f t="shared" si="4"/>
        <v>10</v>
      </c>
      <c r="S49" s="108" t="str">
        <f t="shared" si="5"/>
        <v>2022-Q4</v>
      </c>
      <c r="T49" s="111" t="str">
        <f t="shared" si="6"/>
        <v>2022-10</v>
      </c>
      <c r="U49" s="112" t="str">
        <f t="shared" si="7"/>
        <v>2022-H2</v>
      </c>
      <c r="V49" s="1" t="str">
        <f>VLOOKUP(B49,Bounties!A:E,2,FALSE)</f>
        <v>Events Bounty</v>
      </c>
    </row>
    <row r="50" hidden="1">
      <c r="A50" s="109">
        <f>HYPERLINK("https://polkadot.subsquare.io/treasury/child-bounties/48", 48)</f>
        <v>48</v>
      </c>
      <c r="B50" s="183">
        <v>17.0</v>
      </c>
      <c r="C50" s="27" t="s">
        <v>3404</v>
      </c>
      <c r="D50" s="27" t="s">
        <v>660</v>
      </c>
      <c r="E50" s="129">
        <v>61.0</v>
      </c>
      <c r="F50" s="66">
        <v>390.03071641921997</v>
      </c>
      <c r="G50" s="27" t="s">
        <v>3413</v>
      </c>
      <c r="H50" s="167">
        <v>44829.0</v>
      </c>
      <c r="I50" s="167">
        <v>44838.0</v>
      </c>
      <c r="J50" s="66">
        <v>386.2372975349426</v>
      </c>
      <c r="K50" s="1"/>
      <c r="L50" s="1"/>
      <c r="M50" s="1" t="str">
        <f>VLOOKUP(B50,Bounties!A:D,3,FALSE)</f>
        <v>Outreach</v>
      </c>
      <c r="N50" s="1" t="str">
        <f>VLOOKUP(B50,Bounties!A:D,4,FALSE)</f>
        <v>Events/Meetups</v>
      </c>
      <c r="O50" s="1" t="str">
        <f t="shared" ref="O50:P50" si="54">IF(ISBLANK(K50),M50,K50)</f>
        <v>Outreach</v>
      </c>
      <c r="P50" s="1" t="str">
        <f t="shared" si="54"/>
        <v>Events/Meetups</v>
      </c>
      <c r="Q50" s="108" t="str">
        <f t="shared" si="3"/>
        <v>2022</v>
      </c>
      <c r="R50" s="110">
        <f t="shared" si="4"/>
        <v>10</v>
      </c>
      <c r="S50" s="108" t="str">
        <f t="shared" si="5"/>
        <v>2022-Q4</v>
      </c>
      <c r="T50" s="111" t="str">
        <f t="shared" si="6"/>
        <v>2022-10</v>
      </c>
      <c r="U50" s="112" t="str">
        <f t="shared" si="7"/>
        <v>2022-H2</v>
      </c>
      <c r="V50" s="1" t="str">
        <f>VLOOKUP(B50,Bounties!A:E,2,FALSE)</f>
        <v>Events Bounty</v>
      </c>
    </row>
    <row r="51" hidden="1">
      <c r="A51" s="109">
        <f>HYPERLINK("https://polkadot.subsquare.io/treasury/child-bounties/49", 49)</f>
        <v>49</v>
      </c>
      <c r="B51" s="183">
        <v>17.0</v>
      </c>
      <c r="C51" s="27" t="s">
        <v>3404</v>
      </c>
      <c r="D51" s="27" t="s">
        <v>661</v>
      </c>
      <c r="E51" s="129">
        <v>61.0</v>
      </c>
      <c r="F51" s="66">
        <v>390.03071641921997</v>
      </c>
      <c r="G51" s="27" t="s">
        <v>3413</v>
      </c>
      <c r="H51" s="167">
        <v>44829.0</v>
      </c>
      <c r="I51" s="167">
        <v>44838.0</v>
      </c>
      <c r="J51" s="66">
        <v>386.2372975349426</v>
      </c>
      <c r="K51" s="1"/>
      <c r="L51" s="1"/>
      <c r="M51" s="1" t="str">
        <f>VLOOKUP(B51,Bounties!A:D,3,FALSE)</f>
        <v>Outreach</v>
      </c>
      <c r="N51" s="1" t="str">
        <f>VLOOKUP(B51,Bounties!A:D,4,FALSE)</f>
        <v>Events/Meetups</v>
      </c>
      <c r="O51" s="1" t="str">
        <f t="shared" ref="O51:P51" si="55">IF(ISBLANK(K51),M51,K51)</f>
        <v>Outreach</v>
      </c>
      <c r="P51" s="1" t="str">
        <f t="shared" si="55"/>
        <v>Events/Meetups</v>
      </c>
      <c r="Q51" s="108" t="str">
        <f t="shared" si="3"/>
        <v>2022</v>
      </c>
      <c r="R51" s="110">
        <f t="shared" si="4"/>
        <v>10</v>
      </c>
      <c r="S51" s="108" t="str">
        <f t="shared" si="5"/>
        <v>2022-Q4</v>
      </c>
      <c r="T51" s="111" t="str">
        <f t="shared" si="6"/>
        <v>2022-10</v>
      </c>
      <c r="U51" s="112" t="str">
        <f t="shared" si="7"/>
        <v>2022-H2</v>
      </c>
      <c r="V51" s="1" t="str">
        <f>VLOOKUP(B51,Bounties!A:E,2,FALSE)</f>
        <v>Events Bounty</v>
      </c>
    </row>
    <row r="52" hidden="1">
      <c r="A52" s="109">
        <f>HYPERLINK("https://polkadot.subsquare.io/treasury/child-bounties/50", 50)</f>
        <v>50</v>
      </c>
      <c r="B52" s="183">
        <v>17.0</v>
      </c>
      <c r="C52" s="27" t="s">
        <v>3404</v>
      </c>
      <c r="D52" s="27" t="s">
        <v>662</v>
      </c>
      <c r="E52" s="129">
        <v>61.0</v>
      </c>
      <c r="F52" s="66">
        <v>390.03071641921997</v>
      </c>
      <c r="G52" s="27" t="s">
        <v>3413</v>
      </c>
      <c r="H52" s="167">
        <v>44829.0</v>
      </c>
      <c r="I52" s="167">
        <v>44838.0</v>
      </c>
      <c r="J52" s="66">
        <v>386.2372975349426</v>
      </c>
      <c r="K52" s="1"/>
      <c r="L52" s="1"/>
      <c r="M52" s="1" t="str">
        <f>VLOOKUP(B52,Bounties!A:D,3,FALSE)</f>
        <v>Outreach</v>
      </c>
      <c r="N52" s="1" t="str">
        <f>VLOOKUP(B52,Bounties!A:D,4,FALSE)</f>
        <v>Events/Meetups</v>
      </c>
      <c r="O52" s="1" t="str">
        <f t="shared" ref="O52:P52" si="56">IF(ISBLANK(K52),M52,K52)</f>
        <v>Outreach</v>
      </c>
      <c r="P52" s="1" t="str">
        <f t="shared" si="56"/>
        <v>Events/Meetups</v>
      </c>
      <c r="Q52" s="108" t="str">
        <f t="shared" si="3"/>
        <v>2022</v>
      </c>
      <c r="R52" s="110">
        <f t="shared" si="4"/>
        <v>10</v>
      </c>
      <c r="S52" s="108" t="str">
        <f t="shared" si="5"/>
        <v>2022-Q4</v>
      </c>
      <c r="T52" s="111" t="str">
        <f t="shared" si="6"/>
        <v>2022-10</v>
      </c>
      <c r="U52" s="112" t="str">
        <f t="shared" si="7"/>
        <v>2022-H2</v>
      </c>
      <c r="V52" s="1" t="str">
        <f>VLOOKUP(B52,Bounties!A:E,2,FALSE)</f>
        <v>Events Bounty</v>
      </c>
    </row>
    <row r="53" hidden="1">
      <c r="A53" s="109">
        <f>HYPERLINK("https://polkadot.subsquare.io/treasury/child-bounties/51", 51)</f>
        <v>51</v>
      </c>
      <c r="B53" s="183">
        <v>17.0</v>
      </c>
      <c r="C53" s="27" t="s">
        <v>3404</v>
      </c>
      <c r="D53" s="27" t="s">
        <v>663</v>
      </c>
      <c r="E53" s="129">
        <v>1246.0</v>
      </c>
      <c r="F53" s="66">
        <v>8015.2887716293335</v>
      </c>
      <c r="G53" s="27" t="s">
        <v>3417</v>
      </c>
      <c r="H53" s="167">
        <v>44830.0</v>
      </c>
      <c r="I53" s="167">
        <v>44843.0</v>
      </c>
      <c r="J53" s="66">
        <v>7699.501463890076</v>
      </c>
      <c r="K53" s="1"/>
      <c r="L53" s="1" t="s">
        <v>266</v>
      </c>
      <c r="M53" s="1" t="str">
        <f>VLOOKUP(B53,Bounties!A:D,3,FALSE)</f>
        <v>Outreach</v>
      </c>
      <c r="N53" s="1" t="str">
        <f>VLOOKUP(B53,Bounties!A:D,4,FALSE)</f>
        <v>Events/Meetups</v>
      </c>
      <c r="O53" s="1" t="str">
        <f t="shared" ref="O53:P53" si="57">IF(ISBLANK(K53),M53,K53)</f>
        <v>Outreach</v>
      </c>
      <c r="P53" s="1" t="str">
        <f t="shared" si="57"/>
        <v>Events/Conference Attendance &amp; Side Events</v>
      </c>
      <c r="Q53" s="108" t="str">
        <f t="shared" si="3"/>
        <v>2022</v>
      </c>
      <c r="R53" s="110">
        <f t="shared" si="4"/>
        <v>10</v>
      </c>
      <c r="S53" s="108" t="str">
        <f t="shared" si="5"/>
        <v>2022-Q4</v>
      </c>
      <c r="T53" s="111" t="str">
        <f t="shared" si="6"/>
        <v>2022-10</v>
      </c>
      <c r="U53" s="112" t="str">
        <f t="shared" si="7"/>
        <v>2022-H2</v>
      </c>
      <c r="V53" s="1" t="str">
        <f>VLOOKUP(B53,Bounties!A:E,2,FALSE)</f>
        <v>Events Bounty</v>
      </c>
    </row>
    <row r="54" hidden="1">
      <c r="A54" s="109">
        <f>HYPERLINK("https://polkadot.subsquare.io/treasury/child-bounties/52", 52)</f>
        <v>52</v>
      </c>
      <c r="B54" s="183">
        <v>11.0</v>
      </c>
      <c r="C54" s="27" t="s">
        <v>3404</v>
      </c>
      <c r="D54" s="27" t="s">
        <v>664</v>
      </c>
      <c r="E54" s="129">
        <v>517.55</v>
      </c>
      <c r="F54" s="66">
        <v>3330.558354282379</v>
      </c>
      <c r="G54" s="27" t="s">
        <v>3406</v>
      </c>
      <c r="H54" s="167">
        <v>44836.0</v>
      </c>
      <c r="I54" s="167">
        <v>44846.0</v>
      </c>
      <c r="J54" s="66">
        <v>3128.172719335556</v>
      </c>
      <c r="K54" s="1"/>
      <c r="L54" s="1"/>
      <c r="M54" s="1" t="str">
        <f>VLOOKUP(B54,Bounties!A:D,3,FALSE)</f>
        <v>Research</v>
      </c>
      <c r="N54" s="1" t="str">
        <f>VLOOKUP(B54,Bounties!A:D,4,FALSE)</f>
        <v>Anti-Scam</v>
      </c>
      <c r="O54" s="1" t="str">
        <f t="shared" ref="O54:P54" si="58">IF(ISBLANK(K54),M54,K54)</f>
        <v>Research</v>
      </c>
      <c r="P54" s="1" t="str">
        <f t="shared" si="58"/>
        <v>Anti-Scam</v>
      </c>
      <c r="Q54" s="108" t="str">
        <f t="shared" si="3"/>
        <v>2022</v>
      </c>
      <c r="R54" s="110">
        <f t="shared" si="4"/>
        <v>10</v>
      </c>
      <c r="S54" s="108" t="str">
        <f t="shared" si="5"/>
        <v>2022-Q4</v>
      </c>
      <c r="T54" s="111" t="str">
        <f t="shared" si="6"/>
        <v>2022-10</v>
      </c>
      <c r="U54" s="112" t="str">
        <f t="shared" si="7"/>
        <v>2022-H2</v>
      </c>
      <c r="V54" s="1" t="str">
        <f>VLOOKUP(B54,Bounties!A:E,2,FALSE)</f>
        <v>Anti-Scam Bounty</v>
      </c>
    </row>
    <row r="55" hidden="1">
      <c r="A55" s="109">
        <f>HYPERLINK("https://polkadot.subsquare.io/treasury/child-bounties/53", 53)</f>
        <v>53</v>
      </c>
      <c r="B55" s="183">
        <v>11.0</v>
      </c>
      <c r="C55" s="27" t="s">
        <v>3404</v>
      </c>
      <c r="D55" s="27" t="s">
        <v>665</v>
      </c>
      <c r="E55" s="129">
        <v>903.3</v>
      </c>
      <c r="F55" s="66">
        <v>5812.9521039962765</v>
      </c>
      <c r="G55" s="27" t="s">
        <v>3407</v>
      </c>
      <c r="H55" s="167">
        <v>44836.0</v>
      </c>
      <c r="I55" s="167">
        <v>44844.0</v>
      </c>
      <c r="J55" s="66">
        <v>5525.366881656646</v>
      </c>
      <c r="K55" s="1"/>
      <c r="L55" s="1"/>
      <c r="M55" s="1" t="str">
        <f>VLOOKUP(B55,Bounties!A:D,3,FALSE)</f>
        <v>Research</v>
      </c>
      <c r="N55" s="1" t="str">
        <f>VLOOKUP(B55,Bounties!A:D,4,FALSE)</f>
        <v>Anti-Scam</v>
      </c>
      <c r="O55" s="1" t="str">
        <f t="shared" ref="O55:P55" si="59">IF(ISBLANK(K55),M55,K55)</f>
        <v>Research</v>
      </c>
      <c r="P55" s="1" t="str">
        <f t="shared" si="59"/>
        <v>Anti-Scam</v>
      </c>
      <c r="Q55" s="108" t="str">
        <f t="shared" si="3"/>
        <v>2022</v>
      </c>
      <c r="R55" s="110">
        <f t="shared" si="4"/>
        <v>10</v>
      </c>
      <c r="S55" s="108" t="str">
        <f t="shared" si="5"/>
        <v>2022-Q4</v>
      </c>
      <c r="T55" s="111" t="str">
        <f t="shared" si="6"/>
        <v>2022-10</v>
      </c>
      <c r="U55" s="112" t="str">
        <f t="shared" si="7"/>
        <v>2022-H2</v>
      </c>
      <c r="V55" s="1" t="str">
        <f>VLOOKUP(B55,Bounties!A:E,2,FALSE)</f>
        <v>Anti-Scam Bounty</v>
      </c>
    </row>
    <row r="56" hidden="1">
      <c r="A56" s="109">
        <f>HYPERLINK("https://polkadot.subsquare.io/treasury/child-bounties/54", 54)</f>
        <v>54</v>
      </c>
      <c r="B56" s="183">
        <v>11.0</v>
      </c>
      <c r="C56" s="27" t="s">
        <v>3404</v>
      </c>
      <c r="D56" s="27" t="s">
        <v>666</v>
      </c>
      <c r="E56" s="129">
        <v>448.47</v>
      </c>
      <c r="F56" s="66">
        <v>2886.0119894599916</v>
      </c>
      <c r="G56" s="27" t="s">
        <v>3411</v>
      </c>
      <c r="H56" s="167">
        <v>44836.0</v>
      </c>
      <c r="I56" s="167">
        <v>44844.0</v>
      </c>
      <c r="J56" s="66">
        <v>2743.231800527573</v>
      </c>
      <c r="K56" s="1"/>
      <c r="L56" s="1"/>
      <c r="M56" s="1" t="str">
        <f>VLOOKUP(B56,Bounties!A:D,3,FALSE)</f>
        <v>Research</v>
      </c>
      <c r="N56" s="1" t="str">
        <f>VLOOKUP(B56,Bounties!A:D,4,FALSE)</f>
        <v>Anti-Scam</v>
      </c>
      <c r="O56" s="1" t="str">
        <f t="shared" ref="O56:P56" si="60">IF(ISBLANK(K56),M56,K56)</f>
        <v>Research</v>
      </c>
      <c r="P56" s="1" t="str">
        <f t="shared" si="60"/>
        <v>Anti-Scam</v>
      </c>
      <c r="Q56" s="108" t="str">
        <f t="shared" si="3"/>
        <v>2022</v>
      </c>
      <c r="R56" s="110">
        <f t="shared" si="4"/>
        <v>10</v>
      </c>
      <c r="S56" s="108" t="str">
        <f t="shared" si="5"/>
        <v>2022-Q4</v>
      </c>
      <c r="T56" s="111" t="str">
        <f t="shared" si="6"/>
        <v>2022-10</v>
      </c>
      <c r="U56" s="112" t="str">
        <f t="shared" si="7"/>
        <v>2022-H2</v>
      </c>
      <c r="V56" s="1" t="str">
        <f>VLOOKUP(B56,Bounties!A:E,2,FALSE)</f>
        <v>Anti-Scam Bounty</v>
      </c>
    </row>
    <row r="57" hidden="1">
      <c r="A57" s="109">
        <f>HYPERLINK("https://polkadot.subsquare.io/treasury/child-bounties/55", 55)</f>
        <v>55</v>
      </c>
      <c r="B57" s="183">
        <v>11.0</v>
      </c>
      <c r="C57" s="27" t="s">
        <v>3404</v>
      </c>
      <c r="D57" s="27" t="s">
        <v>667</v>
      </c>
      <c r="E57" s="129">
        <v>78.839482813</v>
      </c>
      <c r="F57" s="66">
        <v>507.3509769686778</v>
      </c>
      <c r="G57" s="27" t="s">
        <v>3414</v>
      </c>
      <c r="H57" s="167">
        <v>44836.0</v>
      </c>
      <c r="I57" s="167">
        <v>44844.0</v>
      </c>
      <c r="J57" s="66">
        <v>482.2507110615395</v>
      </c>
      <c r="K57" s="1"/>
      <c r="L57" s="1"/>
      <c r="M57" s="1" t="str">
        <f>VLOOKUP(B57,Bounties!A:D,3,FALSE)</f>
        <v>Research</v>
      </c>
      <c r="N57" s="1" t="str">
        <f>VLOOKUP(B57,Bounties!A:D,4,FALSE)</f>
        <v>Anti-Scam</v>
      </c>
      <c r="O57" s="1" t="str">
        <f t="shared" ref="O57:P57" si="61">IF(ISBLANK(K57),M57,K57)</f>
        <v>Research</v>
      </c>
      <c r="P57" s="1" t="str">
        <f t="shared" si="61"/>
        <v>Anti-Scam</v>
      </c>
      <c r="Q57" s="108" t="str">
        <f t="shared" si="3"/>
        <v>2022</v>
      </c>
      <c r="R57" s="110">
        <f t="shared" si="4"/>
        <v>10</v>
      </c>
      <c r="S57" s="108" t="str">
        <f t="shared" si="5"/>
        <v>2022-Q4</v>
      </c>
      <c r="T57" s="111" t="str">
        <f t="shared" si="6"/>
        <v>2022-10</v>
      </c>
      <c r="U57" s="112" t="str">
        <f t="shared" si="7"/>
        <v>2022-H2</v>
      </c>
      <c r="V57" s="1" t="str">
        <f>VLOOKUP(B57,Bounties!A:E,2,FALSE)</f>
        <v>Anti-Scam Bounty</v>
      </c>
    </row>
    <row r="58" hidden="1">
      <c r="A58" s="109">
        <f>HYPERLINK("https://polkadot.subsquare.io/treasury/child-bounties/56", 56)</f>
        <v>56</v>
      </c>
      <c r="B58" s="183">
        <v>11.0</v>
      </c>
      <c r="C58" s="27" t="s">
        <v>3404</v>
      </c>
      <c r="D58" s="27" t="s">
        <v>668</v>
      </c>
      <c r="E58" s="129">
        <v>78.839482813</v>
      </c>
      <c r="F58" s="66">
        <v>507.3509769686778</v>
      </c>
      <c r="G58" s="27" t="s">
        <v>3409</v>
      </c>
      <c r="H58" s="167">
        <v>44836.0</v>
      </c>
      <c r="I58" s="167">
        <v>44845.0</v>
      </c>
      <c r="J58" s="66">
        <v>476.5211464441137</v>
      </c>
      <c r="K58" s="1"/>
      <c r="L58" s="1"/>
      <c r="M58" s="1" t="str">
        <f>VLOOKUP(B58,Bounties!A:D,3,FALSE)</f>
        <v>Research</v>
      </c>
      <c r="N58" s="1" t="str">
        <f>VLOOKUP(B58,Bounties!A:D,4,FALSE)</f>
        <v>Anti-Scam</v>
      </c>
      <c r="O58" s="1" t="str">
        <f t="shared" ref="O58:P58" si="62">IF(ISBLANK(K58),M58,K58)</f>
        <v>Research</v>
      </c>
      <c r="P58" s="1" t="str">
        <f t="shared" si="62"/>
        <v>Anti-Scam</v>
      </c>
      <c r="Q58" s="108" t="str">
        <f t="shared" si="3"/>
        <v>2022</v>
      </c>
      <c r="R58" s="110">
        <f t="shared" si="4"/>
        <v>10</v>
      </c>
      <c r="S58" s="108" t="str">
        <f t="shared" si="5"/>
        <v>2022-Q4</v>
      </c>
      <c r="T58" s="111" t="str">
        <f t="shared" si="6"/>
        <v>2022-10</v>
      </c>
      <c r="U58" s="112" t="str">
        <f t="shared" si="7"/>
        <v>2022-H2</v>
      </c>
      <c r="V58" s="1" t="str">
        <f>VLOOKUP(B58,Bounties!A:E,2,FALSE)</f>
        <v>Anti-Scam Bounty</v>
      </c>
    </row>
    <row r="59" hidden="1">
      <c r="A59" s="109">
        <f>HYPERLINK("https://polkadot.subsquare.io/treasury/child-bounties/57", 57)</f>
        <v>57</v>
      </c>
      <c r="B59" s="183">
        <v>11.0</v>
      </c>
      <c r="C59" s="27" t="s">
        <v>3404</v>
      </c>
      <c r="D59" s="27" t="s">
        <v>669</v>
      </c>
      <c r="E59" s="129">
        <v>63.0715862504</v>
      </c>
      <c r="F59" s="66">
        <v>405.88078157494226</v>
      </c>
      <c r="G59" s="27" t="s">
        <v>3407</v>
      </c>
      <c r="H59" s="167">
        <v>44836.0</v>
      </c>
      <c r="I59" s="167">
        <v>44845.0</v>
      </c>
      <c r="J59" s="66">
        <v>381.21691715529096</v>
      </c>
      <c r="K59" s="1"/>
      <c r="L59" s="1"/>
      <c r="M59" s="1" t="str">
        <f>VLOOKUP(B59,Bounties!A:D,3,FALSE)</f>
        <v>Research</v>
      </c>
      <c r="N59" s="1" t="str">
        <f>VLOOKUP(B59,Bounties!A:D,4,FALSE)</f>
        <v>Anti-Scam</v>
      </c>
      <c r="O59" s="1" t="str">
        <f t="shared" ref="O59:P59" si="63">IF(ISBLANK(K59),M59,K59)</f>
        <v>Research</v>
      </c>
      <c r="P59" s="1" t="str">
        <f t="shared" si="63"/>
        <v>Anti-Scam</v>
      </c>
      <c r="Q59" s="108" t="str">
        <f t="shared" si="3"/>
        <v>2022</v>
      </c>
      <c r="R59" s="110">
        <f t="shared" si="4"/>
        <v>10</v>
      </c>
      <c r="S59" s="108" t="str">
        <f t="shared" si="5"/>
        <v>2022-Q4</v>
      </c>
      <c r="T59" s="111" t="str">
        <f t="shared" si="6"/>
        <v>2022-10</v>
      </c>
      <c r="U59" s="112" t="str">
        <f t="shared" si="7"/>
        <v>2022-H2</v>
      </c>
      <c r="V59" s="1" t="str">
        <f>VLOOKUP(B59,Bounties!A:E,2,FALSE)</f>
        <v>Anti-Scam Bounty</v>
      </c>
    </row>
    <row r="60" hidden="1">
      <c r="A60" s="109">
        <f>HYPERLINK("https://polkadot.subsquare.io/treasury/child-bounties/58", 58)</f>
        <v>58</v>
      </c>
      <c r="B60" s="183">
        <v>11.0</v>
      </c>
      <c r="C60" s="27" t="s">
        <v>3404</v>
      </c>
      <c r="D60" s="27" t="s">
        <v>670</v>
      </c>
      <c r="E60" s="129">
        <v>63.0715862504</v>
      </c>
      <c r="F60" s="66">
        <v>405.88078157494226</v>
      </c>
      <c r="G60" s="27" t="s">
        <v>3406</v>
      </c>
      <c r="H60" s="167">
        <v>44836.0</v>
      </c>
      <c r="I60" s="167">
        <v>44846.0</v>
      </c>
      <c r="J60" s="66">
        <v>381.21691715529096</v>
      </c>
      <c r="K60" s="1"/>
      <c r="L60" s="1"/>
      <c r="M60" s="1" t="str">
        <f>VLOOKUP(B60,Bounties!A:D,3,FALSE)</f>
        <v>Research</v>
      </c>
      <c r="N60" s="1" t="str">
        <f>VLOOKUP(B60,Bounties!A:D,4,FALSE)</f>
        <v>Anti-Scam</v>
      </c>
      <c r="O60" s="1" t="str">
        <f t="shared" ref="O60:P60" si="64">IF(ISBLANK(K60),M60,K60)</f>
        <v>Research</v>
      </c>
      <c r="P60" s="1" t="str">
        <f t="shared" si="64"/>
        <v>Anti-Scam</v>
      </c>
      <c r="Q60" s="108" t="str">
        <f t="shared" si="3"/>
        <v>2022</v>
      </c>
      <c r="R60" s="110">
        <f t="shared" si="4"/>
        <v>10</v>
      </c>
      <c r="S60" s="108" t="str">
        <f t="shared" si="5"/>
        <v>2022-Q4</v>
      </c>
      <c r="T60" s="111" t="str">
        <f t="shared" si="6"/>
        <v>2022-10</v>
      </c>
      <c r="U60" s="112" t="str">
        <f t="shared" si="7"/>
        <v>2022-H2</v>
      </c>
      <c r="V60" s="1" t="str">
        <f>VLOOKUP(B60,Bounties!A:E,2,FALSE)</f>
        <v>Anti-Scam Bounty</v>
      </c>
    </row>
    <row r="61" hidden="1">
      <c r="A61" s="109">
        <f>HYPERLINK("https://polkadot.subsquare.io/treasury/child-bounties/59", 59)</f>
        <v>59</v>
      </c>
      <c r="B61" s="183">
        <v>11.0</v>
      </c>
      <c r="C61" s="27" t="s">
        <v>3404</v>
      </c>
      <c r="D61" s="27" t="s">
        <v>671</v>
      </c>
      <c r="E61" s="129">
        <v>63.0715862504</v>
      </c>
      <c r="F61" s="66">
        <v>405.88078157494226</v>
      </c>
      <c r="G61" s="27" t="s">
        <v>3411</v>
      </c>
      <c r="H61" s="167">
        <v>44836.0</v>
      </c>
      <c r="I61" s="167">
        <v>44845.0</v>
      </c>
      <c r="J61" s="66">
        <v>381.21691715529096</v>
      </c>
      <c r="K61" s="1"/>
      <c r="L61" s="1"/>
      <c r="M61" s="1" t="str">
        <f>VLOOKUP(B61,Bounties!A:D,3,FALSE)</f>
        <v>Research</v>
      </c>
      <c r="N61" s="1" t="str">
        <f>VLOOKUP(B61,Bounties!A:D,4,FALSE)</f>
        <v>Anti-Scam</v>
      </c>
      <c r="O61" s="1" t="str">
        <f t="shared" ref="O61:P61" si="65">IF(ISBLANK(K61),M61,K61)</f>
        <v>Research</v>
      </c>
      <c r="P61" s="1" t="str">
        <f t="shared" si="65"/>
        <v>Anti-Scam</v>
      </c>
      <c r="Q61" s="108" t="str">
        <f t="shared" si="3"/>
        <v>2022</v>
      </c>
      <c r="R61" s="110">
        <f t="shared" si="4"/>
        <v>10</v>
      </c>
      <c r="S61" s="108" t="str">
        <f t="shared" si="5"/>
        <v>2022-Q4</v>
      </c>
      <c r="T61" s="111" t="str">
        <f t="shared" si="6"/>
        <v>2022-10</v>
      </c>
      <c r="U61" s="112" t="str">
        <f t="shared" si="7"/>
        <v>2022-H2</v>
      </c>
      <c r="V61" s="1" t="str">
        <f>VLOOKUP(B61,Bounties!A:E,2,FALSE)</f>
        <v>Anti-Scam Bounty</v>
      </c>
    </row>
    <row r="62" hidden="1">
      <c r="A62" s="109">
        <f>HYPERLINK("https://polkadot.subsquare.io/treasury/child-bounties/60", 60)</f>
        <v>60</v>
      </c>
      <c r="B62" s="183">
        <v>11.0</v>
      </c>
      <c r="C62" s="27" t="s">
        <v>3404</v>
      </c>
      <c r="D62" s="27" t="s">
        <v>672</v>
      </c>
      <c r="E62" s="129">
        <v>84.69</v>
      </c>
      <c r="F62" s="66">
        <v>511.88280861854554</v>
      </c>
      <c r="G62" s="27" t="s">
        <v>3411</v>
      </c>
      <c r="H62" s="167">
        <v>44846.0</v>
      </c>
      <c r="I62" s="167">
        <v>44857.0</v>
      </c>
      <c r="J62" s="66">
        <v>546.0268409156799</v>
      </c>
      <c r="K62" s="1"/>
      <c r="L62" s="1"/>
      <c r="M62" s="1" t="str">
        <f>VLOOKUP(B62,Bounties!A:D,3,FALSE)</f>
        <v>Research</v>
      </c>
      <c r="N62" s="1" t="str">
        <f>VLOOKUP(B62,Bounties!A:D,4,FALSE)</f>
        <v>Anti-Scam</v>
      </c>
      <c r="O62" s="1" t="str">
        <f t="shared" ref="O62:P62" si="66">IF(ISBLANK(K62),M62,K62)</f>
        <v>Research</v>
      </c>
      <c r="P62" s="1" t="str">
        <f t="shared" si="66"/>
        <v>Anti-Scam</v>
      </c>
      <c r="Q62" s="108" t="str">
        <f t="shared" si="3"/>
        <v>2022</v>
      </c>
      <c r="R62" s="110">
        <f t="shared" si="4"/>
        <v>10</v>
      </c>
      <c r="S62" s="108" t="str">
        <f t="shared" si="5"/>
        <v>2022-Q4</v>
      </c>
      <c r="T62" s="111" t="str">
        <f t="shared" si="6"/>
        <v>2022-10</v>
      </c>
      <c r="U62" s="112" t="str">
        <f t="shared" si="7"/>
        <v>2022-H2</v>
      </c>
      <c r="V62" s="1" t="str">
        <f>VLOOKUP(B62,Bounties!A:E,2,FALSE)</f>
        <v>Anti-Scam Bounty</v>
      </c>
    </row>
    <row r="63" hidden="1">
      <c r="A63" s="109">
        <f>HYPERLINK("https://polkadot.subsquare.io/treasury/child-bounties/61", 61)</f>
        <v>61</v>
      </c>
      <c r="B63" s="183">
        <v>17.0</v>
      </c>
      <c r="C63" s="27" t="s">
        <v>3404</v>
      </c>
      <c r="D63" s="27" t="s">
        <v>673</v>
      </c>
      <c r="E63" s="129">
        <v>113.95</v>
      </c>
      <c r="F63" s="66">
        <v>666.418890285492</v>
      </c>
      <c r="G63" s="27" t="s">
        <v>3418</v>
      </c>
      <c r="H63" s="167">
        <v>44853.0</v>
      </c>
      <c r="I63" s="167">
        <v>44861.0</v>
      </c>
      <c r="J63" s="66">
        <v>758.0492952585221</v>
      </c>
      <c r="K63" s="1"/>
      <c r="L63" s="1"/>
      <c r="M63" s="1" t="str">
        <f>VLOOKUP(B63,Bounties!A:D,3,FALSE)</f>
        <v>Outreach</v>
      </c>
      <c r="N63" s="1" t="str">
        <f>VLOOKUP(B63,Bounties!A:D,4,FALSE)</f>
        <v>Events/Meetups</v>
      </c>
      <c r="O63" s="1" t="str">
        <f t="shared" ref="O63:P63" si="67">IF(ISBLANK(K63),M63,K63)</f>
        <v>Outreach</v>
      </c>
      <c r="P63" s="1" t="str">
        <f t="shared" si="67"/>
        <v>Events/Meetups</v>
      </c>
      <c r="Q63" s="108" t="str">
        <f t="shared" si="3"/>
        <v>2022</v>
      </c>
      <c r="R63" s="110">
        <f t="shared" si="4"/>
        <v>10</v>
      </c>
      <c r="S63" s="108" t="str">
        <f t="shared" si="5"/>
        <v>2022-Q4</v>
      </c>
      <c r="T63" s="111" t="str">
        <f t="shared" si="6"/>
        <v>2022-10</v>
      </c>
      <c r="U63" s="112" t="str">
        <f t="shared" si="7"/>
        <v>2022-H2</v>
      </c>
      <c r="V63" s="1" t="str">
        <f>VLOOKUP(B63,Bounties!A:E,2,FALSE)</f>
        <v>Events Bounty</v>
      </c>
    </row>
    <row r="64" hidden="1">
      <c r="A64" s="109">
        <f>HYPERLINK("https://polkadot.subsquare.io/treasury/child-bounties/62", 62)</f>
        <v>62</v>
      </c>
      <c r="B64" s="183">
        <v>17.0</v>
      </c>
      <c r="C64" s="27" t="s">
        <v>3404</v>
      </c>
      <c r="D64" s="27" t="s">
        <v>674</v>
      </c>
      <c r="E64" s="129">
        <v>3158.0</v>
      </c>
      <c r="F64" s="66">
        <v>18469.072887420654</v>
      </c>
      <c r="G64" s="27" t="s">
        <v>3419</v>
      </c>
      <c r="H64" s="167">
        <v>44853.0</v>
      </c>
      <c r="I64" s="167">
        <v>44866.0</v>
      </c>
      <c r="J64" s="66">
        <v>20291.084230422974</v>
      </c>
      <c r="K64" s="1"/>
      <c r="L64" s="1"/>
      <c r="M64" s="1" t="str">
        <f>VLOOKUP(B64,Bounties!A:D,3,FALSE)</f>
        <v>Outreach</v>
      </c>
      <c r="N64" s="1" t="str">
        <f>VLOOKUP(B64,Bounties!A:D,4,FALSE)</f>
        <v>Events/Meetups</v>
      </c>
      <c r="O64" s="1" t="str">
        <f t="shared" ref="O64:P64" si="68">IF(ISBLANK(K64),M64,K64)</f>
        <v>Outreach</v>
      </c>
      <c r="P64" s="1" t="str">
        <f t="shared" si="68"/>
        <v>Events/Meetups</v>
      </c>
      <c r="Q64" s="108" t="str">
        <f t="shared" si="3"/>
        <v>2022</v>
      </c>
      <c r="R64" s="110">
        <f t="shared" si="4"/>
        <v>11</v>
      </c>
      <c r="S64" s="108" t="str">
        <f t="shared" si="5"/>
        <v>2022-Q4</v>
      </c>
      <c r="T64" s="111" t="str">
        <f t="shared" si="6"/>
        <v>2022-11</v>
      </c>
      <c r="U64" s="112" t="str">
        <f t="shared" si="7"/>
        <v>2022-H2</v>
      </c>
      <c r="V64" s="1" t="str">
        <f>VLOOKUP(B64,Bounties!A:E,2,FALSE)</f>
        <v>Events Bounty</v>
      </c>
    </row>
    <row r="65" hidden="1">
      <c r="A65" s="109">
        <f>HYPERLINK("https://polkadot.subsquare.io/treasury/child-bounties/63", 63)</f>
        <v>63</v>
      </c>
      <c r="B65" s="183">
        <v>17.0</v>
      </c>
      <c r="C65" s="27" t="s">
        <v>3404</v>
      </c>
      <c r="D65" s="27" t="s">
        <v>675</v>
      </c>
      <c r="E65" s="129">
        <v>1943.0</v>
      </c>
      <c r="F65" s="66">
        <v>11363.333951950073</v>
      </c>
      <c r="G65" s="27" t="s">
        <v>3420</v>
      </c>
      <c r="H65" s="167">
        <v>44853.0</v>
      </c>
      <c r="I65" s="167">
        <v>44861.0</v>
      </c>
      <c r="J65" s="66">
        <v>12925.754986286163</v>
      </c>
      <c r="K65" s="1"/>
      <c r="L65" s="1" t="s">
        <v>266</v>
      </c>
      <c r="M65" s="1" t="str">
        <f>VLOOKUP(B65,Bounties!A:D,3,FALSE)</f>
        <v>Outreach</v>
      </c>
      <c r="N65" s="1" t="str">
        <f>VLOOKUP(B65,Bounties!A:D,4,FALSE)</f>
        <v>Events/Meetups</v>
      </c>
      <c r="O65" s="1" t="str">
        <f t="shared" ref="O65:P65" si="69">IF(ISBLANK(K65),M65,K65)</f>
        <v>Outreach</v>
      </c>
      <c r="P65" s="1" t="str">
        <f t="shared" si="69"/>
        <v>Events/Conference Attendance &amp; Side Events</v>
      </c>
      <c r="Q65" s="108" t="str">
        <f t="shared" si="3"/>
        <v>2022</v>
      </c>
      <c r="R65" s="110">
        <f t="shared" si="4"/>
        <v>10</v>
      </c>
      <c r="S65" s="108" t="str">
        <f t="shared" si="5"/>
        <v>2022-Q4</v>
      </c>
      <c r="T65" s="111" t="str">
        <f t="shared" si="6"/>
        <v>2022-10</v>
      </c>
      <c r="U65" s="112" t="str">
        <f t="shared" si="7"/>
        <v>2022-H2</v>
      </c>
      <c r="V65" s="1" t="str">
        <f>VLOOKUP(B65,Bounties!A:E,2,FALSE)</f>
        <v>Events Bounty</v>
      </c>
    </row>
    <row r="66" hidden="1">
      <c r="A66" s="109">
        <f>HYPERLINK("https://polkadot.subsquare.io/treasury/child-bounties/64", 64)</f>
        <v>64</v>
      </c>
      <c r="B66" s="183">
        <v>17.0</v>
      </c>
      <c r="C66" s="27" t="s">
        <v>3404</v>
      </c>
      <c r="D66" s="27" t="s">
        <v>676</v>
      </c>
      <c r="E66" s="129">
        <v>1676.0</v>
      </c>
      <c r="F66" s="66">
        <v>9801.825889587402</v>
      </c>
      <c r="G66" s="27" t="s">
        <v>3421</v>
      </c>
      <c r="H66" s="167">
        <v>44853.0</v>
      </c>
      <c r="I66" s="167">
        <v>44886.0</v>
      </c>
      <c r="J66" s="66">
        <v>9106.374662399292</v>
      </c>
      <c r="K66" s="1"/>
      <c r="L66" s="1" t="s">
        <v>266</v>
      </c>
      <c r="M66" s="1" t="str">
        <f>VLOOKUP(B66,Bounties!A:D,3,FALSE)</f>
        <v>Outreach</v>
      </c>
      <c r="N66" s="1" t="str">
        <f>VLOOKUP(B66,Bounties!A:D,4,FALSE)</f>
        <v>Events/Meetups</v>
      </c>
      <c r="O66" s="1" t="str">
        <f t="shared" ref="O66:P66" si="70">IF(ISBLANK(K66),M66,K66)</f>
        <v>Outreach</v>
      </c>
      <c r="P66" s="1" t="str">
        <f t="shared" si="70"/>
        <v>Events/Conference Attendance &amp; Side Events</v>
      </c>
      <c r="Q66" s="108" t="str">
        <f t="shared" si="3"/>
        <v>2022</v>
      </c>
      <c r="R66" s="110">
        <f t="shared" si="4"/>
        <v>11</v>
      </c>
      <c r="S66" s="108" t="str">
        <f t="shared" si="5"/>
        <v>2022-Q4</v>
      </c>
      <c r="T66" s="111" t="str">
        <f t="shared" si="6"/>
        <v>2022-11</v>
      </c>
      <c r="U66" s="112" t="str">
        <f t="shared" si="7"/>
        <v>2022-H2</v>
      </c>
      <c r="V66" s="1" t="str">
        <f>VLOOKUP(B66,Bounties!A:E,2,FALSE)</f>
        <v>Events Bounty</v>
      </c>
    </row>
    <row r="67" hidden="1">
      <c r="A67" s="109">
        <f>HYPERLINK("https://polkadot.subsquare.io/treasury/child-bounties/65", 65)</f>
        <v>65</v>
      </c>
      <c r="B67" s="183">
        <v>11.0</v>
      </c>
      <c r="C67" s="27" t="s">
        <v>3404</v>
      </c>
      <c r="D67" s="27" t="s">
        <v>677</v>
      </c>
      <c r="E67" s="129">
        <v>118.845500508</v>
      </c>
      <c r="F67" s="66">
        <v>763.6174988013313</v>
      </c>
      <c r="G67" s="27" t="s">
        <v>3407</v>
      </c>
      <c r="H67" s="167">
        <v>44866.0</v>
      </c>
      <c r="I67" s="167">
        <v>44874.0</v>
      </c>
      <c r="J67" s="66">
        <v>685.5903437432097</v>
      </c>
      <c r="K67" s="1"/>
      <c r="L67" s="1"/>
      <c r="M67" s="1" t="str">
        <f>VLOOKUP(B67,Bounties!A:D,3,FALSE)</f>
        <v>Research</v>
      </c>
      <c r="N67" s="1" t="str">
        <f>VLOOKUP(B67,Bounties!A:D,4,FALSE)</f>
        <v>Anti-Scam</v>
      </c>
      <c r="O67" s="1" t="str">
        <f t="shared" ref="O67:P67" si="71">IF(ISBLANK(K67),M67,K67)</f>
        <v>Research</v>
      </c>
      <c r="P67" s="1" t="str">
        <f t="shared" si="71"/>
        <v>Anti-Scam</v>
      </c>
      <c r="Q67" s="108" t="str">
        <f t="shared" si="3"/>
        <v>2022</v>
      </c>
      <c r="R67" s="110">
        <f t="shared" si="4"/>
        <v>11</v>
      </c>
      <c r="S67" s="108" t="str">
        <f t="shared" si="5"/>
        <v>2022-Q4</v>
      </c>
      <c r="T67" s="111" t="str">
        <f t="shared" si="6"/>
        <v>2022-11</v>
      </c>
      <c r="U67" s="112" t="str">
        <f t="shared" si="7"/>
        <v>2022-H2</v>
      </c>
      <c r="V67" s="1" t="str">
        <f>VLOOKUP(B67,Bounties!A:E,2,FALSE)</f>
        <v>Anti-Scam Bounty</v>
      </c>
    </row>
    <row r="68" hidden="1">
      <c r="A68" s="109">
        <f>HYPERLINK("https://polkadot.subsquare.io/treasury/child-bounties/66", 66)</f>
        <v>66</v>
      </c>
      <c r="B68" s="183">
        <v>11.0</v>
      </c>
      <c r="C68" s="27" t="s">
        <v>3404</v>
      </c>
      <c r="D68" s="27" t="s">
        <v>678</v>
      </c>
      <c r="E68" s="129">
        <v>192.93100753</v>
      </c>
      <c r="F68" s="66">
        <v>1239.6387981164023</v>
      </c>
      <c r="G68" s="27" t="s">
        <v>3411</v>
      </c>
      <c r="H68" s="167">
        <v>44866.0</v>
      </c>
      <c r="I68" s="167">
        <v>44874.0</v>
      </c>
      <c r="J68" s="66">
        <v>1112.971338467397</v>
      </c>
      <c r="K68" s="1"/>
      <c r="L68" s="1"/>
      <c r="M68" s="1" t="str">
        <f>VLOOKUP(B68,Bounties!A:D,3,FALSE)</f>
        <v>Research</v>
      </c>
      <c r="N68" s="1" t="str">
        <f>VLOOKUP(B68,Bounties!A:D,4,FALSE)</f>
        <v>Anti-Scam</v>
      </c>
      <c r="O68" s="1" t="str">
        <f t="shared" ref="O68:P68" si="72">IF(ISBLANK(K68),M68,K68)</f>
        <v>Research</v>
      </c>
      <c r="P68" s="1" t="str">
        <f t="shared" si="72"/>
        <v>Anti-Scam</v>
      </c>
      <c r="Q68" s="108" t="str">
        <f t="shared" si="3"/>
        <v>2022</v>
      </c>
      <c r="R68" s="110">
        <f t="shared" si="4"/>
        <v>11</v>
      </c>
      <c r="S68" s="108" t="str">
        <f t="shared" si="5"/>
        <v>2022-Q4</v>
      </c>
      <c r="T68" s="111" t="str">
        <f t="shared" si="6"/>
        <v>2022-11</v>
      </c>
      <c r="U68" s="112" t="str">
        <f t="shared" si="7"/>
        <v>2022-H2</v>
      </c>
      <c r="V68" s="1" t="str">
        <f>VLOOKUP(B68,Bounties!A:E,2,FALSE)</f>
        <v>Anti-Scam Bounty</v>
      </c>
    </row>
    <row r="69" hidden="1">
      <c r="A69" s="109">
        <f>HYPERLINK("https://polkadot.subsquare.io/treasury/child-bounties/67", 67)</f>
        <v>67</v>
      </c>
      <c r="B69" s="183">
        <v>11.0</v>
      </c>
      <c r="C69" s="27" t="s">
        <v>3404</v>
      </c>
      <c r="D69" s="27" t="s">
        <v>679</v>
      </c>
      <c r="E69" s="129">
        <v>61.842919</v>
      </c>
      <c r="F69" s="66">
        <v>436.88887946481896</v>
      </c>
      <c r="G69" s="27" t="s">
        <v>3407</v>
      </c>
      <c r="H69" s="167">
        <v>44866.0</v>
      </c>
      <c r="I69" s="167">
        <v>44874.0</v>
      </c>
      <c r="J69" s="66">
        <v>356.75652771086123</v>
      </c>
      <c r="K69" s="1"/>
      <c r="L69" s="1"/>
      <c r="M69" s="1" t="str">
        <f>VLOOKUP(B69,Bounties!A:D,3,FALSE)</f>
        <v>Research</v>
      </c>
      <c r="N69" s="1" t="str">
        <f>VLOOKUP(B69,Bounties!A:D,4,FALSE)</f>
        <v>Anti-Scam</v>
      </c>
      <c r="O69" s="1" t="str">
        <f t="shared" ref="O69:P69" si="73">IF(ISBLANK(K69),M69,K69)</f>
        <v>Research</v>
      </c>
      <c r="P69" s="1" t="str">
        <f t="shared" si="73"/>
        <v>Anti-Scam</v>
      </c>
      <c r="Q69" s="108" t="str">
        <f t="shared" si="3"/>
        <v>2022</v>
      </c>
      <c r="R69" s="110">
        <f t="shared" si="4"/>
        <v>11</v>
      </c>
      <c r="S69" s="108" t="str">
        <f t="shared" si="5"/>
        <v>2022-Q4</v>
      </c>
      <c r="T69" s="111" t="str">
        <f t="shared" si="6"/>
        <v>2022-11</v>
      </c>
      <c r="U69" s="112" t="str">
        <f t="shared" si="7"/>
        <v>2022-H2</v>
      </c>
      <c r="V69" s="1" t="str">
        <f>VLOOKUP(B69,Bounties!A:E,2,FALSE)</f>
        <v>Anti-Scam Bounty</v>
      </c>
    </row>
    <row r="70" hidden="1">
      <c r="A70" s="109">
        <f>HYPERLINK("https://polkadot.subsquare.io/treasury/child-bounties/68", 68)</f>
        <v>68</v>
      </c>
      <c r="B70" s="183">
        <v>11.0</v>
      </c>
      <c r="C70" s="27" t="s">
        <v>3404</v>
      </c>
      <c r="D70" s="27" t="s">
        <v>680</v>
      </c>
      <c r="E70" s="129">
        <v>61.842919</v>
      </c>
      <c r="F70" s="66">
        <v>436.88887946481896</v>
      </c>
      <c r="G70" s="27" t="s">
        <v>3406</v>
      </c>
      <c r="H70" s="167">
        <v>44866.0</v>
      </c>
      <c r="I70" s="167">
        <v>44874.0</v>
      </c>
      <c r="J70" s="66">
        <v>356.75652771086123</v>
      </c>
      <c r="K70" s="1"/>
      <c r="L70" s="1"/>
      <c r="M70" s="1" t="str">
        <f>VLOOKUP(B70,Bounties!A:D,3,FALSE)</f>
        <v>Research</v>
      </c>
      <c r="N70" s="1" t="str">
        <f>VLOOKUP(B70,Bounties!A:D,4,FALSE)</f>
        <v>Anti-Scam</v>
      </c>
      <c r="O70" s="1" t="str">
        <f t="shared" ref="O70:P70" si="74">IF(ISBLANK(K70),M70,K70)</f>
        <v>Research</v>
      </c>
      <c r="P70" s="1" t="str">
        <f t="shared" si="74"/>
        <v>Anti-Scam</v>
      </c>
      <c r="Q70" s="108" t="str">
        <f t="shared" si="3"/>
        <v>2022</v>
      </c>
      <c r="R70" s="110">
        <f t="shared" si="4"/>
        <v>11</v>
      </c>
      <c r="S70" s="108" t="str">
        <f t="shared" si="5"/>
        <v>2022-Q4</v>
      </c>
      <c r="T70" s="111" t="str">
        <f t="shared" si="6"/>
        <v>2022-11</v>
      </c>
      <c r="U70" s="112" t="str">
        <f t="shared" si="7"/>
        <v>2022-H2</v>
      </c>
      <c r="V70" s="1" t="str">
        <f>VLOOKUP(B70,Bounties!A:E,2,FALSE)</f>
        <v>Anti-Scam Bounty</v>
      </c>
    </row>
    <row r="71" hidden="1">
      <c r="A71" s="109">
        <f>HYPERLINK("https://polkadot.subsquare.io/treasury/child-bounties/69", 69)</f>
        <v>69</v>
      </c>
      <c r="B71" s="183">
        <v>11.0</v>
      </c>
      <c r="C71" s="27" t="s">
        <v>3404</v>
      </c>
      <c r="D71" s="27" t="s">
        <v>681</v>
      </c>
      <c r="E71" s="129">
        <v>61.842919</v>
      </c>
      <c r="F71" s="66">
        <v>436.88887946481896</v>
      </c>
      <c r="G71" s="27" t="s">
        <v>3411</v>
      </c>
      <c r="H71" s="167">
        <v>44866.0</v>
      </c>
      <c r="I71" s="167">
        <v>44874.0</v>
      </c>
      <c r="J71" s="66">
        <v>356.75652771086123</v>
      </c>
      <c r="K71" s="1"/>
      <c r="L71" s="1"/>
      <c r="M71" s="1" t="str">
        <f>VLOOKUP(B71,Bounties!A:D,3,FALSE)</f>
        <v>Research</v>
      </c>
      <c r="N71" s="1" t="str">
        <f>VLOOKUP(B71,Bounties!A:D,4,FALSE)</f>
        <v>Anti-Scam</v>
      </c>
      <c r="O71" s="1" t="str">
        <f t="shared" ref="O71:P71" si="75">IF(ISBLANK(K71),M71,K71)</f>
        <v>Research</v>
      </c>
      <c r="P71" s="1" t="str">
        <f t="shared" si="75"/>
        <v>Anti-Scam</v>
      </c>
      <c r="Q71" s="108" t="str">
        <f t="shared" si="3"/>
        <v>2022</v>
      </c>
      <c r="R71" s="110">
        <f t="shared" si="4"/>
        <v>11</v>
      </c>
      <c r="S71" s="108" t="str">
        <f t="shared" si="5"/>
        <v>2022-Q4</v>
      </c>
      <c r="T71" s="111" t="str">
        <f t="shared" si="6"/>
        <v>2022-11</v>
      </c>
      <c r="U71" s="112" t="str">
        <f t="shared" si="7"/>
        <v>2022-H2</v>
      </c>
      <c r="V71" s="1" t="str">
        <f>VLOOKUP(B71,Bounties!A:E,2,FALSE)</f>
        <v>Anti-Scam Bounty</v>
      </c>
    </row>
    <row r="72" hidden="1">
      <c r="A72" s="109">
        <f>HYPERLINK("https://polkadot.subsquare.io/treasury/child-bounties/70", 70)</f>
        <v>70</v>
      </c>
      <c r="B72" s="183">
        <v>11.0</v>
      </c>
      <c r="C72" s="27" t="s">
        <v>3404</v>
      </c>
      <c r="D72" s="27" t="s">
        <v>682</v>
      </c>
      <c r="E72" s="129">
        <v>77.3036487322</v>
      </c>
      <c r="F72" s="66">
        <v>546.1110992052758</v>
      </c>
      <c r="G72" s="27" t="s">
        <v>3414</v>
      </c>
      <c r="H72" s="167">
        <v>44866.0</v>
      </c>
      <c r="I72" s="167">
        <v>44875.0</v>
      </c>
      <c r="J72" s="66">
        <v>444.7470790600015</v>
      </c>
      <c r="K72" s="1"/>
      <c r="L72" s="1"/>
      <c r="M72" s="1" t="str">
        <f>VLOOKUP(B72,Bounties!A:D,3,FALSE)</f>
        <v>Research</v>
      </c>
      <c r="N72" s="1" t="str">
        <f>VLOOKUP(B72,Bounties!A:D,4,FALSE)</f>
        <v>Anti-Scam</v>
      </c>
      <c r="O72" s="1" t="str">
        <f t="shared" ref="O72:P72" si="76">IF(ISBLANK(K72),M72,K72)</f>
        <v>Research</v>
      </c>
      <c r="P72" s="1" t="str">
        <f t="shared" si="76"/>
        <v>Anti-Scam</v>
      </c>
      <c r="Q72" s="108" t="str">
        <f t="shared" si="3"/>
        <v>2022</v>
      </c>
      <c r="R72" s="110">
        <f t="shared" si="4"/>
        <v>11</v>
      </c>
      <c r="S72" s="108" t="str">
        <f t="shared" si="5"/>
        <v>2022-Q4</v>
      </c>
      <c r="T72" s="111" t="str">
        <f t="shared" si="6"/>
        <v>2022-11</v>
      </c>
      <c r="U72" s="112" t="str">
        <f t="shared" si="7"/>
        <v>2022-H2</v>
      </c>
      <c r="V72" s="1" t="str">
        <f>VLOOKUP(B72,Bounties!A:E,2,FALSE)</f>
        <v>Anti-Scam Bounty</v>
      </c>
    </row>
    <row r="73" hidden="1">
      <c r="A73" s="109">
        <f>HYPERLINK("https://polkadot.subsquare.io/treasury/child-bounties/71", 71)</f>
        <v>71</v>
      </c>
      <c r="B73" s="183">
        <v>11.0</v>
      </c>
      <c r="C73" s="27" t="s">
        <v>3404</v>
      </c>
      <c r="D73" s="27" t="s">
        <v>683</v>
      </c>
      <c r="E73" s="129">
        <v>215.2316331787</v>
      </c>
      <c r="F73" s="66">
        <v>1510.8079331724477</v>
      </c>
      <c r="G73" s="27" t="s">
        <v>3406</v>
      </c>
      <c r="H73" s="167">
        <v>44867.0</v>
      </c>
      <c r="I73" s="167">
        <v>44880.0</v>
      </c>
      <c r="J73" s="66">
        <v>1220.4944356163885</v>
      </c>
      <c r="K73" s="1"/>
      <c r="L73" s="1"/>
      <c r="M73" s="1" t="str">
        <f>VLOOKUP(B73,Bounties!A:D,3,FALSE)</f>
        <v>Research</v>
      </c>
      <c r="N73" s="1" t="str">
        <f>VLOOKUP(B73,Bounties!A:D,4,FALSE)</f>
        <v>Anti-Scam</v>
      </c>
      <c r="O73" s="1" t="str">
        <f t="shared" ref="O73:P73" si="77">IF(ISBLANK(K73),M73,K73)</f>
        <v>Research</v>
      </c>
      <c r="P73" s="1" t="str">
        <f t="shared" si="77"/>
        <v>Anti-Scam</v>
      </c>
      <c r="Q73" s="108" t="str">
        <f t="shared" si="3"/>
        <v>2022</v>
      </c>
      <c r="R73" s="110">
        <f t="shared" si="4"/>
        <v>11</v>
      </c>
      <c r="S73" s="108" t="str">
        <f t="shared" si="5"/>
        <v>2022-Q4</v>
      </c>
      <c r="T73" s="111" t="str">
        <f t="shared" si="6"/>
        <v>2022-11</v>
      </c>
      <c r="U73" s="112" t="str">
        <f t="shared" si="7"/>
        <v>2022-H2</v>
      </c>
      <c r="V73" s="1" t="str">
        <f>VLOOKUP(B73,Bounties!A:E,2,FALSE)</f>
        <v>Anti-Scam Bounty</v>
      </c>
    </row>
    <row r="74" hidden="1">
      <c r="A74" s="109">
        <f>HYPERLINK("https://polkadot.subsquare.io/treasury/child-bounties/72", 72)</f>
        <v>72</v>
      </c>
      <c r="B74" s="183">
        <v>11.0</v>
      </c>
      <c r="C74" s="27" t="s">
        <v>3404</v>
      </c>
      <c r="D74" s="27" t="s">
        <v>684</v>
      </c>
      <c r="E74" s="129">
        <v>959.2192684183</v>
      </c>
      <c r="F74" s="66">
        <v>6733.192788510867</v>
      </c>
      <c r="G74" s="27" t="s">
        <v>3407</v>
      </c>
      <c r="H74" s="167">
        <v>44867.0</v>
      </c>
      <c r="I74" s="167">
        <v>44877.0</v>
      </c>
      <c r="J74" s="66">
        <v>5615.136126853981</v>
      </c>
      <c r="K74" s="1"/>
      <c r="L74" s="1"/>
      <c r="M74" s="1" t="str">
        <f>VLOOKUP(B74,Bounties!A:D,3,FALSE)</f>
        <v>Research</v>
      </c>
      <c r="N74" s="1" t="str">
        <f>VLOOKUP(B74,Bounties!A:D,4,FALSE)</f>
        <v>Anti-Scam</v>
      </c>
      <c r="O74" s="1" t="str">
        <f t="shared" ref="O74:P74" si="78">IF(ISBLANK(K74),M74,K74)</f>
        <v>Research</v>
      </c>
      <c r="P74" s="1" t="str">
        <f t="shared" si="78"/>
        <v>Anti-Scam</v>
      </c>
      <c r="Q74" s="108" t="str">
        <f t="shared" si="3"/>
        <v>2022</v>
      </c>
      <c r="R74" s="110">
        <f t="shared" si="4"/>
        <v>11</v>
      </c>
      <c r="S74" s="108" t="str">
        <f t="shared" si="5"/>
        <v>2022-Q4</v>
      </c>
      <c r="T74" s="111" t="str">
        <f t="shared" si="6"/>
        <v>2022-11</v>
      </c>
      <c r="U74" s="112" t="str">
        <f t="shared" si="7"/>
        <v>2022-H2</v>
      </c>
      <c r="V74" s="1" t="str">
        <f>VLOOKUP(B74,Bounties!A:E,2,FALSE)</f>
        <v>Anti-Scam Bounty</v>
      </c>
    </row>
    <row r="75" hidden="1">
      <c r="A75" s="109">
        <f>HYPERLINK("https://polkadot.subsquare.io/treasury/child-bounties/73", 73)</f>
        <v>73</v>
      </c>
      <c r="B75" s="183">
        <v>11.0</v>
      </c>
      <c r="C75" s="27" t="s">
        <v>3404</v>
      </c>
      <c r="D75" s="27" t="s">
        <v>685</v>
      </c>
      <c r="E75" s="129">
        <v>553.9642452344</v>
      </c>
      <c r="F75" s="66">
        <v>3888.5249534818117</v>
      </c>
      <c r="G75" s="27" t="s">
        <v>3411</v>
      </c>
      <c r="H75" s="167">
        <v>44867.0</v>
      </c>
      <c r="I75" s="167">
        <v>44876.0</v>
      </c>
      <c r="J75" s="66">
        <v>3242.8296103040775</v>
      </c>
      <c r="K75" s="1"/>
      <c r="L75" s="1"/>
      <c r="M75" s="1" t="str">
        <f>VLOOKUP(B75,Bounties!A:D,3,FALSE)</f>
        <v>Research</v>
      </c>
      <c r="N75" s="1" t="str">
        <f>VLOOKUP(B75,Bounties!A:D,4,FALSE)</f>
        <v>Anti-Scam</v>
      </c>
      <c r="O75" s="1" t="str">
        <f t="shared" ref="O75:P75" si="79">IF(ISBLANK(K75),M75,K75)</f>
        <v>Research</v>
      </c>
      <c r="P75" s="1" t="str">
        <f t="shared" si="79"/>
        <v>Anti-Scam</v>
      </c>
      <c r="Q75" s="108" t="str">
        <f t="shared" si="3"/>
        <v>2022</v>
      </c>
      <c r="R75" s="110">
        <f t="shared" si="4"/>
        <v>11</v>
      </c>
      <c r="S75" s="108" t="str">
        <f t="shared" si="5"/>
        <v>2022-Q4</v>
      </c>
      <c r="T75" s="111" t="str">
        <f t="shared" si="6"/>
        <v>2022-11</v>
      </c>
      <c r="U75" s="112" t="str">
        <f t="shared" si="7"/>
        <v>2022-H2</v>
      </c>
      <c r="V75" s="1" t="str">
        <f>VLOOKUP(B75,Bounties!A:E,2,FALSE)</f>
        <v>Anti-Scam Bounty</v>
      </c>
    </row>
    <row r="76" hidden="1">
      <c r="A76" s="109">
        <f>HYPERLINK("https://polkadot.subsquare.io/treasury/child-bounties/74", 74)</f>
        <v>74</v>
      </c>
      <c r="B76" s="183">
        <v>11.0</v>
      </c>
      <c r="C76" s="27" t="s">
        <v>3404</v>
      </c>
      <c r="D76" s="27" t="s">
        <v>686</v>
      </c>
      <c r="E76" s="129">
        <v>77.3036487322</v>
      </c>
      <c r="F76" s="66">
        <v>542.6291853243346</v>
      </c>
      <c r="G76" s="27" t="s">
        <v>3409</v>
      </c>
      <c r="H76" s="167">
        <v>44867.0</v>
      </c>
      <c r="I76" s="167">
        <v>44875.0</v>
      </c>
      <c r="J76" s="66">
        <v>444.7470790600015</v>
      </c>
      <c r="K76" s="1"/>
      <c r="L76" s="1"/>
      <c r="M76" s="1" t="str">
        <f>VLOOKUP(B76,Bounties!A:D,3,FALSE)</f>
        <v>Research</v>
      </c>
      <c r="N76" s="1" t="str">
        <f>VLOOKUP(B76,Bounties!A:D,4,FALSE)</f>
        <v>Anti-Scam</v>
      </c>
      <c r="O76" s="1" t="str">
        <f t="shared" ref="O76:P76" si="80">IF(ISBLANK(K76),M76,K76)</f>
        <v>Research</v>
      </c>
      <c r="P76" s="1" t="str">
        <f t="shared" si="80"/>
        <v>Anti-Scam</v>
      </c>
      <c r="Q76" s="108" t="str">
        <f t="shared" si="3"/>
        <v>2022</v>
      </c>
      <c r="R76" s="110">
        <f t="shared" si="4"/>
        <v>11</v>
      </c>
      <c r="S76" s="108" t="str">
        <f t="shared" si="5"/>
        <v>2022-Q4</v>
      </c>
      <c r="T76" s="111" t="str">
        <f t="shared" si="6"/>
        <v>2022-11</v>
      </c>
      <c r="U76" s="112" t="str">
        <f t="shared" si="7"/>
        <v>2022-H2</v>
      </c>
      <c r="V76" s="1" t="str">
        <f>VLOOKUP(B76,Bounties!A:E,2,FALSE)</f>
        <v>Anti-Scam Bounty</v>
      </c>
    </row>
    <row r="77" hidden="1">
      <c r="A77" s="109">
        <f>HYPERLINK("https://polkadot.subsquare.io/treasury/child-bounties/75", 75)</f>
        <v>75</v>
      </c>
      <c r="B77" s="183">
        <v>11.0</v>
      </c>
      <c r="C77" s="27" t="s">
        <v>3404</v>
      </c>
      <c r="D77" s="27" t="s">
        <v>687</v>
      </c>
      <c r="E77" s="129">
        <v>52.7240773287</v>
      </c>
      <c r="F77" s="66">
        <v>370.0940847819602</v>
      </c>
      <c r="G77" s="27" t="s">
        <v>3411</v>
      </c>
      <c r="H77" s="167">
        <v>44867.0</v>
      </c>
      <c r="I77" s="167">
        <v>44876.0</v>
      </c>
      <c r="J77" s="66">
        <v>303.33470376419103</v>
      </c>
      <c r="K77" s="1"/>
      <c r="L77" s="1"/>
      <c r="M77" s="1" t="str">
        <f>VLOOKUP(B77,Bounties!A:D,3,FALSE)</f>
        <v>Research</v>
      </c>
      <c r="N77" s="1" t="str">
        <f>VLOOKUP(B77,Bounties!A:D,4,FALSE)</f>
        <v>Anti-Scam</v>
      </c>
      <c r="O77" s="1" t="str">
        <f t="shared" ref="O77:P77" si="81">IF(ISBLANK(K77),M77,K77)</f>
        <v>Research</v>
      </c>
      <c r="P77" s="1" t="str">
        <f t="shared" si="81"/>
        <v>Anti-Scam</v>
      </c>
      <c r="Q77" s="108" t="str">
        <f t="shared" si="3"/>
        <v>2022</v>
      </c>
      <c r="R77" s="110">
        <f t="shared" si="4"/>
        <v>11</v>
      </c>
      <c r="S77" s="108" t="str">
        <f t="shared" si="5"/>
        <v>2022-Q4</v>
      </c>
      <c r="T77" s="111" t="str">
        <f t="shared" si="6"/>
        <v>2022-11</v>
      </c>
      <c r="U77" s="112" t="str">
        <f t="shared" si="7"/>
        <v>2022-H2</v>
      </c>
      <c r="V77" s="1" t="str">
        <f>VLOOKUP(B77,Bounties!A:E,2,FALSE)</f>
        <v>Anti-Scam Bounty</v>
      </c>
    </row>
    <row r="78" hidden="1">
      <c r="A78" s="109">
        <f>HYPERLINK("https://polkadot.subsquare.io/treasury/child-bounties/76", 76)</f>
        <v>76</v>
      </c>
      <c r="B78" s="183">
        <v>17.0</v>
      </c>
      <c r="C78" s="27" t="s">
        <v>3404</v>
      </c>
      <c r="D78" s="27" t="s">
        <v>688</v>
      </c>
      <c r="E78" s="129">
        <v>44.38</v>
      </c>
      <c r="F78" s="66">
        <v>279.35682439804077</v>
      </c>
      <c r="G78" s="27" t="s">
        <v>3422</v>
      </c>
      <c r="H78" s="167">
        <v>44870.0</v>
      </c>
      <c r="I78" s="167">
        <v>44879.0</v>
      </c>
      <c r="J78" s="66">
        <v>251.66162730216982</v>
      </c>
      <c r="K78" s="1"/>
      <c r="L78" s="1"/>
      <c r="M78" s="1" t="str">
        <f>VLOOKUP(B78,Bounties!A:D,3,FALSE)</f>
        <v>Outreach</v>
      </c>
      <c r="N78" s="1" t="str">
        <f>VLOOKUP(B78,Bounties!A:D,4,FALSE)</f>
        <v>Events/Meetups</v>
      </c>
      <c r="O78" s="1" t="str">
        <f t="shared" ref="O78:P78" si="82">IF(ISBLANK(K78),M78,K78)</f>
        <v>Outreach</v>
      </c>
      <c r="P78" s="1" t="str">
        <f t="shared" si="82"/>
        <v>Events/Meetups</v>
      </c>
      <c r="Q78" s="108" t="str">
        <f t="shared" si="3"/>
        <v>2022</v>
      </c>
      <c r="R78" s="110">
        <f t="shared" si="4"/>
        <v>11</v>
      </c>
      <c r="S78" s="108" t="str">
        <f t="shared" si="5"/>
        <v>2022-Q4</v>
      </c>
      <c r="T78" s="111" t="str">
        <f t="shared" si="6"/>
        <v>2022-11</v>
      </c>
      <c r="U78" s="112" t="str">
        <f t="shared" si="7"/>
        <v>2022-H2</v>
      </c>
      <c r="V78" s="1" t="str">
        <f>VLOOKUP(B78,Bounties!A:E,2,FALSE)</f>
        <v>Events Bounty</v>
      </c>
    </row>
    <row r="79" hidden="1">
      <c r="A79" s="109">
        <f>HYPERLINK("https://polkadot.subsquare.io/treasury/child-bounties/77", 77)</f>
        <v>77</v>
      </c>
      <c r="B79" s="183">
        <v>11.0</v>
      </c>
      <c r="C79" s="27" t="s">
        <v>3404</v>
      </c>
      <c r="D79" s="27" t="s">
        <v>689</v>
      </c>
      <c r="E79" s="129">
        <v>93.7022241949</v>
      </c>
      <c r="F79" s="66">
        <v>558.4190599298795</v>
      </c>
      <c r="G79" s="27" t="s">
        <v>3423</v>
      </c>
      <c r="H79" s="167">
        <v>44872.0</v>
      </c>
      <c r="I79" s="167">
        <v>44881.0</v>
      </c>
      <c r="J79" s="66">
        <v>528.8254669704139</v>
      </c>
      <c r="K79" s="1"/>
      <c r="L79" s="1"/>
      <c r="M79" s="1" t="str">
        <f>VLOOKUP(B79,Bounties!A:D,3,FALSE)</f>
        <v>Research</v>
      </c>
      <c r="N79" s="1" t="str">
        <f>VLOOKUP(B79,Bounties!A:D,4,FALSE)</f>
        <v>Anti-Scam</v>
      </c>
      <c r="O79" s="1" t="str">
        <f t="shared" ref="O79:P79" si="83">IF(ISBLANK(K79),M79,K79)</f>
        <v>Research</v>
      </c>
      <c r="P79" s="1" t="str">
        <f t="shared" si="83"/>
        <v>Anti-Scam</v>
      </c>
      <c r="Q79" s="108" t="str">
        <f t="shared" si="3"/>
        <v>2022</v>
      </c>
      <c r="R79" s="110">
        <f t="shared" si="4"/>
        <v>11</v>
      </c>
      <c r="S79" s="108" t="str">
        <f t="shared" si="5"/>
        <v>2022-Q4</v>
      </c>
      <c r="T79" s="111" t="str">
        <f t="shared" si="6"/>
        <v>2022-11</v>
      </c>
      <c r="U79" s="112" t="str">
        <f t="shared" si="7"/>
        <v>2022-H2</v>
      </c>
      <c r="V79" s="1" t="str">
        <f>VLOOKUP(B79,Bounties!A:E,2,FALSE)</f>
        <v>Anti-Scam Bounty</v>
      </c>
    </row>
    <row r="80" hidden="1">
      <c r="A80" s="109">
        <f>HYPERLINK("https://polkadot.subsquare.io/treasury/child-bounties/78", 78)</f>
        <v>78</v>
      </c>
      <c r="B80" s="183">
        <v>11.0</v>
      </c>
      <c r="C80" s="27" t="s">
        <v>3404</v>
      </c>
      <c r="D80" s="27" t="s">
        <v>690</v>
      </c>
      <c r="E80" s="129">
        <v>99.620190033</v>
      </c>
      <c r="F80" s="66">
        <v>593.687218699891</v>
      </c>
      <c r="G80" s="27" t="s">
        <v>3411</v>
      </c>
      <c r="H80" s="167">
        <v>44872.0</v>
      </c>
      <c r="I80" s="167">
        <v>44880.0</v>
      </c>
      <c r="J80" s="66">
        <v>562.2245786215814</v>
      </c>
      <c r="K80" s="1"/>
      <c r="L80" s="1"/>
      <c r="M80" s="1" t="str">
        <f>VLOOKUP(B80,Bounties!A:D,3,FALSE)</f>
        <v>Research</v>
      </c>
      <c r="N80" s="1" t="str">
        <f>VLOOKUP(B80,Bounties!A:D,4,FALSE)</f>
        <v>Anti-Scam</v>
      </c>
      <c r="O80" s="1" t="str">
        <f t="shared" ref="O80:P80" si="84">IF(ISBLANK(K80),M80,K80)</f>
        <v>Research</v>
      </c>
      <c r="P80" s="1" t="str">
        <f t="shared" si="84"/>
        <v>Anti-Scam</v>
      </c>
      <c r="Q80" s="108" t="str">
        <f t="shared" si="3"/>
        <v>2022</v>
      </c>
      <c r="R80" s="110">
        <f t="shared" si="4"/>
        <v>11</v>
      </c>
      <c r="S80" s="108" t="str">
        <f t="shared" si="5"/>
        <v>2022-Q4</v>
      </c>
      <c r="T80" s="111" t="str">
        <f t="shared" si="6"/>
        <v>2022-11</v>
      </c>
      <c r="U80" s="112" t="str">
        <f t="shared" si="7"/>
        <v>2022-H2</v>
      </c>
      <c r="V80" s="1" t="str">
        <f>VLOOKUP(B80,Bounties!A:E,2,FALSE)</f>
        <v>Anti-Scam Bounty</v>
      </c>
    </row>
    <row r="81" hidden="1">
      <c r="A81" s="109">
        <f>HYPERLINK("https://polkadot.subsquare.io/treasury/child-bounties/79", 79)</f>
        <v>79</v>
      </c>
      <c r="B81" s="183">
        <v>11.0</v>
      </c>
      <c r="C81" s="27" t="s">
        <v>3404</v>
      </c>
      <c r="D81" s="27" t="s">
        <v>691</v>
      </c>
      <c r="E81" s="129">
        <v>274.20229817</v>
      </c>
      <c r="F81" s="66">
        <v>1634.1105122138379</v>
      </c>
      <c r="G81" s="27" t="s">
        <v>3424</v>
      </c>
      <c r="H81" s="167">
        <v>44872.0</v>
      </c>
      <c r="I81" s="167">
        <v>44880.0</v>
      </c>
      <c r="J81" s="66">
        <v>1547.5103138694037</v>
      </c>
      <c r="K81" s="1"/>
      <c r="L81" s="1"/>
      <c r="M81" s="1" t="str">
        <f>VLOOKUP(B81,Bounties!A:D,3,FALSE)</f>
        <v>Research</v>
      </c>
      <c r="N81" s="1" t="str">
        <f>VLOOKUP(B81,Bounties!A:D,4,FALSE)</f>
        <v>Anti-Scam</v>
      </c>
      <c r="O81" s="1" t="str">
        <f t="shared" ref="O81:P81" si="85">IF(ISBLANK(K81),M81,K81)</f>
        <v>Research</v>
      </c>
      <c r="P81" s="1" t="str">
        <f t="shared" si="85"/>
        <v>Anti-Scam</v>
      </c>
      <c r="Q81" s="108" t="str">
        <f t="shared" si="3"/>
        <v>2022</v>
      </c>
      <c r="R81" s="110">
        <f t="shared" si="4"/>
        <v>11</v>
      </c>
      <c r="S81" s="108" t="str">
        <f t="shared" si="5"/>
        <v>2022-Q4</v>
      </c>
      <c r="T81" s="111" t="str">
        <f t="shared" si="6"/>
        <v>2022-11</v>
      </c>
      <c r="U81" s="112" t="str">
        <f t="shared" si="7"/>
        <v>2022-H2</v>
      </c>
      <c r="V81" s="1" t="str">
        <f>VLOOKUP(B81,Bounties!A:E,2,FALSE)</f>
        <v>Anti-Scam Bounty</v>
      </c>
    </row>
    <row r="82" hidden="1">
      <c r="A82" s="109">
        <f>HYPERLINK("https://polkadot.subsquare.io/treasury/child-bounties/80", 80)</f>
        <v>80</v>
      </c>
      <c r="B82" s="183">
        <v>17.0</v>
      </c>
      <c r="C82" s="27" t="s">
        <v>3404</v>
      </c>
      <c r="D82" s="27" t="s">
        <v>692</v>
      </c>
      <c r="E82" s="129">
        <v>47.0</v>
      </c>
      <c r="F82" s="66">
        <v>271.1313934326172</v>
      </c>
      <c r="G82" s="27" t="s">
        <v>3414</v>
      </c>
      <c r="H82" s="167">
        <v>44874.0</v>
      </c>
      <c r="I82" s="167">
        <v>44882.0</v>
      </c>
      <c r="J82" s="66">
        <v>248.64673948287964</v>
      </c>
      <c r="K82" s="1"/>
      <c r="L82" s="1"/>
      <c r="M82" s="1" t="str">
        <f>VLOOKUP(B82,Bounties!A:D,3,FALSE)</f>
        <v>Outreach</v>
      </c>
      <c r="N82" s="1" t="str">
        <f>VLOOKUP(B82,Bounties!A:D,4,FALSE)</f>
        <v>Events/Meetups</v>
      </c>
      <c r="O82" s="1" t="str">
        <f t="shared" ref="O82:P82" si="86">IF(ISBLANK(K82),M82,K82)</f>
        <v>Outreach</v>
      </c>
      <c r="P82" s="1" t="str">
        <f t="shared" si="86"/>
        <v>Events/Meetups</v>
      </c>
      <c r="Q82" s="108" t="str">
        <f t="shared" si="3"/>
        <v>2022</v>
      </c>
      <c r="R82" s="110">
        <f t="shared" si="4"/>
        <v>11</v>
      </c>
      <c r="S82" s="108" t="str">
        <f t="shared" si="5"/>
        <v>2022-Q4</v>
      </c>
      <c r="T82" s="111" t="str">
        <f t="shared" si="6"/>
        <v>2022-11</v>
      </c>
      <c r="U82" s="112" t="str">
        <f t="shared" si="7"/>
        <v>2022-H2</v>
      </c>
      <c r="V82" s="1" t="str">
        <f>VLOOKUP(B82,Bounties!A:E,2,FALSE)</f>
        <v>Events Bounty</v>
      </c>
    </row>
    <row r="83" hidden="1">
      <c r="A83" s="109">
        <f>HYPERLINK("https://polkadot.subsquare.io/treasury/child-bounties/81", 81)</f>
        <v>81</v>
      </c>
      <c r="B83" s="183">
        <v>17.0</v>
      </c>
      <c r="C83" s="27" t="s">
        <v>3404</v>
      </c>
      <c r="D83" s="27" t="s">
        <v>693</v>
      </c>
      <c r="E83" s="129">
        <v>134.4</v>
      </c>
      <c r="F83" s="66">
        <v>762.1298492431641</v>
      </c>
      <c r="G83" s="27" t="s">
        <v>3425</v>
      </c>
      <c r="H83" s="167">
        <v>44879.0</v>
      </c>
      <c r="I83" s="167">
        <v>44898.0</v>
      </c>
      <c r="J83" s="66">
        <v>739.6236145019532</v>
      </c>
      <c r="K83" s="1"/>
      <c r="L83" s="1"/>
      <c r="M83" s="1" t="str">
        <f>VLOOKUP(B83,Bounties!A:D,3,FALSE)</f>
        <v>Outreach</v>
      </c>
      <c r="N83" s="1" t="str">
        <f>VLOOKUP(B83,Bounties!A:D,4,FALSE)</f>
        <v>Events/Meetups</v>
      </c>
      <c r="O83" s="1" t="str">
        <f t="shared" ref="O83:P83" si="87">IF(ISBLANK(K83),M83,K83)</f>
        <v>Outreach</v>
      </c>
      <c r="P83" s="1" t="str">
        <f t="shared" si="87"/>
        <v>Events/Meetups</v>
      </c>
      <c r="Q83" s="108" t="str">
        <f t="shared" si="3"/>
        <v>2022</v>
      </c>
      <c r="R83" s="110">
        <f t="shared" si="4"/>
        <v>12</v>
      </c>
      <c r="S83" s="108" t="str">
        <f t="shared" si="5"/>
        <v>2022-Q4</v>
      </c>
      <c r="T83" s="111" t="str">
        <f t="shared" si="6"/>
        <v>2022-12</v>
      </c>
      <c r="U83" s="112" t="str">
        <f t="shared" si="7"/>
        <v>2022-H2</v>
      </c>
      <c r="V83" s="1" t="str">
        <f>VLOOKUP(B83,Bounties!A:E,2,FALSE)</f>
        <v>Events Bounty</v>
      </c>
    </row>
    <row r="84" hidden="1">
      <c r="A84" s="109">
        <f>HYPERLINK("https://polkadot.subsquare.io/treasury/child-bounties/82", 82)</f>
        <v>82</v>
      </c>
      <c r="B84" s="183">
        <v>17.0</v>
      </c>
      <c r="C84" s="27" t="s">
        <v>3404</v>
      </c>
      <c r="D84" s="27" t="s">
        <v>694</v>
      </c>
      <c r="E84" s="129">
        <v>25.2</v>
      </c>
      <c r="F84" s="66">
        <v>142.89934673309327</v>
      </c>
      <c r="G84" s="27" t="s">
        <v>3426</v>
      </c>
      <c r="H84" s="167">
        <v>44879.0</v>
      </c>
      <c r="I84" s="167">
        <v>44902.0</v>
      </c>
      <c r="J84" s="66">
        <v>133.41923389434814</v>
      </c>
      <c r="K84" s="1"/>
      <c r="L84" s="1"/>
      <c r="M84" s="1" t="str">
        <f>VLOOKUP(B84,Bounties!A:D,3,FALSE)</f>
        <v>Outreach</v>
      </c>
      <c r="N84" s="1" t="str">
        <f>VLOOKUP(B84,Bounties!A:D,4,FALSE)</f>
        <v>Events/Meetups</v>
      </c>
      <c r="O84" s="1" t="str">
        <f t="shared" ref="O84:P84" si="88">IF(ISBLANK(K84),M84,K84)</f>
        <v>Outreach</v>
      </c>
      <c r="P84" s="1" t="str">
        <f t="shared" si="88"/>
        <v>Events/Meetups</v>
      </c>
      <c r="Q84" s="108" t="str">
        <f t="shared" si="3"/>
        <v>2022</v>
      </c>
      <c r="R84" s="110">
        <f t="shared" si="4"/>
        <v>12</v>
      </c>
      <c r="S84" s="108" t="str">
        <f t="shared" si="5"/>
        <v>2022-Q4</v>
      </c>
      <c r="T84" s="111" t="str">
        <f t="shared" si="6"/>
        <v>2022-12</v>
      </c>
      <c r="U84" s="112" t="str">
        <f t="shared" si="7"/>
        <v>2022-H2</v>
      </c>
      <c r="V84" s="1" t="str">
        <f>VLOOKUP(B84,Bounties!A:E,2,FALSE)</f>
        <v>Events Bounty</v>
      </c>
    </row>
    <row r="85" hidden="1">
      <c r="A85" s="109">
        <f>HYPERLINK("https://polkadot.subsquare.io/treasury/child-bounties/83", 83)</f>
        <v>83</v>
      </c>
      <c r="B85" s="183">
        <v>17.0</v>
      </c>
      <c r="C85" s="27" t="s">
        <v>3404</v>
      </c>
      <c r="D85" s="27" t="s">
        <v>695</v>
      </c>
      <c r="E85" s="129">
        <v>1547.92</v>
      </c>
      <c r="F85" s="66">
        <v>8777.649079170227</v>
      </c>
      <c r="G85" s="27" t="s">
        <v>3417</v>
      </c>
      <c r="H85" s="167">
        <v>44879.0</v>
      </c>
      <c r="I85" s="167">
        <v>44889.0</v>
      </c>
      <c r="J85" s="66">
        <v>8202.318509674073</v>
      </c>
      <c r="K85" s="1"/>
      <c r="L85" s="1" t="s">
        <v>266</v>
      </c>
      <c r="M85" s="1" t="str">
        <f>VLOOKUP(B85,Bounties!A:D,3,FALSE)</f>
        <v>Outreach</v>
      </c>
      <c r="N85" s="1" t="str">
        <f>VLOOKUP(B85,Bounties!A:D,4,FALSE)</f>
        <v>Events/Meetups</v>
      </c>
      <c r="O85" s="1" t="str">
        <f t="shared" ref="O85:P85" si="89">IF(ISBLANK(K85),M85,K85)</f>
        <v>Outreach</v>
      </c>
      <c r="P85" s="1" t="str">
        <f t="shared" si="89"/>
        <v>Events/Conference Attendance &amp; Side Events</v>
      </c>
      <c r="Q85" s="108" t="str">
        <f t="shared" si="3"/>
        <v>2022</v>
      </c>
      <c r="R85" s="110">
        <f t="shared" si="4"/>
        <v>11</v>
      </c>
      <c r="S85" s="108" t="str">
        <f t="shared" si="5"/>
        <v>2022-Q4</v>
      </c>
      <c r="T85" s="111" t="str">
        <f t="shared" si="6"/>
        <v>2022-11</v>
      </c>
      <c r="U85" s="112" t="str">
        <f t="shared" si="7"/>
        <v>2022-H2</v>
      </c>
      <c r="V85" s="1" t="str">
        <f>VLOOKUP(B85,Bounties!A:E,2,FALSE)</f>
        <v>Events Bounty</v>
      </c>
    </row>
    <row r="86" hidden="1">
      <c r="A86" s="109">
        <f>HYPERLINK("https://polkadot.subsquare.io/treasury/child-bounties/84", 84)</f>
        <v>84</v>
      </c>
      <c r="B86" s="183">
        <v>17.0</v>
      </c>
      <c r="C86" s="27" t="s">
        <v>3427</v>
      </c>
      <c r="D86" s="27" t="s">
        <v>3428</v>
      </c>
      <c r="E86" s="129">
        <v>1083.18</v>
      </c>
      <c r="F86" s="66">
        <v>6142.290253744126</v>
      </c>
      <c r="H86" s="167">
        <v>44879.0</v>
      </c>
      <c r="I86" s="167">
        <v>45081.0</v>
      </c>
      <c r="J86" s="66">
        <v>5439.946712522507</v>
      </c>
      <c r="K86" s="1"/>
      <c r="L86" s="1"/>
      <c r="M86" s="1" t="str">
        <f>VLOOKUP(B86,Bounties!A:D,3,FALSE)</f>
        <v>Outreach</v>
      </c>
      <c r="N86" s="1" t="str">
        <f>VLOOKUP(B86,Bounties!A:D,4,FALSE)</f>
        <v>Events/Meetups</v>
      </c>
      <c r="O86" s="1" t="str">
        <f t="shared" ref="O86:P86" si="90">IF(ISBLANK(K86),M86,K86)</f>
        <v>Outreach</v>
      </c>
      <c r="P86" s="1" t="str">
        <f t="shared" si="90"/>
        <v>Events/Meetups</v>
      </c>
      <c r="Q86" s="108" t="str">
        <f t="shared" si="3"/>
        <v>2023</v>
      </c>
      <c r="R86" s="110">
        <f t="shared" si="4"/>
        <v>6</v>
      </c>
      <c r="S86" s="108" t="str">
        <f t="shared" si="5"/>
        <v>2023-Q2</v>
      </c>
      <c r="T86" s="111" t="str">
        <f t="shared" si="6"/>
        <v>2023-06</v>
      </c>
      <c r="U86" s="112" t="str">
        <f t="shared" si="7"/>
        <v>2023-H1</v>
      </c>
      <c r="V86" s="1" t="str">
        <f>VLOOKUP(B86,Bounties!A:E,2,FALSE)</f>
        <v>Events Bounty</v>
      </c>
    </row>
    <row r="87" hidden="1">
      <c r="A87" s="109">
        <f>HYPERLINK("https://polkadot.subsquare.io/treasury/child-bounties/85", 85)</f>
        <v>85</v>
      </c>
      <c r="B87" s="183">
        <v>17.0</v>
      </c>
      <c r="C87" s="27" t="s">
        <v>3404</v>
      </c>
      <c r="D87" s="27" t="s">
        <v>696</v>
      </c>
      <c r="E87" s="129">
        <v>35.8</v>
      </c>
      <c r="F87" s="66">
        <v>194.5156401634216</v>
      </c>
      <c r="G87" s="27" t="s">
        <v>3429</v>
      </c>
      <c r="H87" s="167">
        <v>44885.0</v>
      </c>
      <c r="I87" s="167">
        <v>44907.0</v>
      </c>
      <c r="J87" s="66">
        <v>186.7045166015625</v>
      </c>
      <c r="K87" s="1"/>
      <c r="L87" s="1"/>
      <c r="M87" s="1" t="str">
        <f>VLOOKUP(B87,Bounties!A:D,3,FALSE)</f>
        <v>Outreach</v>
      </c>
      <c r="N87" s="1" t="str">
        <f>VLOOKUP(B87,Bounties!A:D,4,FALSE)</f>
        <v>Events/Meetups</v>
      </c>
      <c r="O87" s="1" t="str">
        <f t="shared" ref="O87:P87" si="91">IF(ISBLANK(K87),M87,K87)</f>
        <v>Outreach</v>
      </c>
      <c r="P87" s="1" t="str">
        <f t="shared" si="91"/>
        <v>Events/Meetups</v>
      </c>
      <c r="Q87" s="108" t="str">
        <f t="shared" si="3"/>
        <v>2022</v>
      </c>
      <c r="R87" s="110">
        <f t="shared" si="4"/>
        <v>12</v>
      </c>
      <c r="S87" s="108" t="str">
        <f t="shared" si="5"/>
        <v>2022-Q4</v>
      </c>
      <c r="T87" s="111" t="str">
        <f t="shared" si="6"/>
        <v>2022-12</v>
      </c>
      <c r="U87" s="112" t="str">
        <f t="shared" si="7"/>
        <v>2022-H2</v>
      </c>
      <c r="V87" s="1" t="str">
        <f>VLOOKUP(B87,Bounties!A:E,2,FALSE)</f>
        <v>Events Bounty</v>
      </c>
    </row>
    <row r="88" hidden="1">
      <c r="A88" s="109">
        <f>HYPERLINK("https://polkadot.subsquare.io/treasury/child-bounties/86", 86)</f>
        <v>86</v>
      </c>
      <c r="B88" s="183">
        <v>17.0</v>
      </c>
      <c r="C88" s="27" t="s">
        <v>3404</v>
      </c>
      <c r="D88" s="27" t="s">
        <v>697</v>
      </c>
      <c r="E88" s="129">
        <v>26.9</v>
      </c>
      <c r="F88" s="66">
        <v>146.1584000110626</v>
      </c>
      <c r="G88" s="27" t="s">
        <v>3430</v>
      </c>
      <c r="H88" s="167">
        <v>44885.0</v>
      </c>
      <c r="I88" s="167">
        <v>44930.0</v>
      </c>
      <c r="J88" s="66">
        <v>125.51419129371642</v>
      </c>
      <c r="K88" s="1"/>
      <c r="L88" s="1"/>
      <c r="M88" s="1" t="str">
        <f>VLOOKUP(B88,Bounties!A:D,3,FALSE)</f>
        <v>Outreach</v>
      </c>
      <c r="N88" s="1" t="str">
        <f>VLOOKUP(B88,Bounties!A:D,4,FALSE)</f>
        <v>Events/Meetups</v>
      </c>
      <c r="O88" s="1" t="str">
        <f t="shared" ref="O88:P88" si="92">IF(ISBLANK(K88),M88,K88)</f>
        <v>Outreach</v>
      </c>
      <c r="P88" s="1" t="str">
        <f t="shared" si="92"/>
        <v>Events/Meetups</v>
      </c>
      <c r="Q88" s="108" t="str">
        <f t="shared" si="3"/>
        <v>2023</v>
      </c>
      <c r="R88" s="110">
        <f t="shared" si="4"/>
        <v>1</v>
      </c>
      <c r="S88" s="108" t="str">
        <f t="shared" si="5"/>
        <v>2023-Q1</v>
      </c>
      <c r="T88" s="111" t="str">
        <f t="shared" si="6"/>
        <v>2023-01</v>
      </c>
      <c r="U88" s="112" t="str">
        <f t="shared" si="7"/>
        <v>2023-H1</v>
      </c>
      <c r="V88" s="1" t="str">
        <f>VLOOKUP(B88,Bounties!A:E,2,FALSE)</f>
        <v>Events Bounty</v>
      </c>
    </row>
    <row r="89" hidden="1">
      <c r="A89" s="109">
        <f>HYPERLINK("https://polkadot.subsquare.io/treasury/child-bounties/87", 87)</f>
        <v>87</v>
      </c>
      <c r="B89" s="183">
        <v>17.0</v>
      </c>
      <c r="C89" s="27" t="s">
        <v>3404</v>
      </c>
      <c r="D89" s="27" t="s">
        <v>698</v>
      </c>
      <c r="E89" s="129">
        <v>206.0</v>
      </c>
      <c r="F89" s="66">
        <v>1119.2799406051636</v>
      </c>
      <c r="G89" s="27" t="s">
        <v>3431</v>
      </c>
      <c r="H89" s="167">
        <v>44885.0</v>
      </c>
      <c r="I89" s="167">
        <v>44896.0</v>
      </c>
      <c r="J89" s="66">
        <v>1152.7053155899048</v>
      </c>
      <c r="K89" s="1"/>
      <c r="L89" s="1"/>
      <c r="M89" s="1" t="str">
        <f>VLOOKUP(B89,Bounties!A:D,3,FALSE)</f>
        <v>Outreach</v>
      </c>
      <c r="N89" s="1" t="str">
        <f>VLOOKUP(B89,Bounties!A:D,4,FALSE)</f>
        <v>Events/Meetups</v>
      </c>
      <c r="O89" s="1" t="str">
        <f t="shared" ref="O89:P89" si="93">IF(ISBLANK(K89),M89,K89)</f>
        <v>Outreach</v>
      </c>
      <c r="P89" s="1" t="str">
        <f t="shared" si="93"/>
        <v>Events/Meetups</v>
      </c>
      <c r="Q89" s="108" t="str">
        <f t="shared" si="3"/>
        <v>2022</v>
      </c>
      <c r="R89" s="110">
        <f t="shared" si="4"/>
        <v>12</v>
      </c>
      <c r="S89" s="108" t="str">
        <f t="shared" si="5"/>
        <v>2022-Q4</v>
      </c>
      <c r="T89" s="111" t="str">
        <f t="shared" si="6"/>
        <v>2022-12</v>
      </c>
      <c r="U89" s="112" t="str">
        <f t="shared" si="7"/>
        <v>2022-H2</v>
      </c>
      <c r="V89" s="1" t="str">
        <f>VLOOKUP(B89,Bounties!A:E,2,FALSE)</f>
        <v>Events Bounty</v>
      </c>
    </row>
    <row r="90" hidden="1">
      <c r="A90" s="109">
        <f>HYPERLINK("https://polkadot.subsquare.io/treasury/child-bounties/88", 88)</f>
        <v>88</v>
      </c>
      <c r="B90" s="183">
        <v>17.0</v>
      </c>
      <c r="C90" s="27" t="s">
        <v>3404</v>
      </c>
      <c r="D90" s="27" t="s">
        <v>699</v>
      </c>
      <c r="E90" s="129">
        <v>53.8</v>
      </c>
      <c r="F90" s="66">
        <v>292.3168000221252</v>
      </c>
      <c r="G90" s="27" t="s">
        <v>3424</v>
      </c>
      <c r="H90" s="167">
        <v>44885.0</v>
      </c>
      <c r="I90" s="167">
        <v>45157.0</v>
      </c>
      <c r="J90" s="66">
        <v>238.52998609542846</v>
      </c>
      <c r="K90" s="1"/>
      <c r="L90" s="1"/>
      <c r="M90" s="1" t="str">
        <f>VLOOKUP(B90,Bounties!A:D,3,FALSE)</f>
        <v>Outreach</v>
      </c>
      <c r="N90" s="1" t="str">
        <f>VLOOKUP(B90,Bounties!A:D,4,FALSE)</f>
        <v>Events/Meetups</v>
      </c>
      <c r="O90" s="1" t="str">
        <f t="shared" ref="O90:P90" si="94">IF(ISBLANK(K90),M90,K90)</f>
        <v>Outreach</v>
      </c>
      <c r="P90" s="1" t="str">
        <f t="shared" si="94"/>
        <v>Events/Meetups</v>
      </c>
      <c r="Q90" s="108" t="str">
        <f t="shared" si="3"/>
        <v>2023</v>
      </c>
      <c r="R90" s="110">
        <f t="shared" si="4"/>
        <v>8</v>
      </c>
      <c r="S90" s="108" t="str">
        <f t="shared" si="5"/>
        <v>2023-Q3</v>
      </c>
      <c r="T90" s="111" t="str">
        <f t="shared" si="6"/>
        <v>2023-08</v>
      </c>
      <c r="U90" s="112" t="str">
        <f t="shared" si="7"/>
        <v>2023-H2</v>
      </c>
      <c r="V90" s="1" t="str">
        <f>VLOOKUP(B90,Bounties!A:E,2,FALSE)</f>
        <v>Events Bounty</v>
      </c>
    </row>
    <row r="91" hidden="1">
      <c r="A91" s="109">
        <f>HYPERLINK("https://polkadot.subsquare.io/treasury/child-bounties/89", 89)</f>
        <v>89</v>
      </c>
      <c r="B91" s="183">
        <v>17.0</v>
      </c>
      <c r="C91" s="27" t="s">
        <v>3427</v>
      </c>
      <c r="D91" s="27" t="s">
        <v>3432</v>
      </c>
      <c r="E91" s="129">
        <v>269.0</v>
      </c>
      <c r="F91" s="66">
        <v>1461.5840001106262</v>
      </c>
      <c r="H91" s="167">
        <v>44885.0</v>
      </c>
      <c r="I91" s="167">
        <v>44888.0</v>
      </c>
      <c r="J91" s="66">
        <v>1426.238268852234</v>
      </c>
      <c r="K91" s="1"/>
      <c r="L91" s="1"/>
      <c r="M91" s="1" t="str">
        <f>VLOOKUP(B91,Bounties!A:D,3,FALSE)</f>
        <v>Outreach</v>
      </c>
      <c r="N91" s="1" t="str">
        <f>VLOOKUP(B91,Bounties!A:D,4,FALSE)</f>
        <v>Events/Meetups</v>
      </c>
      <c r="O91" s="1" t="str">
        <f t="shared" ref="O91:P91" si="95">IF(ISBLANK(K91),M91,K91)</f>
        <v>Outreach</v>
      </c>
      <c r="P91" s="1" t="str">
        <f t="shared" si="95"/>
        <v>Events/Meetups</v>
      </c>
      <c r="Q91" s="108" t="str">
        <f t="shared" si="3"/>
        <v>2022</v>
      </c>
      <c r="R91" s="110">
        <f t="shared" si="4"/>
        <v>11</v>
      </c>
      <c r="S91" s="108" t="str">
        <f t="shared" si="5"/>
        <v>2022-Q4</v>
      </c>
      <c r="T91" s="111" t="str">
        <f t="shared" si="6"/>
        <v>2022-11</v>
      </c>
      <c r="U91" s="112" t="str">
        <f t="shared" si="7"/>
        <v>2022-H2</v>
      </c>
      <c r="V91" s="1" t="str">
        <f>VLOOKUP(B91,Bounties!A:E,2,FALSE)</f>
        <v>Events Bounty</v>
      </c>
    </row>
    <row r="92" hidden="1">
      <c r="A92" s="109">
        <f>HYPERLINK("https://polkadot.subsquare.io/treasury/child-bounties/90", 90)</f>
        <v>90</v>
      </c>
      <c r="B92" s="183">
        <v>11.0</v>
      </c>
      <c r="C92" s="27" t="s">
        <v>3404</v>
      </c>
      <c r="D92" s="27" t="s">
        <v>700</v>
      </c>
      <c r="E92" s="129">
        <v>473.1182795699</v>
      </c>
      <c r="F92" s="66">
        <v>2570.6398051272563</v>
      </c>
      <c r="G92" s="27" t="s">
        <v>3433</v>
      </c>
      <c r="H92" s="167">
        <v>44885.0</v>
      </c>
      <c r="I92" s="167">
        <v>44934.0</v>
      </c>
      <c r="J92" s="66">
        <v>2427.0869019211364</v>
      </c>
      <c r="K92" s="1"/>
      <c r="L92" s="1"/>
      <c r="M92" s="1" t="str">
        <f>VLOOKUP(B92,Bounties!A:D,3,FALSE)</f>
        <v>Research</v>
      </c>
      <c r="N92" s="1" t="str">
        <f>VLOOKUP(B92,Bounties!A:D,4,FALSE)</f>
        <v>Anti-Scam</v>
      </c>
      <c r="O92" s="1" t="str">
        <f t="shared" ref="O92:P92" si="96">IF(ISBLANK(K92),M92,K92)</f>
        <v>Research</v>
      </c>
      <c r="P92" s="1" t="str">
        <f t="shared" si="96"/>
        <v>Anti-Scam</v>
      </c>
      <c r="Q92" s="108" t="str">
        <f t="shared" si="3"/>
        <v>2023</v>
      </c>
      <c r="R92" s="110">
        <f t="shared" si="4"/>
        <v>1</v>
      </c>
      <c r="S92" s="108" t="str">
        <f t="shared" si="5"/>
        <v>2023-Q1</v>
      </c>
      <c r="T92" s="111" t="str">
        <f t="shared" si="6"/>
        <v>2023-01</v>
      </c>
      <c r="U92" s="112" t="str">
        <f t="shared" si="7"/>
        <v>2023-H1</v>
      </c>
      <c r="V92" s="1" t="str">
        <f>VLOOKUP(B92,Bounties!A:E,2,FALSE)</f>
        <v>Anti-Scam Bounty</v>
      </c>
    </row>
    <row r="93" hidden="1">
      <c r="A93" s="109">
        <f>HYPERLINK("https://polkadot.subsquare.io/treasury/child-bounties/91", 91)</f>
        <v>91</v>
      </c>
      <c r="B93" s="183">
        <v>17.0</v>
      </c>
      <c r="C93" s="27" t="s">
        <v>3404</v>
      </c>
      <c r="D93" s="27" t="s">
        <v>701</v>
      </c>
      <c r="E93" s="129">
        <v>1636.0</v>
      </c>
      <c r="F93" s="66">
        <v>8889.038751602173</v>
      </c>
      <c r="G93" s="27" t="s">
        <v>3434</v>
      </c>
      <c r="H93" s="167">
        <v>44885.0</v>
      </c>
      <c r="I93" s="167">
        <v>44911.0</v>
      </c>
      <c r="J93" s="66">
        <v>7629.792306900024</v>
      </c>
      <c r="K93" s="1"/>
      <c r="L93" s="1" t="s">
        <v>266</v>
      </c>
      <c r="M93" s="1" t="str">
        <f>VLOOKUP(B93,Bounties!A:D,3,FALSE)</f>
        <v>Outreach</v>
      </c>
      <c r="N93" s="1" t="str">
        <f>VLOOKUP(B93,Bounties!A:D,4,FALSE)</f>
        <v>Events/Meetups</v>
      </c>
      <c r="O93" s="1" t="str">
        <f t="shared" ref="O93:P93" si="97">IF(ISBLANK(K93),M93,K93)</f>
        <v>Outreach</v>
      </c>
      <c r="P93" s="1" t="str">
        <f t="shared" si="97"/>
        <v>Events/Conference Attendance &amp; Side Events</v>
      </c>
      <c r="Q93" s="108" t="str">
        <f t="shared" si="3"/>
        <v>2022</v>
      </c>
      <c r="R93" s="110">
        <f t="shared" si="4"/>
        <v>12</v>
      </c>
      <c r="S93" s="108" t="str">
        <f t="shared" si="5"/>
        <v>2022-Q4</v>
      </c>
      <c r="T93" s="111" t="str">
        <f t="shared" si="6"/>
        <v>2022-12</v>
      </c>
      <c r="U93" s="112" t="str">
        <f t="shared" si="7"/>
        <v>2022-H2</v>
      </c>
      <c r="V93" s="1" t="str">
        <f>VLOOKUP(B93,Bounties!A:E,2,FALSE)</f>
        <v>Events Bounty</v>
      </c>
    </row>
    <row r="94" hidden="1">
      <c r="A94" s="109">
        <f>HYPERLINK("https://polkadot.subsquare.io/treasury/child-bounties/92", 92)</f>
        <v>92</v>
      </c>
      <c r="B94" s="183">
        <v>17.0</v>
      </c>
      <c r="C94" s="27" t="s">
        <v>3404</v>
      </c>
      <c r="D94" s="27" t="s">
        <v>702</v>
      </c>
      <c r="E94" s="129">
        <v>5075.4</v>
      </c>
      <c r="F94" s="66">
        <v>27576.66704149246</v>
      </c>
      <c r="G94" s="27" t="s">
        <v>3419</v>
      </c>
      <c r="H94" s="167">
        <v>44885.0</v>
      </c>
      <c r="I94" s="167">
        <v>44898.0</v>
      </c>
      <c r="J94" s="66">
        <v>27857.804944896696</v>
      </c>
      <c r="K94" s="1"/>
      <c r="L94" s="1" t="s">
        <v>266</v>
      </c>
      <c r="M94" s="1" t="str">
        <f>VLOOKUP(B94,Bounties!A:D,3,FALSE)</f>
        <v>Outreach</v>
      </c>
      <c r="N94" s="1" t="str">
        <f>VLOOKUP(B94,Bounties!A:D,4,FALSE)</f>
        <v>Events/Meetups</v>
      </c>
      <c r="O94" s="1" t="str">
        <f t="shared" ref="O94:P94" si="98">IF(ISBLANK(K94),M94,K94)</f>
        <v>Outreach</v>
      </c>
      <c r="P94" s="1" t="str">
        <f t="shared" si="98"/>
        <v>Events/Conference Attendance &amp; Side Events</v>
      </c>
      <c r="Q94" s="108" t="str">
        <f t="shared" si="3"/>
        <v>2022</v>
      </c>
      <c r="R94" s="110">
        <f t="shared" si="4"/>
        <v>12</v>
      </c>
      <c r="S94" s="108" t="str">
        <f t="shared" si="5"/>
        <v>2022-Q4</v>
      </c>
      <c r="T94" s="111" t="str">
        <f t="shared" si="6"/>
        <v>2022-12</v>
      </c>
      <c r="U94" s="112" t="str">
        <f t="shared" si="7"/>
        <v>2022-H2</v>
      </c>
      <c r="V94" s="1" t="str">
        <f>VLOOKUP(B94,Bounties!A:E,2,FALSE)</f>
        <v>Events Bounty</v>
      </c>
    </row>
    <row r="95" hidden="1">
      <c r="A95" s="109">
        <f>HYPERLINK("https://polkadot.subsquare.io/treasury/child-bounties/93", 93)</f>
        <v>93</v>
      </c>
      <c r="B95" s="183">
        <v>17.0</v>
      </c>
      <c r="C95" s="27" t="s">
        <v>3404</v>
      </c>
      <c r="D95" s="27" t="s">
        <v>703</v>
      </c>
      <c r="E95" s="129">
        <v>36.0</v>
      </c>
      <c r="F95" s="66">
        <v>195.60231971740723</v>
      </c>
      <c r="G95" s="27" t="s">
        <v>3435</v>
      </c>
      <c r="H95" s="167">
        <v>44885.0</v>
      </c>
      <c r="I95" s="167">
        <v>44894.0</v>
      </c>
      <c r="J95" s="66">
        <v>194.47790336608887</v>
      </c>
      <c r="K95" s="1"/>
      <c r="L95" s="1"/>
      <c r="M95" s="1" t="str">
        <f>VLOOKUP(B95,Bounties!A:D,3,FALSE)</f>
        <v>Outreach</v>
      </c>
      <c r="N95" s="1" t="str">
        <f>VLOOKUP(B95,Bounties!A:D,4,FALSE)</f>
        <v>Events/Meetups</v>
      </c>
      <c r="O95" s="1" t="str">
        <f t="shared" ref="O95:P95" si="99">IF(ISBLANK(K95),M95,K95)</f>
        <v>Outreach</v>
      </c>
      <c r="P95" s="1" t="str">
        <f t="shared" si="99"/>
        <v>Events/Meetups</v>
      </c>
      <c r="Q95" s="108" t="str">
        <f t="shared" si="3"/>
        <v>2022</v>
      </c>
      <c r="R95" s="110">
        <f t="shared" si="4"/>
        <v>11</v>
      </c>
      <c r="S95" s="108" t="str">
        <f t="shared" si="5"/>
        <v>2022-Q4</v>
      </c>
      <c r="T95" s="111" t="str">
        <f t="shared" si="6"/>
        <v>2022-11</v>
      </c>
      <c r="U95" s="112" t="str">
        <f t="shared" si="7"/>
        <v>2022-H2</v>
      </c>
      <c r="V95" s="1" t="str">
        <f>VLOOKUP(B95,Bounties!A:E,2,FALSE)</f>
        <v>Events Bounty</v>
      </c>
    </row>
    <row r="96" hidden="1">
      <c r="A96" s="109">
        <f>HYPERLINK("https://polkadot.subsquare.io/treasury/child-bounties/94", 94)</f>
        <v>94</v>
      </c>
      <c r="B96" s="183">
        <v>17.0</v>
      </c>
      <c r="C96" s="27" t="s">
        <v>3404</v>
      </c>
      <c r="D96" s="27" t="s">
        <v>704</v>
      </c>
      <c r="E96" s="129">
        <v>3564.0</v>
      </c>
      <c r="F96" s="66">
        <v>19216.617959976196</v>
      </c>
      <c r="G96" s="27" t="s">
        <v>3435</v>
      </c>
      <c r="H96" s="167">
        <v>44886.0</v>
      </c>
      <c r="I96" s="167">
        <v>44894.0</v>
      </c>
      <c r="J96" s="66">
        <v>20063.619260787964</v>
      </c>
      <c r="K96" s="1"/>
      <c r="L96" s="1"/>
      <c r="M96" s="1" t="str">
        <f>VLOOKUP(B96,Bounties!A:D,3,FALSE)</f>
        <v>Outreach</v>
      </c>
      <c r="N96" s="1" t="str">
        <f>VLOOKUP(B96,Bounties!A:D,4,FALSE)</f>
        <v>Events/Meetups</v>
      </c>
      <c r="O96" s="1" t="str">
        <f t="shared" ref="O96:P96" si="100">IF(ISBLANK(K96),M96,K96)</f>
        <v>Outreach</v>
      </c>
      <c r="P96" s="1" t="str">
        <f t="shared" si="100"/>
        <v>Events/Meetups</v>
      </c>
      <c r="Q96" s="108" t="str">
        <f t="shared" si="3"/>
        <v>2022</v>
      </c>
      <c r="R96" s="110">
        <f t="shared" si="4"/>
        <v>11</v>
      </c>
      <c r="S96" s="108" t="str">
        <f t="shared" si="5"/>
        <v>2022-Q4</v>
      </c>
      <c r="T96" s="111" t="str">
        <f t="shared" si="6"/>
        <v>2022-11</v>
      </c>
      <c r="U96" s="112" t="str">
        <f t="shared" si="7"/>
        <v>2022-H2</v>
      </c>
      <c r="V96" s="1" t="str">
        <f>VLOOKUP(B96,Bounties!A:E,2,FALSE)</f>
        <v>Events Bounty</v>
      </c>
    </row>
    <row r="97" hidden="1">
      <c r="A97" s="109">
        <f>HYPERLINK("https://polkadot.subsquare.io/treasury/child-bounties/95", 95)</f>
        <v>95</v>
      </c>
      <c r="B97" s="183">
        <v>17.0</v>
      </c>
      <c r="C97" s="27" t="s">
        <v>3404</v>
      </c>
      <c r="D97" s="27" t="s">
        <v>705</v>
      </c>
      <c r="E97" s="129">
        <v>5325.9</v>
      </c>
      <c r="F97" s="66">
        <v>28237.927122974394</v>
      </c>
      <c r="G97" s="27" t="s">
        <v>3436</v>
      </c>
      <c r="H97" s="167">
        <v>44888.0</v>
      </c>
      <c r="I97" s="167">
        <v>44896.0</v>
      </c>
      <c r="J97" s="66">
        <v>29801.908933496474</v>
      </c>
      <c r="K97" s="1"/>
      <c r="L97" s="1"/>
      <c r="M97" s="1" t="str">
        <f>VLOOKUP(B97,Bounties!A:D,3,FALSE)</f>
        <v>Outreach</v>
      </c>
      <c r="N97" s="1" t="str">
        <f>VLOOKUP(B97,Bounties!A:D,4,FALSE)</f>
        <v>Events/Meetups</v>
      </c>
      <c r="O97" s="1" t="str">
        <f t="shared" ref="O97:P97" si="101">IF(ISBLANK(K97),M97,K97)</f>
        <v>Outreach</v>
      </c>
      <c r="P97" s="1" t="str">
        <f t="shared" si="101"/>
        <v>Events/Meetups</v>
      </c>
      <c r="Q97" s="108" t="str">
        <f t="shared" si="3"/>
        <v>2022</v>
      </c>
      <c r="R97" s="110">
        <f t="shared" si="4"/>
        <v>12</v>
      </c>
      <c r="S97" s="108" t="str">
        <f t="shared" si="5"/>
        <v>2022-Q4</v>
      </c>
      <c r="T97" s="111" t="str">
        <f t="shared" si="6"/>
        <v>2022-12</v>
      </c>
      <c r="U97" s="112" t="str">
        <f t="shared" si="7"/>
        <v>2022-H2</v>
      </c>
      <c r="V97" s="1" t="str">
        <f>VLOOKUP(B97,Bounties!A:E,2,FALSE)</f>
        <v>Events Bounty</v>
      </c>
    </row>
    <row r="98" hidden="1">
      <c r="A98" s="109">
        <f>HYPERLINK("https://polkadot.subsquare.io/treasury/child-bounties/96", 96)</f>
        <v>96</v>
      </c>
      <c r="B98" s="183">
        <v>17.0</v>
      </c>
      <c r="C98" s="27" t="s">
        <v>3404</v>
      </c>
      <c r="D98" s="27" t="s">
        <v>706</v>
      </c>
      <c r="E98" s="129">
        <v>808.2</v>
      </c>
      <c r="F98" s="66">
        <v>4285.077207756042</v>
      </c>
      <c r="G98" s="27" t="s">
        <v>3437</v>
      </c>
      <c r="H98" s="167">
        <v>44888.0</v>
      </c>
      <c r="I98" s="167">
        <v>44897.0</v>
      </c>
      <c r="J98" s="66">
        <v>4522.409883785248</v>
      </c>
      <c r="K98" s="1"/>
      <c r="L98" s="1"/>
      <c r="M98" s="1" t="str">
        <f>VLOOKUP(B98,Bounties!A:D,3,FALSE)</f>
        <v>Outreach</v>
      </c>
      <c r="N98" s="1" t="str">
        <f>VLOOKUP(B98,Bounties!A:D,4,FALSE)</f>
        <v>Events/Meetups</v>
      </c>
      <c r="O98" s="1" t="str">
        <f t="shared" ref="O98:P98" si="102">IF(ISBLANK(K98),M98,K98)</f>
        <v>Outreach</v>
      </c>
      <c r="P98" s="1" t="str">
        <f t="shared" si="102"/>
        <v>Events/Meetups</v>
      </c>
      <c r="Q98" s="108" t="str">
        <f t="shared" si="3"/>
        <v>2022</v>
      </c>
      <c r="R98" s="110">
        <f t="shared" si="4"/>
        <v>12</v>
      </c>
      <c r="S98" s="108" t="str">
        <f t="shared" si="5"/>
        <v>2022-Q4</v>
      </c>
      <c r="T98" s="111" t="str">
        <f t="shared" si="6"/>
        <v>2022-12</v>
      </c>
      <c r="U98" s="112" t="str">
        <f t="shared" si="7"/>
        <v>2022-H2</v>
      </c>
      <c r="V98" s="1" t="str">
        <f>VLOOKUP(B98,Bounties!A:E,2,FALSE)</f>
        <v>Events Bounty</v>
      </c>
    </row>
    <row r="99" hidden="1">
      <c r="A99" s="109">
        <f>HYPERLINK("https://polkadot.subsquare.io/treasury/child-bounties/97", 97)</f>
        <v>97</v>
      </c>
      <c r="B99" s="183">
        <v>17.0</v>
      </c>
      <c r="C99" s="27" t="s">
        <v>3404</v>
      </c>
      <c r="D99" s="27" t="s">
        <v>707</v>
      </c>
      <c r="E99" s="129">
        <v>65.42</v>
      </c>
      <c r="F99" s="66">
        <v>359.8779108333588</v>
      </c>
      <c r="G99" s="27" t="s">
        <v>3438</v>
      </c>
      <c r="H99" s="167">
        <v>44895.0</v>
      </c>
      <c r="I99" s="167">
        <v>44909.0</v>
      </c>
      <c r="J99" s="66">
        <v>308.1501011657715</v>
      </c>
      <c r="K99" s="1"/>
      <c r="L99" s="1"/>
      <c r="M99" s="1" t="str">
        <f>VLOOKUP(B99,Bounties!A:D,3,FALSE)</f>
        <v>Outreach</v>
      </c>
      <c r="N99" s="1" t="str">
        <f>VLOOKUP(B99,Bounties!A:D,4,FALSE)</f>
        <v>Events/Meetups</v>
      </c>
      <c r="O99" s="1" t="str">
        <f t="shared" ref="O99:P99" si="103">IF(ISBLANK(K99),M99,K99)</f>
        <v>Outreach</v>
      </c>
      <c r="P99" s="1" t="str">
        <f t="shared" si="103"/>
        <v>Events/Meetups</v>
      </c>
      <c r="Q99" s="108" t="str">
        <f t="shared" si="3"/>
        <v>2022</v>
      </c>
      <c r="R99" s="110">
        <f t="shared" si="4"/>
        <v>12</v>
      </c>
      <c r="S99" s="108" t="str">
        <f t="shared" si="5"/>
        <v>2022-Q4</v>
      </c>
      <c r="T99" s="111" t="str">
        <f t="shared" si="6"/>
        <v>2022-12</v>
      </c>
      <c r="U99" s="112" t="str">
        <f t="shared" si="7"/>
        <v>2022-H2</v>
      </c>
      <c r="V99" s="1" t="str">
        <f>VLOOKUP(B99,Bounties!A:E,2,FALSE)</f>
        <v>Events Bounty</v>
      </c>
    </row>
    <row r="100" hidden="1">
      <c r="A100" s="109">
        <f>HYPERLINK("https://polkadot.subsquare.io/treasury/child-bounties/98", 98)</f>
        <v>98</v>
      </c>
      <c r="B100" s="183">
        <v>11.0</v>
      </c>
      <c r="C100" s="27" t="s">
        <v>3404</v>
      </c>
      <c r="D100" s="27" t="s">
        <v>708</v>
      </c>
      <c r="E100" s="129">
        <v>69.0</v>
      </c>
      <c r="F100" s="66">
        <v>379.57162714004517</v>
      </c>
      <c r="G100" s="27" t="s">
        <v>3407</v>
      </c>
      <c r="H100" s="167">
        <v>44896.0</v>
      </c>
      <c r="I100" s="167">
        <v>44905.0</v>
      </c>
      <c r="J100" s="66">
        <v>364.10990381240845</v>
      </c>
      <c r="K100" s="1"/>
      <c r="L100" s="1"/>
      <c r="M100" s="1" t="str">
        <f>VLOOKUP(B100,Bounties!A:D,3,FALSE)</f>
        <v>Research</v>
      </c>
      <c r="N100" s="1" t="str">
        <f>VLOOKUP(B100,Bounties!A:D,4,FALSE)</f>
        <v>Anti-Scam</v>
      </c>
      <c r="O100" s="1" t="str">
        <f t="shared" ref="O100:P100" si="104">IF(ISBLANK(K100),M100,K100)</f>
        <v>Research</v>
      </c>
      <c r="P100" s="1" t="str">
        <f t="shared" si="104"/>
        <v>Anti-Scam</v>
      </c>
      <c r="Q100" s="108" t="str">
        <f t="shared" si="3"/>
        <v>2022</v>
      </c>
      <c r="R100" s="110">
        <f t="shared" si="4"/>
        <v>12</v>
      </c>
      <c r="S100" s="108" t="str">
        <f t="shared" si="5"/>
        <v>2022-Q4</v>
      </c>
      <c r="T100" s="111" t="str">
        <f t="shared" si="6"/>
        <v>2022-12</v>
      </c>
      <c r="U100" s="112" t="str">
        <f t="shared" si="7"/>
        <v>2022-H2</v>
      </c>
      <c r="V100" s="1" t="str">
        <f>VLOOKUP(B100,Bounties!A:E,2,FALSE)</f>
        <v>Anti-Scam Bounty</v>
      </c>
    </row>
    <row r="101" hidden="1">
      <c r="A101" s="109">
        <f>HYPERLINK("https://polkadot.subsquare.io/treasury/child-bounties/99", 99)</f>
        <v>99</v>
      </c>
      <c r="B101" s="183">
        <v>11.0</v>
      </c>
      <c r="C101" s="27" t="s">
        <v>3404</v>
      </c>
      <c r="D101" s="27" t="s">
        <v>709</v>
      </c>
      <c r="E101" s="129">
        <v>382.943333</v>
      </c>
      <c r="F101" s="66">
        <v>2029.2692290253487</v>
      </c>
      <c r="G101" s="27" t="s">
        <v>3406</v>
      </c>
      <c r="H101" s="167">
        <v>44899.0</v>
      </c>
      <c r="I101" s="167">
        <v>44909.0</v>
      </c>
      <c r="J101" s="66">
        <v>1782.9294305540657</v>
      </c>
      <c r="K101" s="1"/>
      <c r="L101" s="1"/>
      <c r="M101" s="1" t="str">
        <f>VLOOKUP(B101,Bounties!A:D,3,FALSE)</f>
        <v>Research</v>
      </c>
      <c r="N101" s="1" t="str">
        <f>VLOOKUP(B101,Bounties!A:D,4,FALSE)</f>
        <v>Anti-Scam</v>
      </c>
      <c r="O101" s="1" t="str">
        <f t="shared" ref="O101:P101" si="105">IF(ISBLANK(K101),M101,K101)</f>
        <v>Research</v>
      </c>
      <c r="P101" s="1" t="str">
        <f t="shared" si="105"/>
        <v>Anti-Scam</v>
      </c>
      <c r="Q101" s="108" t="str">
        <f t="shared" si="3"/>
        <v>2022</v>
      </c>
      <c r="R101" s="110">
        <f t="shared" si="4"/>
        <v>12</v>
      </c>
      <c r="S101" s="108" t="str">
        <f t="shared" si="5"/>
        <v>2022-Q4</v>
      </c>
      <c r="T101" s="111" t="str">
        <f t="shared" si="6"/>
        <v>2022-12</v>
      </c>
      <c r="U101" s="112" t="str">
        <f t="shared" si="7"/>
        <v>2022-H2</v>
      </c>
      <c r="V101" s="1" t="str">
        <f>VLOOKUP(B101,Bounties!A:E,2,FALSE)</f>
        <v>Anti-Scam Bounty</v>
      </c>
    </row>
    <row r="102" hidden="1">
      <c r="A102" s="109">
        <f>HYPERLINK("https://polkadot.subsquare.io/treasury/child-bounties/100", 100)</f>
        <v>100</v>
      </c>
      <c r="B102" s="183">
        <v>11.0</v>
      </c>
      <c r="C102" s="27" t="s">
        <v>3404</v>
      </c>
      <c r="D102" s="27" t="s">
        <v>710</v>
      </c>
      <c r="E102" s="129">
        <v>1055.843333</v>
      </c>
      <c r="F102" s="66">
        <v>5595.058594030842</v>
      </c>
      <c r="G102" s="27" t="s">
        <v>3407</v>
      </c>
      <c r="H102" s="167">
        <v>44899.0</v>
      </c>
      <c r="I102" s="167">
        <v>44909.0</v>
      </c>
      <c r="J102" s="66">
        <v>4915.855663845692</v>
      </c>
      <c r="K102" s="1"/>
      <c r="L102" s="1"/>
      <c r="M102" s="1" t="str">
        <f>VLOOKUP(B102,Bounties!A:D,3,FALSE)</f>
        <v>Research</v>
      </c>
      <c r="N102" s="1" t="str">
        <f>VLOOKUP(B102,Bounties!A:D,4,FALSE)</f>
        <v>Anti-Scam</v>
      </c>
      <c r="O102" s="1" t="str">
        <f t="shared" ref="O102:P102" si="106">IF(ISBLANK(K102),M102,K102)</f>
        <v>Research</v>
      </c>
      <c r="P102" s="1" t="str">
        <f t="shared" si="106"/>
        <v>Anti-Scam</v>
      </c>
      <c r="Q102" s="108" t="str">
        <f t="shared" si="3"/>
        <v>2022</v>
      </c>
      <c r="R102" s="110">
        <f t="shared" si="4"/>
        <v>12</v>
      </c>
      <c r="S102" s="108" t="str">
        <f t="shared" si="5"/>
        <v>2022-Q4</v>
      </c>
      <c r="T102" s="111" t="str">
        <f t="shared" si="6"/>
        <v>2022-12</v>
      </c>
      <c r="U102" s="112" t="str">
        <f t="shared" si="7"/>
        <v>2022-H2</v>
      </c>
      <c r="V102" s="1" t="str">
        <f>VLOOKUP(B102,Bounties!A:E,2,FALSE)</f>
        <v>Anti-Scam Bounty</v>
      </c>
    </row>
    <row r="103" hidden="1">
      <c r="A103" s="109">
        <f>HYPERLINK("https://polkadot.subsquare.io/treasury/child-bounties/101", 101)</f>
        <v>101</v>
      </c>
      <c r="B103" s="183">
        <v>11.0</v>
      </c>
      <c r="C103" s="27" t="s">
        <v>3404</v>
      </c>
      <c r="D103" s="27" t="s">
        <v>711</v>
      </c>
      <c r="E103" s="129">
        <v>683.493333</v>
      </c>
      <c r="F103" s="66">
        <v>3621.9248890824165</v>
      </c>
      <c r="G103" s="27" t="s">
        <v>3411</v>
      </c>
      <c r="H103" s="167">
        <v>44899.0</v>
      </c>
      <c r="I103" s="167">
        <v>44908.0</v>
      </c>
      <c r="J103" s="66">
        <v>3182.2472778059578</v>
      </c>
      <c r="K103" s="1"/>
      <c r="L103" s="1"/>
      <c r="M103" s="1" t="str">
        <f>VLOOKUP(B103,Bounties!A:D,3,FALSE)</f>
        <v>Research</v>
      </c>
      <c r="N103" s="1" t="str">
        <f>VLOOKUP(B103,Bounties!A:D,4,FALSE)</f>
        <v>Anti-Scam</v>
      </c>
      <c r="O103" s="1" t="str">
        <f t="shared" ref="O103:P103" si="107">IF(ISBLANK(K103),M103,K103)</f>
        <v>Research</v>
      </c>
      <c r="P103" s="1" t="str">
        <f t="shared" si="107"/>
        <v>Anti-Scam</v>
      </c>
      <c r="Q103" s="108" t="str">
        <f t="shared" si="3"/>
        <v>2022</v>
      </c>
      <c r="R103" s="110">
        <f t="shared" si="4"/>
        <v>12</v>
      </c>
      <c r="S103" s="108" t="str">
        <f t="shared" si="5"/>
        <v>2022-Q4</v>
      </c>
      <c r="T103" s="111" t="str">
        <f t="shared" si="6"/>
        <v>2022-12</v>
      </c>
      <c r="U103" s="112" t="str">
        <f t="shared" si="7"/>
        <v>2022-H2</v>
      </c>
      <c r="V103" s="1" t="str">
        <f>VLOOKUP(B103,Bounties!A:E,2,FALSE)</f>
        <v>Anti-Scam Bounty</v>
      </c>
    </row>
    <row r="104" hidden="1">
      <c r="A104" s="109">
        <f>HYPERLINK("https://polkadot.subsquare.io/treasury/child-bounties/102", 102)</f>
        <v>102</v>
      </c>
      <c r="B104" s="183">
        <v>11.0</v>
      </c>
      <c r="C104" s="27" t="s">
        <v>3404</v>
      </c>
      <c r="D104" s="27" t="s">
        <v>712</v>
      </c>
      <c r="E104" s="129">
        <v>90.8595312</v>
      </c>
      <c r="F104" s="66">
        <v>481.4771140768982</v>
      </c>
      <c r="G104" s="27" t="s">
        <v>3414</v>
      </c>
      <c r="H104" s="167">
        <v>44900.0</v>
      </c>
      <c r="I104" s="167">
        <v>44908.0</v>
      </c>
      <c r="J104" s="66">
        <v>423.0289921846619</v>
      </c>
      <c r="K104" s="1"/>
      <c r="L104" s="1"/>
      <c r="M104" s="1" t="str">
        <f>VLOOKUP(B104,Bounties!A:D,3,FALSE)</f>
        <v>Research</v>
      </c>
      <c r="N104" s="1" t="str">
        <f>VLOOKUP(B104,Bounties!A:D,4,FALSE)</f>
        <v>Anti-Scam</v>
      </c>
      <c r="O104" s="1" t="str">
        <f t="shared" ref="O104:P104" si="108">IF(ISBLANK(K104),M104,K104)</f>
        <v>Research</v>
      </c>
      <c r="P104" s="1" t="str">
        <f t="shared" si="108"/>
        <v>Anti-Scam</v>
      </c>
      <c r="Q104" s="108" t="str">
        <f t="shared" si="3"/>
        <v>2022</v>
      </c>
      <c r="R104" s="110">
        <f t="shared" si="4"/>
        <v>12</v>
      </c>
      <c r="S104" s="108" t="str">
        <f t="shared" si="5"/>
        <v>2022-Q4</v>
      </c>
      <c r="T104" s="111" t="str">
        <f t="shared" si="6"/>
        <v>2022-12</v>
      </c>
      <c r="U104" s="112" t="str">
        <f t="shared" si="7"/>
        <v>2022-H2</v>
      </c>
      <c r="V104" s="1" t="str">
        <f>VLOOKUP(B104,Bounties!A:E,2,FALSE)</f>
        <v>Anti-Scam Bounty</v>
      </c>
    </row>
    <row r="105" hidden="1">
      <c r="A105" s="109">
        <f>HYPERLINK("https://polkadot.subsquare.io/treasury/child-bounties/103", 103)</f>
        <v>103</v>
      </c>
      <c r="B105" s="183">
        <v>11.0</v>
      </c>
      <c r="C105" s="27" t="s">
        <v>3404</v>
      </c>
      <c r="D105" s="27" t="s">
        <v>713</v>
      </c>
      <c r="E105" s="129">
        <v>72.5821085103</v>
      </c>
      <c r="F105" s="66">
        <v>394.14994363217176</v>
      </c>
      <c r="G105" s="27" t="s">
        <v>3407</v>
      </c>
      <c r="H105" s="167">
        <v>44900.0</v>
      </c>
      <c r="I105" s="167">
        <v>44909.0</v>
      </c>
      <c r="J105" s="66">
        <v>337.93192423768505</v>
      </c>
      <c r="K105" s="1"/>
      <c r="L105" s="1"/>
      <c r="M105" s="1" t="str">
        <f>VLOOKUP(B105,Bounties!A:D,3,FALSE)</f>
        <v>Research</v>
      </c>
      <c r="N105" s="1" t="str">
        <f>VLOOKUP(B105,Bounties!A:D,4,FALSE)</f>
        <v>Anti-Scam</v>
      </c>
      <c r="O105" s="1" t="str">
        <f t="shared" ref="O105:P105" si="109">IF(ISBLANK(K105),M105,K105)</f>
        <v>Research</v>
      </c>
      <c r="P105" s="1" t="str">
        <f t="shared" si="109"/>
        <v>Anti-Scam</v>
      </c>
      <c r="Q105" s="108" t="str">
        <f t="shared" si="3"/>
        <v>2022</v>
      </c>
      <c r="R105" s="110">
        <f t="shared" si="4"/>
        <v>12</v>
      </c>
      <c r="S105" s="108" t="str">
        <f t="shared" si="5"/>
        <v>2022-Q4</v>
      </c>
      <c r="T105" s="111" t="str">
        <f t="shared" si="6"/>
        <v>2022-12</v>
      </c>
      <c r="U105" s="112" t="str">
        <f t="shared" si="7"/>
        <v>2022-H2</v>
      </c>
      <c r="V105" s="1" t="str">
        <f>VLOOKUP(B105,Bounties!A:E,2,FALSE)</f>
        <v>Anti-Scam Bounty</v>
      </c>
    </row>
    <row r="106" hidden="1">
      <c r="A106" s="109">
        <f>HYPERLINK("https://polkadot.subsquare.io/treasury/child-bounties/104", 104)</f>
        <v>104</v>
      </c>
      <c r="B106" s="183">
        <v>11.0</v>
      </c>
      <c r="C106" s="27" t="s">
        <v>3404</v>
      </c>
      <c r="D106" s="27" t="s">
        <v>670</v>
      </c>
      <c r="E106" s="129">
        <v>72.5821085103</v>
      </c>
      <c r="F106" s="66">
        <v>394.14994363217176</v>
      </c>
      <c r="G106" s="27" t="s">
        <v>3406</v>
      </c>
      <c r="H106" s="167">
        <v>44900.0</v>
      </c>
      <c r="I106" s="167">
        <v>44909.0</v>
      </c>
      <c r="J106" s="66">
        <v>337.93192423768505</v>
      </c>
      <c r="K106" s="1"/>
      <c r="L106" s="1"/>
      <c r="M106" s="1" t="str">
        <f>VLOOKUP(B106,Bounties!A:D,3,FALSE)</f>
        <v>Research</v>
      </c>
      <c r="N106" s="1" t="str">
        <f>VLOOKUP(B106,Bounties!A:D,4,FALSE)</f>
        <v>Anti-Scam</v>
      </c>
      <c r="O106" s="1" t="str">
        <f t="shared" ref="O106:P106" si="110">IF(ISBLANK(K106),M106,K106)</f>
        <v>Research</v>
      </c>
      <c r="P106" s="1" t="str">
        <f t="shared" si="110"/>
        <v>Anti-Scam</v>
      </c>
      <c r="Q106" s="108" t="str">
        <f t="shared" si="3"/>
        <v>2022</v>
      </c>
      <c r="R106" s="110">
        <f t="shared" si="4"/>
        <v>12</v>
      </c>
      <c r="S106" s="108" t="str">
        <f t="shared" si="5"/>
        <v>2022-Q4</v>
      </c>
      <c r="T106" s="111" t="str">
        <f t="shared" si="6"/>
        <v>2022-12</v>
      </c>
      <c r="U106" s="112" t="str">
        <f t="shared" si="7"/>
        <v>2022-H2</v>
      </c>
      <c r="V106" s="1" t="str">
        <f>VLOOKUP(B106,Bounties!A:E,2,FALSE)</f>
        <v>Anti-Scam Bounty</v>
      </c>
    </row>
    <row r="107" hidden="1">
      <c r="A107" s="109">
        <f>HYPERLINK("https://polkadot.subsquare.io/treasury/child-bounties/105", 105)</f>
        <v>105</v>
      </c>
      <c r="B107" s="183">
        <v>11.0</v>
      </c>
      <c r="C107" s="27" t="s">
        <v>3404</v>
      </c>
      <c r="D107" s="27" t="s">
        <v>671</v>
      </c>
      <c r="E107" s="129">
        <v>72.5821085103</v>
      </c>
      <c r="F107" s="66">
        <v>394.14994363217176</v>
      </c>
      <c r="G107" s="27" t="s">
        <v>3411</v>
      </c>
      <c r="H107" s="167">
        <v>44900.0</v>
      </c>
      <c r="I107" s="167">
        <v>44908.0</v>
      </c>
      <c r="J107" s="66">
        <v>337.93192423768505</v>
      </c>
      <c r="K107" s="1"/>
      <c r="L107" s="1"/>
      <c r="M107" s="1" t="str">
        <f>VLOOKUP(B107,Bounties!A:D,3,FALSE)</f>
        <v>Research</v>
      </c>
      <c r="N107" s="1" t="str">
        <f>VLOOKUP(B107,Bounties!A:D,4,FALSE)</f>
        <v>Anti-Scam</v>
      </c>
      <c r="O107" s="1" t="str">
        <f t="shared" ref="O107:P107" si="111">IF(ISBLANK(K107),M107,K107)</f>
        <v>Research</v>
      </c>
      <c r="P107" s="1" t="str">
        <f t="shared" si="111"/>
        <v>Anti-Scam</v>
      </c>
      <c r="Q107" s="108" t="str">
        <f t="shared" si="3"/>
        <v>2022</v>
      </c>
      <c r="R107" s="110">
        <f t="shared" si="4"/>
        <v>12</v>
      </c>
      <c r="S107" s="108" t="str">
        <f t="shared" si="5"/>
        <v>2022-Q4</v>
      </c>
      <c r="T107" s="111" t="str">
        <f t="shared" si="6"/>
        <v>2022-12</v>
      </c>
      <c r="U107" s="112" t="str">
        <f t="shared" si="7"/>
        <v>2022-H2</v>
      </c>
      <c r="V107" s="1" t="str">
        <f>VLOOKUP(B107,Bounties!A:E,2,FALSE)</f>
        <v>Anti-Scam Bounty</v>
      </c>
    </row>
    <row r="108" hidden="1">
      <c r="A108" s="109">
        <f>HYPERLINK("https://polkadot.subsquare.io/treasury/child-bounties/106", 106)</f>
        <v>106</v>
      </c>
      <c r="B108" s="183">
        <v>17.0</v>
      </c>
      <c r="C108" s="27" t="s">
        <v>3404</v>
      </c>
      <c r="D108" s="27" t="s">
        <v>714</v>
      </c>
      <c r="E108" s="129">
        <v>3672.0</v>
      </c>
      <c r="F108" s="66">
        <v>19940.431915283203</v>
      </c>
      <c r="G108" s="27" t="s">
        <v>3421</v>
      </c>
      <c r="H108" s="167">
        <v>44900.0</v>
      </c>
      <c r="I108" s="167">
        <v>44914.0</v>
      </c>
      <c r="J108" s="66">
        <v>16625.386779785156</v>
      </c>
      <c r="K108" s="1"/>
      <c r="L108" s="1"/>
      <c r="M108" s="1" t="str">
        <f>VLOOKUP(B108,Bounties!A:D,3,FALSE)</f>
        <v>Outreach</v>
      </c>
      <c r="N108" s="1" t="str">
        <f>VLOOKUP(B108,Bounties!A:D,4,FALSE)</f>
        <v>Events/Meetups</v>
      </c>
      <c r="O108" s="1" t="str">
        <f t="shared" ref="O108:P108" si="112">IF(ISBLANK(K108),M108,K108)</f>
        <v>Outreach</v>
      </c>
      <c r="P108" s="1" t="str">
        <f t="shared" si="112"/>
        <v>Events/Meetups</v>
      </c>
      <c r="Q108" s="108" t="str">
        <f t="shared" si="3"/>
        <v>2022</v>
      </c>
      <c r="R108" s="110">
        <f t="shared" si="4"/>
        <v>12</v>
      </c>
      <c r="S108" s="108" t="str">
        <f t="shared" si="5"/>
        <v>2022-Q4</v>
      </c>
      <c r="T108" s="111" t="str">
        <f t="shared" si="6"/>
        <v>2022-12</v>
      </c>
      <c r="U108" s="112" t="str">
        <f t="shared" si="7"/>
        <v>2022-H2</v>
      </c>
      <c r="V108" s="1" t="str">
        <f>VLOOKUP(B108,Bounties!A:E,2,FALSE)</f>
        <v>Events Bounty</v>
      </c>
    </row>
    <row r="109" hidden="1">
      <c r="A109" s="109">
        <f>HYPERLINK("https://polkadot.subsquare.io/treasury/child-bounties/107", 107)</f>
        <v>107</v>
      </c>
      <c r="B109" s="183">
        <v>11.0</v>
      </c>
      <c r="C109" s="27" t="s">
        <v>3404</v>
      </c>
      <c r="D109" s="27" t="s">
        <v>715</v>
      </c>
      <c r="E109" s="129">
        <v>90.8595312</v>
      </c>
      <c r="F109" s="66">
        <v>493.403675312677</v>
      </c>
      <c r="G109" s="27" t="s">
        <v>3439</v>
      </c>
      <c r="H109" s="167">
        <v>44900.0</v>
      </c>
      <c r="I109" s="167">
        <v>44909.0</v>
      </c>
      <c r="J109" s="66">
        <v>423.0289921846619</v>
      </c>
      <c r="K109" s="1"/>
      <c r="L109" s="1"/>
      <c r="M109" s="1" t="str">
        <f>VLOOKUP(B109,Bounties!A:D,3,FALSE)</f>
        <v>Research</v>
      </c>
      <c r="N109" s="1" t="str">
        <f>VLOOKUP(B109,Bounties!A:D,4,FALSE)</f>
        <v>Anti-Scam</v>
      </c>
      <c r="O109" s="1" t="str">
        <f t="shared" ref="O109:P109" si="113">IF(ISBLANK(K109),M109,K109)</f>
        <v>Research</v>
      </c>
      <c r="P109" s="1" t="str">
        <f t="shared" si="113"/>
        <v>Anti-Scam</v>
      </c>
      <c r="Q109" s="108" t="str">
        <f t="shared" si="3"/>
        <v>2022</v>
      </c>
      <c r="R109" s="110">
        <f t="shared" si="4"/>
        <v>12</v>
      </c>
      <c r="S109" s="108" t="str">
        <f t="shared" si="5"/>
        <v>2022-Q4</v>
      </c>
      <c r="T109" s="111" t="str">
        <f t="shared" si="6"/>
        <v>2022-12</v>
      </c>
      <c r="U109" s="112" t="str">
        <f t="shared" si="7"/>
        <v>2022-H2</v>
      </c>
      <c r="V109" s="1" t="str">
        <f>VLOOKUP(B109,Bounties!A:E,2,FALSE)</f>
        <v>Anti-Scam Bounty</v>
      </c>
    </row>
    <row r="110" hidden="1">
      <c r="A110" s="109">
        <f>HYPERLINK("https://polkadot.subsquare.io/treasury/child-bounties/108", 108)</f>
        <v>108</v>
      </c>
      <c r="B110" s="183">
        <v>11.0</v>
      </c>
      <c r="C110" s="27" t="s">
        <v>3404</v>
      </c>
      <c r="D110" s="27" t="s">
        <v>716</v>
      </c>
      <c r="E110" s="129">
        <v>145.1642170205</v>
      </c>
      <c r="F110" s="66">
        <v>788.2998872638004</v>
      </c>
      <c r="G110" s="27" t="s">
        <v>3414</v>
      </c>
      <c r="H110" s="167">
        <v>44900.0</v>
      </c>
      <c r="I110" s="167">
        <v>44909.0</v>
      </c>
      <c r="J110" s="66">
        <v>683.7720599284175</v>
      </c>
      <c r="K110" s="1"/>
      <c r="L110" s="1"/>
      <c r="M110" s="1" t="str">
        <f>VLOOKUP(B110,Bounties!A:D,3,FALSE)</f>
        <v>Research</v>
      </c>
      <c r="N110" s="1" t="str">
        <f>VLOOKUP(B110,Bounties!A:D,4,FALSE)</f>
        <v>Anti-Scam</v>
      </c>
      <c r="O110" s="1" t="str">
        <f t="shared" ref="O110:P110" si="114">IF(ISBLANK(K110),M110,K110)</f>
        <v>Research</v>
      </c>
      <c r="P110" s="1" t="str">
        <f t="shared" si="114"/>
        <v>Anti-Scam</v>
      </c>
      <c r="Q110" s="108" t="str">
        <f t="shared" si="3"/>
        <v>2022</v>
      </c>
      <c r="R110" s="110">
        <f t="shared" si="4"/>
        <v>12</v>
      </c>
      <c r="S110" s="108" t="str">
        <f t="shared" si="5"/>
        <v>2022-Q4</v>
      </c>
      <c r="T110" s="111" t="str">
        <f t="shared" si="6"/>
        <v>2022-12</v>
      </c>
      <c r="U110" s="112" t="str">
        <f t="shared" si="7"/>
        <v>2022-H2</v>
      </c>
      <c r="V110" s="1" t="str">
        <f>VLOOKUP(B110,Bounties!A:E,2,FALSE)</f>
        <v>Anti-Scam Bounty</v>
      </c>
    </row>
    <row r="111" hidden="1">
      <c r="A111" s="109">
        <f>HYPERLINK("https://polkadot.subsquare.io/treasury/child-bounties/109", 109)</f>
        <v>109</v>
      </c>
      <c r="B111" s="183">
        <v>11.0</v>
      </c>
      <c r="C111" s="27" t="s">
        <v>3404</v>
      </c>
      <c r="D111" s="27" t="s">
        <v>717</v>
      </c>
      <c r="E111" s="129">
        <v>90.8595312</v>
      </c>
      <c r="F111" s="66">
        <v>493.403675312677</v>
      </c>
      <c r="G111" s="27" t="s">
        <v>3409</v>
      </c>
      <c r="H111" s="167">
        <v>44901.0</v>
      </c>
      <c r="I111" s="167">
        <v>44909.0</v>
      </c>
      <c r="J111" s="66">
        <v>427.97880970887456</v>
      </c>
      <c r="K111" s="1"/>
      <c r="L111" s="1"/>
      <c r="M111" s="1" t="str">
        <f>VLOOKUP(B111,Bounties!A:D,3,FALSE)</f>
        <v>Research</v>
      </c>
      <c r="N111" s="1" t="str">
        <f>VLOOKUP(B111,Bounties!A:D,4,FALSE)</f>
        <v>Anti-Scam</v>
      </c>
      <c r="O111" s="1" t="str">
        <f t="shared" ref="O111:P111" si="115">IF(ISBLANK(K111),M111,K111)</f>
        <v>Research</v>
      </c>
      <c r="P111" s="1" t="str">
        <f t="shared" si="115"/>
        <v>Anti-Scam</v>
      </c>
      <c r="Q111" s="108" t="str">
        <f t="shared" si="3"/>
        <v>2022</v>
      </c>
      <c r="R111" s="110">
        <f t="shared" si="4"/>
        <v>12</v>
      </c>
      <c r="S111" s="108" t="str">
        <f t="shared" si="5"/>
        <v>2022-Q4</v>
      </c>
      <c r="T111" s="111" t="str">
        <f t="shared" si="6"/>
        <v>2022-12</v>
      </c>
      <c r="U111" s="112" t="str">
        <f t="shared" si="7"/>
        <v>2022-H2</v>
      </c>
      <c r="V111" s="1" t="str">
        <f>VLOOKUP(B111,Bounties!A:E,2,FALSE)</f>
        <v>Anti-Scam Bounty</v>
      </c>
    </row>
    <row r="112" hidden="1">
      <c r="A112" s="109">
        <f>HYPERLINK("https://polkadot.subsquare.io/treasury/child-bounties/110", 110)</f>
        <v>110</v>
      </c>
      <c r="B112" s="183">
        <v>11.0</v>
      </c>
      <c r="C112" s="27" t="s">
        <v>3404</v>
      </c>
      <c r="D112" s="27" t="s">
        <v>718</v>
      </c>
      <c r="E112" s="129">
        <v>76.8386388</v>
      </c>
      <c r="F112" s="66">
        <v>397.0724243094223</v>
      </c>
      <c r="G112" s="27" t="s">
        <v>3411</v>
      </c>
      <c r="H112" s="167">
        <v>44903.0</v>
      </c>
      <c r="I112" s="167">
        <v>44912.0</v>
      </c>
      <c r="J112" s="66">
        <v>354.3573778811342</v>
      </c>
      <c r="K112" s="1"/>
      <c r="L112" s="1"/>
      <c r="M112" s="1" t="str">
        <f>VLOOKUP(B112,Bounties!A:D,3,FALSE)</f>
        <v>Research</v>
      </c>
      <c r="N112" s="1" t="str">
        <f>VLOOKUP(B112,Bounties!A:D,4,FALSE)</f>
        <v>Anti-Scam</v>
      </c>
      <c r="O112" s="1" t="str">
        <f t="shared" ref="O112:P112" si="116">IF(ISBLANK(K112),M112,K112)</f>
        <v>Research</v>
      </c>
      <c r="P112" s="1" t="str">
        <f t="shared" si="116"/>
        <v>Anti-Scam</v>
      </c>
      <c r="Q112" s="108" t="str">
        <f t="shared" si="3"/>
        <v>2022</v>
      </c>
      <c r="R112" s="110">
        <f t="shared" si="4"/>
        <v>12</v>
      </c>
      <c r="S112" s="108" t="str">
        <f t="shared" si="5"/>
        <v>2022-Q4</v>
      </c>
      <c r="T112" s="111" t="str">
        <f t="shared" si="6"/>
        <v>2022-12</v>
      </c>
      <c r="U112" s="112" t="str">
        <f t="shared" si="7"/>
        <v>2022-H2</v>
      </c>
      <c r="V112" s="1" t="str">
        <f>VLOOKUP(B112,Bounties!A:E,2,FALSE)</f>
        <v>Anti-Scam Bounty</v>
      </c>
    </row>
    <row r="113" hidden="1">
      <c r="A113" s="109">
        <f>HYPERLINK("https://polkadot.subsquare.io/treasury/child-bounties/111", 111)</f>
        <v>111</v>
      </c>
      <c r="B113" s="183">
        <v>17.0</v>
      </c>
      <c r="C113" s="27" t="s">
        <v>3404</v>
      </c>
      <c r="D113" s="27" t="s">
        <v>719</v>
      </c>
      <c r="E113" s="129">
        <v>14602.0</v>
      </c>
      <c r="F113" s="66">
        <v>65419.104813575745</v>
      </c>
      <c r="G113" s="27" t="s">
        <v>3440</v>
      </c>
      <c r="H113" s="167">
        <v>44913.0</v>
      </c>
      <c r="I113" s="167">
        <v>44927.0</v>
      </c>
      <c r="J113" s="66">
        <v>67610.04678153992</v>
      </c>
      <c r="K113" s="1"/>
      <c r="L113" s="1" t="s">
        <v>266</v>
      </c>
      <c r="M113" s="1" t="str">
        <f>VLOOKUP(B113,Bounties!A:D,3,FALSE)</f>
        <v>Outreach</v>
      </c>
      <c r="N113" s="1" t="str">
        <f>VLOOKUP(B113,Bounties!A:D,4,FALSE)</f>
        <v>Events/Meetups</v>
      </c>
      <c r="O113" s="1" t="str">
        <f t="shared" ref="O113:P113" si="117">IF(ISBLANK(K113),M113,K113)</f>
        <v>Outreach</v>
      </c>
      <c r="P113" s="1" t="str">
        <f t="shared" si="117"/>
        <v>Events/Conference Attendance &amp; Side Events</v>
      </c>
      <c r="Q113" s="108" t="str">
        <f t="shared" si="3"/>
        <v>2023</v>
      </c>
      <c r="R113" s="110">
        <f t="shared" si="4"/>
        <v>1</v>
      </c>
      <c r="S113" s="108" t="str">
        <f t="shared" si="5"/>
        <v>2023-Q1</v>
      </c>
      <c r="T113" s="111" t="str">
        <f t="shared" si="6"/>
        <v>2023-01</v>
      </c>
      <c r="U113" s="112" t="str">
        <f t="shared" si="7"/>
        <v>2023-H1</v>
      </c>
      <c r="V113" s="1" t="str">
        <f>VLOOKUP(B113,Bounties!A:E,2,FALSE)</f>
        <v>Events Bounty</v>
      </c>
    </row>
    <row r="114" hidden="1">
      <c r="A114" s="109">
        <f>HYPERLINK("https://polkadot.subsquare.io/treasury/child-bounties/112", 112)</f>
        <v>112</v>
      </c>
      <c r="B114" s="183">
        <v>17.0</v>
      </c>
      <c r="C114" s="27" t="s">
        <v>3404</v>
      </c>
      <c r="D114" s="27" t="s">
        <v>720</v>
      </c>
      <c r="E114" s="129">
        <v>17624.6</v>
      </c>
      <c r="F114" s="66">
        <v>78818.67565860748</v>
      </c>
      <c r="G114" s="27" t="s">
        <v>3415</v>
      </c>
      <c r="H114" s="167">
        <v>44915.0</v>
      </c>
      <c r="I114" s="167">
        <v>44927.0</v>
      </c>
      <c r="J114" s="66">
        <v>81605.26164264679</v>
      </c>
      <c r="K114" s="1"/>
      <c r="L114" s="1"/>
      <c r="M114" s="1" t="str">
        <f>VLOOKUP(B114,Bounties!A:D,3,FALSE)</f>
        <v>Outreach</v>
      </c>
      <c r="N114" s="1" t="str">
        <f>VLOOKUP(B114,Bounties!A:D,4,FALSE)</f>
        <v>Events/Meetups</v>
      </c>
      <c r="O114" s="1" t="str">
        <f t="shared" ref="O114:P114" si="118">IF(ISBLANK(K114),M114,K114)</f>
        <v>Outreach</v>
      </c>
      <c r="P114" s="1" t="str">
        <f t="shared" si="118"/>
        <v>Events/Meetups</v>
      </c>
      <c r="Q114" s="108" t="str">
        <f t="shared" si="3"/>
        <v>2023</v>
      </c>
      <c r="R114" s="110">
        <f t="shared" si="4"/>
        <v>1</v>
      </c>
      <c r="S114" s="108" t="str">
        <f t="shared" si="5"/>
        <v>2023-Q1</v>
      </c>
      <c r="T114" s="111" t="str">
        <f t="shared" si="6"/>
        <v>2023-01</v>
      </c>
      <c r="U114" s="112" t="str">
        <f t="shared" si="7"/>
        <v>2023-H1</v>
      </c>
      <c r="V114" s="1" t="str">
        <f>VLOOKUP(B114,Bounties!A:E,2,FALSE)</f>
        <v>Events Bounty</v>
      </c>
    </row>
    <row r="115" hidden="1">
      <c r="A115" s="109">
        <f>HYPERLINK("https://polkadot.subsquare.io/treasury/child-bounties/113", 113)</f>
        <v>113</v>
      </c>
      <c r="B115" s="183">
        <v>17.0</v>
      </c>
      <c r="C115" s="27" t="s">
        <v>3404</v>
      </c>
      <c r="D115" s="27" t="s">
        <v>721</v>
      </c>
      <c r="E115" s="129">
        <v>4750.9</v>
      </c>
      <c r="F115" s="66">
        <v>21246.4195605278</v>
      </c>
      <c r="G115" s="27" t="s">
        <v>3416</v>
      </c>
      <c r="H115" s="167">
        <v>44915.0</v>
      </c>
      <c r="I115" s="167">
        <v>44926.0</v>
      </c>
      <c r="J115" s="66">
        <v>21494.800901937484</v>
      </c>
      <c r="K115" s="1"/>
      <c r="L115" s="1"/>
      <c r="M115" s="1" t="str">
        <f>VLOOKUP(B115,Bounties!A:D,3,FALSE)</f>
        <v>Outreach</v>
      </c>
      <c r="N115" s="1" t="str">
        <f>VLOOKUP(B115,Bounties!A:D,4,FALSE)</f>
        <v>Events/Meetups</v>
      </c>
      <c r="O115" s="1" t="str">
        <f t="shared" ref="O115:P115" si="119">IF(ISBLANK(K115),M115,K115)</f>
        <v>Outreach</v>
      </c>
      <c r="P115" s="1" t="str">
        <f t="shared" si="119"/>
        <v>Events/Meetups</v>
      </c>
      <c r="Q115" s="108" t="str">
        <f t="shared" si="3"/>
        <v>2022</v>
      </c>
      <c r="R115" s="110">
        <f t="shared" si="4"/>
        <v>12</v>
      </c>
      <c r="S115" s="108" t="str">
        <f t="shared" si="5"/>
        <v>2022-Q4</v>
      </c>
      <c r="T115" s="111" t="str">
        <f t="shared" si="6"/>
        <v>2022-12</v>
      </c>
      <c r="U115" s="112" t="str">
        <f t="shared" si="7"/>
        <v>2022-H2</v>
      </c>
      <c r="V115" s="1" t="str">
        <f>VLOOKUP(B115,Bounties!A:E,2,FALSE)</f>
        <v>Events Bounty</v>
      </c>
    </row>
    <row r="116" hidden="1">
      <c r="A116" s="109">
        <f>HYPERLINK("https://polkadot.subsquare.io/treasury/child-bounties/114", 114)</f>
        <v>114</v>
      </c>
      <c r="B116" s="183">
        <v>11.0</v>
      </c>
      <c r="C116" s="27" t="s">
        <v>3404</v>
      </c>
      <c r="D116" s="27" t="s">
        <v>722</v>
      </c>
      <c r="E116" s="129">
        <v>114.7614761476</v>
      </c>
      <c r="F116" s="66">
        <v>501.60132261350486</v>
      </c>
      <c r="G116" s="27" t="s">
        <v>3411</v>
      </c>
      <c r="H116" s="167">
        <v>44924.0</v>
      </c>
      <c r="I116" s="167">
        <v>44933.0</v>
      </c>
      <c r="J116" s="66">
        <v>564.4894461712596</v>
      </c>
      <c r="K116" s="1"/>
      <c r="L116" s="1"/>
      <c r="M116" s="1" t="str">
        <f>VLOOKUP(B116,Bounties!A:D,3,FALSE)</f>
        <v>Research</v>
      </c>
      <c r="N116" s="1" t="str">
        <f>VLOOKUP(B116,Bounties!A:D,4,FALSE)</f>
        <v>Anti-Scam</v>
      </c>
      <c r="O116" s="1" t="str">
        <f t="shared" ref="O116:P116" si="120">IF(ISBLANK(K116),M116,K116)</f>
        <v>Research</v>
      </c>
      <c r="P116" s="1" t="str">
        <f t="shared" si="120"/>
        <v>Anti-Scam</v>
      </c>
      <c r="Q116" s="108" t="str">
        <f t="shared" si="3"/>
        <v>2023</v>
      </c>
      <c r="R116" s="110">
        <f t="shared" si="4"/>
        <v>1</v>
      </c>
      <c r="S116" s="108" t="str">
        <f t="shared" si="5"/>
        <v>2023-Q1</v>
      </c>
      <c r="T116" s="111" t="str">
        <f t="shared" si="6"/>
        <v>2023-01</v>
      </c>
      <c r="U116" s="112" t="str">
        <f t="shared" si="7"/>
        <v>2023-H1</v>
      </c>
      <c r="V116" s="1" t="str">
        <f>VLOOKUP(B116,Bounties!A:E,2,FALSE)</f>
        <v>Anti-Scam Bounty</v>
      </c>
    </row>
    <row r="117" hidden="1">
      <c r="A117" s="109">
        <f>HYPERLINK("https://polkadot.subsquare.io/treasury/child-bounties/115", 115)</f>
        <v>115</v>
      </c>
      <c r="B117" s="183">
        <v>11.0</v>
      </c>
      <c r="C117" s="27" t="s">
        <v>3404</v>
      </c>
      <c r="D117" s="27" t="s">
        <v>723</v>
      </c>
      <c r="E117" s="129">
        <v>91.4494742</v>
      </c>
      <c r="F117" s="66">
        <v>413.7507083954343</v>
      </c>
      <c r="G117" s="27" t="s">
        <v>3407</v>
      </c>
      <c r="H117" s="167">
        <v>44926.0</v>
      </c>
      <c r="I117" s="167">
        <v>44934.0</v>
      </c>
      <c r="J117" s="66">
        <v>469.1338944252363</v>
      </c>
      <c r="K117" s="1"/>
      <c r="L117" s="1"/>
      <c r="M117" s="1" t="str">
        <f>VLOOKUP(B117,Bounties!A:D,3,FALSE)</f>
        <v>Research</v>
      </c>
      <c r="N117" s="1" t="str">
        <f>VLOOKUP(B117,Bounties!A:D,4,FALSE)</f>
        <v>Anti-Scam</v>
      </c>
      <c r="O117" s="1" t="str">
        <f t="shared" ref="O117:P117" si="121">IF(ISBLANK(K117),M117,K117)</f>
        <v>Research</v>
      </c>
      <c r="P117" s="1" t="str">
        <f t="shared" si="121"/>
        <v>Anti-Scam</v>
      </c>
      <c r="Q117" s="108" t="str">
        <f t="shared" si="3"/>
        <v>2023</v>
      </c>
      <c r="R117" s="110">
        <f t="shared" si="4"/>
        <v>1</v>
      </c>
      <c r="S117" s="108" t="str">
        <f t="shared" si="5"/>
        <v>2023-Q1</v>
      </c>
      <c r="T117" s="111" t="str">
        <f t="shared" si="6"/>
        <v>2023-01</v>
      </c>
      <c r="U117" s="112" t="str">
        <f t="shared" si="7"/>
        <v>2023-H1</v>
      </c>
      <c r="V117" s="1" t="str">
        <f>VLOOKUP(B117,Bounties!A:E,2,FALSE)</f>
        <v>Anti-Scam Bounty</v>
      </c>
    </row>
    <row r="118" hidden="1">
      <c r="A118" s="109">
        <f>HYPERLINK("https://polkadot.subsquare.io/treasury/child-bounties/116", 116)</f>
        <v>116</v>
      </c>
      <c r="B118" s="183">
        <v>11.0</v>
      </c>
      <c r="C118" s="27" t="s">
        <v>3404</v>
      </c>
      <c r="D118" s="27" t="s">
        <v>724</v>
      </c>
      <c r="E118" s="129">
        <v>91.4494742</v>
      </c>
      <c r="F118" s="66">
        <v>413.7507083954343</v>
      </c>
      <c r="G118" s="27" t="s">
        <v>3406</v>
      </c>
      <c r="H118" s="167">
        <v>44926.0</v>
      </c>
      <c r="I118" s="167">
        <v>44941.0</v>
      </c>
      <c r="J118" s="66">
        <v>544.691892741165</v>
      </c>
      <c r="K118" s="1"/>
      <c r="L118" s="1"/>
      <c r="M118" s="1" t="str">
        <f>VLOOKUP(B118,Bounties!A:D,3,FALSE)</f>
        <v>Research</v>
      </c>
      <c r="N118" s="1" t="str">
        <f>VLOOKUP(B118,Bounties!A:D,4,FALSE)</f>
        <v>Anti-Scam</v>
      </c>
      <c r="O118" s="1" t="str">
        <f t="shared" ref="O118:P118" si="122">IF(ISBLANK(K118),M118,K118)</f>
        <v>Research</v>
      </c>
      <c r="P118" s="1" t="str">
        <f t="shared" si="122"/>
        <v>Anti-Scam</v>
      </c>
      <c r="Q118" s="108" t="str">
        <f t="shared" si="3"/>
        <v>2023</v>
      </c>
      <c r="R118" s="110">
        <f t="shared" si="4"/>
        <v>1</v>
      </c>
      <c r="S118" s="108" t="str">
        <f t="shared" si="5"/>
        <v>2023-Q1</v>
      </c>
      <c r="T118" s="111" t="str">
        <f t="shared" si="6"/>
        <v>2023-01</v>
      </c>
      <c r="U118" s="112" t="str">
        <f t="shared" si="7"/>
        <v>2023-H1</v>
      </c>
      <c r="V118" s="1" t="str">
        <f>VLOOKUP(B118,Bounties!A:E,2,FALSE)</f>
        <v>Anti-Scam Bounty</v>
      </c>
    </row>
    <row r="119" hidden="1">
      <c r="A119" s="109">
        <f>HYPERLINK("https://polkadot.subsquare.io/treasury/child-bounties/117", 117)</f>
        <v>117</v>
      </c>
      <c r="B119" s="183">
        <v>11.0</v>
      </c>
      <c r="C119" s="27" t="s">
        <v>3404</v>
      </c>
      <c r="D119" s="27" t="s">
        <v>725</v>
      </c>
      <c r="E119" s="129">
        <v>91.4494742</v>
      </c>
      <c r="F119" s="66">
        <v>413.7507083954343</v>
      </c>
      <c r="G119" s="27" t="s">
        <v>3411</v>
      </c>
      <c r="H119" s="167">
        <v>44926.0</v>
      </c>
      <c r="I119" s="167">
        <v>44934.0</v>
      </c>
      <c r="J119" s="66">
        <v>469.1338944252363</v>
      </c>
      <c r="K119" s="1"/>
      <c r="L119" s="1"/>
      <c r="M119" s="1" t="str">
        <f>VLOOKUP(B119,Bounties!A:D,3,FALSE)</f>
        <v>Research</v>
      </c>
      <c r="N119" s="1" t="str">
        <f>VLOOKUP(B119,Bounties!A:D,4,FALSE)</f>
        <v>Anti-Scam</v>
      </c>
      <c r="O119" s="1" t="str">
        <f t="shared" ref="O119:P119" si="123">IF(ISBLANK(K119),M119,K119)</f>
        <v>Research</v>
      </c>
      <c r="P119" s="1" t="str">
        <f t="shared" si="123"/>
        <v>Anti-Scam</v>
      </c>
      <c r="Q119" s="108" t="str">
        <f t="shared" si="3"/>
        <v>2023</v>
      </c>
      <c r="R119" s="110">
        <f t="shared" si="4"/>
        <v>1</v>
      </c>
      <c r="S119" s="108" t="str">
        <f t="shared" si="5"/>
        <v>2023-Q1</v>
      </c>
      <c r="T119" s="111" t="str">
        <f t="shared" si="6"/>
        <v>2023-01</v>
      </c>
      <c r="U119" s="112" t="str">
        <f t="shared" si="7"/>
        <v>2023-H1</v>
      </c>
      <c r="V119" s="1" t="str">
        <f>VLOOKUP(B119,Bounties!A:E,2,FALSE)</f>
        <v>Anti-Scam Bounty</v>
      </c>
    </row>
    <row r="120" hidden="1">
      <c r="A120" s="109">
        <f>HYPERLINK("https://polkadot.subsquare.io/treasury/child-bounties/118", 118)</f>
        <v>118</v>
      </c>
      <c r="B120" s="183">
        <v>11.0</v>
      </c>
      <c r="C120" s="27" t="s">
        <v>3404</v>
      </c>
      <c r="D120" s="27" t="s">
        <v>726</v>
      </c>
      <c r="E120" s="129">
        <v>201.2480974125</v>
      </c>
      <c r="F120" s="66">
        <v>910.5196459145441</v>
      </c>
      <c r="G120" s="27" t="s">
        <v>3406</v>
      </c>
      <c r="H120" s="167">
        <v>44926.0</v>
      </c>
      <c r="I120" s="167">
        <v>44935.0</v>
      </c>
      <c r="J120" s="66">
        <v>1052.4224742907818</v>
      </c>
      <c r="K120" s="1"/>
      <c r="L120" s="1"/>
      <c r="M120" s="1" t="str">
        <f>VLOOKUP(B120,Bounties!A:D,3,FALSE)</f>
        <v>Research</v>
      </c>
      <c r="N120" s="1" t="str">
        <f>VLOOKUP(B120,Bounties!A:D,4,FALSE)</f>
        <v>Anti-Scam</v>
      </c>
      <c r="O120" s="1" t="str">
        <f t="shared" ref="O120:P120" si="124">IF(ISBLANK(K120),M120,K120)</f>
        <v>Research</v>
      </c>
      <c r="P120" s="1" t="str">
        <f t="shared" si="124"/>
        <v>Anti-Scam</v>
      </c>
      <c r="Q120" s="108" t="str">
        <f t="shared" si="3"/>
        <v>2023</v>
      </c>
      <c r="R120" s="110">
        <f t="shared" si="4"/>
        <v>1</v>
      </c>
      <c r="S120" s="108" t="str">
        <f t="shared" si="5"/>
        <v>2023-Q1</v>
      </c>
      <c r="T120" s="111" t="str">
        <f t="shared" si="6"/>
        <v>2023-01</v>
      </c>
      <c r="U120" s="112" t="str">
        <f t="shared" si="7"/>
        <v>2023-H1</v>
      </c>
      <c r="V120" s="1" t="str">
        <f>VLOOKUP(B120,Bounties!A:E,2,FALSE)</f>
        <v>Anti-Scam Bounty</v>
      </c>
    </row>
    <row r="121" hidden="1">
      <c r="A121" s="109">
        <f>HYPERLINK("https://polkadot.subsquare.io/treasury/child-bounties/119", 119)</f>
        <v>119</v>
      </c>
      <c r="B121" s="183">
        <v>11.0</v>
      </c>
      <c r="C121" s="27" t="s">
        <v>3404</v>
      </c>
      <c r="D121" s="27" t="s">
        <v>727</v>
      </c>
      <c r="E121" s="129">
        <v>866.8645357686</v>
      </c>
      <c r="F121" s="66">
        <v>3922.010693825701</v>
      </c>
      <c r="G121" s="27" t="s">
        <v>3407</v>
      </c>
      <c r="H121" s="167">
        <v>44926.0</v>
      </c>
      <c r="I121" s="167">
        <v>44935.0</v>
      </c>
      <c r="J121" s="66">
        <v>4446.996980155933</v>
      </c>
      <c r="K121" s="1"/>
      <c r="L121" s="1"/>
      <c r="M121" s="1" t="str">
        <f>VLOOKUP(B121,Bounties!A:D,3,FALSE)</f>
        <v>Research</v>
      </c>
      <c r="N121" s="1" t="str">
        <f>VLOOKUP(B121,Bounties!A:D,4,FALSE)</f>
        <v>Anti-Scam</v>
      </c>
      <c r="O121" s="1" t="str">
        <f t="shared" ref="O121:P121" si="125">IF(ISBLANK(K121),M121,K121)</f>
        <v>Research</v>
      </c>
      <c r="P121" s="1" t="str">
        <f t="shared" si="125"/>
        <v>Anti-Scam</v>
      </c>
      <c r="Q121" s="108" t="str">
        <f t="shared" si="3"/>
        <v>2023</v>
      </c>
      <c r="R121" s="110">
        <f t="shared" si="4"/>
        <v>1</v>
      </c>
      <c r="S121" s="108" t="str">
        <f t="shared" si="5"/>
        <v>2023-Q1</v>
      </c>
      <c r="T121" s="111" t="str">
        <f t="shared" si="6"/>
        <v>2023-01</v>
      </c>
      <c r="U121" s="112" t="str">
        <f t="shared" si="7"/>
        <v>2023-H1</v>
      </c>
      <c r="V121" s="1" t="str">
        <f>VLOOKUP(B121,Bounties!A:E,2,FALSE)</f>
        <v>Anti-Scam Bounty</v>
      </c>
    </row>
    <row r="122" hidden="1">
      <c r="A122" s="109">
        <f>HYPERLINK("https://polkadot.subsquare.io/treasury/child-bounties/120", 120)</f>
        <v>120</v>
      </c>
      <c r="B122" s="183">
        <v>11.0</v>
      </c>
      <c r="C122" s="27" t="s">
        <v>3404</v>
      </c>
      <c r="D122" s="27" t="s">
        <v>728</v>
      </c>
      <c r="E122" s="129">
        <v>376.6818873668</v>
      </c>
      <c r="F122" s="66">
        <v>1704.2459686197158</v>
      </c>
      <c r="G122" s="27" t="s">
        <v>3411</v>
      </c>
      <c r="H122" s="167">
        <v>44926.0</v>
      </c>
      <c r="I122" s="167">
        <v>44935.0</v>
      </c>
      <c r="J122" s="66">
        <v>1932.3702221989936</v>
      </c>
      <c r="K122" s="1"/>
      <c r="L122" s="1"/>
      <c r="M122" s="1" t="str">
        <f>VLOOKUP(B122,Bounties!A:D,3,FALSE)</f>
        <v>Research</v>
      </c>
      <c r="N122" s="1" t="str">
        <f>VLOOKUP(B122,Bounties!A:D,4,FALSE)</f>
        <v>Anti-Scam</v>
      </c>
      <c r="O122" s="1" t="str">
        <f t="shared" ref="O122:P122" si="126">IF(ISBLANK(K122),M122,K122)</f>
        <v>Research</v>
      </c>
      <c r="P122" s="1" t="str">
        <f t="shared" si="126"/>
        <v>Anti-Scam</v>
      </c>
      <c r="Q122" s="108" t="str">
        <f t="shared" si="3"/>
        <v>2023</v>
      </c>
      <c r="R122" s="110">
        <f t="shared" si="4"/>
        <v>1</v>
      </c>
      <c r="S122" s="108" t="str">
        <f t="shared" si="5"/>
        <v>2023-Q1</v>
      </c>
      <c r="T122" s="111" t="str">
        <f t="shared" si="6"/>
        <v>2023-01</v>
      </c>
      <c r="U122" s="112" t="str">
        <f t="shared" si="7"/>
        <v>2023-H1</v>
      </c>
      <c r="V122" s="1" t="str">
        <f>VLOOKUP(B122,Bounties!A:E,2,FALSE)</f>
        <v>Anti-Scam Bounty</v>
      </c>
    </row>
    <row r="123" hidden="1">
      <c r="A123" s="109">
        <f>HYPERLINK("https://polkadot.subsquare.io/treasury/child-bounties/121", 121)</f>
        <v>121</v>
      </c>
      <c r="B123" s="183">
        <v>11.0</v>
      </c>
      <c r="C123" s="27" t="s">
        <v>3427</v>
      </c>
      <c r="D123" s="27" t="s">
        <v>730</v>
      </c>
      <c r="E123" s="129">
        <v>248.649864986</v>
      </c>
      <c r="F123" s="66">
        <v>1300.3089694023665</v>
      </c>
      <c r="H123" s="167">
        <v>44935.0</v>
      </c>
      <c r="I123" s="167">
        <v>44940.0</v>
      </c>
      <c r="J123" s="66">
        <v>1481.009779158025</v>
      </c>
      <c r="K123" s="1"/>
      <c r="L123" s="1"/>
      <c r="M123" s="1" t="str">
        <f>VLOOKUP(B123,Bounties!A:D,3,FALSE)</f>
        <v>Research</v>
      </c>
      <c r="N123" s="1" t="str">
        <f>VLOOKUP(B123,Bounties!A:D,4,FALSE)</f>
        <v>Anti-Scam</v>
      </c>
      <c r="O123" s="1" t="str">
        <f t="shared" ref="O123:P123" si="127">IF(ISBLANK(K123),M123,K123)</f>
        <v>Research</v>
      </c>
      <c r="P123" s="1" t="str">
        <f t="shared" si="127"/>
        <v>Anti-Scam</v>
      </c>
      <c r="Q123" s="108" t="str">
        <f t="shared" si="3"/>
        <v>2023</v>
      </c>
      <c r="R123" s="110">
        <f t="shared" si="4"/>
        <v>1</v>
      </c>
      <c r="S123" s="108" t="str">
        <f t="shared" si="5"/>
        <v>2023-Q1</v>
      </c>
      <c r="T123" s="111" t="str">
        <f t="shared" si="6"/>
        <v>2023-01</v>
      </c>
      <c r="U123" s="112" t="str">
        <f t="shared" si="7"/>
        <v>2023-H1</v>
      </c>
      <c r="V123" s="1" t="str">
        <f>VLOOKUP(B123,Bounties!A:E,2,FALSE)</f>
        <v>Anti-Scam Bounty</v>
      </c>
    </row>
    <row r="124" hidden="1">
      <c r="A124" s="109">
        <f>HYPERLINK("https://polkadot.subsquare.io/treasury/child-bounties/122", 122)</f>
        <v>122</v>
      </c>
      <c r="B124" s="183">
        <v>11.0</v>
      </c>
      <c r="C124" s="27" t="s">
        <v>3427</v>
      </c>
      <c r="D124" s="27" t="s">
        <v>729</v>
      </c>
      <c r="E124" s="129">
        <v>140.639063906</v>
      </c>
      <c r="F124" s="66">
        <v>735.4688740957932</v>
      </c>
      <c r="H124" s="167">
        <v>44935.0</v>
      </c>
      <c r="I124" s="167">
        <v>44940.0</v>
      </c>
      <c r="J124" s="66">
        <v>837.6752144552495</v>
      </c>
      <c r="K124" s="1"/>
      <c r="L124" s="1"/>
      <c r="M124" s="1" t="str">
        <f>VLOOKUP(B124,Bounties!A:D,3,FALSE)</f>
        <v>Research</v>
      </c>
      <c r="N124" s="1" t="str">
        <f>VLOOKUP(B124,Bounties!A:D,4,FALSE)</f>
        <v>Anti-Scam</v>
      </c>
      <c r="O124" s="1" t="str">
        <f t="shared" ref="O124:P124" si="128">IF(ISBLANK(K124),M124,K124)</f>
        <v>Research</v>
      </c>
      <c r="P124" s="1" t="str">
        <f t="shared" si="128"/>
        <v>Anti-Scam</v>
      </c>
      <c r="Q124" s="108" t="str">
        <f t="shared" si="3"/>
        <v>2023</v>
      </c>
      <c r="R124" s="110">
        <f t="shared" si="4"/>
        <v>1</v>
      </c>
      <c r="S124" s="108" t="str">
        <f t="shared" si="5"/>
        <v>2023-Q1</v>
      </c>
      <c r="T124" s="111" t="str">
        <f t="shared" si="6"/>
        <v>2023-01</v>
      </c>
      <c r="U124" s="112" t="str">
        <f t="shared" si="7"/>
        <v>2023-H1</v>
      </c>
      <c r="V124" s="1" t="str">
        <f>VLOOKUP(B124,Bounties!A:E,2,FALSE)</f>
        <v>Anti-Scam Bounty</v>
      </c>
    </row>
    <row r="125" hidden="1">
      <c r="A125" s="109">
        <f>HYPERLINK("https://polkadot.subsquare.io/treasury/child-bounties/123", 123)</f>
        <v>123</v>
      </c>
      <c r="B125" s="183">
        <v>11.0</v>
      </c>
      <c r="C125" s="27" t="s">
        <v>3404</v>
      </c>
      <c r="D125" s="27" t="s">
        <v>729</v>
      </c>
      <c r="E125" s="129">
        <v>113.636364</v>
      </c>
      <c r="F125" s="66">
        <v>676.8415754476147</v>
      </c>
      <c r="G125" s="27" t="s">
        <v>3407</v>
      </c>
      <c r="H125" s="167">
        <v>44941.0</v>
      </c>
      <c r="I125" s="167">
        <v>44951.0</v>
      </c>
      <c r="J125" s="66">
        <v>727.0816804570713</v>
      </c>
      <c r="K125" s="1"/>
      <c r="L125" s="1"/>
      <c r="M125" s="1" t="str">
        <f>VLOOKUP(B125,Bounties!A:D,3,FALSE)</f>
        <v>Research</v>
      </c>
      <c r="N125" s="1" t="str">
        <f>VLOOKUP(B125,Bounties!A:D,4,FALSE)</f>
        <v>Anti-Scam</v>
      </c>
      <c r="O125" s="1" t="str">
        <f t="shared" ref="O125:P125" si="129">IF(ISBLANK(K125),M125,K125)</f>
        <v>Research</v>
      </c>
      <c r="P125" s="1" t="str">
        <f t="shared" si="129"/>
        <v>Anti-Scam</v>
      </c>
      <c r="Q125" s="108" t="str">
        <f t="shared" si="3"/>
        <v>2023</v>
      </c>
      <c r="R125" s="110">
        <f t="shared" si="4"/>
        <v>1</v>
      </c>
      <c r="S125" s="108" t="str">
        <f t="shared" si="5"/>
        <v>2023-Q1</v>
      </c>
      <c r="T125" s="111" t="str">
        <f t="shared" si="6"/>
        <v>2023-01</v>
      </c>
      <c r="U125" s="112" t="str">
        <f t="shared" si="7"/>
        <v>2023-H1</v>
      </c>
      <c r="V125" s="1" t="str">
        <f>VLOOKUP(B125,Bounties!A:E,2,FALSE)</f>
        <v>Anti-Scam Bounty</v>
      </c>
    </row>
    <row r="126" hidden="1">
      <c r="A126" s="109">
        <f>HYPERLINK("https://polkadot.subsquare.io/treasury/child-bounties/124", 124)</f>
        <v>124</v>
      </c>
      <c r="B126" s="183">
        <v>11.0</v>
      </c>
      <c r="C126" s="27" t="s">
        <v>3404</v>
      </c>
      <c r="D126" s="27" t="s">
        <v>730</v>
      </c>
      <c r="E126" s="129">
        <v>203.645365</v>
      </c>
      <c r="F126" s="66">
        <v>1212.953713295548</v>
      </c>
      <c r="G126" s="27" t="s">
        <v>3411</v>
      </c>
      <c r="H126" s="167">
        <v>44941.0</v>
      </c>
      <c r="I126" s="167">
        <v>44949.0</v>
      </c>
      <c r="J126" s="66">
        <v>1318.5671101135874</v>
      </c>
      <c r="K126" s="1"/>
      <c r="L126" s="1"/>
      <c r="M126" s="1" t="str">
        <f>VLOOKUP(B126,Bounties!A:D,3,FALSE)</f>
        <v>Research</v>
      </c>
      <c r="N126" s="1" t="str">
        <f>VLOOKUP(B126,Bounties!A:D,4,FALSE)</f>
        <v>Anti-Scam</v>
      </c>
      <c r="O126" s="1" t="str">
        <f t="shared" ref="O126:P126" si="130">IF(ISBLANK(K126),M126,K126)</f>
        <v>Research</v>
      </c>
      <c r="P126" s="1" t="str">
        <f t="shared" si="130"/>
        <v>Anti-Scam</v>
      </c>
      <c r="Q126" s="108" t="str">
        <f t="shared" si="3"/>
        <v>2023</v>
      </c>
      <c r="R126" s="110">
        <f t="shared" si="4"/>
        <v>1</v>
      </c>
      <c r="S126" s="108" t="str">
        <f t="shared" si="5"/>
        <v>2023-Q1</v>
      </c>
      <c r="T126" s="111" t="str">
        <f t="shared" si="6"/>
        <v>2023-01</v>
      </c>
      <c r="U126" s="112" t="str">
        <f t="shared" si="7"/>
        <v>2023-H1</v>
      </c>
      <c r="V126" s="1" t="str">
        <f>VLOOKUP(B126,Bounties!A:E,2,FALSE)</f>
        <v>Anti-Scam Bounty</v>
      </c>
    </row>
    <row r="127" hidden="1">
      <c r="A127" s="109">
        <f>HYPERLINK("https://polkadot.subsquare.io/treasury/child-bounties/125", 125)</f>
        <v>125</v>
      </c>
      <c r="B127" s="183">
        <v>11.0</v>
      </c>
      <c r="C127" s="27" t="s">
        <v>3404</v>
      </c>
      <c r="D127" s="27" t="s">
        <v>731</v>
      </c>
      <c r="E127" s="129">
        <v>500.0</v>
      </c>
      <c r="F127" s="66">
        <v>2824.0504264831543</v>
      </c>
      <c r="G127" s="27" t="s">
        <v>3441</v>
      </c>
      <c r="H127" s="167">
        <v>44941.0</v>
      </c>
      <c r="I127" s="167">
        <v>44963.0</v>
      </c>
      <c r="J127" s="66">
        <v>3374.6368885040283</v>
      </c>
      <c r="K127" s="1"/>
      <c r="L127" s="1"/>
      <c r="M127" s="1" t="str">
        <f>VLOOKUP(B127,Bounties!A:D,3,FALSE)</f>
        <v>Research</v>
      </c>
      <c r="N127" s="1" t="str">
        <f>VLOOKUP(B127,Bounties!A:D,4,FALSE)</f>
        <v>Anti-Scam</v>
      </c>
      <c r="O127" s="1" t="str">
        <f t="shared" ref="O127:P127" si="131">IF(ISBLANK(K127),M127,K127)</f>
        <v>Research</v>
      </c>
      <c r="P127" s="1" t="str">
        <f t="shared" si="131"/>
        <v>Anti-Scam</v>
      </c>
      <c r="Q127" s="108" t="str">
        <f t="shared" si="3"/>
        <v>2023</v>
      </c>
      <c r="R127" s="110">
        <f t="shared" si="4"/>
        <v>2</v>
      </c>
      <c r="S127" s="108" t="str">
        <f t="shared" si="5"/>
        <v>2023-Q1</v>
      </c>
      <c r="T127" s="111" t="str">
        <f t="shared" si="6"/>
        <v>2023-02</v>
      </c>
      <c r="U127" s="112" t="str">
        <f t="shared" si="7"/>
        <v>2023-H1</v>
      </c>
      <c r="V127" s="1" t="str">
        <f>VLOOKUP(B127,Bounties!A:E,2,FALSE)</f>
        <v>Anti-Scam Bounty</v>
      </c>
    </row>
    <row r="128" hidden="1">
      <c r="A128" s="109">
        <f>HYPERLINK("https://polkadot.subsquare.io/treasury/child-bounties/126", 126)</f>
        <v>126</v>
      </c>
      <c r="B128" s="183">
        <v>17.0</v>
      </c>
      <c r="C128" s="27" t="s">
        <v>3404</v>
      </c>
      <c r="D128" s="27" t="s">
        <v>732</v>
      </c>
      <c r="E128" s="129">
        <v>106.6</v>
      </c>
      <c r="F128" s="66">
        <v>682.886629295349</v>
      </c>
      <c r="G128" s="27" t="s">
        <v>3442</v>
      </c>
      <c r="H128" s="167">
        <v>44948.0</v>
      </c>
      <c r="I128" s="167">
        <v>44962.0</v>
      </c>
      <c r="J128" s="66">
        <v>719.4725846290588</v>
      </c>
      <c r="K128" s="1"/>
      <c r="L128" s="1"/>
      <c r="M128" s="1" t="str">
        <f>VLOOKUP(B128,Bounties!A:D,3,FALSE)</f>
        <v>Outreach</v>
      </c>
      <c r="N128" s="1" t="str">
        <f>VLOOKUP(B128,Bounties!A:D,4,FALSE)</f>
        <v>Events/Meetups</v>
      </c>
      <c r="O128" s="1" t="str">
        <f t="shared" ref="O128:P128" si="132">IF(ISBLANK(K128),M128,K128)</f>
        <v>Outreach</v>
      </c>
      <c r="P128" s="1" t="str">
        <f t="shared" si="132"/>
        <v>Events/Meetups</v>
      </c>
      <c r="Q128" s="108" t="str">
        <f t="shared" si="3"/>
        <v>2023</v>
      </c>
      <c r="R128" s="110">
        <f t="shared" si="4"/>
        <v>2</v>
      </c>
      <c r="S128" s="108" t="str">
        <f t="shared" si="5"/>
        <v>2023-Q1</v>
      </c>
      <c r="T128" s="111" t="str">
        <f t="shared" si="6"/>
        <v>2023-02</v>
      </c>
      <c r="U128" s="112" t="str">
        <f t="shared" si="7"/>
        <v>2023-H1</v>
      </c>
      <c r="V128" s="1" t="str">
        <f>VLOOKUP(B128,Bounties!A:E,2,FALSE)</f>
        <v>Events Bounty</v>
      </c>
    </row>
    <row r="129" hidden="1">
      <c r="A129" s="109">
        <f>HYPERLINK("https://polkadot.subsquare.io/treasury/child-bounties/127", 127)</f>
        <v>127</v>
      </c>
      <c r="B129" s="183">
        <v>17.0</v>
      </c>
      <c r="C129" s="27" t="s">
        <v>3404</v>
      </c>
      <c r="D129" s="27" t="s">
        <v>733</v>
      </c>
      <c r="E129" s="129">
        <v>229.6</v>
      </c>
      <c r="F129" s="66">
        <v>1470.832740020752</v>
      </c>
      <c r="G129" s="27" t="s">
        <v>3443</v>
      </c>
      <c r="H129" s="167">
        <v>44948.0</v>
      </c>
      <c r="I129" s="167">
        <v>44963.0</v>
      </c>
      <c r="J129" s="66">
        <v>1430.708094024658</v>
      </c>
      <c r="K129" s="1"/>
      <c r="L129" s="1"/>
      <c r="M129" s="1" t="str">
        <f>VLOOKUP(B129,Bounties!A:D,3,FALSE)</f>
        <v>Outreach</v>
      </c>
      <c r="N129" s="1" t="str">
        <f>VLOOKUP(B129,Bounties!A:D,4,FALSE)</f>
        <v>Events/Meetups</v>
      </c>
      <c r="O129" s="1" t="str">
        <f t="shared" ref="O129:P129" si="133">IF(ISBLANK(K129),M129,K129)</f>
        <v>Outreach</v>
      </c>
      <c r="P129" s="1" t="str">
        <f t="shared" si="133"/>
        <v>Events/Meetups</v>
      </c>
      <c r="Q129" s="108" t="str">
        <f t="shared" si="3"/>
        <v>2023</v>
      </c>
      <c r="R129" s="110">
        <f t="shared" si="4"/>
        <v>2</v>
      </c>
      <c r="S129" s="108" t="str">
        <f t="shared" si="5"/>
        <v>2023-Q1</v>
      </c>
      <c r="T129" s="111" t="str">
        <f t="shared" si="6"/>
        <v>2023-02</v>
      </c>
      <c r="U129" s="112" t="str">
        <f t="shared" si="7"/>
        <v>2023-H1</v>
      </c>
      <c r="V129" s="1" t="str">
        <f>VLOOKUP(B129,Bounties!A:E,2,FALSE)</f>
        <v>Events Bounty</v>
      </c>
    </row>
    <row r="130" hidden="1">
      <c r="A130" s="109">
        <f>HYPERLINK("https://polkadot.subsquare.io/treasury/child-bounties/128", 128)</f>
        <v>128</v>
      </c>
      <c r="B130" s="183">
        <v>17.0</v>
      </c>
      <c r="C130" s="27" t="s">
        <v>3404</v>
      </c>
      <c r="D130" s="27" t="s">
        <v>734</v>
      </c>
      <c r="E130" s="129">
        <v>10821.0</v>
      </c>
      <c r="F130" s="66">
        <v>69320.03954601288</v>
      </c>
      <c r="G130" s="27" t="s">
        <v>3444</v>
      </c>
      <c r="H130" s="167">
        <v>44949.0</v>
      </c>
      <c r="I130" s="167">
        <v>44960.0</v>
      </c>
      <c r="J130" s="66">
        <v>70280.2214627266</v>
      </c>
      <c r="K130" s="1"/>
      <c r="L130" s="1"/>
      <c r="M130" s="1" t="str">
        <f>VLOOKUP(B130,Bounties!A:D,3,FALSE)</f>
        <v>Outreach</v>
      </c>
      <c r="N130" s="1" t="str">
        <f>VLOOKUP(B130,Bounties!A:D,4,FALSE)</f>
        <v>Events/Meetups</v>
      </c>
      <c r="O130" s="1" t="str">
        <f t="shared" ref="O130:P130" si="134">IF(ISBLANK(K130),M130,K130)</f>
        <v>Outreach</v>
      </c>
      <c r="P130" s="1" t="str">
        <f t="shared" si="134"/>
        <v>Events/Meetups</v>
      </c>
      <c r="Q130" s="108" t="str">
        <f t="shared" si="3"/>
        <v>2023</v>
      </c>
      <c r="R130" s="110">
        <f t="shared" si="4"/>
        <v>2</v>
      </c>
      <c r="S130" s="108" t="str">
        <f t="shared" si="5"/>
        <v>2023-Q1</v>
      </c>
      <c r="T130" s="111" t="str">
        <f t="shared" si="6"/>
        <v>2023-02</v>
      </c>
      <c r="U130" s="112" t="str">
        <f t="shared" si="7"/>
        <v>2023-H1</v>
      </c>
      <c r="V130" s="1" t="str">
        <f>VLOOKUP(B130,Bounties!A:E,2,FALSE)</f>
        <v>Events Bounty</v>
      </c>
    </row>
    <row r="131" hidden="1">
      <c r="A131" s="109">
        <f>HYPERLINK("https://polkadot.subsquare.io/treasury/child-bounties/129", 129)</f>
        <v>129</v>
      </c>
      <c r="B131" s="183">
        <v>17.0</v>
      </c>
      <c r="C131" s="27" t="s">
        <v>3404</v>
      </c>
      <c r="D131" s="27" t="s">
        <v>735</v>
      </c>
      <c r="E131" s="129">
        <v>49.2</v>
      </c>
      <c r="F131" s="66">
        <v>308.20695533752445</v>
      </c>
      <c r="G131" s="27" t="s">
        <v>3437</v>
      </c>
      <c r="H131" s="167">
        <v>44954.0</v>
      </c>
      <c r="I131" s="167">
        <v>44964.0</v>
      </c>
      <c r="J131" s="66">
        <v>304.53275356292727</v>
      </c>
      <c r="K131" s="1"/>
      <c r="L131" s="1"/>
      <c r="M131" s="1" t="str">
        <f>VLOOKUP(B131,Bounties!A:D,3,FALSE)</f>
        <v>Outreach</v>
      </c>
      <c r="N131" s="1" t="str">
        <f>VLOOKUP(B131,Bounties!A:D,4,FALSE)</f>
        <v>Events/Meetups</v>
      </c>
      <c r="O131" s="1" t="str">
        <f t="shared" ref="O131:P131" si="135">IF(ISBLANK(K131),M131,K131)</f>
        <v>Outreach</v>
      </c>
      <c r="P131" s="1" t="str">
        <f t="shared" si="135"/>
        <v>Events/Meetups</v>
      </c>
      <c r="Q131" s="108" t="str">
        <f t="shared" si="3"/>
        <v>2023</v>
      </c>
      <c r="R131" s="110">
        <f t="shared" si="4"/>
        <v>2</v>
      </c>
      <c r="S131" s="108" t="str">
        <f t="shared" si="5"/>
        <v>2023-Q1</v>
      </c>
      <c r="T131" s="111" t="str">
        <f t="shared" si="6"/>
        <v>2023-02</v>
      </c>
      <c r="U131" s="112" t="str">
        <f t="shared" si="7"/>
        <v>2023-H1</v>
      </c>
      <c r="V131" s="1" t="str">
        <f>VLOOKUP(B131,Bounties!A:E,2,FALSE)</f>
        <v>Events Bounty</v>
      </c>
    </row>
    <row r="132" hidden="1">
      <c r="A132" s="109">
        <f>HYPERLINK("https://polkadot.subsquare.io/treasury/child-bounties/130", 130)</f>
        <v>130</v>
      </c>
      <c r="B132" s="183">
        <v>17.0</v>
      </c>
      <c r="C132" s="27" t="s">
        <v>3404</v>
      </c>
      <c r="D132" s="27" t="s">
        <v>736</v>
      </c>
      <c r="E132" s="129">
        <v>6303.0</v>
      </c>
      <c r="F132" s="66">
        <v>43384.21857833862</v>
      </c>
      <c r="G132" s="27" t="s">
        <v>3445</v>
      </c>
      <c r="H132" s="167">
        <v>44958.0</v>
      </c>
      <c r="I132" s="167">
        <v>44968.0</v>
      </c>
      <c r="J132" s="66">
        <v>39252.398112773895</v>
      </c>
      <c r="K132" s="1"/>
      <c r="L132" s="1"/>
      <c r="M132" s="1" t="str">
        <f>VLOOKUP(B132,Bounties!A:D,3,FALSE)</f>
        <v>Outreach</v>
      </c>
      <c r="N132" s="1" t="str">
        <f>VLOOKUP(B132,Bounties!A:D,4,FALSE)</f>
        <v>Events/Meetups</v>
      </c>
      <c r="O132" s="1" t="str">
        <f t="shared" ref="O132:P132" si="136">IF(ISBLANK(K132),M132,K132)</f>
        <v>Outreach</v>
      </c>
      <c r="P132" s="1" t="str">
        <f t="shared" si="136"/>
        <v>Events/Meetups</v>
      </c>
      <c r="Q132" s="108" t="str">
        <f t="shared" si="3"/>
        <v>2023</v>
      </c>
      <c r="R132" s="110">
        <f t="shared" si="4"/>
        <v>2</v>
      </c>
      <c r="S132" s="108" t="str">
        <f t="shared" si="5"/>
        <v>2023-Q1</v>
      </c>
      <c r="T132" s="111" t="str">
        <f t="shared" si="6"/>
        <v>2023-02</v>
      </c>
      <c r="U132" s="112" t="str">
        <f t="shared" si="7"/>
        <v>2023-H1</v>
      </c>
      <c r="V132" s="1" t="str">
        <f>VLOOKUP(B132,Bounties!A:E,2,FALSE)</f>
        <v>Events Bounty</v>
      </c>
    </row>
    <row r="133" hidden="1">
      <c r="A133" s="109">
        <f>HYPERLINK("https://polkadot.subsquare.io/treasury/child-bounties/131", 131)</f>
        <v>131</v>
      </c>
      <c r="B133" s="183">
        <v>17.0</v>
      </c>
      <c r="C133" s="27" t="s">
        <v>3404</v>
      </c>
      <c r="D133" s="27" t="s">
        <v>737</v>
      </c>
      <c r="E133" s="129">
        <v>44.38</v>
      </c>
      <c r="F133" s="66">
        <v>299.53277022361755</v>
      </c>
      <c r="G133" s="27" t="s">
        <v>3446</v>
      </c>
      <c r="H133" s="167">
        <v>44962.0</v>
      </c>
      <c r="I133" s="167">
        <v>44972.0</v>
      </c>
      <c r="J133" s="66">
        <v>321.43039557456973</v>
      </c>
      <c r="K133" s="1"/>
      <c r="L133" s="1"/>
      <c r="M133" s="1" t="str">
        <f>VLOOKUP(B133,Bounties!A:D,3,FALSE)</f>
        <v>Outreach</v>
      </c>
      <c r="N133" s="1" t="str">
        <f>VLOOKUP(B133,Bounties!A:D,4,FALSE)</f>
        <v>Events/Meetups</v>
      </c>
      <c r="O133" s="1" t="str">
        <f t="shared" ref="O133:P133" si="137">IF(ISBLANK(K133),M133,K133)</f>
        <v>Outreach</v>
      </c>
      <c r="P133" s="1" t="str">
        <f t="shared" si="137"/>
        <v>Events/Meetups</v>
      </c>
      <c r="Q133" s="108" t="str">
        <f t="shared" si="3"/>
        <v>2023</v>
      </c>
      <c r="R133" s="110">
        <f t="shared" si="4"/>
        <v>2</v>
      </c>
      <c r="S133" s="108" t="str">
        <f t="shared" si="5"/>
        <v>2023-Q1</v>
      </c>
      <c r="T133" s="111" t="str">
        <f t="shared" si="6"/>
        <v>2023-02</v>
      </c>
      <c r="U133" s="112" t="str">
        <f t="shared" si="7"/>
        <v>2023-H1</v>
      </c>
      <c r="V133" s="1" t="str">
        <f>VLOOKUP(B133,Bounties!A:E,2,FALSE)</f>
        <v>Events Bounty</v>
      </c>
    </row>
    <row r="134" hidden="1">
      <c r="A134" s="109">
        <f>HYPERLINK("https://polkadot.subsquare.io/treasury/child-bounties/132", 132)</f>
        <v>132</v>
      </c>
      <c r="B134" s="183">
        <v>17.0</v>
      </c>
      <c r="C134" s="27" t="s">
        <v>3404</v>
      </c>
      <c r="D134" s="27" t="s">
        <v>738</v>
      </c>
      <c r="E134" s="129">
        <v>579.3</v>
      </c>
      <c r="F134" s="66">
        <v>3669.213891363144</v>
      </c>
      <c r="G134" s="27" t="s">
        <v>3413</v>
      </c>
      <c r="H134" s="167">
        <v>44970.0</v>
      </c>
      <c r="I134" s="167">
        <v>44997.0</v>
      </c>
      <c r="J134" s="66">
        <v>3409.737792062759</v>
      </c>
      <c r="K134" s="1"/>
      <c r="L134" s="1"/>
      <c r="M134" s="1" t="str">
        <f>VLOOKUP(B134,Bounties!A:D,3,FALSE)</f>
        <v>Outreach</v>
      </c>
      <c r="N134" s="1" t="str">
        <f>VLOOKUP(B134,Bounties!A:D,4,FALSE)</f>
        <v>Events/Meetups</v>
      </c>
      <c r="O134" s="1" t="str">
        <f t="shared" ref="O134:P134" si="138">IF(ISBLANK(K134),M134,K134)</f>
        <v>Outreach</v>
      </c>
      <c r="P134" s="1" t="str">
        <f t="shared" si="138"/>
        <v>Events/Meetups</v>
      </c>
      <c r="Q134" s="108" t="str">
        <f t="shared" si="3"/>
        <v>2023</v>
      </c>
      <c r="R134" s="110">
        <f t="shared" si="4"/>
        <v>3</v>
      </c>
      <c r="S134" s="108" t="str">
        <f t="shared" si="5"/>
        <v>2023-Q1</v>
      </c>
      <c r="T134" s="111" t="str">
        <f t="shared" si="6"/>
        <v>2023-03</v>
      </c>
      <c r="U134" s="112" t="str">
        <f t="shared" si="7"/>
        <v>2023-H1</v>
      </c>
      <c r="V134" s="1" t="str">
        <f>VLOOKUP(B134,Bounties!A:E,2,FALSE)</f>
        <v>Events Bounty</v>
      </c>
    </row>
    <row r="135" hidden="1">
      <c r="A135" s="109">
        <f>HYPERLINK("https://polkadot.subsquare.io/treasury/child-bounties/133", 133)</f>
        <v>133</v>
      </c>
      <c r="B135" s="183">
        <v>17.0</v>
      </c>
      <c r="C135" s="27" t="s">
        <v>3404</v>
      </c>
      <c r="D135" s="27" t="s">
        <v>739</v>
      </c>
      <c r="E135" s="129">
        <v>579.3</v>
      </c>
      <c r="F135" s="66">
        <v>3669.213891363144</v>
      </c>
      <c r="G135" s="27" t="s">
        <v>3447</v>
      </c>
      <c r="H135" s="167">
        <v>44970.0</v>
      </c>
      <c r="I135" s="167">
        <v>44983.0</v>
      </c>
      <c r="J135" s="66">
        <v>3675.6213634014125</v>
      </c>
      <c r="K135" s="1"/>
      <c r="L135" s="1"/>
      <c r="M135" s="1" t="str">
        <f>VLOOKUP(B135,Bounties!A:D,3,FALSE)</f>
        <v>Outreach</v>
      </c>
      <c r="N135" s="1" t="str">
        <f>VLOOKUP(B135,Bounties!A:D,4,FALSE)</f>
        <v>Events/Meetups</v>
      </c>
      <c r="O135" s="1" t="str">
        <f t="shared" ref="O135:P135" si="139">IF(ISBLANK(K135),M135,K135)</f>
        <v>Outreach</v>
      </c>
      <c r="P135" s="1" t="str">
        <f t="shared" si="139"/>
        <v>Events/Meetups</v>
      </c>
      <c r="Q135" s="108" t="str">
        <f t="shared" si="3"/>
        <v>2023</v>
      </c>
      <c r="R135" s="110">
        <f t="shared" si="4"/>
        <v>2</v>
      </c>
      <c r="S135" s="108" t="str">
        <f t="shared" si="5"/>
        <v>2023-Q1</v>
      </c>
      <c r="T135" s="111" t="str">
        <f t="shared" si="6"/>
        <v>2023-02</v>
      </c>
      <c r="U135" s="112" t="str">
        <f t="shared" si="7"/>
        <v>2023-H1</v>
      </c>
      <c r="V135" s="1" t="str">
        <f>VLOOKUP(B135,Bounties!A:E,2,FALSE)</f>
        <v>Events Bounty</v>
      </c>
    </row>
    <row r="136" hidden="1">
      <c r="A136" s="109">
        <f>HYPERLINK("https://polkadot.subsquare.io/treasury/child-bounties/134", 134)</f>
        <v>134</v>
      </c>
      <c r="B136" s="183">
        <v>17.0</v>
      </c>
      <c r="C136" s="27" t="s">
        <v>3404</v>
      </c>
      <c r="D136" s="27" t="s">
        <v>740</v>
      </c>
      <c r="E136" s="129">
        <v>844.8</v>
      </c>
      <c r="F136" s="66">
        <v>5350.857751464843</v>
      </c>
      <c r="G136" s="27" t="s">
        <v>3448</v>
      </c>
      <c r="H136" s="167">
        <v>44970.0</v>
      </c>
      <c r="I136" s="167">
        <v>44978.0</v>
      </c>
      <c r="J136" s="66">
        <v>5587.86357421875</v>
      </c>
      <c r="K136" s="1"/>
      <c r="L136" s="1"/>
      <c r="M136" s="1" t="str">
        <f>VLOOKUP(B136,Bounties!A:D,3,FALSE)</f>
        <v>Outreach</v>
      </c>
      <c r="N136" s="1" t="str">
        <f>VLOOKUP(B136,Bounties!A:D,4,FALSE)</f>
        <v>Events/Meetups</v>
      </c>
      <c r="O136" s="1" t="str">
        <f t="shared" ref="O136:P136" si="140">IF(ISBLANK(K136),M136,K136)</f>
        <v>Outreach</v>
      </c>
      <c r="P136" s="1" t="str">
        <f t="shared" si="140"/>
        <v>Events/Meetups</v>
      </c>
      <c r="Q136" s="108" t="str">
        <f t="shared" si="3"/>
        <v>2023</v>
      </c>
      <c r="R136" s="110">
        <f t="shared" si="4"/>
        <v>2</v>
      </c>
      <c r="S136" s="108" t="str">
        <f t="shared" si="5"/>
        <v>2023-Q1</v>
      </c>
      <c r="T136" s="111" t="str">
        <f t="shared" si="6"/>
        <v>2023-02</v>
      </c>
      <c r="U136" s="112" t="str">
        <f t="shared" si="7"/>
        <v>2023-H1</v>
      </c>
      <c r="V136" s="1" t="str">
        <f>VLOOKUP(B136,Bounties!A:E,2,FALSE)</f>
        <v>Events Bounty</v>
      </c>
    </row>
    <row r="137" hidden="1">
      <c r="A137" s="109">
        <f>HYPERLINK("https://polkadot.subsquare.io/treasury/child-bounties/135", 135)</f>
        <v>135</v>
      </c>
      <c r="B137" s="183">
        <v>17.0</v>
      </c>
      <c r="C137" s="27" t="s">
        <v>3404</v>
      </c>
      <c r="D137" s="27" t="s">
        <v>741</v>
      </c>
      <c r="E137" s="129">
        <v>3074.6</v>
      </c>
      <c r="F137" s="66">
        <v>22085.525002098082</v>
      </c>
      <c r="G137" s="27" t="s">
        <v>3449</v>
      </c>
      <c r="H137" s="167">
        <v>44977.0</v>
      </c>
      <c r="I137" s="167">
        <v>44988.0</v>
      </c>
      <c r="J137" s="66">
        <v>18386.317708587645</v>
      </c>
      <c r="K137" s="1"/>
      <c r="L137" s="1" t="s">
        <v>266</v>
      </c>
      <c r="M137" s="1" t="str">
        <f>VLOOKUP(B137,Bounties!A:D,3,FALSE)</f>
        <v>Outreach</v>
      </c>
      <c r="N137" s="1" t="str">
        <f>VLOOKUP(B137,Bounties!A:D,4,FALSE)</f>
        <v>Events/Meetups</v>
      </c>
      <c r="O137" s="1" t="str">
        <f t="shared" ref="O137:P137" si="141">IF(ISBLANK(K137),M137,K137)</f>
        <v>Outreach</v>
      </c>
      <c r="P137" s="1" t="str">
        <f t="shared" si="141"/>
        <v>Events/Conference Attendance &amp; Side Events</v>
      </c>
      <c r="Q137" s="108" t="str">
        <f t="shared" si="3"/>
        <v>2023</v>
      </c>
      <c r="R137" s="110">
        <f t="shared" si="4"/>
        <v>3</v>
      </c>
      <c r="S137" s="108" t="str">
        <f t="shared" si="5"/>
        <v>2023-Q1</v>
      </c>
      <c r="T137" s="111" t="str">
        <f t="shared" si="6"/>
        <v>2023-03</v>
      </c>
      <c r="U137" s="112" t="str">
        <f t="shared" si="7"/>
        <v>2023-H1</v>
      </c>
      <c r="V137" s="1" t="str">
        <f>VLOOKUP(B137,Bounties!A:E,2,FALSE)</f>
        <v>Events Bounty</v>
      </c>
    </row>
    <row r="138" hidden="1">
      <c r="A138" s="109">
        <f>HYPERLINK("https://polkadot.subsquare.io/treasury/child-bounties/136", 136)</f>
        <v>136</v>
      </c>
      <c r="B138" s="183">
        <v>17.0</v>
      </c>
      <c r="C138" s="27" t="s">
        <v>3404</v>
      </c>
      <c r="D138" s="27" t="s">
        <v>742</v>
      </c>
      <c r="E138" s="129">
        <v>129.4</v>
      </c>
      <c r="F138" s="66">
        <v>929.5085329055787</v>
      </c>
      <c r="G138" s="27" t="s">
        <v>3450</v>
      </c>
      <c r="H138" s="167">
        <v>44977.0</v>
      </c>
      <c r="I138" s="167">
        <v>44990.0</v>
      </c>
      <c r="J138" s="66">
        <v>724.0579458236695</v>
      </c>
      <c r="K138" s="1"/>
      <c r="L138" s="1"/>
      <c r="M138" s="1" t="str">
        <f>VLOOKUP(B138,Bounties!A:D,3,FALSE)</f>
        <v>Outreach</v>
      </c>
      <c r="N138" s="1" t="str">
        <f>VLOOKUP(B138,Bounties!A:D,4,FALSE)</f>
        <v>Events/Meetups</v>
      </c>
      <c r="O138" s="1" t="str">
        <f t="shared" ref="O138:P138" si="142">IF(ISBLANK(K138),M138,K138)</f>
        <v>Outreach</v>
      </c>
      <c r="P138" s="1" t="str">
        <f t="shared" si="142"/>
        <v>Events/Meetups</v>
      </c>
      <c r="Q138" s="108" t="str">
        <f t="shared" si="3"/>
        <v>2023</v>
      </c>
      <c r="R138" s="110">
        <f t="shared" si="4"/>
        <v>3</v>
      </c>
      <c r="S138" s="108" t="str">
        <f t="shared" si="5"/>
        <v>2023-Q1</v>
      </c>
      <c r="T138" s="111" t="str">
        <f t="shared" si="6"/>
        <v>2023-03</v>
      </c>
      <c r="U138" s="112" t="str">
        <f t="shared" si="7"/>
        <v>2023-H1</v>
      </c>
      <c r="V138" s="1" t="str">
        <f>VLOOKUP(B138,Bounties!A:E,2,FALSE)</f>
        <v>Events Bounty</v>
      </c>
    </row>
    <row r="139" hidden="1">
      <c r="A139" s="109">
        <f>HYPERLINK("https://polkadot.subsquare.io/treasury/child-bounties/137", 137)</f>
        <v>137</v>
      </c>
      <c r="B139" s="183">
        <v>17.0</v>
      </c>
      <c r="C139" s="27" t="s">
        <v>3404</v>
      </c>
      <c r="D139" s="27" t="s">
        <v>743</v>
      </c>
      <c r="E139" s="129">
        <v>7307.3</v>
      </c>
      <c r="F139" s="66">
        <v>47793.99616408348</v>
      </c>
      <c r="G139" s="27" t="s">
        <v>3451</v>
      </c>
      <c r="H139" s="167">
        <v>44979.0</v>
      </c>
      <c r="I139" s="167">
        <v>45004.0</v>
      </c>
      <c r="J139" s="66">
        <v>46643.1014316082</v>
      </c>
      <c r="K139" s="1"/>
      <c r="L139" s="1" t="s">
        <v>266</v>
      </c>
      <c r="M139" s="1" t="str">
        <f>VLOOKUP(B139,Bounties!A:D,3,FALSE)</f>
        <v>Outreach</v>
      </c>
      <c r="N139" s="1" t="str">
        <f>VLOOKUP(B139,Bounties!A:D,4,FALSE)</f>
        <v>Events/Meetups</v>
      </c>
      <c r="O139" s="1" t="str">
        <f t="shared" ref="O139:P139" si="143">IF(ISBLANK(K139),M139,K139)</f>
        <v>Outreach</v>
      </c>
      <c r="P139" s="1" t="str">
        <f t="shared" si="143"/>
        <v>Events/Conference Attendance &amp; Side Events</v>
      </c>
      <c r="Q139" s="108" t="str">
        <f t="shared" si="3"/>
        <v>2023</v>
      </c>
      <c r="R139" s="110">
        <f t="shared" si="4"/>
        <v>3</v>
      </c>
      <c r="S139" s="108" t="str">
        <f t="shared" si="5"/>
        <v>2023-Q1</v>
      </c>
      <c r="T139" s="111" t="str">
        <f t="shared" si="6"/>
        <v>2023-03</v>
      </c>
      <c r="U139" s="112" t="str">
        <f t="shared" si="7"/>
        <v>2023-H1</v>
      </c>
      <c r="V139" s="1" t="str">
        <f>VLOOKUP(B139,Bounties!A:E,2,FALSE)</f>
        <v>Events Bounty</v>
      </c>
    </row>
    <row r="140" hidden="1">
      <c r="A140" s="109">
        <f>HYPERLINK("https://polkadot.subsquare.io/treasury/child-bounties/138", 138)</f>
        <v>138</v>
      </c>
      <c r="B140" s="183">
        <v>17.0</v>
      </c>
      <c r="C140" s="27" t="s">
        <v>3404</v>
      </c>
      <c r="D140" s="27" t="s">
        <v>744</v>
      </c>
      <c r="E140" s="129">
        <v>3793.0</v>
      </c>
      <c r="F140" s="66">
        <v>24808.428208827972</v>
      </c>
      <c r="G140" s="27" t="s">
        <v>3452</v>
      </c>
      <c r="H140" s="167">
        <v>44979.0</v>
      </c>
      <c r="I140" s="167">
        <v>45020.0</v>
      </c>
      <c r="J140" s="66">
        <v>23458.87099838257</v>
      </c>
      <c r="K140" s="1"/>
      <c r="L140" s="1" t="s">
        <v>266</v>
      </c>
      <c r="M140" s="1" t="str">
        <f>VLOOKUP(B140,Bounties!A:D,3,FALSE)</f>
        <v>Outreach</v>
      </c>
      <c r="N140" s="1" t="str">
        <f>VLOOKUP(B140,Bounties!A:D,4,FALSE)</f>
        <v>Events/Meetups</v>
      </c>
      <c r="O140" s="1" t="str">
        <f t="shared" ref="O140:P140" si="144">IF(ISBLANK(K140),M140,K140)</f>
        <v>Outreach</v>
      </c>
      <c r="P140" s="1" t="str">
        <f t="shared" si="144"/>
        <v>Events/Conference Attendance &amp; Side Events</v>
      </c>
      <c r="Q140" s="108" t="str">
        <f t="shared" si="3"/>
        <v>2023</v>
      </c>
      <c r="R140" s="110">
        <f t="shared" si="4"/>
        <v>4</v>
      </c>
      <c r="S140" s="108" t="str">
        <f t="shared" si="5"/>
        <v>2023-Q2</v>
      </c>
      <c r="T140" s="111" t="str">
        <f t="shared" si="6"/>
        <v>2023-04</v>
      </c>
      <c r="U140" s="112" t="str">
        <f t="shared" si="7"/>
        <v>2023-H1</v>
      </c>
      <c r="V140" s="1" t="str">
        <f>VLOOKUP(B140,Bounties!A:E,2,FALSE)</f>
        <v>Events Bounty</v>
      </c>
    </row>
    <row r="141" hidden="1">
      <c r="A141" s="109">
        <f>HYPERLINK("https://polkadot.subsquare.io/treasury/child-bounties/139", 139)</f>
        <v>139</v>
      </c>
      <c r="B141" s="183">
        <v>11.0</v>
      </c>
      <c r="C141" s="27" t="s">
        <v>3404</v>
      </c>
      <c r="D141" s="27" t="s">
        <v>745</v>
      </c>
      <c r="E141" s="129">
        <v>628.75</v>
      </c>
      <c r="F141" s="66">
        <v>3383.1313848495483</v>
      </c>
      <c r="G141" s="27" t="s">
        <v>3406</v>
      </c>
      <c r="H141" s="167">
        <v>44991.0</v>
      </c>
      <c r="I141" s="167">
        <v>45001.0</v>
      </c>
      <c r="J141" s="66">
        <v>3979.0991109609604</v>
      </c>
      <c r="K141" s="1"/>
      <c r="L141" s="1"/>
      <c r="M141" s="1" t="str">
        <f>VLOOKUP(B141,Bounties!A:D,3,FALSE)</f>
        <v>Research</v>
      </c>
      <c r="N141" s="1" t="str">
        <f>VLOOKUP(B141,Bounties!A:D,4,FALSE)</f>
        <v>Anti-Scam</v>
      </c>
      <c r="O141" s="1" t="str">
        <f t="shared" ref="O141:P141" si="145">IF(ISBLANK(K141),M141,K141)</f>
        <v>Research</v>
      </c>
      <c r="P141" s="1" t="str">
        <f t="shared" si="145"/>
        <v>Anti-Scam</v>
      </c>
      <c r="Q141" s="108" t="str">
        <f t="shared" si="3"/>
        <v>2023</v>
      </c>
      <c r="R141" s="110">
        <f t="shared" si="4"/>
        <v>3</v>
      </c>
      <c r="S141" s="108" t="str">
        <f t="shared" si="5"/>
        <v>2023-Q1</v>
      </c>
      <c r="T141" s="111" t="str">
        <f t="shared" si="6"/>
        <v>2023-03</v>
      </c>
      <c r="U141" s="112" t="str">
        <f t="shared" si="7"/>
        <v>2023-H1</v>
      </c>
      <c r="V141" s="1" t="str">
        <f>VLOOKUP(B141,Bounties!A:E,2,FALSE)</f>
        <v>Anti-Scam Bounty</v>
      </c>
    </row>
    <row r="142" hidden="1">
      <c r="A142" s="109">
        <f>HYPERLINK("https://polkadot.subsquare.io/treasury/child-bounties/140", 140)</f>
        <v>140</v>
      </c>
      <c r="B142" s="183">
        <v>11.0</v>
      </c>
      <c r="C142" s="27" t="s">
        <v>3404</v>
      </c>
      <c r="D142" s="27" t="s">
        <v>746</v>
      </c>
      <c r="E142" s="129">
        <v>1964.0</v>
      </c>
      <c r="F142" s="66">
        <v>10567.745590209961</v>
      </c>
      <c r="G142" s="27" t="s">
        <v>3407</v>
      </c>
      <c r="H142" s="167">
        <v>44991.0</v>
      </c>
      <c r="I142" s="167">
        <v>45001.0</v>
      </c>
      <c r="J142" s="66">
        <v>12707.383953094482</v>
      </c>
      <c r="K142" s="1"/>
      <c r="L142" s="1"/>
      <c r="M142" s="1" t="str">
        <f>VLOOKUP(B142,Bounties!A:D,3,FALSE)</f>
        <v>Research</v>
      </c>
      <c r="N142" s="1" t="str">
        <f>VLOOKUP(B142,Bounties!A:D,4,FALSE)</f>
        <v>Anti-Scam</v>
      </c>
      <c r="O142" s="1" t="str">
        <f t="shared" ref="O142:P142" si="146">IF(ISBLANK(K142),M142,K142)</f>
        <v>Research</v>
      </c>
      <c r="P142" s="1" t="str">
        <f t="shared" si="146"/>
        <v>Anti-Scam</v>
      </c>
      <c r="Q142" s="108" t="str">
        <f t="shared" si="3"/>
        <v>2023</v>
      </c>
      <c r="R142" s="110">
        <f t="shared" si="4"/>
        <v>3</v>
      </c>
      <c r="S142" s="108" t="str">
        <f t="shared" si="5"/>
        <v>2023-Q1</v>
      </c>
      <c r="T142" s="111" t="str">
        <f t="shared" si="6"/>
        <v>2023-03</v>
      </c>
      <c r="U142" s="112" t="str">
        <f t="shared" si="7"/>
        <v>2023-H1</v>
      </c>
      <c r="V142" s="1" t="str">
        <f>VLOOKUP(B142,Bounties!A:E,2,FALSE)</f>
        <v>Anti-Scam Bounty</v>
      </c>
    </row>
    <row r="143" hidden="1">
      <c r="A143" s="109">
        <f>HYPERLINK("https://polkadot.subsquare.io/treasury/child-bounties/141", 141)</f>
        <v>141</v>
      </c>
      <c r="B143" s="183">
        <v>11.0</v>
      </c>
      <c r="C143" s="27" t="s">
        <v>3404</v>
      </c>
      <c r="D143" s="27" t="s">
        <v>747</v>
      </c>
      <c r="E143" s="129">
        <v>1078.7</v>
      </c>
      <c r="F143" s="66">
        <v>5804.188985824585</v>
      </c>
      <c r="G143" s="27" t="s">
        <v>3411</v>
      </c>
      <c r="H143" s="167">
        <v>44991.0</v>
      </c>
      <c r="I143" s="167">
        <v>45001.0</v>
      </c>
      <c r="J143" s="66">
        <v>6826.646856451035</v>
      </c>
      <c r="K143" s="1"/>
      <c r="L143" s="1"/>
      <c r="M143" s="1" t="str">
        <f>VLOOKUP(B143,Bounties!A:D,3,FALSE)</f>
        <v>Research</v>
      </c>
      <c r="N143" s="1" t="str">
        <f>VLOOKUP(B143,Bounties!A:D,4,FALSE)</f>
        <v>Anti-Scam</v>
      </c>
      <c r="O143" s="1" t="str">
        <f t="shared" ref="O143:P143" si="147">IF(ISBLANK(K143),M143,K143)</f>
        <v>Research</v>
      </c>
      <c r="P143" s="1" t="str">
        <f t="shared" si="147"/>
        <v>Anti-Scam</v>
      </c>
      <c r="Q143" s="108" t="str">
        <f t="shared" si="3"/>
        <v>2023</v>
      </c>
      <c r="R143" s="110">
        <f t="shared" si="4"/>
        <v>3</v>
      </c>
      <c r="S143" s="108" t="str">
        <f t="shared" si="5"/>
        <v>2023-Q1</v>
      </c>
      <c r="T143" s="111" t="str">
        <f t="shared" si="6"/>
        <v>2023-03</v>
      </c>
      <c r="U143" s="112" t="str">
        <f t="shared" si="7"/>
        <v>2023-H1</v>
      </c>
      <c r="V143" s="1" t="str">
        <f>VLOOKUP(B143,Bounties!A:E,2,FALSE)</f>
        <v>Anti-Scam Bounty</v>
      </c>
    </row>
    <row r="144" hidden="1">
      <c r="A144" s="109">
        <f>HYPERLINK("https://polkadot.subsquare.io/treasury/child-bounties/142", 142)</f>
        <v>142</v>
      </c>
      <c r="B144" s="183">
        <v>17.0</v>
      </c>
      <c r="C144" s="27" t="s">
        <v>3404</v>
      </c>
      <c r="D144" s="27" t="s">
        <v>748</v>
      </c>
      <c r="E144" s="129">
        <v>97.1</v>
      </c>
      <c r="F144" s="66">
        <v>522.4684810638428</v>
      </c>
      <c r="G144" s="27" t="s">
        <v>3453</v>
      </c>
      <c r="H144" s="167">
        <v>44991.0</v>
      </c>
      <c r="I144" s="167">
        <v>45002.0</v>
      </c>
      <c r="J144" s="66">
        <v>628.2520274162292</v>
      </c>
      <c r="K144" s="1"/>
      <c r="L144" s="1"/>
      <c r="M144" s="1" t="str">
        <f>VLOOKUP(B144,Bounties!A:D,3,FALSE)</f>
        <v>Outreach</v>
      </c>
      <c r="N144" s="1" t="str">
        <f>VLOOKUP(B144,Bounties!A:D,4,FALSE)</f>
        <v>Events/Meetups</v>
      </c>
      <c r="O144" s="1" t="str">
        <f t="shared" ref="O144:P144" si="148">IF(ISBLANK(K144),M144,K144)</f>
        <v>Outreach</v>
      </c>
      <c r="P144" s="1" t="str">
        <f t="shared" si="148"/>
        <v>Events/Meetups</v>
      </c>
      <c r="Q144" s="108" t="str">
        <f t="shared" si="3"/>
        <v>2023</v>
      </c>
      <c r="R144" s="110">
        <f t="shared" si="4"/>
        <v>3</v>
      </c>
      <c r="S144" s="108" t="str">
        <f t="shared" si="5"/>
        <v>2023-Q1</v>
      </c>
      <c r="T144" s="111" t="str">
        <f t="shared" si="6"/>
        <v>2023-03</v>
      </c>
      <c r="U144" s="112" t="str">
        <f t="shared" si="7"/>
        <v>2023-H1</v>
      </c>
      <c r="V144" s="1" t="str">
        <f>VLOOKUP(B144,Bounties!A:E,2,FALSE)</f>
        <v>Events Bounty</v>
      </c>
    </row>
    <row r="145" hidden="1">
      <c r="A145" s="109">
        <f>HYPERLINK("https://polkadot.subsquare.io/treasury/child-bounties/143", 143)</f>
        <v>143</v>
      </c>
      <c r="B145" s="183">
        <v>17.0</v>
      </c>
      <c r="C145" s="27" t="s">
        <v>3404</v>
      </c>
      <c r="D145" s="27" t="s">
        <v>749</v>
      </c>
      <c r="E145" s="129">
        <v>32.4</v>
      </c>
      <c r="F145" s="66">
        <v>174.33551788330078</v>
      </c>
      <c r="G145" s="27" t="s">
        <v>3431</v>
      </c>
      <c r="H145" s="167">
        <v>44991.0</v>
      </c>
      <c r="I145" s="167">
        <v>45002.0</v>
      </c>
      <c r="J145" s="66">
        <v>197.49572925567625</v>
      </c>
      <c r="K145" s="1"/>
      <c r="L145" s="1"/>
      <c r="M145" s="1" t="str">
        <f>VLOOKUP(B145,Bounties!A:D,3,FALSE)</f>
        <v>Outreach</v>
      </c>
      <c r="N145" s="1" t="str">
        <f>VLOOKUP(B145,Bounties!A:D,4,FALSE)</f>
        <v>Events/Meetups</v>
      </c>
      <c r="O145" s="1" t="str">
        <f t="shared" ref="O145:P145" si="149">IF(ISBLANK(K145),M145,K145)</f>
        <v>Outreach</v>
      </c>
      <c r="P145" s="1" t="str">
        <f t="shared" si="149"/>
        <v>Events/Meetups</v>
      </c>
      <c r="Q145" s="108" t="str">
        <f t="shared" si="3"/>
        <v>2023</v>
      </c>
      <c r="R145" s="110">
        <f t="shared" si="4"/>
        <v>3</v>
      </c>
      <c r="S145" s="108" t="str">
        <f t="shared" si="5"/>
        <v>2023-Q1</v>
      </c>
      <c r="T145" s="111" t="str">
        <f t="shared" si="6"/>
        <v>2023-03</v>
      </c>
      <c r="U145" s="112" t="str">
        <f t="shared" si="7"/>
        <v>2023-H1</v>
      </c>
      <c r="V145" s="1" t="str">
        <f>VLOOKUP(B145,Bounties!A:E,2,FALSE)</f>
        <v>Events Bounty</v>
      </c>
    </row>
    <row r="146" hidden="1">
      <c r="A146" s="109">
        <f>HYPERLINK("https://polkadot.subsquare.io/treasury/child-bounties/144", 144)</f>
        <v>144</v>
      </c>
      <c r="B146" s="183">
        <v>17.0</v>
      </c>
      <c r="C146" s="27" t="s">
        <v>3404</v>
      </c>
      <c r="D146" s="27" t="s">
        <v>750</v>
      </c>
      <c r="E146" s="129">
        <v>24.3</v>
      </c>
      <c r="F146" s="66">
        <v>130.7516384124756</v>
      </c>
      <c r="G146" s="27" t="s">
        <v>3454</v>
      </c>
      <c r="H146" s="167">
        <v>44991.0</v>
      </c>
      <c r="I146" s="167">
        <v>45009.0</v>
      </c>
      <c r="J146" s="66">
        <v>142.72889728546144</v>
      </c>
      <c r="K146" s="1"/>
      <c r="L146" s="1"/>
      <c r="M146" s="1" t="str">
        <f>VLOOKUP(B146,Bounties!A:D,3,FALSE)</f>
        <v>Outreach</v>
      </c>
      <c r="N146" s="1" t="str">
        <f>VLOOKUP(B146,Bounties!A:D,4,FALSE)</f>
        <v>Events/Meetups</v>
      </c>
      <c r="O146" s="1" t="str">
        <f t="shared" ref="O146:P146" si="150">IF(ISBLANK(K146),M146,K146)</f>
        <v>Outreach</v>
      </c>
      <c r="P146" s="1" t="str">
        <f t="shared" si="150"/>
        <v>Events/Meetups</v>
      </c>
      <c r="Q146" s="108" t="str">
        <f t="shared" si="3"/>
        <v>2023</v>
      </c>
      <c r="R146" s="110">
        <f t="shared" si="4"/>
        <v>3</v>
      </c>
      <c r="S146" s="108" t="str">
        <f t="shared" si="5"/>
        <v>2023-Q1</v>
      </c>
      <c r="T146" s="111" t="str">
        <f t="shared" si="6"/>
        <v>2023-03</v>
      </c>
      <c r="U146" s="112" t="str">
        <f t="shared" si="7"/>
        <v>2023-H1</v>
      </c>
      <c r="V146" s="1" t="str">
        <f>VLOOKUP(B146,Bounties!A:E,2,FALSE)</f>
        <v>Events Bounty</v>
      </c>
    </row>
    <row r="147" hidden="1">
      <c r="A147" s="109">
        <f>HYPERLINK("https://polkadot.subsquare.io/treasury/child-bounties/145", 145)</f>
        <v>145</v>
      </c>
      <c r="B147" s="183">
        <v>17.0</v>
      </c>
      <c r="C147" s="27" t="s">
        <v>3404</v>
      </c>
      <c r="D147" s="27" t="s">
        <v>751</v>
      </c>
      <c r="E147" s="129">
        <v>48.6</v>
      </c>
      <c r="F147" s="66">
        <v>261.5032768249512</v>
      </c>
      <c r="G147" s="27" t="s">
        <v>3422</v>
      </c>
      <c r="H147" s="167">
        <v>44991.0</v>
      </c>
      <c r="I147" s="167">
        <v>45002.0</v>
      </c>
      <c r="J147" s="66">
        <v>296.2435938835144</v>
      </c>
      <c r="K147" s="1"/>
      <c r="L147" s="1"/>
      <c r="M147" s="1" t="str">
        <f>VLOOKUP(B147,Bounties!A:D,3,FALSE)</f>
        <v>Outreach</v>
      </c>
      <c r="N147" s="1" t="str">
        <f>VLOOKUP(B147,Bounties!A:D,4,FALSE)</f>
        <v>Events/Meetups</v>
      </c>
      <c r="O147" s="1" t="str">
        <f t="shared" ref="O147:P147" si="151">IF(ISBLANK(K147),M147,K147)</f>
        <v>Outreach</v>
      </c>
      <c r="P147" s="1" t="str">
        <f t="shared" si="151"/>
        <v>Events/Meetups</v>
      </c>
      <c r="Q147" s="108" t="str">
        <f t="shared" si="3"/>
        <v>2023</v>
      </c>
      <c r="R147" s="110">
        <f t="shared" si="4"/>
        <v>3</v>
      </c>
      <c r="S147" s="108" t="str">
        <f t="shared" si="5"/>
        <v>2023-Q1</v>
      </c>
      <c r="T147" s="111" t="str">
        <f t="shared" si="6"/>
        <v>2023-03</v>
      </c>
      <c r="U147" s="112" t="str">
        <f t="shared" si="7"/>
        <v>2023-H1</v>
      </c>
      <c r="V147" s="1" t="str">
        <f>VLOOKUP(B147,Bounties!A:E,2,FALSE)</f>
        <v>Events Bounty</v>
      </c>
    </row>
    <row r="148" hidden="1">
      <c r="A148" s="109">
        <f>HYPERLINK("https://polkadot.subsquare.io/treasury/child-bounties/146", 146)</f>
        <v>146</v>
      </c>
      <c r="B148" s="183">
        <v>17.0</v>
      </c>
      <c r="C148" s="27" t="s">
        <v>3404</v>
      </c>
      <c r="D148" s="27" t="s">
        <v>752</v>
      </c>
      <c r="E148" s="129">
        <v>24.3</v>
      </c>
      <c r="F148" s="66">
        <v>130.7516384124756</v>
      </c>
      <c r="G148" s="27" t="s">
        <v>3455</v>
      </c>
      <c r="H148" s="167">
        <v>44991.0</v>
      </c>
      <c r="I148" s="167">
        <v>45002.0</v>
      </c>
      <c r="J148" s="66">
        <v>148.1217969417572</v>
      </c>
      <c r="K148" s="1"/>
      <c r="L148" s="1"/>
      <c r="M148" s="1" t="str">
        <f>VLOOKUP(B148,Bounties!A:D,3,FALSE)</f>
        <v>Outreach</v>
      </c>
      <c r="N148" s="1" t="str">
        <f>VLOOKUP(B148,Bounties!A:D,4,FALSE)</f>
        <v>Events/Meetups</v>
      </c>
      <c r="O148" s="1" t="str">
        <f t="shared" ref="O148:P148" si="152">IF(ISBLANK(K148),M148,K148)</f>
        <v>Outreach</v>
      </c>
      <c r="P148" s="1" t="str">
        <f t="shared" si="152"/>
        <v>Events/Meetups</v>
      </c>
      <c r="Q148" s="108" t="str">
        <f t="shared" si="3"/>
        <v>2023</v>
      </c>
      <c r="R148" s="110">
        <f t="shared" si="4"/>
        <v>3</v>
      </c>
      <c r="S148" s="108" t="str">
        <f t="shared" si="5"/>
        <v>2023-Q1</v>
      </c>
      <c r="T148" s="111" t="str">
        <f t="shared" si="6"/>
        <v>2023-03</v>
      </c>
      <c r="U148" s="112" t="str">
        <f t="shared" si="7"/>
        <v>2023-H1</v>
      </c>
      <c r="V148" s="1" t="str">
        <f>VLOOKUP(B148,Bounties!A:E,2,FALSE)</f>
        <v>Events Bounty</v>
      </c>
    </row>
    <row r="149" hidden="1">
      <c r="A149" s="109">
        <f>HYPERLINK("https://polkadot.subsquare.io/treasury/child-bounties/147", 147)</f>
        <v>147</v>
      </c>
      <c r="B149" s="183">
        <v>17.0</v>
      </c>
      <c r="C149" s="27" t="s">
        <v>3404</v>
      </c>
      <c r="D149" s="27" t="s">
        <v>753</v>
      </c>
      <c r="E149" s="129">
        <v>32.4</v>
      </c>
      <c r="F149" s="66">
        <v>174.33551788330078</v>
      </c>
      <c r="G149" s="27" t="s">
        <v>3450</v>
      </c>
      <c r="H149" s="167">
        <v>44991.0</v>
      </c>
      <c r="I149" s="167">
        <v>45004.0</v>
      </c>
      <c r="J149" s="66">
        <v>196.45677967071532</v>
      </c>
      <c r="K149" s="1"/>
      <c r="L149" s="1"/>
      <c r="M149" s="1" t="str">
        <f>VLOOKUP(B149,Bounties!A:D,3,FALSE)</f>
        <v>Outreach</v>
      </c>
      <c r="N149" s="1" t="str">
        <f>VLOOKUP(B149,Bounties!A:D,4,FALSE)</f>
        <v>Events/Meetups</v>
      </c>
      <c r="O149" s="1" t="str">
        <f t="shared" ref="O149:P149" si="153">IF(ISBLANK(K149),M149,K149)</f>
        <v>Outreach</v>
      </c>
      <c r="P149" s="1" t="str">
        <f t="shared" si="153"/>
        <v>Events/Meetups</v>
      </c>
      <c r="Q149" s="108" t="str">
        <f t="shared" si="3"/>
        <v>2023</v>
      </c>
      <c r="R149" s="110">
        <f t="shared" si="4"/>
        <v>3</v>
      </c>
      <c r="S149" s="108" t="str">
        <f t="shared" si="5"/>
        <v>2023-Q1</v>
      </c>
      <c r="T149" s="111" t="str">
        <f t="shared" si="6"/>
        <v>2023-03</v>
      </c>
      <c r="U149" s="112" t="str">
        <f t="shared" si="7"/>
        <v>2023-H1</v>
      </c>
      <c r="V149" s="1" t="str">
        <f>VLOOKUP(B149,Bounties!A:E,2,FALSE)</f>
        <v>Events Bounty</v>
      </c>
    </row>
    <row r="150" hidden="1">
      <c r="A150" s="109">
        <f>HYPERLINK("https://polkadot.subsquare.io/treasury/child-bounties/148", 148)</f>
        <v>148</v>
      </c>
      <c r="B150" s="183">
        <v>17.0</v>
      </c>
      <c r="C150" s="27" t="s">
        <v>3404</v>
      </c>
      <c r="D150" s="27" t="s">
        <v>754</v>
      </c>
      <c r="E150" s="129">
        <v>24.3</v>
      </c>
      <c r="F150" s="66">
        <v>130.7516384124756</v>
      </c>
      <c r="G150" s="27" t="s">
        <v>3454</v>
      </c>
      <c r="H150" s="167">
        <v>44991.0</v>
      </c>
      <c r="I150" s="167">
        <v>45009.0</v>
      </c>
      <c r="J150" s="66">
        <v>142.72889728546144</v>
      </c>
      <c r="K150" s="1"/>
      <c r="L150" s="1"/>
      <c r="M150" s="1" t="str">
        <f>VLOOKUP(B150,Bounties!A:D,3,FALSE)</f>
        <v>Outreach</v>
      </c>
      <c r="N150" s="1" t="str">
        <f>VLOOKUP(B150,Bounties!A:D,4,FALSE)</f>
        <v>Events/Meetups</v>
      </c>
      <c r="O150" s="1" t="str">
        <f t="shared" ref="O150:P150" si="154">IF(ISBLANK(K150),M150,K150)</f>
        <v>Outreach</v>
      </c>
      <c r="P150" s="1" t="str">
        <f t="shared" si="154"/>
        <v>Events/Meetups</v>
      </c>
      <c r="Q150" s="108" t="str">
        <f t="shared" si="3"/>
        <v>2023</v>
      </c>
      <c r="R150" s="110">
        <f t="shared" si="4"/>
        <v>3</v>
      </c>
      <c r="S150" s="108" t="str">
        <f t="shared" si="5"/>
        <v>2023-Q1</v>
      </c>
      <c r="T150" s="111" t="str">
        <f t="shared" si="6"/>
        <v>2023-03</v>
      </c>
      <c r="U150" s="112" t="str">
        <f t="shared" si="7"/>
        <v>2023-H1</v>
      </c>
      <c r="V150" s="1" t="str">
        <f>VLOOKUP(B150,Bounties!A:E,2,FALSE)</f>
        <v>Events Bounty</v>
      </c>
    </row>
    <row r="151" hidden="1">
      <c r="A151" s="109">
        <f>HYPERLINK("https://polkadot.subsquare.io/treasury/child-bounties/149", 149)</f>
        <v>149</v>
      </c>
      <c r="B151" s="183">
        <v>17.0</v>
      </c>
      <c r="C151" s="27" t="s">
        <v>3404</v>
      </c>
      <c r="D151" s="27" t="s">
        <v>755</v>
      </c>
      <c r="E151" s="129">
        <v>48.6</v>
      </c>
      <c r="F151" s="66">
        <v>261.5032768249512</v>
      </c>
      <c r="G151" s="27" t="s">
        <v>3456</v>
      </c>
      <c r="H151" s="167">
        <v>44991.0</v>
      </c>
      <c r="I151" s="167">
        <v>45002.0</v>
      </c>
      <c r="J151" s="66">
        <v>296.2435938835144</v>
      </c>
      <c r="K151" s="1"/>
      <c r="L151" s="1"/>
      <c r="M151" s="1" t="str">
        <f>VLOOKUP(B151,Bounties!A:D,3,FALSE)</f>
        <v>Outreach</v>
      </c>
      <c r="N151" s="1" t="str">
        <f>VLOOKUP(B151,Bounties!A:D,4,FALSE)</f>
        <v>Events/Meetups</v>
      </c>
      <c r="O151" s="1" t="str">
        <f t="shared" ref="O151:P151" si="155">IF(ISBLANK(K151),M151,K151)</f>
        <v>Outreach</v>
      </c>
      <c r="P151" s="1" t="str">
        <f t="shared" si="155"/>
        <v>Events/Meetups</v>
      </c>
      <c r="Q151" s="108" t="str">
        <f t="shared" si="3"/>
        <v>2023</v>
      </c>
      <c r="R151" s="110">
        <f t="shared" si="4"/>
        <v>3</v>
      </c>
      <c r="S151" s="108" t="str">
        <f t="shared" si="5"/>
        <v>2023-Q1</v>
      </c>
      <c r="T151" s="111" t="str">
        <f t="shared" si="6"/>
        <v>2023-03</v>
      </c>
      <c r="U151" s="112" t="str">
        <f t="shared" si="7"/>
        <v>2023-H1</v>
      </c>
      <c r="V151" s="1" t="str">
        <f>VLOOKUP(B151,Bounties!A:E,2,FALSE)</f>
        <v>Events Bounty</v>
      </c>
    </row>
    <row r="152" hidden="1">
      <c r="A152" s="109">
        <f>HYPERLINK("https://polkadot.subsquare.io/treasury/child-bounties/150", 150)</f>
        <v>150</v>
      </c>
      <c r="B152" s="183">
        <v>11.0</v>
      </c>
      <c r="C152" s="27" t="s">
        <v>3404</v>
      </c>
      <c r="D152" s="27" t="s">
        <v>756</v>
      </c>
      <c r="E152" s="129">
        <v>245.861334</v>
      </c>
      <c r="F152" s="66">
        <v>1322.9124379743575</v>
      </c>
      <c r="G152" s="27" t="s">
        <v>3414</v>
      </c>
      <c r="H152" s="167">
        <v>44991.0</v>
      </c>
      <c r="I152" s="167">
        <v>45000.0</v>
      </c>
      <c r="J152" s="66">
        <v>1631.4957562269717</v>
      </c>
      <c r="K152" s="1"/>
      <c r="L152" s="1"/>
      <c r="M152" s="1" t="str">
        <f>VLOOKUP(B152,Bounties!A:D,3,FALSE)</f>
        <v>Research</v>
      </c>
      <c r="N152" s="1" t="str">
        <f>VLOOKUP(B152,Bounties!A:D,4,FALSE)</f>
        <v>Anti-Scam</v>
      </c>
      <c r="O152" s="1" t="str">
        <f t="shared" ref="O152:P152" si="156">IF(ISBLANK(K152),M152,K152)</f>
        <v>Research</v>
      </c>
      <c r="P152" s="1" t="str">
        <f t="shared" si="156"/>
        <v>Anti-Scam</v>
      </c>
      <c r="Q152" s="108" t="str">
        <f t="shared" si="3"/>
        <v>2023</v>
      </c>
      <c r="R152" s="110">
        <f t="shared" si="4"/>
        <v>3</v>
      </c>
      <c r="S152" s="108" t="str">
        <f t="shared" si="5"/>
        <v>2023-Q1</v>
      </c>
      <c r="T152" s="111" t="str">
        <f t="shared" si="6"/>
        <v>2023-03</v>
      </c>
      <c r="U152" s="112" t="str">
        <f t="shared" si="7"/>
        <v>2023-H1</v>
      </c>
      <c r="V152" s="1" t="str">
        <f>VLOOKUP(B152,Bounties!A:E,2,FALSE)</f>
        <v>Anti-Scam Bounty</v>
      </c>
    </row>
    <row r="153" hidden="1">
      <c r="A153" s="109">
        <f>HYPERLINK("https://polkadot.subsquare.io/treasury/child-bounties/151", 151)</f>
        <v>151</v>
      </c>
      <c r="B153" s="183">
        <v>11.0</v>
      </c>
      <c r="C153" s="27" t="s">
        <v>3404</v>
      </c>
      <c r="D153" s="27" t="s">
        <v>757</v>
      </c>
      <c r="E153" s="129">
        <v>40.976889</v>
      </c>
      <c r="F153" s="66">
        <v>220.4854063290596</v>
      </c>
      <c r="G153" s="27" t="s">
        <v>3457</v>
      </c>
      <c r="H153" s="167">
        <v>44991.0</v>
      </c>
      <c r="I153" s="167">
        <v>45000.0</v>
      </c>
      <c r="J153" s="66">
        <v>259.32580928802537</v>
      </c>
      <c r="K153" s="1"/>
      <c r="L153" s="1"/>
      <c r="M153" s="1" t="str">
        <f>VLOOKUP(B153,Bounties!A:D,3,FALSE)</f>
        <v>Research</v>
      </c>
      <c r="N153" s="1" t="str">
        <f>VLOOKUP(B153,Bounties!A:D,4,FALSE)</f>
        <v>Anti-Scam</v>
      </c>
      <c r="O153" s="1" t="str">
        <f t="shared" ref="O153:P153" si="157">IF(ISBLANK(K153),M153,K153)</f>
        <v>Research</v>
      </c>
      <c r="P153" s="1" t="str">
        <f t="shared" si="157"/>
        <v>Anti-Scam</v>
      </c>
      <c r="Q153" s="108" t="str">
        <f t="shared" si="3"/>
        <v>2023</v>
      </c>
      <c r="R153" s="110">
        <f t="shared" si="4"/>
        <v>3</v>
      </c>
      <c r="S153" s="108" t="str">
        <f t="shared" si="5"/>
        <v>2023-Q1</v>
      </c>
      <c r="T153" s="111" t="str">
        <f t="shared" si="6"/>
        <v>2023-03</v>
      </c>
      <c r="U153" s="112" t="str">
        <f t="shared" si="7"/>
        <v>2023-H1</v>
      </c>
      <c r="V153" s="1" t="str">
        <f>VLOOKUP(B153,Bounties!A:E,2,FALSE)</f>
        <v>Anti-Scam Bounty</v>
      </c>
    </row>
    <row r="154" hidden="1">
      <c r="A154" s="109">
        <f>HYPERLINK("https://polkadot.subsquare.io/treasury/child-bounties/152", 152)</f>
        <v>152</v>
      </c>
      <c r="B154" s="183">
        <v>11.0</v>
      </c>
      <c r="C154" s="27" t="s">
        <v>3404</v>
      </c>
      <c r="D154" s="27" t="s">
        <v>758</v>
      </c>
      <c r="E154" s="129">
        <v>131.1260449107</v>
      </c>
      <c r="F154" s="66">
        <v>728.3574498066768</v>
      </c>
      <c r="G154" s="27" t="s">
        <v>3407</v>
      </c>
      <c r="H154" s="167">
        <v>44992.0</v>
      </c>
      <c r="I154" s="167">
        <v>45001.0</v>
      </c>
      <c r="J154" s="66">
        <v>829.8425904222557</v>
      </c>
      <c r="K154" s="1"/>
      <c r="L154" s="1"/>
      <c r="M154" s="1" t="str">
        <f>VLOOKUP(B154,Bounties!A:D,3,FALSE)</f>
        <v>Research</v>
      </c>
      <c r="N154" s="1" t="str">
        <f>VLOOKUP(B154,Bounties!A:D,4,FALSE)</f>
        <v>Anti-Scam</v>
      </c>
      <c r="O154" s="1" t="str">
        <f t="shared" ref="O154:P154" si="158">IF(ISBLANK(K154),M154,K154)</f>
        <v>Research</v>
      </c>
      <c r="P154" s="1" t="str">
        <f t="shared" si="158"/>
        <v>Anti-Scam</v>
      </c>
      <c r="Q154" s="108" t="str">
        <f t="shared" si="3"/>
        <v>2023</v>
      </c>
      <c r="R154" s="110">
        <f t="shared" si="4"/>
        <v>3</v>
      </c>
      <c r="S154" s="108" t="str">
        <f t="shared" si="5"/>
        <v>2023-Q1</v>
      </c>
      <c r="T154" s="111" t="str">
        <f t="shared" si="6"/>
        <v>2023-03</v>
      </c>
      <c r="U154" s="112" t="str">
        <f t="shared" si="7"/>
        <v>2023-H1</v>
      </c>
      <c r="V154" s="1" t="str">
        <f>VLOOKUP(B154,Bounties!A:E,2,FALSE)</f>
        <v>Anti-Scam Bounty</v>
      </c>
    </row>
    <row r="155" hidden="1">
      <c r="A155" s="109">
        <f>HYPERLINK("https://polkadot.subsquare.io/treasury/child-bounties/153", 153)</f>
        <v>153</v>
      </c>
      <c r="B155" s="183">
        <v>11.0</v>
      </c>
      <c r="C155" s="27" t="s">
        <v>3404</v>
      </c>
      <c r="D155" s="27" t="s">
        <v>759</v>
      </c>
      <c r="E155" s="129">
        <v>131.1260449107</v>
      </c>
      <c r="F155" s="66">
        <v>728.3574498066768</v>
      </c>
      <c r="G155" s="27" t="s">
        <v>3406</v>
      </c>
      <c r="H155" s="167">
        <v>44992.0</v>
      </c>
      <c r="I155" s="167">
        <v>45001.0</v>
      </c>
      <c r="J155" s="66">
        <v>829.8425904222557</v>
      </c>
      <c r="K155" s="1"/>
      <c r="L155" s="1"/>
      <c r="M155" s="1" t="str">
        <f>VLOOKUP(B155,Bounties!A:D,3,FALSE)</f>
        <v>Research</v>
      </c>
      <c r="N155" s="1" t="str">
        <f>VLOOKUP(B155,Bounties!A:D,4,FALSE)</f>
        <v>Anti-Scam</v>
      </c>
      <c r="O155" s="1" t="str">
        <f t="shared" ref="O155:P155" si="159">IF(ISBLANK(K155),M155,K155)</f>
        <v>Research</v>
      </c>
      <c r="P155" s="1" t="str">
        <f t="shared" si="159"/>
        <v>Anti-Scam</v>
      </c>
      <c r="Q155" s="108" t="str">
        <f t="shared" si="3"/>
        <v>2023</v>
      </c>
      <c r="R155" s="110">
        <f t="shared" si="4"/>
        <v>3</v>
      </c>
      <c r="S155" s="108" t="str">
        <f t="shared" si="5"/>
        <v>2023-Q1</v>
      </c>
      <c r="T155" s="111" t="str">
        <f t="shared" si="6"/>
        <v>2023-03</v>
      </c>
      <c r="U155" s="112" t="str">
        <f t="shared" si="7"/>
        <v>2023-H1</v>
      </c>
      <c r="V155" s="1" t="str">
        <f>VLOOKUP(B155,Bounties!A:E,2,FALSE)</f>
        <v>Anti-Scam Bounty</v>
      </c>
    </row>
    <row r="156" hidden="1">
      <c r="A156" s="109">
        <f>HYPERLINK("https://polkadot.subsquare.io/treasury/child-bounties/154", 154)</f>
        <v>154</v>
      </c>
      <c r="B156" s="183">
        <v>11.0</v>
      </c>
      <c r="C156" s="27" t="s">
        <v>3404</v>
      </c>
      <c r="D156" s="27" t="s">
        <v>760</v>
      </c>
      <c r="E156" s="129">
        <v>131.1260449107</v>
      </c>
      <c r="F156" s="66">
        <v>728.3574498066768</v>
      </c>
      <c r="G156" s="27" t="s">
        <v>3411</v>
      </c>
      <c r="H156" s="167">
        <v>44992.0</v>
      </c>
      <c r="I156" s="167">
        <v>45001.0</v>
      </c>
      <c r="J156" s="66">
        <v>848.4058039363418</v>
      </c>
      <c r="K156" s="1"/>
      <c r="L156" s="1"/>
      <c r="M156" s="1" t="str">
        <f>VLOOKUP(B156,Bounties!A:D,3,FALSE)</f>
        <v>Research</v>
      </c>
      <c r="N156" s="1" t="str">
        <f>VLOOKUP(B156,Bounties!A:D,4,FALSE)</f>
        <v>Anti-Scam</v>
      </c>
      <c r="O156" s="1" t="str">
        <f t="shared" ref="O156:P156" si="160">IF(ISBLANK(K156),M156,K156)</f>
        <v>Research</v>
      </c>
      <c r="P156" s="1" t="str">
        <f t="shared" si="160"/>
        <v>Anti-Scam</v>
      </c>
      <c r="Q156" s="108" t="str">
        <f t="shared" si="3"/>
        <v>2023</v>
      </c>
      <c r="R156" s="110">
        <f t="shared" si="4"/>
        <v>3</v>
      </c>
      <c r="S156" s="108" t="str">
        <f t="shared" si="5"/>
        <v>2023-Q1</v>
      </c>
      <c r="T156" s="111" t="str">
        <f t="shared" si="6"/>
        <v>2023-03</v>
      </c>
      <c r="U156" s="112" t="str">
        <f t="shared" si="7"/>
        <v>2023-H1</v>
      </c>
      <c r="V156" s="1" t="str">
        <f>VLOOKUP(B156,Bounties!A:E,2,FALSE)</f>
        <v>Anti-Scam Bounty</v>
      </c>
    </row>
    <row r="157" hidden="1">
      <c r="A157" s="109">
        <f>HYPERLINK("https://polkadot.subsquare.io/treasury/child-bounties/155", 155)</f>
        <v>155</v>
      </c>
      <c r="B157" s="183">
        <v>11.0</v>
      </c>
      <c r="C157" s="27" t="s">
        <v>3404</v>
      </c>
      <c r="D157" s="27" t="s">
        <v>761</v>
      </c>
      <c r="E157" s="129">
        <v>245.8613342075</v>
      </c>
      <c r="F157" s="66">
        <v>1365.6702183871716</v>
      </c>
      <c r="G157" s="27" t="s">
        <v>3439</v>
      </c>
      <c r="H157" s="167">
        <v>44992.0</v>
      </c>
      <c r="I157" s="167">
        <v>45004.0</v>
      </c>
      <c r="J157" s="66">
        <v>1490.775492714535</v>
      </c>
      <c r="K157" s="1"/>
      <c r="L157" s="1"/>
      <c r="M157" s="1" t="str">
        <f>VLOOKUP(B157,Bounties!A:D,3,FALSE)</f>
        <v>Research</v>
      </c>
      <c r="N157" s="1" t="str">
        <f>VLOOKUP(B157,Bounties!A:D,4,FALSE)</f>
        <v>Anti-Scam</v>
      </c>
      <c r="O157" s="1" t="str">
        <f t="shared" ref="O157:P157" si="161">IF(ISBLANK(K157),M157,K157)</f>
        <v>Research</v>
      </c>
      <c r="P157" s="1" t="str">
        <f t="shared" si="161"/>
        <v>Anti-Scam</v>
      </c>
      <c r="Q157" s="108" t="str">
        <f t="shared" si="3"/>
        <v>2023</v>
      </c>
      <c r="R157" s="110">
        <f t="shared" si="4"/>
        <v>3</v>
      </c>
      <c r="S157" s="108" t="str">
        <f t="shared" si="5"/>
        <v>2023-Q1</v>
      </c>
      <c r="T157" s="111" t="str">
        <f t="shared" si="6"/>
        <v>2023-03</v>
      </c>
      <c r="U157" s="112" t="str">
        <f t="shared" si="7"/>
        <v>2023-H1</v>
      </c>
      <c r="V157" s="1" t="str">
        <f>VLOOKUP(B157,Bounties!A:E,2,FALSE)</f>
        <v>Anti-Scam Bounty</v>
      </c>
    </row>
    <row r="158" hidden="1">
      <c r="A158" s="109">
        <f>HYPERLINK("https://polkadot.subsquare.io/treasury/child-bounties/156", 156)</f>
        <v>156</v>
      </c>
      <c r="B158" s="183">
        <v>11.0</v>
      </c>
      <c r="C158" s="27" t="s">
        <v>3404</v>
      </c>
      <c r="D158" s="27" t="s">
        <v>762</v>
      </c>
      <c r="E158" s="129">
        <v>245.8613342075</v>
      </c>
      <c r="F158" s="66">
        <v>1365.6702183871716</v>
      </c>
      <c r="G158" s="27" t="s">
        <v>3409</v>
      </c>
      <c r="H158" s="167">
        <v>44992.0</v>
      </c>
      <c r="I158" s="167">
        <v>45002.0</v>
      </c>
      <c r="J158" s="66">
        <v>1590.7608823802368</v>
      </c>
      <c r="K158" s="1"/>
      <c r="L158" s="1"/>
      <c r="M158" s="1" t="str">
        <f>VLOOKUP(B158,Bounties!A:D,3,FALSE)</f>
        <v>Research</v>
      </c>
      <c r="N158" s="1" t="str">
        <f>VLOOKUP(B158,Bounties!A:D,4,FALSE)</f>
        <v>Anti-Scam</v>
      </c>
      <c r="O158" s="1" t="str">
        <f t="shared" ref="O158:P158" si="162">IF(ISBLANK(K158),M158,K158)</f>
        <v>Research</v>
      </c>
      <c r="P158" s="1" t="str">
        <f t="shared" si="162"/>
        <v>Anti-Scam</v>
      </c>
      <c r="Q158" s="108" t="str">
        <f t="shared" si="3"/>
        <v>2023</v>
      </c>
      <c r="R158" s="110">
        <f t="shared" si="4"/>
        <v>3</v>
      </c>
      <c r="S158" s="108" t="str">
        <f t="shared" si="5"/>
        <v>2023-Q1</v>
      </c>
      <c r="T158" s="111" t="str">
        <f t="shared" si="6"/>
        <v>2023-03</v>
      </c>
      <c r="U158" s="112" t="str">
        <f t="shared" si="7"/>
        <v>2023-H1</v>
      </c>
      <c r="V158" s="1" t="str">
        <f>VLOOKUP(B158,Bounties!A:E,2,FALSE)</f>
        <v>Anti-Scam Bounty</v>
      </c>
    </row>
    <row r="159" hidden="1">
      <c r="A159" s="109">
        <f>HYPERLINK("https://polkadot.subsquare.io/treasury/child-bounties/157", 157)</f>
        <v>157</v>
      </c>
      <c r="B159" s="183">
        <v>17.0</v>
      </c>
      <c r="C159" s="27" t="s">
        <v>3404</v>
      </c>
      <c r="D159" s="27" t="s">
        <v>763</v>
      </c>
      <c r="E159" s="129">
        <v>2539.4</v>
      </c>
      <c r="F159" s="66">
        <v>13986.29930820465</v>
      </c>
      <c r="G159" s="27" t="s">
        <v>3458</v>
      </c>
      <c r="H159" s="167">
        <v>44993.0</v>
      </c>
      <c r="I159" s="167">
        <v>45002.0</v>
      </c>
      <c r="J159" s="66">
        <v>15479.032557773591</v>
      </c>
      <c r="K159" s="1"/>
      <c r="L159" s="1" t="s">
        <v>266</v>
      </c>
      <c r="M159" s="1" t="str">
        <f>VLOOKUP(B159,Bounties!A:D,3,FALSE)</f>
        <v>Outreach</v>
      </c>
      <c r="N159" s="1" t="str">
        <f>VLOOKUP(B159,Bounties!A:D,4,FALSE)</f>
        <v>Events/Meetups</v>
      </c>
      <c r="O159" s="1" t="str">
        <f t="shared" ref="O159:P159" si="163">IF(ISBLANK(K159),M159,K159)</f>
        <v>Outreach</v>
      </c>
      <c r="P159" s="1" t="str">
        <f t="shared" si="163"/>
        <v>Events/Conference Attendance &amp; Side Events</v>
      </c>
      <c r="Q159" s="108" t="str">
        <f t="shared" si="3"/>
        <v>2023</v>
      </c>
      <c r="R159" s="110">
        <f t="shared" si="4"/>
        <v>3</v>
      </c>
      <c r="S159" s="108" t="str">
        <f t="shared" si="5"/>
        <v>2023-Q1</v>
      </c>
      <c r="T159" s="111" t="str">
        <f t="shared" si="6"/>
        <v>2023-03</v>
      </c>
      <c r="U159" s="112" t="str">
        <f t="shared" si="7"/>
        <v>2023-H1</v>
      </c>
      <c r="V159" s="1" t="str">
        <f>VLOOKUP(B159,Bounties!A:E,2,FALSE)</f>
        <v>Events Bounty</v>
      </c>
    </row>
    <row r="160" hidden="1">
      <c r="A160" s="109">
        <f>HYPERLINK("https://polkadot.subsquare.io/treasury/child-bounties/158", 158)</f>
        <v>158</v>
      </c>
      <c r="B160" s="183">
        <v>17.0</v>
      </c>
      <c r="C160" s="27" t="s">
        <v>3404</v>
      </c>
      <c r="D160" s="27" t="s">
        <v>764</v>
      </c>
      <c r="E160" s="129">
        <v>742.8</v>
      </c>
      <c r="F160" s="66">
        <v>4091.1329944610593</v>
      </c>
      <c r="G160" s="27" t="s">
        <v>3459</v>
      </c>
      <c r="H160" s="167">
        <v>44993.0</v>
      </c>
      <c r="I160" s="167">
        <v>45027.0</v>
      </c>
      <c r="J160" s="66">
        <v>5002.038375663757</v>
      </c>
      <c r="K160" s="1"/>
      <c r="L160" s="1"/>
      <c r="M160" s="1" t="str">
        <f>VLOOKUP(B160,Bounties!A:D,3,FALSE)</f>
        <v>Outreach</v>
      </c>
      <c r="N160" s="1" t="str">
        <f>VLOOKUP(B160,Bounties!A:D,4,FALSE)</f>
        <v>Events/Meetups</v>
      </c>
      <c r="O160" s="1" t="str">
        <f t="shared" ref="O160:P160" si="164">IF(ISBLANK(K160),M160,K160)</f>
        <v>Outreach</v>
      </c>
      <c r="P160" s="1" t="str">
        <f t="shared" si="164"/>
        <v>Events/Meetups</v>
      </c>
      <c r="Q160" s="108" t="str">
        <f t="shared" si="3"/>
        <v>2023</v>
      </c>
      <c r="R160" s="110">
        <f t="shared" si="4"/>
        <v>4</v>
      </c>
      <c r="S160" s="108" t="str">
        <f t="shared" si="5"/>
        <v>2023-Q2</v>
      </c>
      <c r="T160" s="111" t="str">
        <f t="shared" si="6"/>
        <v>2023-04</v>
      </c>
      <c r="U160" s="112" t="str">
        <f t="shared" si="7"/>
        <v>2023-H1</v>
      </c>
      <c r="V160" s="1" t="str">
        <f>VLOOKUP(B160,Bounties!A:E,2,FALSE)</f>
        <v>Events Bounty</v>
      </c>
    </row>
    <row r="161" hidden="1">
      <c r="A161" s="109">
        <f>HYPERLINK("https://polkadot.subsquare.io/treasury/child-bounties/159", 159)</f>
        <v>159</v>
      </c>
      <c r="B161" s="183">
        <v>17.0</v>
      </c>
      <c r="C161" s="27" t="s">
        <v>3427</v>
      </c>
      <c r="D161" s="27" t="s">
        <v>765</v>
      </c>
      <c r="E161" s="129">
        <v>3380.7</v>
      </c>
      <c r="F161" s="66">
        <v>18619.942534160615</v>
      </c>
      <c r="H161" s="167">
        <v>44993.0</v>
      </c>
      <c r="I161" s="167">
        <v>44993.0</v>
      </c>
      <c r="J161" s="66">
        <v>18619.942534160615</v>
      </c>
      <c r="K161" s="1"/>
      <c r="L161" s="1"/>
      <c r="M161" s="1" t="str">
        <f>VLOOKUP(B161,Bounties!A:D,3,FALSE)</f>
        <v>Outreach</v>
      </c>
      <c r="N161" s="1" t="str">
        <f>VLOOKUP(B161,Bounties!A:D,4,FALSE)</f>
        <v>Events/Meetups</v>
      </c>
      <c r="O161" s="1" t="str">
        <f t="shared" ref="O161:P161" si="165">IF(ISBLANK(K161),M161,K161)</f>
        <v>Outreach</v>
      </c>
      <c r="P161" s="1" t="str">
        <f t="shared" si="165"/>
        <v>Events/Meetups</v>
      </c>
      <c r="Q161" s="108" t="str">
        <f t="shared" si="3"/>
        <v>2023</v>
      </c>
      <c r="R161" s="110">
        <f t="shared" si="4"/>
        <v>3</v>
      </c>
      <c r="S161" s="108" t="str">
        <f t="shared" si="5"/>
        <v>2023-Q1</v>
      </c>
      <c r="T161" s="111" t="str">
        <f t="shared" si="6"/>
        <v>2023-03</v>
      </c>
      <c r="U161" s="112" t="str">
        <f t="shared" si="7"/>
        <v>2023-H1</v>
      </c>
      <c r="V161" s="1" t="str">
        <f>VLOOKUP(B161,Bounties!A:E,2,FALSE)</f>
        <v>Events Bounty</v>
      </c>
    </row>
    <row r="162" hidden="1">
      <c r="A162" s="109">
        <f>HYPERLINK("https://polkadot.subsquare.io/treasury/child-bounties/160", 160)</f>
        <v>160</v>
      </c>
      <c r="B162" s="183">
        <v>17.0</v>
      </c>
      <c r="C162" s="27" t="s">
        <v>3404</v>
      </c>
      <c r="D162" s="27" t="s">
        <v>765</v>
      </c>
      <c r="E162" s="129">
        <v>33807.0</v>
      </c>
      <c r="F162" s="66">
        <v>186199.42534160614</v>
      </c>
      <c r="G162" s="27" t="s">
        <v>3460</v>
      </c>
      <c r="H162" s="167">
        <v>44993.0</v>
      </c>
      <c r="I162" s="167">
        <v>45005.0</v>
      </c>
      <c r="J162" s="66">
        <v>213845.16329956055</v>
      </c>
      <c r="K162" s="1"/>
      <c r="L162" s="1"/>
      <c r="M162" s="1" t="str">
        <f>VLOOKUP(B162,Bounties!A:D,3,FALSE)</f>
        <v>Outreach</v>
      </c>
      <c r="N162" s="1" t="str">
        <f>VLOOKUP(B162,Bounties!A:D,4,FALSE)</f>
        <v>Events/Meetups</v>
      </c>
      <c r="O162" s="1" t="str">
        <f t="shared" ref="O162:P162" si="166">IF(ISBLANK(K162),M162,K162)</f>
        <v>Outreach</v>
      </c>
      <c r="P162" s="1" t="str">
        <f t="shared" si="166"/>
        <v>Events/Meetups</v>
      </c>
      <c r="Q162" s="108" t="str">
        <f t="shared" si="3"/>
        <v>2023</v>
      </c>
      <c r="R162" s="110">
        <f t="shared" si="4"/>
        <v>3</v>
      </c>
      <c r="S162" s="108" t="str">
        <f t="shared" si="5"/>
        <v>2023-Q1</v>
      </c>
      <c r="T162" s="111" t="str">
        <f t="shared" si="6"/>
        <v>2023-03</v>
      </c>
      <c r="U162" s="112" t="str">
        <f t="shared" si="7"/>
        <v>2023-H1</v>
      </c>
      <c r="V162" s="1" t="str">
        <f>VLOOKUP(B162,Bounties!A:E,2,FALSE)</f>
        <v>Events Bounty</v>
      </c>
    </row>
    <row r="163" hidden="1">
      <c r="A163" s="109">
        <f>HYPERLINK("https://polkadot.subsquare.io/treasury/child-bounties/161", 161)</f>
        <v>161</v>
      </c>
      <c r="B163" s="183">
        <v>17.0</v>
      </c>
      <c r="C163" s="27" t="s">
        <v>3404</v>
      </c>
      <c r="D163" s="27" t="s">
        <v>766</v>
      </c>
      <c r="E163" s="129">
        <v>4474.1</v>
      </c>
      <c r="F163" s="66">
        <v>24642.081489658358</v>
      </c>
      <c r="G163" s="27" t="s">
        <v>3444</v>
      </c>
      <c r="H163" s="167">
        <v>44993.0</v>
      </c>
      <c r="I163" s="167">
        <v>45003.0</v>
      </c>
      <c r="J163" s="66">
        <v>27272.08772416115</v>
      </c>
      <c r="K163" s="1"/>
      <c r="L163" s="1"/>
      <c r="M163" s="1" t="str">
        <f>VLOOKUP(B163,Bounties!A:D,3,FALSE)</f>
        <v>Outreach</v>
      </c>
      <c r="N163" s="1" t="str">
        <f>VLOOKUP(B163,Bounties!A:D,4,FALSE)</f>
        <v>Events/Meetups</v>
      </c>
      <c r="O163" s="1" t="str">
        <f t="shared" ref="O163:P163" si="167">IF(ISBLANK(K163),M163,K163)</f>
        <v>Outreach</v>
      </c>
      <c r="P163" s="1" t="str">
        <f t="shared" si="167"/>
        <v>Events/Meetups</v>
      </c>
      <c r="Q163" s="108" t="str">
        <f t="shared" si="3"/>
        <v>2023</v>
      </c>
      <c r="R163" s="110">
        <f t="shared" si="4"/>
        <v>3</v>
      </c>
      <c r="S163" s="108" t="str">
        <f t="shared" si="5"/>
        <v>2023-Q1</v>
      </c>
      <c r="T163" s="111" t="str">
        <f t="shared" si="6"/>
        <v>2023-03</v>
      </c>
      <c r="U163" s="112" t="str">
        <f t="shared" si="7"/>
        <v>2023-H1</v>
      </c>
      <c r="V163" s="1" t="str">
        <f>VLOOKUP(B163,Bounties!A:E,2,FALSE)</f>
        <v>Events Bounty</v>
      </c>
    </row>
    <row r="164" hidden="1">
      <c r="A164" s="109">
        <f>HYPERLINK("https://polkadot.subsquare.io/treasury/child-bounties/162", 162)</f>
        <v>162</v>
      </c>
      <c r="B164" s="183">
        <v>11.0</v>
      </c>
      <c r="C164" s="27" t="s">
        <v>3404</v>
      </c>
      <c r="D164" s="27" t="s">
        <v>767</v>
      </c>
      <c r="E164" s="129">
        <v>170.4638583839</v>
      </c>
      <c r="F164" s="66">
        <v>938.8668758717163</v>
      </c>
      <c r="G164" s="27" t="s">
        <v>3411</v>
      </c>
      <c r="H164" s="167">
        <v>44993.0</v>
      </c>
      <c r="I164" s="167">
        <v>45003.0</v>
      </c>
      <c r="J164" s="66">
        <v>1039.0704945452055</v>
      </c>
      <c r="K164" s="1"/>
      <c r="L164" s="1"/>
      <c r="M164" s="1" t="str">
        <f>VLOOKUP(B164,Bounties!A:D,3,FALSE)</f>
        <v>Research</v>
      </c>
      <c r="N164" s="1" t="str">
        <f>VLOOKUP(B164,Bounties!A:D,4,FALSE)</f>
        <v>Anti-Scam</v>
      </c>
      <c r="O164" s="1" t="str">
        <f t="shared" ref="O164:P164" si="168">IF(ISBLANK(K164),M164,K164)</f>
        <v>Research</v>
      </c>
      <c r="P164" s="1" t="str">
        <f t="shared" si="168"/>
        <v>Anti-Scam</v>
      </c>
      <c r="Q164" s="108" t="str">
        <f t="shared" si="3"/>
        <v>2023</v>
      </c>
      <c r="R164" s="110">
        <f t="shared" si="4"/>
        <v>3</v>
      </c>
      <c r="S164" s="108" t="str">
        <f t="shared" si="5"/>
        <v>2023-Q1</v>
      </c>
      <c r="T164" s="111" t="str">
        <f t="shared" si="6"/>
        <v>2023-03</v>
      </c>
      <c r="U164" s="112" t="str">
        <f t="shared" si="7"/>
        <v>2023-H1</v>
      </c>
      <c r="V164" s="1" t="str">
        <f>VLOOKUP(B164,Bounties!A:E,2,FALSE)</f>
        <v>Anti-Scam Bounty</v>
      </c>
    </row>
    <row r="165" hidden="1">
      <c r="A165" s="109">
        <f>HYPERLINK("https://polkadot.subsquare.io/treasury/child-bounties/163", 163)</f>
        <v>163</v>
      </c>
      <c r="B165" s="183">
        <v>11.0</v>
      </c>
      <c r="C165" s="27" t="s">
        <v>3404</v>
      </c>
      <c r="D165" s="27" t="s">
        <v>768</v>
      </c>
      <c r="E165" s="129">
        <v>144.2386494018</v>
      </c>
      <c r="F165" s="66">
        <v>794.4258180455101</v>
      </c>
      <c r="G165" s="27" t="s">
        <v>3407</v>
      </c>
      <c r="H165" s="167">
        <v>44993.0</v>
      </c>
      <c r="I165" s="167">
        <v>45003.0</v>
      </c>
      <c r="J165" s="66">
        <v>920.6872517080632</v>
      </c>
      <c r="K165" s="1"/>
      <c r="L165" s="1"/>
      <c r="M165" s="1" t="str">
        <f>VLOOKUP(B165,Bounties!A:D,3,FALSE)</f>
        <v>Research</v>
      </c>
      <c r="N165" s="1" t="str">
        <f>VLOOKUP(B165,Bounties!A:D,4,FALSE)</f>
        <v>Anti-Scam</v>
      </c>
      <c r="O165" s="1" t="str">
        <f t="shared" ref="O165:P165" si="169">IF(ISBLANK(K165),M165,K165)</f>
        <v>Research</v>
      </c>
      <c r="P165" s="1" t="str">
        <f t="shared" si="169"/>
        <v>Anti-Scam</v>
      </c>
      <c r="Q165" s="108" t="str">
        <f t="shared" si="3"/>
        <v>2023</v>
      </c>
      <c r="R165" s="110">
        <f t="shared" si="4"/>
        <v>3</v>
      </c>
      <c r="S165" s="108" t="str">
        <f t="shared" si="5"/>
        <v>2023-Q1</v>
      </c>
      <c r="T165" s="111" t="str">
        <f t="shared" si="6"/>
        <v>2023-03</v>
      </c>
      <c r="U165" s="112" t="str">
        <f t="shared" si="7"/>
        <v>2023-H1</v>
      </c>
      <c r="V165" s="1" t="str">
        <f>VLOOKUP(B165,Bounties!A:E,2,FALSE)</f>
        <v>Anti-Scam Bounty</v>
      </c>
    </row>
    <row r="166" hidden="1">
      <c r="A166" s="109">
        <f>HYPERLINK("https://polkadot.subsquare.io/treasury/child-bounties/164", 164)</f>
        <v>164</v>
      </c>
      <c r="B166" s="183">
        <v>11.0</v>
      </c>
      <c r="C166" s="27" t="s">
        <v>3404</v>
      </c>
      <c r="D166" s="27" t="s">
        <v>769</v>
      </c>
      <c r="E166" s="129">
        <v>137.6823471562</v>
      </c>
      <c r="F166" s="66">
        <v>814.5944682560133</v>
      </c>
      <c r="G166" s="27" t="s">
        <v>3411</v>
      </c>
      <c r="H166" s="167">
        <v>44994.0</v>
      </c>
      <c r="I166" s="167">
        <v>45003.0</v>
      </c>
      <c r="J166" s="66">
        <v>878.8378311754724</v>
      </c>
      <c r="K166" s="1"/>
      <c r="L166" s="1"/>
      <c r="M166" s="1" t="str">
        <f>VLOOKUP(B166,Bounties!A:D,3,FALSE)</f>
        <v>Research</v>
      </c>
      <c r="N166" s="1" t="str">
        <f>VLOOKUP(B166,Bounties!A:D,4,FALSE)</f>
        <v>Anti-Scam</v>
      </c>
      <c r="O166" s="1" t="str">
        <f t="shared" ref="O166:P166" si="170">IF(ISBLANK(K166),M166,K166)</f>
        <v>Research</v>
      </c>
      <c r="P166" s="1" t="str">
        <f t="shared" si="170"/>
        <v>Anti-Scam</v>
      </c>
      <c r="Q166" s="108" t="str">
        <f t="shared" si="3"/>
        <v>2023</v>
      </c>
      <c r="R166" s="110">
        <f t="shared" si="4"/>
        <v>3</v>
      </c>
      <c r="S166" s="108" t="str">
        <f t="shared" si="5"/>
        <v>2023-Q1</v>
      </c>
      <c r="T166" s="111" t="str">
        <f t="shared" si="6"/>
        <v>2023-03</v>
      </c>
      <c r="U166" s="112" t="str">
        <f t="shared" si="7"/>
        <v>2023-H1</v>
      </c>
      <c r="V166" s="1" t="str">
        <f>VLOOKUP(B166,Bounties!A:E,2,FALSE)</f>
        <v>Anti-Scam Bounty</v>
      </c>
    </row>
    <row r="167" hidden="1">
      <c r="A167" s="109">
        <f>HYPERLINK("https://polkadot.subsquare.io/treasury/child-bounties/165", 165)</f>
        <v>165</v>
      </c>
      <c r="B167" s="183">
        <v>17.0</v>
      </c>
      <c r="C167" s="27" t="s">
        <v>3404</v>
      </c>
      <c r="D167" s="27" t="s">
        <v>770</v>
      </c>
      <c r="E167" s="129">
        <v>6551.0</v>
      </c>
      <c r="F167" s="66">
        <v>38558.93712377548</v>
      </c>
      <c r="G167" s="27" t="s">
        <v>3461</v>
      </c>
      <c r="H167" s="167">
        <v>44997.0</v>
      </c>
      <c r="I167" s="167">
        <v>45007.0</v>
      </c>
      <c r="J167" s="66">
        <v>39489.623997211456</v>
      </c>
      <c r="K167" s="1"/>
      <c r="L167" s="1" t="s">
        <v>266</v>
      </c>
      <c r="M167" s="1" t="str">
        <f>VLOOKUP(B167,Bounties!A:D,3,FALSE)</f>
        <v>Outreach</v>
      </c>
      <c r="N167" s="1" t="str">
        <f>VLOOKUP(B167,Bounties!A:D,4,FALSE)</f>
        <v>Events/Meetups</v>
      </c>
      <c r="O167" s="1" t="str">
        <f t="shared" ref="O167:P167" si="171">IF(ISBLANK(K167),M167,K167)</f>
        <v>Outreach</v>
      </c>
      <c r="P167" s="1" t="str">
        <f t="shared" si="171"/>
        <v>Events/Conference Attendance &amp; Side Events</v>
      </c>
      <c r="Q167" s="108" t="str">
        <f t="shared" si="3"/>
        <v>2023</v>
      </c>
      <c r="R167" s="110">
        <f t="shared" si="4"/>
        <v>3</v>
      </c>
      <c r="S167" s="108" t="str">
        <f t="shared" si="5"/>
        <v>2023-Q1</v>
      </c>
      <c r="T167" s="111" t="str">
        <f t="shared" si="6"/>
        <v>2023-03</v>
      </c>
      <c r="U167" s="112" t="str">
        <f t="shared" si="7"/>
        <v>2023-H1</v>
      </c>
      <c r="V167" s="1" t="str">
        <f>VLOOKUP(B167,Bounties!A:E,2,FALSE)</f>
        <v>Events Bounty</v>
      </c>
    </row>
    <row r="168" hidden="1">
      <c r="A168" s="109">
        <f>HYPERLINK("https://polkadot.subsquare.io/treasury/child-bounties/166", 166)</f>
        <v>166</v>
      </c>
      <c r="B168" s="183">
        <v>17.0</v>
      </c>
      <c r="C168" s="27" t="s">
        <v>3404</v>
      </c>
      <c r="D168" s="27" t="s">
        <v>771</v>
      </c>
      <c r="E168" s="129">
        <v>785.2</v>
      </c>
      <c r="F168" s="66">
        <v>4621.657369804382</v>
      </c>
      <c r="G168" s="27" t="s">
        <v>3417</v>
      </c>
      <c r="H168" s="167">
        <v>44997.0</v>
      </c>
      <c r="I168" s="167">
        <v>45008.0</v>
      </c>
      <c r="J168" s="66">
        <v>4639.478283309937</v>
      </c>
      <c r="K168" s="1"/>
      <c r="L168" s="1" t="s">
        <v>266</v>
      </c>
      <c r="M168" s="1" t="str">
        <f>VLOOKUP(B168,Bounties!A:D,3,FALSE)</f>
        <v>Outreach</v>
      </c>
      <c r="N168" s="1" t="str">
        <f>VLOOKUP(B168,Bounties!A:D,4,FALSE)</f>
        <v>Events/Meetups</v>
      </c>
      <c r="O168" s="1" t="str">
        <f t="shared" ref="O168:P168" si="172">IF(ISBLANK(K168),M168,K168)</f>
        <v>Outreach</v>
      </c>
      <c r="P168" s="1" t="str">
        <f t="shared" si="172"/>
        <v>Events/Conference Attendance &amp; Side Events</v>
      </c>
      <c r="Q168" s="108" t="str">
        <f t="shared" si="3"/>
        <v>2023</v>
      </c>
      <c r="R168" s="110">
        <f t="shared" si="4"/>
        <v>3</v>
      </c>
      <c r="S168" s="108" t="str">
        <f t="shared" si="5"/>
        <v>2023-Q1</v>
      </c>
      <c r="T168" s="111" t="str">
        <f t="shared" si="6"/>
        <v>2023-03</v>
      </c>
      <c r="U168" s="112" t="str">
        <f t="shared" si="7"/>
        <v>2023-H1</v>
      </c>
      <c r="V168" s="1" t="str">
        <f>VLOOKUP(B168,Bounties!A:E,2,FALSE)</f>
        <v>Events Bounty</v>
      </c>
    </row>
    <row r="169" hidden="1">
      <c r="A169" s="109">
        <f>HYPERLINK("https://polkadot.subsquare.io/treasury/child-bounties/167", 167)</f>
        <v>167</v>
      </c>
      <c r="B169" s="183">
        <v>17.0</v>
      </c>
      <c r="C169" s="27" t="s">
        <v>3404</v>
      </c>
      <c r="D169" s="27" t="s">
        <v>772</v>
      </c>
      <c r="E169" s="129">
        <v>123.3</v>
      </c>
      <c r="F169" s="66">
        <v>747.7463059902191</v>
      </c>
      <c r="G169" s="27" t="s">
        <v>3462</v>
      </c>
      <c r="H169" s="167">
        <v>45010.0</v>
      </c>
      <c r="I169" s="167">
        <v>45028.0</v>
      </c>
      <c r="J169" s="66">
        <v>839.2911257743835</v>
      </c>
      <c r="K169" s="1"/>
      <c r="L169" s="1"/>
      <c r="M169" s="1" t="str">
        <f>VLOOKUP(B169,Bounties!A:D,3,FALSE)</f>
        <v>Outreach</v>
      </c>
      <c r="N169" s="1" t="str">
        <f>VLOOKUP(B169,Bounties!A:D,4,FALSE)</f>
        <v>Events/Meetups</v>
      </c>
      <c r="O169" s="1" t="str">
        <f t="shared" ref="O169:P169" si="173">IF(ISBLANK(K169),M169,K169)</f>
        <v>Outreach</v>
      </c>
      <c r="P169" s="1" t="str">
        <f t="shared" si="173"/>
        <v>Events/Meetups</v>
      </c>
      <c r="Q169" s="108" t="str">
        <f t="shared" si="3"/>
        <v>2023</v>
      </c>
      <c r="R169" s="110">
        <f t="shared" si="4"/>
        <v>4</v>
      </c>
      <c r="S169" s="108" t="str">
        <f t="shared" si="5"/>
        <v>2023-Q2</v>
      </c>
      <c r="T169" s="111" t="str">
        <f t="shared" si="6"/>
        <v>2023-04</v>
      </c>
      <c r="U169" s="112" t="str">
        <f t="shared" si="7"/>
        <v>2023-H1</v>
      </c>
      <c r="V169" s="1" t="str">
        <f>VLOOKUP(B169,Bounties!A:E,2,FALSE)</f>
        <v>Events Bounty</v>
      </c>
    </row>
    <row r="170" hidden="1">
      <c r="A170" s="109">
        <f>HYPERLINK("https://polkadot.subsquare.io/treasury/child-bounties/168", 168)</f>
        <v>168</v>
      </c>
      <c r="B170" s="183">
        <v>17.0</v>
      </c>
      <c r="C170" s="27" t="s">
        <v>3404</v>
      </c>
      <c r="D170" s="27" t="s">
        <v>773</v>
      </c>
      <c r="E170" s="129">
        <v>31.8</v>
      </c>
      <c r="F170" s="66">
        <v>192.8494122505188</v>
      </c>
      <c r="G170" s="27" t="s">
        <v>3462</v>
      </c>
      <c r="H170" s="167">
        <v>45010.0</v>
      </c>
      <c r="I170" s="167">
        <v>45028.0</v>
      </c>
      <c r="J170" s="66">
        <v>216.45951175689697</v>
      </c>
      <c r="K170" s="1"/>
      <c r="L170" s="1"/>
      <c r="M170" s="1" t="str">
        <f>VLOOKUP(B170,Bounties!A:D,3,FALSE)</f>
        <v>Outreach</v>
      </c>
      <c r="N170" s="1" t="str">
        <f>VLOOKUP(B170,Bounties!A:D,4,FALSE)</f>
        <v>Events/Meetups</v>
      </c>
      <c r="O170" s="1" t="str">
        <f t="shared" ref="O170:P170" si="174">IF(ISBLANK(K170),M170,K170)</f>
        <v>Outreach</v>
      </c>
      <c r="P170" s="1" t="str">
        <f t="shared" si="174"/>
        <v>Events/Meetups</v>
      </c>
      <c r="Q170" s="108" t="str">
        <f t="shared" si="3"/>
        <v>2023</v>
      </c>
      <c r="R170" s="110">
        <f t="shared" si="4"/>
        <v>4</v>
      </c>
      <c r="S170" s="108" t="str">
        <f t="shared" si="5"/>
        <v>2023-Q2</v>
      </c>
      <c r="T170" s="111" t="str">
        <f t="shared" si="6"/>
        <v>2023-04</v>
      </c>
      <c r="U170" s="112" t="str">
        <f t="shared" si="7"/>
        <v>2023-H1</v>
      </c>
      <c r="V170" s="1" t="str">
        <f>VLOOKUP(B170,Bounties!A:E,2,FALSE)</f>
        <v>Events Bounty</v>
      </c>
    </row>
    <row r="171" hidden="1">
      <c r="A171" s="109">
        <f>HYPERLINK("https://polkadot.subsquare.io/treasury/child-bounties/169", 169)</f>
        <v>169</v>
      </c>
      <c r="B171" s="183">
        <v>17.0</v>
      </c>
      <c r="C171" s="27" t="s">
        <v>3404</v>
      </c>
      <c r="D171" s="27" t="s">
        <v>774</v>
      </c>
      <c r="E171" s="129">
        <v>143.4</v>
      </c>
      <c r="F171" s="66">
        <v>869.6416892051698</v>
      </c>
      <c r="G171" s="27" t="s">
        <v>3463</v>
      </c>
      <c r="H171" s="167">
        <v>45010.0</v>
      </c>
      <c r="I171" s="167">
        <v>45027.0</v>
      </c>
      <c r="J171" s="66">
        <v>952.5270358085633</v>
      </c>
      <c r="K171" s="1"/>
      <c r="L171" s="1"/>
      <c r="M171" s="1" t="str">
        <f>VLOOKUP(B171,Bounties!A:D,3,FALSE)</f>
        <v>Outreach</v>
      </c>
      <c r="N171" s="1" t="str">
        <f>VLOOKUP(B171,Bounties!A:D,4,FALSE)</f>
        <v>Events/Meetups</v>
      </c>
      <c r="O171" s="1" t="str">
        <f t="shared" ref="O171:P171" si="175">IF(ISBLANK(K171),M171,K171)</f>
        <v>Outreach</v>
      </c>
      <c r="P171" s="1" t="str">
        <f t="shared" si="175"/>
        <v>Events/Meetups</v>
      </c>
      <c r="Q171" s="108" t="str">
        <f t="shared" si="3"/>
        <v>2023</v>
      </c>
      <c r="R171" s="110">
        <f t="shared" si="4"/>
        <v>4</v>
      </c>
      <c r="S171" s="108" t="str">
        <f t="shared" si="5"/>
        <v>2023-Q2</v>
      </c>
      <c r="T171" s="111" t="str">
        <f t="shared" si="6"/>
        <v>2023-04</v>
      </c>
      <c r="U171" s="112" t="str">
        <f t="shared" si="7"/>
        <v>2023-H1</v>
      </c>
      <c r="V171" s="1" t="str">
        <f>VLOOKUP(B171,Bounties!A:E,2,FALSE)</f>
        <v>Events Bounty</v>
      </c>
    </row>
    <row r="172" hidden="1">
      <c r="A172" s="109">
        <f>HYPERLINK("https://polkadot.subsquare.io/treasury/child-bounties/170", 170)</f>
        <v>170</v>
      </c>
      <c r="B172" s="183">
        <v>17.0</v>
      </c>
      <c r="C172" s="27" t="s">
        <v>3404</v>
      </c>
      <c r="D172" s="27" t="s">
        <v>775</v>
      </c>
      <c r="E172" s="129">
        <v>47.8</v>
      </c>
      <c r="F172" s="66">
        <v>289.88056306838985</v>
      </c>
      <c r="G172" s="27" t="s">
        <v>3463</v>
      </c>
      <c r="H172" s="167">
        <v>45010.0</v>
      </c>
      <c r="I172" s="167">
        <v>45027.0</v>
      </c>
      <c r="J172" s="66">
        <v>317.50901193618773</v>
      </c>
      <c r="K172" s="1"/>
      <c r="L172" s="1"/>
      <c r="M172" s="1" t="str">
        <f>VLOOKUP(B172,Bounties!A:D,3,FALSE)</f>
        <v>Outreach</v>
      </c>
      <c r="N172" s="1" t="str">
        <f>VLOOKUP(B172,Bounties!A:D,4,FALSE)</f>
        <v>Events/Meetups</v>
      </c>
      <c r="O172" s="1" t="str">
        <f t="shared" ref="O172:P172" si="176">IF(ISBLANK(K172),M172,K172)</f>
        <v>Outreach</v>
      </c>
      <c r="P172" s="1" t="str">
        <f t="shared" si="176"/>
        <v>Events/Meetups</v>
      </c>
      <c r="Q172" s="108" t="str">
        <f t="shared" si="3"/>
        <v>2023</v>
      </c>
      <c r="R172" s="110">
        <f t="shared" si="4"/>
        <v>4</v>
      </c>
      <c r="S172" s="108" t="str">
        <f t="shared" si="5"/>
        <v>2023-Q2</v>
      </c>
      <c r="T172" s="111" t="str">
        <f t="shared" si="6"/>
        <v>2023-04</v>
      </c>
      <c r="U172" s="112" t="str">
        <f t="shared" si="7"/>
        <v>2023-H1</v>
      </c>
      <c r="V172" s="1" t="str">
        <f>VLOOKUP(B172,Bounties!A:E,2,FALSE)</f>
        <v>Events Bounty</v>
      </c>
    </row>
    <row r="173" hidden="1">
      <c r="A173" s="109">
        <f>HYPERLINK("https://polkadot.subsquare.io/treasury/child-bounties/171", 171)</f>
        <v>171</v>
      </c>
      <c r="B173" s="183">
        <v>17.0</v>
      </c>
      <c r="C173" s="27" t="s">
        <v>3404</v>
      </c>
      <c r="D173" s="27" t="s">
        <v>776</v>
      </c>
      <c r="E173" s="129">
        <v>2732.0</v>
      </c>
      <c r="F173" s="66">
        <v>17510.79992866516</v>
      </c>
      <c r="G173" s="27" t="s">
        <v>3464</v>
      </c>
      <c r="H173" s="167">
        <v>45014.0</v>
      </c>
      <c r="I173" s="167">
        <v>45025.0</v>
      </c>
      <c r="J173" s="66">
        <v>17555.15490913391</v>
      </c>
      <c r="K173" s="1"/>
      <c r="L173" s="1" t="s">
        <v>266</v>
      </c>
      <c r="M173" s="1" t="str">
        <f>VLOOKUP(B173,Bounties!A:D,3,FALSE)</f>
        <v>Outreach</v>
      </c>
      <c r="N173" s="1" t="str">
        <f>VLOOKUP(B173,Bounties!A:D,4,FALSE)</f>
        <v>Events/Meetups</v>
      </c>
      <c r="O173" s="1" t="str">
        <f t="shared" ref="O173:P173" si="177">IF(ISBLANK(K173),M173,K173)</f>
        <v>Outreach</v>
      </c>
      <c r="P173" s="1" t="str">
        <f t="shared" si="177"/>
        <v>Events/Conference Attendance &amp; Side Events</v>
      </c>
      <c r="Q173" s="108" t="str">
        <f t="shared" si="3"/>
        <v>2023</v>
      </c>
      <c r="R173" s="110">
        <f t="shared" si="4"/>
        <v>4</v>
      </c>
      <c r="S173" s="108" t="str">
        <f t="shared" si="5"/>
        <v>2023-Q2</v>
      </c>
      <c r="T173" s="111" t="str">
        <f t="shared" si="6"/>
        <v>2023-04</v>
      </c>
      <c r="U173" s="112" t="str">
        <f t="shared" si="7"/>
        <v>2023-H1</v>
      </c>
      <c r="V173" s="1" t="str">
        <f>VLOOKUP(B173,Bounties!A:E,2,FALSE)</f>
        <v>Events Bounty</v>
      </c>
    </row>
    <row r="174" hidden="1">
      <c r="A174" s="109">
        <f>HYPERLINK("https://polkadot.subsquare.io/treasury/child-bounties/172", 172)</f>
        <v>172</v>
      </c>
      <c r="B174" s="183">
        <v>17.0</v>
      </c>
      <c r="C174" s="27" t="s">
        <v>3404</v>
      </c>
      <c r="D174" s="27" t="s">
        <v>777</v>
      </c>
      <c r="E174" s="129">
        <v>652.6</v>
      </c>
      <c r="F174" s="66">
        <v>4182.850671100617</v>
      </c>
      <c r="G174" s="27" t="s">
        <v>3440</v>
      </c>
      <c r="H174" s="167">
        <v>45014.0</v>
      </c>
      <c r="I174" s="167">
        <v>45023.0</v>
      </c>
      <c r="J174" s="66">
        <v>4105.14773273468</v>
      </c>
      <c r="K174" s="1"/>
      <c r="L174" s="1" t="s">
        <v>266</v>
      </c>
      <c r="M174" s="1" t="str">
        <f>VLOOKUP(B174,Bounties!A:D,3,FALSE)</f>
        <v>Outreach</v>
      </c>
      <c r="N174" s="1" t="str">
        <f>VLOOKUP(B174,Bounties!A:D,4,FALSE)</f>
        <v>Events/Meetups</v>
      </c>
      <c r="O174" s="1" t="str">
        <f t="shared" ref="O174:P174" si="178">IF(ISBLANK(K174),M174,K174)</f>
        <v>Outreach</v>
      </c>
      <c r="P174" s="1" t="str">
        <f t="shared" si="178"/>
        <v>Events/Conference Attendance &amp; Side Events</v>
      </c>
      <c r="Q174" s="108" t="str">
        <f t="shared" si="3"/>
        <v>2023</v>
      </c>
      <c r="R174" s="110">
        <f t="shared" si="4"/>
        <v>4</v>
      </c>
      <c r="S174" s="108" t="str">
        <f t="shared" si="5"/>
        <v>2023-Q2</v>
      </c>
      <c r="T174" s="111" t="str">
        <f t="shared" si="6"/>
        <v>2023-04</v>
      </c>
      <c r="U174" s="112" t="str">
        <f t="shared" si="7"/>
        <v>2023-H1</v>
      </c>
      <c r="V174" s="1" t="str">
        <f>VLOOKUP(B174,Bounties!A:E,2,FALSE)</f>
        <v>Events Bounty</v>
      </c>
    </row>
    <row r="175" hidden="1">
      <c r="A175" s="109">
        <f>HYPERLINK("https://polkadot.subsquare.io/treasury/child-bounties/173", 173)</f>
        <v>173</v>
      </c>
      <c r="B175" s="183">
        <v>17.0</v>
      </c>
      <c r="C175" s="27" t="s">
        <v>3427</v>
      </c>
      <c r="D175" s="27" t="s">
        <v>776</v>
      </c>
      <c r="E175" s="129">
        <v>2732.0</v>
      </c>
      <c r="F175" s="66">
        <v>17510.79992866516</v>
      </c>
      <c r="H175" s="167">
        <v>45014.0</v>
      </c>
      <c r="I175" s="167">
        <v>45030.0</v>
      </c>
      <c r="J175" s="66">
        <v>18292.22296333313</v>
      </c>
      <c r="K175" s="1"/>
      <c r="L175" s="1"/>
      <c r="M175" s="1" t="str">
        <f>VLOOKUP(B175,Bounties!A:D,3,FALSE)</f>
        <v>Outreach</v>
      </c>
      <c r="N175" s="1" t="str">
        <f>VLOOKUP(B175,Bounties!A:D,4,FALSE)</f>
        <v>Events/Meetups</v>
      </c>
      <c r="O175" s="1" t="str">
        <f t="shared" ref="O175:P175" si="179">IF(ISBLANK(K175),M175,K175)</f>
        <v>Outreach</v>
      </c>
      <c r="P175" s="1" t="str">
        <f t="shared" si="179"/>
        <v>Events/Meetups</v>
      </c>
      <c r="Q175" s="108" t="str">
        <f t="shared" si="3"/>
        <v>2023</v>
      </c>
      <c r="R175" s="110">
        <f t="shared" si="4"/>
        <v>4</v>
      </c>
      <c r="S175" s="108" t="str">
        <f t="shared" si="5"/>
        <v>2023-Q2</v>
      </c>
      <c r="T175" s="111" t="str">
        <f t="shared" si="6"/>
        <v>2023-04</v>
      </c>
      <c r="U175" s="112" t="str">
        <f t="shared" si="7"/>
        <v>2023-H1</v>
      </c>
      <c r="V175" s="1" t="str">
        <f>VLOOKUP(B175,Bounties!A:E,2,FALSE)</f>
        <v>Events Bounty</v>
      </c>
    </row>
    <row r="176" hidden="1">
      <c r="A176" s="109">
        <f>HYPERLINK("https://polkadot.subsquare.io/treasury/child-bounties/174", 174)</f>
        <v>174</v>
      </c>
      <c r="B176" s="183">
        <v>10.0</v>
      </c>
      <c r="C176" s="27" t="s">
        <v>3427</v>
      </c>
      <c r="D176" s="27" t="s">
        <v>778</v>
      </c>
      <c r="E176" s="129">
        <v>1537.25</v>
      </c>
      <c r="F176" s="66">
        <v>9887.942628860474</v>
      </c>
      <c r="H176" s="167">
        <v>45017.0</v>
      </c>
      <c r="I176" s="167">
        <v>45018.0</v>
      </c>
      <c r="J176" s="66">
        <v>9844.601478219032</v>
      </c>
      <c r="K176" s="1"/>
      <c r="L176" s="1"/>
      <c r="M176" s="1" t="str">
        <f>VLOOKUP(B176,Bounties!A:D,3,FALSE)</f>
        <v/>
      </c>
      <c r="N176" s="1" t="str">
        <f>VLOOKUP(B176,Bounties!A:D,4,FALSE)</f>
        <v/>
      </c>
      <c r="O176" s="1" t="str">
        <f t="shared" ref="O176:P176" si="180">IF(ISBLANK(K176),M176,K176)</f>
        <v/>
      </c>
      <c r="P176" s="1" t="str">
        <f t="shared" si="180"/>
        <v/>
      </c>
      <c r="Q176" s="108" t="str">
        <f t="shared" si="3"/>
        <v>2023</v>
      </c>
      <c r="R176" s="110">
        <f t="shared" si="4"/>
        <v>4</v>
      </c>
      <c r="S176" s="108" t="str">
        <f t="shared" si="5"/>
        <v>2023-Q2</v>
      </c>
      <c r="T176" s="111" t="str">
        <f t="shared" si="6"/>
        <v>2023-04</v>
      </c>
      <c r="U176" s="112" t="str">
        <f t="shared" si="7"/>
        <v>2023-H1</v>
      </c>
      <c r="V176" s="1" t="str">
        <f>VLOOKUP(B176,Bounties!A:E,2,FALSE)</f>
        <v>Polkadot Pioneers Bounty</v>
      </c>
    </row>
    <row r="177" hidden="1">
      <c r="A177" s="109">
        <f>HYPERLINK("https://polkadot.subsquare.io/treasury/child-bounties/175", 175)</f>
        <v>175</v>
      </c>
      <c r="B177" s="183">
        <v>10.0</v>
      </c>
      <c r="C177" s="27" t="s">
        <v>3427</v>
      </c>
      <c r="D177" s="27" t="s">
        <v>779</v>
      </c>
      <c r="E177" s="129">
        <v>591.25</v>
      </c>
      <c r="F177" s="66">
        <v>3803.0548572540283</v>
      </c>
      <c r="H177" s="167">
        <v>45017.0</v>
      </c>
      <c r="I177" s="167">
        <v>45018.0</v>
      </c>
      <c r="J177" s="66">
        <v>3786.385183930397</v>
      </c>
      <c r="K177" s="1"/>
      <c r="L177" s="1"/>
      <c r="M177" s="1" t="str">
        <f>VLOOKUP(B177,Bounties!A:D,3,FALSE)</f>
        <v/>
      </c>
      <c r="N177" s="1" t="str">
        <f>VLOOKUP(B177,Bounties!A:D,4,FALSE)</f>
        <v/>
      </c>
      <c r="O177" s="1" t="str">
        <f t="shared" ref="O177:P177" si="181">IF(ISBLANK(K177),M177,K177)</f>
        <v/>
      </c>
      <c r="P177" s="1" t="str">
        <f t="shared" si="181"/>
        <v/>
      </c>
      <c r="Q177" s="108" t="str">
        <f t="shared" si="3"/>
        <v>2023</v>
      </c>
      <c r="R177" s="110">
        <f t="shared" si="4"/>
        <v>4</v>
      </c>
      <c r="S177" s="108" t="str">
        <f t="shared" si="5"/>
        <v>2023-Q2</v>
      </c>
      <c r="T177" s="111" t="str">
        <f t="shared" si="6"/>
        <v>2023-04</v>
      </c>
      <c r="U177" s="112" t="str">
        <f t="shared" si="7"/>
        <v>2023-H1</v>
      </c>
      <c r="V177" s="1" t="str">
        <f>VLOOKUP(B177,Bounties!A:E,2,FALSE)</f>
        <v>Polkadot Pioneers Bounty</v>
      </c>
    </row>
    <row r="178" hidden="1">
      <c r="A178" s="109">
        <f>HYPERLINK("https://polkadot.subsquare.io/treasury/child-bounties/176", 176)</f>
        <v>176</v>
      </c>
      <c r="B178" s="183">
        <v>10.0</v>
      </c>
      <c r="C178" s="27" t="s">
        <v>3427</v>
      </c>
      <c r="D178" s="27" t="s">
        <v>780</v>
      </c>
      <c r="E178" s="129">
        <v>236.5</v>
      </c>
      <c r="F178" s="66">
        <v>1521.2219429016113</v>
      </c>
      <c r="H178" s="167">
        <v>45017.0</v>
      </c>
      <c r="I178" s="167">
        <v>45018.0</v>
      </c>
      <c r="J178" s="66">
        <v>1514.5540735721588</v>
      </c>
      <c r="K178" s="1"/>
      <c r="L178" s="1"/>
      <c r="M178" s="1" t="str">
        <f>VLOOKUP(B178,Bounties!A:D,3,FALSE)</f>
        <v/>
      </c>
      <c r="N178" s="1" t="str">
        <f>VLOOKUP(B178,Bounties!A:D,4,FALSE)</f>
        <v/>
      </c>
      <c r="O178" s="1" t="str">
        <f t="shared" ref="O178:P178" si="182">IF(ISBLANK(K178),M178,K178)</f>
        <v/>
      </c>
      <c r="P178" s="1" t="str">
        <f t="shared" si="182"/>
        <v/>
      </c>
      <c r="Q178" s="108" t="str">
        <f t="shared" si="3"/>
        <v>2023</v>
      </c>
      <c r="R178" s="110">
        <f t="shared" si="4"/>
        <v>4</v>
      </c>
      <c r="S178" s="108" t="str">
        <f t="shared" si="5"/>
        <v>2023-Q2</v>
      </c>
      <c r="T178" s="111" t="str">
        <f t="shared" si="6"/>
        <v>2023-04</v>
      </c>
      <c r="U178" s="112" t="str">
        <f t="shared" si="7"/>
        <v>2023-H1</v>
      </c>
      <c r="V178" s="1" t="str">
        <f>VLOOKUP(B178,Bounties!A:E,2,FALSE)</f>
        <v>Polkadot Pioneers Bounty</v>
      </c>
    </row>
    <row r="179" hidden="1">
      <c r="A179" s="109">
        <f>HYPERLINK("https://polkadot.subsquare.io/treasury/child-bounties/177", 177)</f>
        <v>177</v>
      </c>
      <c r="B179" s="183">
        <v>10.0</v>
      </c>
      <c r="C179" s="27" t="s">
        <v>3404</v>
      </c>
      <c r="D179" s="27" t="s">
        <v>778</v>
      </c>
      <c r="E179" s="129">
        <v>15372.5</v>
      </c>
      <c r="F179" s="66">
        <v>98446.01478219032</v>
      </c>
      <c r="G179" s="27" t="s">
        <v>3465</v>
      </c>
      <c r="H179" s="167">
        <v>45018.0</v>
      </c>
      <c r="I179" s="167">
        <v>45057.0</v>
      </c>
      <c r="J179" s="66">
        <v>82272.14293956757</v>
      </c>
      <c r="K179" s="1"/>
      <c r="L179" s="1"/>
      <c r="M179" s="1" t="str">
        <f>VLOOKUP(B179,Bounties!A:D,3,FALSE)</f>
        <v/>
      </c>
      <c r="N179" s="1" t="str">
        <f>VLOOKUP(B179,Bounties!A:D,4,FALSE)</f>
        <v/>
      </c>
      <c r="O179" s="1" t="str">
        <f t="shared" ref="O179:P179" si="183">IF(ISBLANK(K179),M179,K179)</f>
        <v/>
      </c>
      <c r="P179" s="1" t="str">
        <f t="shared" si="183"/>
        <v/>
      </c>
      <c r="Q179" s="108" t="str">
        <f t="shared" si="3"/>
        <v>2023</v>
      </c>
      <c r="R179" s="110">
        <f t="shared" si="4"/>
        <v>5</v>
      </c>
      <c r="S179" s="108" t="str">
        <f t="shared" si="5"/>
        <v>2023-Q2</v>
      </c>
      <c r="T179" s="111" t="str">
        <f t="shared" si="6"/>
        <v>2023-05</v>
      </c>
      <c r="U179" s="112" t="str">
        <f t="shared" si="7"/>
        <v>2023-H1</v>
      </c>
      <c r="V179" s="1" t="str">
        <f>VLOOKUP(B179,Bounties!A:E,2,FALSE)</f>
        <v>Polkadot Pioneers Bounty</v>
      </c>
    </row>
    <row r="180" hidden="1">
      <c r="A180" s="109">
        <f>HYPERLINK("https://polkadot.subsquare.io/treasury/child-bounties/178", 178)</f>
        <v>178</v>
      </c>
      <c r="B180" s="183">
        <v>10.0</v>
      </c>
      <c r="C180" s="27" t="s">
        <v>3404</v>
      </c>
      <c r="D180" s="27" t="s">
        <v>779</v>
      </c>
      <c r="E180" s="129">
        <v>5912.5</v>
      </c>
      <c r="F180" s="66">
        <v>37863.85183930397</v>
      </c>
      <c r="G180" s="27" t="s">
        <v>3466</v>
      </c>
      <c r="H180" s="167">
        <v>45018.0</v>
      </c>
      <c r="I180" s="167">
        <v>45057.0</v>
      </c>
      <c r="J180" s="66">
        <v>31643.13189983368</v>
      </c>
      <c r="K180" s="1"/>
      <c r="L180" s="1"/>
      <c r="M180" s="1" t="str">
        <f>VLOOKUP(B180,Bounties!A:D,3,FALSE)</f>
        <v/>
      </c>
      <c r="N180" s="1" t="str">
        <f>VLOOKUP(B180,Bounties!A:D,4,FALSE)</f>
        <v/>
      </c>
      <c r="O180" s="1" t="str">
        <f t="shared" ref="O180:P180" si="184">IF(ISBLANK(K180),M180,K180)</f>
        <v/>
      </c>
      <c r="P180" s="1" t="str">
        <f t="shared" si="184"/>
        <v/>
      </c>
      <c r="Q180" s="108" t="str">
        <f t="shared" si="3"/>
        <v>2023</v>
      </c>
      <c r="R180" s="110">
        <f t="shared" si="4"/>
        <v>5</v>
      </c>
      <c r="S180" s="108" t="str">
        <f t="shared" si="5"/>
        <v>2023-Q2</v>
      </c>
      <c r="T180" s="111" t="str">
        <f t="shared" si="6"/>
        <v>2023-05</v>
      </c>
      <c r="U180" s="112" t="str">
        <f t="shared" si="7"/>
        <v>2023-H1</v>
      </c>
      <c r="V180" s="1" t="str">
        <f>VLOOKUP(B180,Bounties!A:E,2,FALSE)</f>
        <v>Polkadot Pioneers Bounty</v>
      </c>
    </row>
    <row r="181" hidden="1">
      <c r="A181" s="109">
        <f>HYPERLINK("https://polkadot.subsquare.io/treasury/child-bounties/179", 179)</f>
        <v>179</v>
      </c>
      <c r="B181" s="183">
        <v>10.0</v>
      </c>
      <c r="C181" s="27" t="s">
        <v>3404</v>
      </c>
      <c r="D181" s="27" t="s">
        <v>780</v>
      </c>
      <c r="E181" s="129">
        <v>2365.0</v>
      </c>
      <c r="F181" s="66">
        <v>15145.540735721588</v>
      </c>
      <c r="G181" s="27" t="s">
        <v>3467</v>
      </c>
      <c r="H181" s="167">
        <v>45018.0</v>
      </c>
      <c r="I181" s="167">
        <v>45110.0</v>
      </c>
      <c r="J181" s="66">
        <v>11886.606209278107</v>
      </c>
      <c r="K181" s="1"/>
      <c r="L181" s="1"/>
      <c r="M181" s="1" t="str">
        <f>VLOOKUP(B181,Bounties!A:D,3,FALSE)</f>
        <v/>
      </c>
      <c r="N181" s="1" t="str">
        <f>VLOOKUP(B181,Bounties!A:D,4,FALSE)</f>
        <v/>
      </c>
      <c r="O181" s="1" t="str">
        <f t="shared" ref="O181:P181" si="185">IF(ISBLANK(K181),M181,K181)</f>
        <v/>
      </c>
      <c r="P181" s="1" t="str">
        <f t="shared" si="185"/>
        <v/>
      </c>
      <c r="Q181" s="108" t="str">
        <f t="shared" si="3"/>
        <v>2023</v>
      </c>
      <c r="R181" s="110">
        <f t="shared" si="4"/>
        <v>7</v>
      </c>
      <c r="S181" s="108" t="str">
        <f t="shared" si="5"/>
        <v>2023-Q3</v>
      </c>
      <c r="T181" s="111" t="str">
        <f t="shared" si="6"/>
        <v>2023-07</v>
      </c>
      <c r="U181" s="112" t="str">
        <f t="shared" si="7"/>
        <v>2023-H2</v>
      </c>
      <c r="V181" s="1" t="str">
        <f>VLOOKUP(B181,Bounties!A:E,2,FALSE)</f>
        <v>Polkadot Pioneers Bounty</v>
      </c>
    </row>
    <row r="182" hidden="1">
      <c r="A182" s="109">
        <f>HYPERLINK("https://polkadot.subsquare.io/treasury/child-bounties/180", 180)</f>
        <v>180</v>
      </c>
      <c r="B182" s="183">
        <v>11.0</v>
      </c>
      <c r="C182" s="27" t="s">
        <v>3404</v>
      </c>
      <c r="D182" s="27" t="s">
        <v>781</v>
      </c>
      <c r="E182" s="129">
        <v>72.26810673</v>
      </c>
      <c r="F182" s="66">
        <v>453.89979203988247</v>
      </c>
      <c r="G182" s="27" t="s">
        <v>3407</v>
      </c>
      <c r="H182" s="167">
        <v>45019.0</v>
      </c>
      <c r="I182" s="167">
        <v>45027.0</v>
      </c>
      <c r="J182" s="66">
        <v>486.65568551430295</v>
      </c>
      <c r="K182" s="1"/>
      <c r="L182" s="1"/>
      <c r="M182" s="1" t="str">
        <f>VLOOKUP(B182,Bounties!A:D,3,FALSE)</f>
        <v>Research</v>
      </c>
      <c r="N182" s="1" t="str">
        <f>VLOOKUP(B182,Bounties!A:D,4,FALSE)</f>
        <v>Anti-Scam</v>
      </c>
      <c r="O182" s="1" t="str">
        <f t="shared" ref="O182:P182" si="186">IF(ISBLANK(K182),M182,K182)</f>
        <v>Research</v>
      </c>
      <c r="P182" s="1" t="str">
        <f t="shared" si="186"/>
        <v>Anti-Scam</v>
      </c>
      <c r="Q182" s="108" t="str">
        <f t="shared" si="3"/>
        <v>2023</v>
      </c>
      <c r="R182" s="110">
        <f t="shared" si="4"/>
        <v>4</v>
      </c>
      <c r="S182" s="108" t="str">
        <f t="shared" si="5"/>
        <v>2023-Q2</v>
      </c>
      <c r="T182" s="111" t="str">
        <f t="shared" si="6"/>
        <v>2023-04</v>
      </c>
      <c r="U182" s="112" t="str">
        <f t="shared" si="7"/>
        <v>2023-H1</v>
      </c>
      <c r="V182" s="1" t="str">
        <f>VLOOKUP(B182,Bounties!A:E,2,FALSE)</f>
        <v>Anti-Scam Bounty</v>
      </c>
    </row>
    <row r="183" hidden="1">
      <c r="A183" s="109">
        <f>HYPERLINK("https://polkadot.subsquare.io/treasury/child-bounties/181", 181)</f>
        <v>181</v>
      </c>
      <c r="B183" s="183">
        <v>11.0</v>
      </c>
      <c r="C183" s="27" t="s">
        <v>3404</v>
      </c>
      <c r="D183" s="27" t="s">
        <v>782</v>
      </c>
      <c r="E183" s="129">
        <v>72.26810673</v>
      </c>
      <c r="F183" s="66">
        <v>453.89979203988247</v>
      </c>
      <c r="G183" s="27" t="s">
        <v>3411</v>
      </c>
      <c r="H183" s="167">
        <v>45019.0</v>
      </c>
      <c r="I183" s="167">
        <v>45027.0</v>
      </c>
      <c r="J183" s="66">
        <v>486.65568551430295</v>
      </c>
      <c r="K183" s="1"/>
      <c r="L183" s="1"/>
      <c r="M183" s="1" t="str">
        <f>VLOOKUP(B183,Bounties!A:D,3,FALSE)</f>
        <v>Research</v>
      </c>
      <c r="N183" s="1" t="str">
        <f>VLOOKUP(B183,Bounties!A:D,4,FALSE)</f>
        <v>Anti-Scam</v>
      </c>
      <c r="O183" s="1" t="str">
        <f t="shared" ref="O183:P183" si="187">IF(ISBLANK(K183),M183,K183)</f>
        <v>Research</v>
      </c>
      <c r="P183" s="1" t="str">
        <f t="shared" si="187"/>
        <v>Anti-Scam</v>
      </c>
      <c r="Q183" s="108" t="str">
        <f t="shared" si="3"/>
        <v>2023</v>
      </c>
      <c r="R183" s="110">
        <f t="shared" si="4"/>
        <v>4</v>
      </c>
      <c r="S183" s="108" t="str">
        <f t="shared" si="5"/>
        <v>2023-Q2</v>
      </c>
      <c r="T183" s="111" t="str">
        <f t="shared" si="6"/>
        <v>2023-04</v>
      </c>
      <c r="U183" s="112" t="str">
        <f t="shared" si="7"/>
        <v>2023-H1</v>
      </c>
      <c r="V183" s="1" t="str">
        <f>VLOOKUP(B183,Bounties!A:E,2,FALSE)</f>
        <v>Anti-Scam Bounty</v>
      </c>
    </row>
    <row r="184" hidden="1">
      <c r="A184" s="109">
        <f>HYPERLINK("https://polkadot.subsquare.io/treasury/child-bounties/182", 182)</f>
        <v>182</v>
      </c>
      <c r="B184" s="183">
        <v>11.0</v>
      </c>
      <c r="C184" s="27" t="s">
        <v>3404</v>
      </c>
      <c r="D184" s="27" t="s">
        <v>783</v>
      </c>
      <c r="E184" s="129">
        <v>79.41550191</v>
      </c>
      <c r="F184" s="66">
        <v>498.790980319513</v>
      </c>
      <c r="G184" s="27" t="s">
        <v>3457</v>
      </c>
      <c r="H184" s="167">
        <v>45019.0</v>
      </c>
      <c r="I184" s="167">
        <v>45028.0</v>
      </c>
      <c r="J184" s="66">
        <v>540.5736090996076</v>
      </c>
      <c r="K184" s="1"/>
      <c r="L184" s="1"/>
      <c r="M184" s="1" t="str">
        <f>VLOOKUP(B184,Bounties!A:D,3,FALSE)</f>
        <v>Research</v>
      </c>
      <c r="N184" s="1" t="str">
        <f>VLOOKUP(B184,Bounties!A:D,4,FALSE)</f>
        <v>Anti-Scam</v>
      </c>
      <c r="O184" s="1" t="str">
        <f t="shared" ref="O184:P184" si="188">IF(ISBLANK(K184),M184,K184)</f>
        <v>Research</v>
      </c>
      <c r="P184" s="1" t="str">
        <f t="shared" si="188"/>
        <v>Anti-Scam</v>
      </c>
      <c r="Q184" s="108" t="str">
        <f t="shared" si="3"/>
        <v>2023</v>
      </c>
      <c r="R184" s="110">
        <f t="shared" si="4"/>
        <v>4</v>
      </c>
      <c r="S184" s="108" t="str">
        <f t="shared" si="5"/>
        <v>2023-Q2</v>
      </c>
      <c r="T184" s="111" t="str">
        <f t="shared" si="6"/>
        <v>2023-04</v>
      </c>
      <c r="U184" s="112" t="str">
        <f t="shared" si="7"/>
        <v>2023-H1</v>
      </c>
      <c r="V184" s="1" t="str">
        <f>VLOOKUP(B184,Bounties!A:E,2,FALSE)</f>
        <v>Anti-Scam Bounty</v>
      </c>
    </row>
    <row r="185" hidden="1">
      <c r="A185" s="109">
        <f>HYPERLINK("https://polkadot.subsquare.io/treasury/child-bounties/183", 183)</f>
        <v>183</v>
      </c>
      <c r="B185" s="183">
        <v>11.0</v>
      </c>
      <c r="C185" s="27" t="s">
        <v>3404</v>
      </c>
      <c r="D185" s="27" t="s">
        <v>784</v>
      </c>
      <c r="E185" s="129">
        <v>1371.2409995765</v>
      </c>
      <c r="F185" s="66">
        <v>8612.45759308041</v>
      </c>
      <c r="G185" s="27" t="s">
        <v>3406</v>
      </c>
      <c r="H185" s="167">
        <v>45019.0</v>
      </c>
      <c r="I185" s="167">
        <v>45029.0</v>
      </c>
      <c r="J185" s="66">
        <v>9369.777618248585</v>
      </c>
      <c r="K185" s="1"/>
      <c r="L185" s="1"/>
      <c r="M185" s="1" t="str">
        <f>VLOOKUP(B185,Bounties!A:D,3,FALSE)</f>
        <v>Research</v>
      </c>
      <c r="N185" s="1" t="str">
        <f>VLOOKUP(B185,Bounties!A:D,4,FALSE)</f>
        <v>Anti-Scam</v>
      </c>
      <c r="O185" s="1" t="str">
        <f t="shared" ref="O185:P185" si="189">IF(ISBLANK(K185),M185,K185)</f>
        <v>Research</v>
      </c>
      <c r="P185" s="1" t="str">
        <f t="shared" si="189"/>
        <v>Anti-Scam</v>
      </c>
      <c r="Q185" s="108" t="str">
        <f t="shared" si="3"/>
        <v>2023</v>
      </c>
      <c r="R185" s="110">
        <f t="shared" si="4"/>
        <v>4</v>
      </c>
      <c r="S185" s="108" t="str">
        <f t="shared" si="5"/>
        <v>2023-Q2</v>
      </c>
      <c r="T185" s="111" t="str">
        <f t="shared" si="6"/>
        <v>2023-04</v>
      </c>
      <c r="U185" s="112" t="str">
        <f t="shared" si="7"/>
        <v>2023-H1</v>
      </c>
      <c r="V185" s="1" t="str">
        <f>VLOOKUP(B185,Bounties!A:E,2,FALSE)</f>
        <v>Anti-Scam Bounty</v>
      </c>
    </row>
    <row r="186" hidden="1">
      <c r="A186" s="109">
        <f>HYPERLINK("https://polkadot.subsquare.io/treasury/child-bounties/184", 184)</f>
        <v>184</v>
      </c>
      <c r="B186" s="183">
        <v>11.0</v>
      </c>
      <c r="C186" s="27" t="s">
        <v>3404</v>
      </c>
      <c r="D186" s="27" t="s">
        <v>785</v>
      </c>
      <c r="E186" s="129">
        <v>1371.2409995765</v>
      </c>
      <c r="F186" s="66">
        <v>8612.45759308041</v>
      </c>
      <c r="G186" s="27" t="s">
        <v>3407</v>
      </c>
      <c r="H186" s="167">
        <v>45019.0</v>
      </c>
      <c r="I186" s="167">
        <v>45028.0</v>
      </c>
      <c r="J186" s="66">
        <v>9333.90431664681</v>
      </c>
      <c r="K186" s="1"/>
      <c r="L186" s="1"/>
      <c r="M186" s="1" t="str">
        <f>VLOOKUP(B186,Bounties!A:D,3,FALSE)</f>
        <v>Research</v>
      </c>
      <c r="N186" s="1" t="str">
        <f>VLOOKUP(B186,Bounties!A:D,4,FALSE)</f>
        <v>Anti-Scam</v>
      </c>
      <c r="O186" s="1" t="str">
        <f t="shared" ref="O186:P186" si="190">IF(ISBLANK(K186),M186,K186)</f>
        <v>Research</v>
      </c>
      <c r="P186" s="1" t="str">
        <f t="shared" si="190"/>
        <v>Anti-Scam</v>
      </c>
      <c r="Q186" s="108" t="str">
        <f t="shared" si="3"/>
        <v>2023</v>
      </c>
      <c r="R186" s="110">
        <f t="shared" si="4"/>
        <v>4</v>
      </c>
      <c r="S186" s="108" t="str">
        <f t="shared" si="5"/>
        <v>2023-Q2</v>
      </c>
      <c r="T186" s="111" t="str">
        <f t="shared" si="6"/>
        <v>2023-04</v>
      </c>
      <c r="U186" s="112" t="str">
        <f t="shared" si="7"/>
        <v>2023-H1</v>
      </c>
      <c r="V186" s="1" t="str">
        <f>VLOOKUP(B186,Bounties!A:E,2,FALSE)</f>
        <v>Anti-Scam Bounty</v>
      </c>
    </row>
    <row r="187" hidden="1">
      <c r="A187" s="109">
        <f>HYPERLINK("https://polkadot.subsquare.io/treasury/child-bounties/185", 185)</f>
        <v>185</v>
      </c>
      <c r="B187" s="183">
        <v>11.0</v>
      </c>
      <c r="C187" s="27" t="s">
        <v>3404</v>
      </c>
      <c r="D187" s="27" t="s">
        <v>786</v>
      </c>
      <c r="E187" s="129">
        <v>1216.9525624735</v>
      </c>
      <c r="F187" s="66">
        <v>7643.406476564323</v>
      </c>
      <c r="G187" s="27" t="s">
        <v>3411</v>
      </c>
      <c r="H187" s="167">
        <v>45019.0</v>
      </c>
      <c r="I187" s="167">
        <v>45028.0</v>
      </c>
      <c r="J187" s="66">
        <v>8283.677908940832</v>
      </c>
      <c r="K187" s="1"/>
      <c r="L187" s="1"/>
      <c r="M187" s="1" t="str">
        <f>VLOOKUP(B187,Bounties!A:D,3,FALSE)</f>
        <v>Research</v>
      </c>
      <c r="N187" s="1" t="str">
        <f>VLOOKUP(B187,Bounties!A:D,4,FALSE)</f>
        <v>Anti-Scam</v>
      </c>
      <c r="O187" s="1" t="str">
        <f t="shared" ref="O187:P187" si="191">IF(ISBLANK(K187),M187,K187)</f>
        <v>Research</v>
      </c>
      <c r="P187" s="1" t="str">
        <f t="shared" si="191"/>
        <v>Anti-Scam</v>
      </c>
      <c r="Q187" s="108" t="str">
        <f t="shared" si="3"/>
        <v>2023</v>
      </c>
      <c r="R187" s="110">
        <f t="shared" si="4"/>
        <v>4</v>
      </c>
      <c r="S187" s="108" t="str">
        <f t="shared" si="5"/>
        <v>2023-Q2</v>
      </c>
      <c r="T187" s="111" t="str">
        <f t="shared" si="6"/>
        <v>2023-04</v>
      </c>
      <c r="U187" s="112" t="str">
        <f t="shared" si="7"/>
        <v>2023-H1</v>
      </c>
      <c r="V187" s="1" t="str">
        <f>VLOOKUP(B187,Bounties!A:E,2,FALSE)</f>
        <v>Anti-Scam Bounty</v>
      </c>
    </row>
    <row r="188" hidden="1">
      <c r="A188" s="109">
        <f>HYPERLINK("https://polkadot.subsquare.io/treasury/child-bounties/186", 186)</f>
        <v>186</v>
      </c>
      <c r="B188" s="183">
        <v>11.0</v>
      </c>
      <c r="C188" s="27" t="s">
        <v>3404</v>
      </c>
      <c r="D188" s="27" t="s">
        <v>787</v>
      </c>
      <c r="E188" s="129">
        <v>78.8767944471</v>
      </c>
      <c r="F188" s="66">
        <v>495.4074794026536</v>
      </c>
      <c r="G188" s="27" t="s">
        <v>3409</v>
      </c>
      <c r="H188" s="167">
        <v>45020.0</v>
      </c>
      <c r="I188" s="167">
        <v>45028.0</v>
      </c>
      <c r="J188" s="66">
        <v>531.1587947950137</v>
      </c>
      <c r="K188" s="1"/>
      <c r="L188" s="1"/>
      <c r="M188" s="1" t="str">
        <f>VLOOKUP(B188,Bounties!A:D,3,FALSE)</f>
        <v>Research</v>
      </c>
      <c r="N188" s="1" t="str">
        <f>VLOOKUP(B188,Bounties!A:D,4,FALSE)</f>
        <v>Anti-Scam</v>
      </c>
      <c r="O188" s="1" t="str">
        <f t="shared" ref="O188:P188" si="192">IF(ISBLANK(K188),M188,K188)</f>
        <v>Research</v>
      </c>
      <c r="P188" s="1" t="str">
        <f t="shared" si="192"/>
        <v>Anti-Scam</v>
      </c>
      <c r="Q188" s="108" t="str">
        <f t="shared" si="3"/>
        <v>2023</v>
      </c>
      <c r="R188" s="110">
        <f t="shared" si="4"/>
        <v>4</v>
      </c>
      <c r="S188" s="108" t="str">
        <f t="shared" si="5"/>
        <v>2023-Q2</v>
      </c>
      <c r="T188" s="111" t="str">
        <f t="shared" si="6"/>
        <v>2023-04</v>
      </c>
      <c r="U188" s="112" t="str">
        <f t="shared" si="7"/>
        <v>2023-H1</v>
      </c>
      <c r="V188" s="1" t="str">
        <f>VLOOKUP(B188,Bounties!A:E,2,FALSE)</f>
        <v>Anti-Scam Bounty</v>
      </c>
    </row>
    <row r="189" hidden="1">
      <c r="A189" s="109">
        <f>HYPERLINK("https://polkadot.subsquare.io/treasury/child-bounties/187", 187)</f>
        <v>187</v>
      </c>
      <c r="B189" s="183">
        <v>11.0</v>
      </c>
      <c r="C189" s="27" t="s">
        <v>3404</v>
      </c>
      <c r="D189" s="27" t="s">
        <v>788</v>
      </c>
      <c r="E189" s="129">
        <v>28.3956460009</v>
      </c>
      <c r="F189" s="66">
        <v>175.62082690504903</v>
      </c>
      <c r="G189" s="27" t="s">
        <v>3411</v>
      </c>
      <c r="H189" s="167">
        <v>45020.0</v>
      </c>
      <c r="I189" s="167">
        <v>45029.0</v>
      </c>
      <c r="J189" s="66">
        <v>194.02926869683313</v>
      </c>
      <c r="K189" s="1"/>
      <c r="L189" s="1"/>
      <c r="M189" s="1" t="str">
        <f>VLOOKUP(B189,Bounties!A:D,3,FALSE)</f>
        <v>Research</v>
      </c>
      <c r="N189" s="1" t="str">
        <f>VLOOKUP(B189,Bounties!A:D,4,FALSE)</f>
        <v>Anti-Scam</v>
      </c>
      <c r="O189" s="1" t="str">
        <f t="shared" ref="O189:P189" si="193">IF(ISBLANK(K189),M189,K189)</f>
        <v>Research</v>
      </c>
      <c r="P189" s="1" t="str">
        <f t="shared" si="193"/>
        <v>Anti-Scam</v>
      </c>
      <c r="Q189" s="108" t="str">
        <f t="shared" si="3"/>
        <v>2023</v>
      </c>
      <c r="R189" s="110">
        <f t="shared" si="4"/>
        <v>4</v>
      </c>
      <c r="S189" s="108" t="str">
        <f t="shared" si="5"/>
        <v>2023-Q2</v>
      </c>
      <c r="T189" s="111" t="str">
        <f t="shared" si="6"/>
        <v>2023-04</v>
      </c>
      <c r="U189" s="112" t="str">
        <f t="shared" si="7"/>
        <v>2023-H1</v>
      </c>
      <c r="V189" s="1" t="str">
        <f>VLOOKUP(B189,Bounties!A:E,2,FALSE)</f>
        <v>Anti-Scam Bounty</v>
      </c>
    </row>
    <row r="190" hidden="1">
      <c r="A190" s="109">
        <f>HYPERLINK("https://polkadot.subsquare.io/treasury/child-bounties/188", 188)</f>
        <v>188</v>
      </c>
      <c r="B190" s="183">
        <v>11.0</v>
      </c>
      <c r="C190" s="27" t="s">
        <v>3404</v>
      </c>
      <c r="D190" s="27" t="s">
        <v>789</v>
      </c>
      <c r="E190" s="129">
        <v>78.8767944471</v>
      </c>
      <c r="F190" s="66">
        <v>487.8356302927649</v>
      </c>
      <c r="G190" s="27" t="s">
        <v>3414</v>
      </c>
      <c r="H190" s="167">
        <v>45020.0</v>
      </c>
      <c r="I190" s="167">
        <v>45028.0</v>
      </c>
      <c r="J190" s="66">
        <v>536.906679715987</v>
      </c>
      <c r="K190" s="1"/>
      <c r="L190" s="1"/>
      <c r="M190" s="1" t="str">
        <f>VLOOKUP(B190,Bounties!A:D,3,FALSE)</f>
        <v>Research</v>
      </c>
      <c r="N190" s="1" t="str">
        <f>VLOOKUP(B190,Bounties!A:D,4,FALSE)</f>
        <v>Anti-Scam</v>
      </c>
      <c r="O190" s="1" t="str">
        <f t="shared" ref="O190:P190" si="194">IF(ISBLANK(K190),M190,K190)</f>
        <v>Research</v>
      </c>
      <c r="P190" s="1" t="str">
        <f t="shared" si="194"/>
        <v>Anti-Scam</v>
      </c>
      <c r="Q190" s="108" t="str">
        <f t="shared" si="3"/>
        <v>2023</v>
      </c>
      <c r="R190" s="110">
        <f t="shared" si="4"/>
        <v>4</v>
      </c>
      <c r="S190" s="108" t="str">
        <f t="shared" si="5"/>
        <v>2023-Q2</v>
      </c>
      <c r="T190" s="111" t="str">
        <f t="shared" si="6"/>
        <v>2023-04</v>
      </c>
      <c r="U190" s="112" t="str">
        <f t="shared" si="7"/>
        <v>2023-H1</v>
      </c>
      <c r="V190" s="1" t="str">
        <f>VLOOKUP(B190,Bounties!A:E,2,FALSE)</f>
        <v>Anti-Scam Bounty</v>
      </c>
    </row>
    <row r="191" hidden="1">
      <c r="A191" s="109">
        <f>HYPERLINK("https://polkadot.subsquare.io/treasury/child-bounties/189", 189)</f>
        <v>189</v>
      </c>
      <c r="B191" s="183">
        <v>17.0</v>
      </c>
      <c r="C191" s="27" t="s">
        <v>3404</v>
      </c>
      <c r="D191" s="27" t="s">
        <v>790</v>
      </c>
      <c r="E191" s="129">
        <v>1861.0</v>
      </c>
      <c r="F191" s="66">
        <v>11509.875804901123</v>
      </c>
      <c r="G191" s="27" t="s">
        <v>3468</v>
      </c>
      <c r="H191" s="167">
        <v>45020.0</v>
      </c>
      <c r="I191" s="167">
        <v>45031.0</v>
      </c>
      <c r="J191" s="66">
        <v>12881.892453670502</v>
      </c>
      <c r="K191" s="1"/>
      <c r="L191" s="1" t="s">
        <v>266</v>
      </c>
      <c r="M191" s="1" t="str">
        <f>VLOOKUP(B191,Bounties!A:D,3,FALSE)</f>
        <v>Outreach</v>
      </c>
      <c r="N191" s="1" t="str">
        <f>VLOOKUP(B191,Bounties!A:D,4,FALSE)</f>
        <v>Events/Meetups</v>
      </c>
      <c r="O191" s="1" t="str">
        <f t="shared" ref="O191:P191" si="195">IF(ISBLANK(K191),M191,K191)</f>
        <v>Outreach</v>
      </c>
      <c r="P191" s="1" t="str">
        <f t="shared" si="195"/>
        <v>Events/Conference Attendance &amp; Side Events</v>
      </c>
      <c r="Q191" s="108" t="str">
        <f t="shared" si="3"/>
        <v>2023</v>
      </c>
      <c r="R191" s="110">
        <f t="shared" si="4"/>
        <v>4</v>
      </c>
      <c r="S191" s="108" t="str">
        <f t="shared" si="5"/>
        <v>2023-Q2</v>
      </c>
      <c r="T191" s="111" t="str">
        <f t="shared" si="6"/>
        <v>2023-04</v>
      </c>
      <c r="U191" s="112" t="str">
        <f t="shared" si="7"/>
        <v>2023-H1</v>
      </c>
      <c r="V191" s="1" t="str">
        <f>VLOOKUP(B191,Bounties!A:E,2,FALSE)</f>
        <v>Events Bounty</v>
      </c>
    </row>
    <row r="192" hidden="1">
      <c r="A192" s="109">
        <f>HYPERLINK("https://polkadot.subsquare.io/treasury/child-bounties/190", 190)</f>
        <v>190</v>
      </c>
      <c r="B192" s="183">
        <v>17.0</v>
      </c>
      <c r="C192" s="27" t="s">
        <v>3404</v>
      </c>
      <c r="D192" s="27" t="s">
        <v>791</v>
      </c>
      <c r="E192" s="129">
        <v>218.0</v>
      </c>
      <c r="F192" s="66">
        <v>1348.2820663452148</v>
      </c>
      <c r="G192" s="27" t="s">
        <v>3444</v>
      </c>
      <c r="H192" s="167">
        <v>45020.0</v>
      </c>
      <c r="I192" s="167">
        <v>45088.0</v>
      </c>
      <c r="J192" s="66">
        <v>996.2272930145264</v>
      </c>
      <c r="K192" s="1"/>
      <c r="L192" s="1" t="s">
        <v>266</v>
      </c>
      <c r="M192" s="1" t="str">
        <f>VLOOKUP(B192,Bounties!A:D,3,FALSE)</f>
        <v>Outreach</v>
      </c>
      <c r="N192" s="1" t="str">
        <f>VLOOKUP(B192,Bounties!A:D,4,FALSE)</f>
        <v>Events/Meetups</v>
      </c>
      <c r="O192" s="1" t="str">
        <f t="shared" ref="O192:P192" si="196">IF(ISBLANK(K192),M192,K192)</f>
        <v>Outreach</v>
      </c>
      <c r="P192" s="1" t="str">
        <f t="shared" si="196"/>
        <v>Events/Conference Attendance &amp; Side Events</v>
      </c>
      <c r="Q192" s="108" t="str">
        <f t="shared" si="3"/>
        <v>2023</v>
      </c>
      <c r="R192" s="110">
        <f t="shared" si="4"/>
        <v>6</v>
      </c>
      <c r="S192" s="108" t="str">
        <f t="shared" si="5"/>
        <v>2023-Q2</v>
      </c>
      <c r="T192" s="111" t="str">
        <f t="shared" si="6"/>
        <v>2023-06</v>
      </c>
      <c r="U192" s="112" t="str">
        <f t="shared" si="7"/>
        <v>2023-H1</v>
      </c>
      <c r="V192" s="1" t="str">
        <f>VLOOKUP(B192,Bounties!A:E,2,FALSE)</f>
        <v>Events Bounty</v>
      </c>
    </row>
    <row r="193" hidden="1">
      <c r="A193" s="109">
        <f>HYPERLINK("https://polkadot.subsquare.io/treasury/child-bounties/191", 191)</f>
        <v>191</v>
      </c>
      <c r="B193" s="183">
        <v>11.0</v>
      </c>
      <c r="C193" s="27" t="s">
        <v>3404</v>
      </c>
      <c r="D193" s="27" t="s">
        <v>792</v>
      </c>
      <c r="E193" s="129">
        <v>78.8767944471</v>
      </c>
      <c r="F193" s="66">
        <v>487.8356302927649</v>
      </c>
      <c r="G193" s="27" t="s">
        <v>3439</v>
      </c>
      <c r="H193" s="167">
        <v>45020.0</v>
      </c>
      <c r="I193" s="167">
        <v>45033.0</v>
      </c>
      <c r="J193" s="66">
        <v>498.4951109556101</v>
      </c>
      <c r="K193" s="1"/>
      <c r="L193" s="1"/>
      <c r="M193" s="1" t="str">
        <f>VLOOKUP(B193,Bounties!A:D,3,FALSE)</f>
        <v>Research</v>
      </c>
      <c r="N193" s="1" t="str">
        <f>VLOOKUP(B193,Bounties!A:D,4,FALSE)</f>
        <v>Anti-Scam</v>
      </c>
      <c r="O193" s="1" t="str">
        <f t="shared" ref="O193:P193" si="197">IF(ISBLANK(K193),M193,K193)</f>
        <v>Research</v>
      </c>
      <c r="P193" s="1" t="str">
        <f t="shared" si="197"/>
        <v>Anti-Scam</v>
      </c>
      <c r="Q193" s="108" t="str">
        <f t="shared" si="3"/>
        <v>2023</v>
      </c>
      <c r="R193" s="110">
        <f t="shared" si="4"/>
        <v>4</v>
      </c>
      <c r="S193" s="108" t="str">
        <f t="shared" si="5"/>
        <v>2023-Q2</v>
      </c>
      <c r="T193" s="111" t="str">
        <f t="shared" si="6"/>
        <v>2023-04</v>
      </c>
      <c r="U193" s="112" t="str">
        <f t="shared" si="7"/>
        <v>2023-H1</v>
      </c>
      <c r="V193" s="1" t="str">
        <f>VLOOKUP(B193,Bounties!A:E,2,FALSE)</f>
        <v>Anti-Scam Bounty</v>
      </c>
    </row>
    <row r="194" hidden="1">
      <c r="A194" s="109">
        <f>HYPERLINK("https://polkadot.subsquare.io/treasury/child-bounties/192", 192)</f>
        <v>192</v>
      </c>
      <c r="B194" s="183">
        <v>11.0</v>
      </c>
      <c r="C194" s="27" t="s">
        <v>3404</v>
      </c>
      <c r="D194" s="27" t="s">
        <v>793</v>
      </c>
      <c r="E194" s="129">
        <v>352.0456707896</v>
      </c>
      <c r="F194" s="66">
        <v>2160.137014996233</v>
      </c>
      <c r="G194" s="27" t="s">
        <v>3469</v>
      </c>
      <c r="H194" s="167">
        <v>45022.0</v>
      </c>
      <c r="I194" s="167">
        <v>45031.0</v>
      </c>
      <c r="J194" s="66">
        <v>2357.13686067333</v>
      </c>
      <c r="K194" s="1"/>
      <c r="L194" s="1"/>
      <c r="M194" s="1" t="str">
        <f>VLOOKUP(B194,Bounties!A:D,3,FALSE)</f>
        <v>Research</v>
      </c>
      <c r="N194" s="1" t="str">
        <f>VLOOKUP(B194,Bounties!A:D,4,FALSE)</f>
        <v>Anti-Scam</v>
      </c>
      <c r="O194" s="1" t="str">
        <f t="shared" ref="O194:P194" si="198">IF(ISBLANK(K194),M194,K194)</f>
        <v>Research</v>
      </c>
      <c r="P194" s="1" t="str">
        <f t="shared" si="198"/>
        <v>Anti-Scam</v>
      </c>
      <c r="Q194" s="108" t="str">
        <f t="shared" si="3"/>
        <v>2023</v>
      </c>
      <c r="R194" s="110">
        <f t="shared" si="4"/>
        <v>4</v>
      </c>
      <c r="S194" s="108" t="str">
        <f t="shared" si="5"/>
        <v>2023-Q2</v>
      </c>
      <c r="T194" s="111" t="str">
        <f t="shared" si="6"/>
        <v>2023-04</v>
      </c>
      <c r="U194" s="112" t="str">
        <f t="shared" si="7"/>
        <v>2023-H1</v>
      </c>
      <c r="V194" s="1" t="str">
        <f>VLOOKUP(B194,Bounties!A:E,2,FALSE)</f>
        <v>Anti-Scam Bounty</v>
      </c>
    </row>
    <row r="195" hidden="1">
      <c r="A195" s="109">
        <f>HYPERLINK("https://polkadot.subsquare.io/treasury/child-bounties/193", 193)</f>
        <v>193</v>
      </c>
      <c r="B195" s="183">
        <v>11.0</v>
      </c>
      <c r="C195" s="27" t="s">
        <v>3404</v>
      </c>
      <c r="D195" s="27" t="s">
        <v>794</v>
      </c>
      <c r="E195" s="129">
        <v>228.3539486202</v>
      </c>
      <c r="F195" s="66">
        <v>1401.1699556727344</v>
      </c>
      <c r="G195" s="27" t="s">
        <v>3470</v>
      </c>
      <c r="H195" s="167">
        <v>45022.0</v>
      </c>
      <c r="I195" s="167">
        <v>45031.0</v>
      </c>
      <c r="J195" s="66">
        <v>1528.9536393551302</v>
      </c>
      <c r="K195" s="1"/>
      <c r="L195" s="1"/>
      <c r="M195" s="1" t="str">
        <f>VLOOKUP(B195,Bounties!A:D,3,FALSE)</f>
        <v>Research</v>
      </c>
      <c r="N195" s="1" t="str">
        <f>VLOOKUP(B195,Bounties!A:D,4,FALSE)</f>
        <v>Anti-Scam</v>
      </c>
      <c r="O195" s="1" t="str">
        <f t="shared" ref="O195:P195" si="199">IF(ISBLANK(K195),M195,K195)</f>
        <v>Research</v>
      </c>
      <c r="P195" s="1" t="str">
        <f t="shared" si="199"/>
        <v>Anti-Scam</v>
      </c>
      <c r="Q195" s="108" t="str">
        <f t="shared" si="3"/>
        <v>2023</v>
      </c>
      <c r="R195" s="110">
        <f t="shared" si="4"/>
        <v>4</v>
      </c>
      <c r="S195" s="108" t="str">
        <f t="shared" si="5"/>
        <v>2023-Q2</v>
      </c>
      <c r="T195" s="111" t="str">
        <f t="shared" si="6"/>
        <v>2023-04</v>
      </c>
      <c r="U195" s="112" t="str">
        <f t="shared" si="7"/>
        <v>2023-H1</v>
      </c>
      <c r="V195" s="1" t="str">
        <f>VLOOKUP(B195,Bounties!A:E,2,FALSE)</f>
        <v>Anti-Scam Bounty</v>
      </c>
    </row>
    <row r="196" hidden="1">
      <c r="A196" s="109">
        <f>HYPERLINK("https://polkadot.subsquare.io/treasury/child-bounties/194", 194)</f>
        <v>194</v>
      </c>
      <c r="B196" s="183">
        <v>11.0</v>
      </c>
      <c r="C196" s="27" t="s">
        <v>3404</v>
      </c>
      <c r="D196" s="27" t="s">
        <v>795</v>
      </c>
      <c r="E196" s="129">
        <v>209.3244529019</v>
      </c>
      <c r="F196" s="66">
        <v>1284.4057927003134</v>
      </c>
      <c r="G196" s="27" t="s">
        <v>3423</v>
      </c>
      <c r="H196" s="167">
        <v>45022.0</v>
      </c>
      <c r="I196" s="167">
        <v>45031.0</v>
      </c>
      <c r="J196" s="66">
        <v>1448.9495379933865</v>
      </c>
      <c r="K196" s="1"/>
      <c r="L196" s="1"/>
      <c r="M196" s="1" t="str">
        <f>VLOOKUP(B196,Bounties!A:D,3,FALSE)</f>
        <v>Research</v>
      </c>
      <c r="N196" s="1" t="str">
        <f>VLOOKUP(B196,Bounties!A:D,4,FALSE)</f>
        <v>Anti-Scam</v>
      </c>
      <c r="O196" s="1" t="str">
        <f t="shared" ref="O196:P196" si="200">IF(ISBLANK(K196),M196,K196)</f>
        <v>Research</v>
      </c>
      <c r="P196" s="1" t="str">
        <f t="shared" si="200"/>
        <v>Anti-Scam</v>
      </c>
      <c r="Q196" s="108" t="str">
        <f t="shared" si="3"/>
        <v>2023</v>
      </c>
      <c r="R196" s="110">
        <f t="shared" si="4"/>
        <v>4</v>
      </c>
      <c r="S196" s="108" t="str">
        <f t="shared" si="5"/>
        <v>2023-Q2</v>
      </c>
      <c r="T196" s="111" t="str">
        <f t="shared" si="6"/>
        <v>2023-04</v>
      </c>
      <c r="U196" s="112" t="str">
        <f t="shared" si="7"/>
        <v>2023-H1</v>
      </c>
      <c r="V196" s="1" t="str">
        <f>VLOOKUP(B196,Bounties!A:E,2,FALSE)</f>
        <v>Anti-Scam Bounty</v>
      </c>
    </row>
    <row r="197" hidden="1">
      <c r="A197" s="109">
        <f>HYPERLINK("https://polkadot.subsquare.io/treasury/child-bounties/195", 195)</f>
        <v>195</v>
      </c>
      <c r="B197" s="183">
        <v>11.0</v>
      </c>
      <c r="C197" s="27" t="s">
        <v>3404</v>
      </c>
      <c r="D197" s="27" t="s">
        <v>796</v>
      </c>
      <c r="E197" s="129">
        <v>85.6327307325</v>
      </c>
      <c r="F197" s="66">
        <v>525.4387333768152</v>
      </c>
      <c r="G197" s="27" t="s">
        <v>3411</v>
      </c>
      <c r="H197" s="167">
        <v>45022.0</v>
      </c>
      <c r="I197" s="167">
        <v>45031.0</v>
      </c>
      <c r="J197" s="66">
        <v>573.3576147576716</v>
      </c>
      <c r="K197" s="1"/>
      <c r="L197" s="1"/>
      <c r="M197" s="1" t="str">
        <f>VLOOKUP(B197,Bounties!A:D,3,FALSE)</f>
        <v>Research</v>
      </c>
      <c r="N197" s="1" t="str">
        <f>VLOOKUP(B197,Bounties!A:D,4,FALSE)</f>
        <v>Anti-Scam</v>
      </c>
      <c r="O197" s="1" t="str">
        <f t="shared" ref="O197:P197" si="201">IF(ISBLANK(K197),M197,K197)</f>
        <v>Research</v>
      </c>
      <c r="P197" s="1" t="str">
        <f t="shared" si="201"/>
        <v>Anti-Scam</v>
      </c>
      <c r="Q197" s="108" t="str">
        <f t="shared" si="3"/>
        <v>2023</v>
      </c>
      <c r="R197" s="110">
        <f t="shared" si="4"/>
        <v>4</v>
      </c>
      <c r="S197" s="108" t="str">
        <f t="shared" si="5"/>
        <v>2023-Q2</v>
      </c>
      <c r="T197" s="111" t="str">
        <f t="shared" si="6"/>
        <v>2023-04</v>
      </c>
      <c r="U197" s="112" t="str">
        <f t="shared" si="7"/>
        <v>2023-H1</v>
      </c>
      <c r="V197" s="1" t="str">
        <f>VLOOKUP(B197,Bounties!A:E,2,FALSE)</f>
        <v>Anti-Scam Bounty</v>
      </c>
    </row>
    <row r="198" hidden="1">
      <c r="A198" s="109">
        <f>HYPERLINK("https://polkadot.subsquare.io/treasury/child-bounties/196", 196)</f>
        <v>196</v>
      </c>
      <c r="B198" s="183">
        <v>11.0</v>
      </c>
      <c r="C198" s="27" t="s">
        <v>3404</v>
      </c>
      <c r="D198" s="27" t="s">
        <v>797</v>
      </c>
      <c r="E198" s="129">
        <v>272.7561052964</v>
      </c>
      <c r="F198" s="66">
        <v>1673.6196692760732</v>
      </c>
      <c r="G198" s="27" t="s">
        <v>3424</v>
      </c>
      <c r="H198" s="167">
        <v>45022.0</v>
      </c>
      <c r="I198" s="167">
        <v>45031.0</v>
      </c>
      <c r="J198" s="66">
        <v>1826.250180341185</v>
      </c>
      <c r="K198" s="1"/>
      <c r="L198" s="1"/>
      <c r="M198" s="1" t="str">
        <f>VLOOKUP(B198,Bounties!A:D,3,FALSE)</f>
        <v>Research</v>
      </c>
      <c r="N198" s="1" t="str">
        <f>VLOOKUP(B198,Bounties!A:D,4,FALSE)</f>
        <v>Anti-Scam</v>
      </c>
      <c r="O198" s="1" t="str">
        <f t="shared" ref="O198:P198" si="202">IF(ISBLANK(K198),M198,K198)</f>
        <v>Research</v>
      </c>
      <c r="P198" s="1" t="str">
        <f t="shared" si="202"/>
        <v>Anti-Scam</v>
      </c>
      <c r="Q198" s="108" t="str">
        <f t="shared" si="3"/>
        <v>2023</v>
      </c>
      <c r="R198" s="110">
        <f t="shared" si="4"/>
        <v>4</v>
      </c>
      <c r="S198" s="108" t="str">
        <f t="shared" si="5"/>
        <v>2023-Q2</v>
      </c>
      <c r="T198" s="111" t="str">
        <f t="shared" si="6"/>
        <v>2023-04</v>
      </c>
      <c r="U198" s="112" t="str">
        <f t="shared" si="7"/>
        <v>2023-H1</v>
      </c>
      <c r="V198" s="1" t="str">
        <f>VLOOKUP(B198,Bounties!A:E,2,FALSE)</f>
        <v>Anti-Scam Bounty</v>
      </c>
    </row>
    <row r="199" hidden="1">
      <c r="A199" s="109">
        <f>HYPERLINK("https://polkadot.subsquare.io/treasury/child-bounties/197", 197)</f>
        <v>197</v>
      </c>
      <c r="B199" s="183">
        <v>11.0</v>
      </c>
      <c r="C199" s="27" t="s">
        <v>3404</v>
      </c>
      <c r="D199" s="27" t="s">
        <v>798</v>
      </c>
      <c r="E199" s="129">
        <v>63.43165239</v>
      </c>
      <c r="F199" s="66">
        <v>394.30479754022207</v>
      </c>
      <c r="G199" s="27" t="s">
        <v>3407</v>
      </c>
      <c r="H199" s="167">
        <v>45022.0</v>
      </c>
      <c r="I199" s="167">
        <v>45032.0</v>
      </c>
      <c r="J199" s="66">
        <v>400.8830330631331</v>
      </c>
      <c r="K199" s="1"/>
      <c r="L199" s="1"/>
      <c r="M199" s="1" t="str">
        <f>VLOOKUP(B199,Bounties!A:D,3,FALSE)</f>
        <v>Research</v>
      </c>
      <c r="N199" s="1" t="str">
        <f>VLOOKUP(B199,Bounties!A:D,4,FALSE)</f>
        <v>Anti-Scam</v>
      </c>
      <c r="O199" s="1" t="str">
        <f t="shared" ref="O199:P199" si="203">IF(ISBLANK(K199),M199,K199)</f>
        <v>Research</v>
      </c>
      <c r="P199" s="1" t="str">
        <f t="shared" si="203"/>
        <v>Anti-Scam</v>
      </c>
      <c r="Q199" s="108" t="str">
        <f t="shared" si="3"/>
        <v>2023</v>
      </c>
      <c r="R199" s="110">
        <f t="shared" si="4"/>
        <v>4</v>
      </c>
      <c r="S199" s="108" t="str">
        <f t="shared" si="5"/>
        <v>2023-Q2</v>
      </c>
      <c r="T199" s="111" t="str">
        <f t="shared" si="6"/>
        <v>2023-04</v>
      </c>
      <c r="U199" s="112" t="str">
        <f t="shared" si="7"/>
        <v>2023-H1</v>
      </c>
      <c r="V199" s="1" t="str">
        <f>VLOOKUP(B199,Bounties!A:E,2,FALSE)</f>
        <v>Anti-Scam Bounty</v>
      </c>
    </row>
    <row r="200" hidden="1">
      <c r="A200" s="109">
        <f>HYPERLINK("https://polkadot.subsquare.io/treasury/child-bounties/198", 198)</f>
        <v>198</v>
      </c>
      <c r="B200" s="183">
        <v>11.0</v>
      </c>
      <c r="C200" s="27" t="s">
        <v>3404</v>
      </c>
      <c r="D200" s="27" t="s">
        <v>799</v>
      </c>
      <c r="E200" s="129">
        <v>63.43165239</v>
      </c>
      <c r="F200" s="66">
        <v>394.30479754022207</v>
      </c>
      <c r="G200" s="27" t="s">
        <v>3406</v>
      </c>
      <c r="H200" s="167">
        <v>45022.0</v>
      </c>
      <c r="I200" s="167">
        <v>45043.0</v>
      </c>
      <c r="J200" s="66">
        <v>383.1406377390198</v>
      </c>
      <c r="K200" s="1"/>
      <c r="L200" s="1"/>
      <c r="M200" s="1" t="str">
        <f>VLOOKUP(B200,Bounties!A:D,3,FALSE)</f>
        <v>Research</v>
      </c>
      <c r="N200" s="1" t="str">
        <f>VLOOKUP(B200,Bounties!A:D,4,FALSE)</f>
        <v>Anti-Scam</v>
      </c>
      <c r="O200" s="1" t="str">
        <f t="shared" ref="O200:P200" si="204">IF(ISBLANK(K200),M200,K200)</f>
        <v>Research</v>
      </c>
      <c r="P200" s="1" t="str">
        <f t="shared" si="204"/>
        <v>Anti-Scam</v>
      </c>
      <c r="Q200" s="108" t="str">
        <f t="shared" si="3"/>
        <v>2023</v>
      </c>
      <c r="R200" s="110">
        <f t="shared" si="4"/>
        <v>4</v>
      </c>
      <c r="S200" s="108" t="str">
        <f t="shared" si="5"/>
        <v>2023-Q2</v>
      </c>
      <c r="T200" s="111" t="str">
        <f t="shared" si="6"/>
        <v>2023-04</v>
      </c>
      <c r="U200" s="112" t="str">
        <f t="shared" si="7"/>
        <v>2023-H1</v>
      </c>
      <c r="V200" s="1" t="str">
        <f>VLOOKUP(B200,Bounties!A:E,2,FALSE)</f>
        <v>Anti-Scam Bounty</v>
      </c>
    </row>
    <row r="201" hidden="1">
      <c r="A201" s="109">
        <f>HYPERLINK("https://polkadot.subsquare.io/treasury/child-bounties/199", 199)</f>
        <v>199</v>
      </c>
      <c r="B201" s="183">
        <v>11.0</v>
      </c>
      <c r="C201" s="27" t="s">
        <v>3404</v>
      </c>
      <c r="D201" s="27" t="s">
        <v>800</v>
      </c>
      <c r="E201" s="129">
        <v>63.43165239</v>
      </c>
      <c r="F201" s="66">
        <v>394.30479754022207</v>
      </c>
      <c r="G201" s="27" t="s">
        <v>3411</v>
      </c>
      <c r="H201" s="167">
        <v>45022.0</v>
      </c>
      <c r="I201" s="167">
        <v>45031.0</v>
      </c>
      <c r="J201" s="66">
        <v>424.70934423518406</v>
      </c>
      <c r="K201" s="1"/>
      <c r="L201" s="1"/>
      <c r="M201" s="1" t="str">
        <f>VLOOKUP(B201,Bounties!A:D,3,FALSE)</f>
        <v>Research</v>
      </c>
      <c r="N201" s="1" t="str">
        <f>VLOOKUP(B201,Bounties!A:D,4,FALSE)</f>
        <v>Anti-Scam</v>
      </c>
      <c r="O201" s="1" t="str">
        <f t="shared" ref="O201:P201" si="205">IF(ISBLANK(K201),M201,K201)</f>
        <v>Research</v>
      </c>
      <c r="P201" s="1" t="str">
        <f t="shared" si="205"/>
        <v>Anti-Scam</v>
      </c>
      <c r="Q201" s="108" t="str">
        <f t="shared" si="3"/>
        <v>2023</v>
      </c>
      <c r="R201" s="110">
        <f t="shared" si="4"/>
        <v>4</v>
      </c>
      <c r="S201" s="108" t="str">
        <f t="shared" si="5"/>
        <v>2023-Q2</v>
      </c>
      <c r="T201" s="111" t="str">
        <f t="shared" si="6"/>
        <v>2023-04</v>
      </c>
      <c r="U201" s="112" t="str">
        <f t="shared" si="7"/>
        <v>2023-H1</v>
      </c>
      <c r="V201" s="1" t="str">
        <f>VLOOKUP(B201,Bounties!A:E,2,FALSE)</f>
        <v>Anti-Scam Bounty</v>
      </c>
    </row>
    <row r="202" hidden="1">
      <c r="A202" s="109">
        <f>HYPERLINK("https://polkadot.subsquare.io/treasury/child-bounties/200", 200)</f>
        <v>200</v>
      </c>
      <c r="B202" s="183">
        <v>11.0</v>
      </c>
      <c r="C202" s="27" t="s">
        <v>3404</v>
      </c>
      <c r="D202" s="27" t="s">
        <v>801</v>
      </c>
      <c r="E202" s="129">
        <v>102.4751694781</v>
      </c>
      <c r="F202" s="66">
        <v>697.5385268061257</v>
      </c>
      <c r="G202" s="27" t="s">
        <v>3424</v>
      </c>
      <c r="H202" s="167">
        <v>45028.0</v>
      </c>
      <c r="I202" s="167">
        <v>45038.0</v>
      </c>
      <c r="J202" s="66">
        <v>614.9797245618932</v>
      </c>
      <c r="K202" s="1"/>
      <c r="L202" s="1"/>
      <c r="M202" s="1" t="str">
        <f>VLOOKUP(B202,Bounties!A:D,3,FALSE)</f>
        <v>Research</v>
      </c>
      <c r="N202" s="1" t="str">
        <f>VLOOKUP(B202,Bounties!A:D,4,FALSE)</f>
        <v>Anti-Scam</v>
      </c>
      <c r="O202" s="1" t="str">
        <f t="shared" ref="O202:P202" si="206">IF(ISBLANK(K202),M202,K202)</f>
        <v>Research</v>
      </c>
      <c r="P202" s="1" t="str">
        <f t="shared" si="206"/>
        <v>Anti-Scam</v>
      </c>
      <c r="Q202" s="108" t="str">
        <f t="shared" si="3"/>
        <v>2023</v>
      </c>
      <c r="R202" s="110">
        <f t="shared" si="4"/>
        <v>4</v>
      </c>
      <c r="S202" s="108" t="str">
        <f t="shared" si="5"/>
        <v>2023-Q2</v>
      </c>
      <c r="T202" s="111" t="str">
        <f t="shared" si="6"/>
        <v>2023-04</v>
      </c>
      <c r="U202" s="112" t="str">
        <f t="shared" si="7"/>
        <v>2023-H1</v>
      </c>
      <c r="V202" s="1" t="str">
        <f>VLOOKUP(B202,Bounties!A:E,2,FALSE)</f>
        <v>Anti-Scam Bounty</v>
      </c>
    </row>
    <row r="203" hidden="1">
      <c r="A203" s="109">
        <f>HYPERLINK("https://polkadot.subsquare.io/treasury/child-bounties/201", 201)</f>
        <v>201</v>
      </c>
      <c r="B203" s="183">
        <v>17.0</v>
      </c>
      <c r="C203" s="27" t="s">
        <v>3404</v>
      </c>
      <c r="D203" s="27" t="s">
        <v>802</v>
      </c>
      <c r="E203" s="129">
        <v>890.0</v>
      </c>
      <c r="F203" s="66">
        <v>5959.033102989197</v>
      </c>
      <c r="G203" s="27" t="s">
        <v>3452</v>
      </c>
      <c r="H203" s="167">
        <v>45030.0</v>
      </c>
      <c r="I203" s="167">
        <v>45249.0</v>
      </c>
      <c r="J203" s="66">
        <v>4603.849773406982</v>
      </c>
      <c r="K203" s="1"/>
      <c r="L203" s="1" t="s">
        <v>266</v>
      </c>
      <c r="M203" s="1" t="str">
        <f>VLOOKUP(B203,Bounties!A:D,3,FALSE)</f>
        <v>Outreach</v>
      </c>
      <c r="N203" s="1" t="str">
        <f>VLOOKUP(B203,Bounties!A:D,4,FALSE)</f>
        <v>Events/Meetups</v>
      </c>
      <c r="O203" s="1" t="str">
        <f t="shared" ref="O203:P203" si="207">IF(ISBLANK(K203),M203,K203)</f>
        <v>Outreach</v>
      </c>
      <c r="P203" s="1" t="str">
        <f t="shared" si="207"/>
        <v>Events/Conference Attendance &amp; Side Events</v>
      </c>
      <c r="Q203" s="108" t="str">
        <f t="shared" si="3"/>
        <v>2023</v>
      </c>
      <c r="R203" s="110">
        <f t="shared" si="4"/>
        <v>11</v>
      </c>
      <c r="S203" s="108" t="str">
        <f t="shared" si="5"/>
        <v>2023-Q4</v>
      </c>
      <c r="T203" s="111" t="str">
        <f t="shared" si="6"/>
        <v>2023-11</v>
      </c>
      <c r="U203" s="112" t="str">
        <f t="shared" si="7"/>
        <v>2023-H2</v>
      </c>
      <c r="V203" s="1" t="str">
        <f>VLOOKUP(B203,Bounties!A:E,2,FALSE)</f>
        <v>Events Bounty</v>
      </c>
    </row>
    <row r="204" hidden="1">
      <c r="A204" s="109">
        <f>HYPERLINK("https://polkadot.subsquare.io/treasury/child-bounties/202", 202)</f>
        <v>202</v>
      </c>
      <c r="B204" s="183">
        <v>17.0</v>
      </c>
      <c r="C204" s="27" t="s">
        <v>3404</v>
      </c>
      <c r="D204" s="27" t="s">
        <v>803</v>
      </c>
      <c r="E204" s="129">
        <v>1736.1</v>
      </c>
      <c r="F204" s="66">
        <v>11624.131876516341</v>
      </c>
      <c r="G204" s="27" t="s">
        <v>3471</v>
      </c>
      <c r="H204" s="167">
        <v>45030.0</v>
      </c>
      <c r="I204" s="167">
        <v>45042.0</v>
      </c>
      <c r="J204" s="66">
        <v>10327.355861091613</v>
      </c>
      <c r="K204" s="1"/>
      <c r="L204" s="1"/>
      <c r="M204" s="1" t="str">
        <f>VLOOKUP(B204,Bounties!A:D,3,FALSE)</f>
        <v>Outreach</v>
      </c>
      <c r="N204" s="1" t="str">
        <f>VLOOKUP(B204,Bounties!A:D,4,FALSE)</f>
        <v>Events/Meetups</v>
      </c>
      <c r="O204" s="1" t="str">
        <f t="shared" ref="O204:P204" si="208">IF(ISBLANK(K204),M204,K204)</f>
        <v>Outreach</v>
      </c>
      <c r="P204" s="1" t="str">
        <f t="shared" si="208"/>
        <v>Events/Meetups</v>
      </c>
      <c r="Q204" s="108" t="str">
        <f t="shared" si="3"/>
        <v>2023</v>
      </c>
      <c r="R204" s="110">
        <f t="shared" si="4"/>
        <v>4</v>
      </c>
      <c r="S204" s="108" t="str">
        <f t="shared" si="5"/>
        <v>2023-Q2</v>
      </c>
      <c r="T204" s="111" t="str">
        <f t="shared" si="6"/>
        <v>2023-04</v>
      </c>
      <c r="U204" s="112" t="str">
        <f t="shared" si="7"/>
        <v>2023-H1</v>
      </c>
      <c r="V204" s="1" t="str">
        <f>VLOOKUP(B204,Bounties!A:E,2,FALSE)</f>
        <v>Events Bounty</v>
      </c>
    </row>
    <row r="205" hidden="1">
      <c r="A205" s="109">
        <f>HYPERLINK("https://polkadot.subsquare.io/treasury/child-bounties/203", 203)</f>
        <v>203</v>
      </c>
      <c r="B205" s="183">
        <v>17.0</v>
      </c>
      <c r="C205" s="27" t="s">
        <v>3404</v>
      </c>
      <c r="D205" s="27" t="s">
        <v>804</v>
      </c>
      <c r="E205" s="129">
        <v>783.2</v>
      </c>
      <c r="F205" s="66">
        <v>5243.9491306304935</v>
      </c>
      <c r="G205" s="27" t="s">
        <v>3449</v>
      </c>
      <c r="H205" s="167">
        <v>45030.0</v>
      </c>
      <c r="I205" s="167">
        <v>45045.0</v>
      </c>
      <c r="J205" s="66">
        <v>4439.117272949219</v>
      </c>
      <c r="K205" s="1"/>
      <c r="L205" s="1"/>
      <c r="M205" s="1" t="str">
        <f>VLOOKUP(B205,Bounties!A:D,3,FALSE)</f>
        <v>Outreach</v>
      </c>
      <c r="N205" s="1" t="str">
        <f>VLOOKUP(B205,Bounties!A:D,4,FALSE)</f>
        <v>Events/Meetups</v>
      </c>
      <c r="O205" s="1" t="str">
        <f t="shared" ref="O205:P205" si="209">IF(ISBLANK(K205),M205,K205)</f>
        <v>Outreach</v>
      </c>
      <c r="P205" s="1" t="str">
        <f t="shared" si="209"/>
        <v>Events/Meetups</v>
      </c>
      <c r="Q205" s="108" t="str">
        <f t="shared" si="3"/>
        <v>2023</v>
      </c>
      <c r="R205" s="110">
        <f t="shared" si="4"/>
        <v>4</v>
      </c>
      <c r="S205" s="108" t="str">
        <f t="shared" si="5"/>
        <v>2023-Q2</v>
      </c>
      <c r="T205" s="111" t="str">
        <f t="shared" si="6"/>
        <v>2023-04</v>
      </c>
      <c r="U205" s="112" t="str">
        <f t="shared" si="7"/>
        <v>2023-H1</v>
      </c>
      <c r="V205" s="1" t="str">
        <f>VLOOKUP(B205,Bounties!A:E,2,FALSE)</f>
        <v>Events Bounty</v>
      </c>
    </row>
    <row r="206" hidden="1">
      <c r="A206" s="109">
        <f>HYPERLINK("https://polkadot.subsquare.io/treasury/child-bounties/204", 204)</f>
        <v>204</v>
      </c>
      <c r="B206" s="183">
        <v>17.0</v>
      </c>
      <c r="C206" s="27" t="s">
        <v>3404</v>
      </c>
      <c r="D206" s="27" t="s">
        <v>805</v>
      </c>
      <c r="E206" s="129">
        <v>12583.0</v>
      </c>
      <c r="F206" s="66">
        <v>87099.86713838577</v>
      </c>
      <c r="G206" s="27" t="s">
        <v>3468</v>
      </c>
      <c r="H206" s="167">
        <v>45032.0</v>
      </c>
      <c r="I206" s="167">
        <v>45040.0</v>
      </c>
      <c r="J206" s="66">
        <v>75135.29746341705</v>
      </c>
      <c r="K206" s="1"/>
      <c r="L206" s="1" t="s">
        <v>266</v>
      </c>
      <c r="M206" s="1" t="str">
        <f>VLOOKUP(B206,Bounties!A:D,3,FALSE)</f>
        <v>Outreach</v>
      </c>
      <c r="N206" s="1" t="str">
        <f>VLOOKUP(B206,Bounties!A:D,4,FALSE)</f>
        <v>Events/Meetups</v>
      </c>
      <c r="O206" s="1" t="str">
        <f t="shared" ref="O206:P206" si="210">IF(ISBLANK(K206),M206,K206)</f>
        <v>Outreach</v>
      </c>
      <c r="P206" s="1" t="str">
        <f t="shared" si="210"/>
        <v>Events/Conference Attendance &amp; Side Events</v>
      </c>
      <c r="Q206" s="108" t="str">
        <f t="shared" si="3"/>
        <v>2023</v>
      </c>
      <c r="R206" s="110">
        <f t="shared" si="4"/>
        <v>4</v>
      </c>
      <c r="S206" s="108" t="str">
        <f t="shared" si="5"/>
        <v>2023-Q2</v>
      </c>
      <c r="T206" s="111" t="str">
        <f t="shared" si="6"/>
        <v>2023-04</v>
      </c>
      <c r="U206" s="112" t="str">
        <f t="shared" si="7"/>
        <v>2023-H1</v>
      </c>
      <c r="V206" s="1" t="str">
        <f>VLOOKUP(B206,Bounties!A:E,2,FALSE)</f>
        <v>Events Bounty</v>
      </c>
    </row>
    <row r="207" hidden="1">
      <c r="A207" s="109">
        <f>HYPERLINK("https://polkadot.subsquare.io/treasury/child-bounties/205", 205)</f>
        <v>205</v>
      </c>
      <c r="B207" s="183">
        <v>17.0</v>
      </c>
      <c r="C207" s="27" t="s">
        <v>3404</v>
      </c>
      <c r="D207" s="27" t="s">
        <v>806</v>
      </c>
      <c r="E207" s="129">
        <v>3678.0</v>
      </c>
      <c r="F207" s="66">
        <v>25459.21571445465</v>
      </c>
      <c r="G207" s="27" t="s">
        <v>3468</v>
      </c>
      <c r="H207" s="167">
        <v>45032.0</v>
      </c>
      <c r="I207" s="167">
        <v>45040.0</v>
      </c>
      <c r="J207" s="66">
        <v>21961.982362747192</v>
      </c>
      <c r="K207" s="1"/>
      <c r="L207" s="1" t="s">
        <v>266</v>
      </c>
      <c r="M207" s="1" t="str">
        <f>VLOOKUP(B207,Bounties!A:D,3,FALSE)</f>
        <v>Outreach</v>
      </c>
      <c r="N207" s="1" t="str">
        <f>VLOOKUP(B207,Bounties!A:D,4,FALSE)</f>
        <v>Events/Meetups</v>
      </c>
      <c r="O207" s="1" t="str">
        <f t="shared" ref="O207:P207" si="211">IF(ISBLANK(K207),M207,K207)</f>
        <v>Outreach</v>
      </c>
      <c r="P207" s="1" t="str">
        <f t="shared" si="211"/>
        <v>Events/Conference Attendance &amp; Side Events</v>
      </c>
      <c r="Q207" s="108" t="str">
        <f t="shared" si="3"/>
        <v>2023</v>
      </c>
      <c r="R207" s="110">
        <f t="shared" si="4"/>
        <v>4</v>
      </c>
      <c r="S207" s="108" t="str">
        <f t="shared" si="5"/>
        <v>2023-Q2</v>
      </c>
      <c r="T207" s="111" t="str">
        <f t="shared" si="6"/>
        <v>2023-04</v>
      </c>
      <c r="U207" s="112" t="str">
        <f t="shared" si="7"/>
        <v>2023-H1</v>
      </c>
      <c r="V207" s="1" t="str">
        <f>VLOOKUP(B207,Bounties!A:E,2,FALSE)</f>
        <v>Events Bounty</v>
      </c>
    </row>
    <row r="208" hidden="1">
      <c r="A208" s="109">
        <f>HYPERLINK("https://polkadot.subsquare.io/treasury/child-bounties/206", 206)</f>
        <v>206</v>
      </c>
      <c r="B208" s="183">
        <v>13.0</v>
      </c>
      <c r="C208" s="27" t="s">
        <v>3404</v>
      </c>
      <c r="D208" s="184" t="s">
        <v>807</v>
      </c>
      <c r="E208" s="129">
        <v>325.0</v>
      </c>
      <c r="F208" s="66">
        <v>1940.6319379806519</v>
      </c>
      <c r="G208" s="27" t="s">
        <v>3472</v>
      </c>
      <c r="H208" s="167">
        <v>45041.0</v>
      </c>
      <c r="I208" s="167">
        <v>45066.0</v>
      </c>
      <c r="J208" s="66">
        <v>1726.600468158722</v>
      </c>
      <c r="K208" s="1"/>
      <c r="L208" s="1"/>
      <c r="M208" s="1" t="str">
        <f>VLOOKUP(B208,Bounties!A:D,3,FALSE)</f>
        <v/>
      </c>
      <c r="N208" s="1" t="str">
        <f>VLOOKUP(B208,Bounties!A:D,4,FALSE)</f>
        <v/>
      </c>
      <c r="O208" s="1" t="str">
        <f t="shared" ref="O208:P208" si="212">IF(ISBLANK(K208),M208,K208)</f>
        <v/>
      </c>
      <c r="P208" s="1" t="str">
        <f t="shared" si="212"/>
        <v/>
      </c>
      <c r="Q208" s="108" t="str">
        <f t="shared" si="3"/>
        <v>2023</v>
      </c>
      <c r="R208" s="110">
        <f t="shared" si="4"/>
        <v>5</v>
      </c>
      <c r="S208" s="108" t="str">
        <f t="shared" si="5"/>
        <v>2023-Q2</v>
      </c>
      <c r="T208" s="111" t="str">
        <f t="shared" si="6"/>
        <v>2023-05</v>
      </c>
      <c r="U208" s="112" t="str">
        <f t="shared" si="7"/>
        <v>2023-H1</v>
      </c>
      <c r="V208" s="1" t="str">
        <f>VLOOKUP(B208,Bounties!A:E,2,FALSE)</f>
        <v>Security Bug Bounty for Open Runtime Module Library (ORML)</v>
      </c>
    </row>
    <row r="209" hidden="1">
      <c r="A209" s="109">
        <f>HYPERLINK("https://polkadot.subsquare.io/treasury/child-bounties/207", 207)</f>
        <v>207</v>
      </c>
      <c r="B209" s="183">
        <v>17.0</v>
      </c>
      <c r="C209" s="27" t="s">
        <v>3404</v>
      </c>
      <c r="D209" s="27" t="s">
        <v>808</v>
      </c>
      <c r="E209" s="129">
        <v>9427.0</v>
      </c>
      <c r="F209" s="66">
        <v>53444.622207164764</v>
      </c>
      <c r="G209" s="27" t="s">
        <v>3468</v>
      </c>
      <c r="H209" s="167">
        <v>45048.0</v>
      </c>
      <c r="I209" s="167">
        <v>45059.0</v>
      </c>
      <c r="J209" s="66">
        <v>49956.42650938034</v>
      </c>
      <c r="K209" s="1"/>
      <c r="L209" s="1" t="s">
        <v>266</v>
      </c>
      <c r="M209" s="1" t="str">
        <f>VLOOKUP(B209,Bounties!A:D,3,FALSE)</f>
        <v>Outreach</v>
      </c>
      <c r="N209" s="1" t="str">
        <f>VLOOKUP(B209,Bounties!A:D,4,FALSE)</f>
        <v>Events/Meetups</v>
      </c>
      <c r="O209" s="1" t="str">
        <f t="shared" ref="O209:P209" si="213">IF(ISBLANK(K209),M209,K209)</f>
        <v>Outreach</v>
      </c>
      <c r="P209" s="1" t="str">
        <f t="shared" si="213"/>
        <v>Events/Conference Attendance &amp; Side Events</v>
      </c>
      <c r="Q209" s="108" t="str">
        <f t="shared" si="3"/>
        <v>2023</v>
      </c>
      <c r="R209" s="110">
        <f t="shared" si="4"/>
        <v>5</v>
      </c>
      <c r="S209" s="108" t="str">
        <f t="shared" si="5"/>
        <v>2023-Q2</v>
      </c>
      <c r="T209" s="111" t="str">
        <f t="shared" si="6"/>
        <v>2023-05</v>
      </c>
      <c r="U209" s="112" t="str">
        <f t="shared" si="7"/>
        <v>2023-H1</v>
      </c>
      <c r="V209" s="1" t="str">
        <f>VLOOKUP(B209,Bounties!A:E,2,FALSE)</f>
        <v>Events Bounty</v>
      </c>
    </row>
    <row r="210" hidden="1">
      <c r="A210" s="109">
        <f>HYPERLINK("https://polkadot.subsquare.io/treasury/child-bounties/208", 208)</f>
        <v>208</v>
      </c>
      <c r="B210" s="183">
        <v>17.0</v>
      </c>
      <c r="C210" s="27" t="s">
        <v>3404</v>
      </c>
      <c r="D210" s="27" t="s">
        <v>809</v>
      </c>
      <c r="E210" s="129">
        <v>12000.0</v>
      </c>
      <c r="F210" s="66">
        <v>68031.76689147949</v>
      </c>
      <c r="G210" s="27" t="s">
        <v>3473</v>
      </c>
      <c r="H210" s="167">
        <v>45048.0</v>
      </c>
      <c r="I210" s="167">
        <v>45057.0</v>
      </c>
      <c r="J210" s="66">
        <v>64252.91061401367</v>
      </c>
      <c r="K210" s="1"/>
      <c r="L210" s="1"/>
      <c r="M210" s="1" t="str">
        <f>VLOOKUP(B210,Bounties!A:D,3,FALSE)</f>
        <v>Outreach</v>
      </c>
      <c r="N210" s="1" t="str">
        <f>VLOOKUP(B210,Bounties!A:D,4,FALSE)</f>
        <v>Events/Meetups</v>
      </c>
      <c r="O210" s="1" t="str">
        <f t="shared" ref="O210:P210" si="214">IF(ISBLANK(K210),M210,K210)</f>
        <v>Outreach</v>
      </c>
      <c r="P210" s="1" t="str">
        <f t="shared" si="214"/>
        <v>Events/Meetups</v>
      </c>
      <c r="Q210" s="108" t="str">
        <f t="shared" si="3"/>
        <v>2023</v>
      </c>
      <c r="R210" s="110">
        <f t="shared" si="4"/>
        <v>5</v>
      </c>
      <c r="S210" s="108" t="str">
        <f t="shared" si="5"/>
        <v>2023-Q2</v>
      </c>
      <c r="T210" s="111" t="str">
        <f t="shared" si="6"/>
        <v>2023-05</v>
      </c>
      <c r="U210" s="112" t="str">
        <f t="shared" si="7"/>
        <v>2023-H1</v>
      </c>
      <c r="V210" s="1" t="str">
        <f>VLOOKUP(B210,Bounties!A:E,2,FALSE)</f>
        <v>Events Bounty</v>
      </c>
    </row>
    <row r="211" hidden="1">
      <c r="A211" s="109">
        <f>HYPERLINK("https://polkadot.subsquare.io/treasury/child-bounties/209", 209)</f>
        <v>209</v>
      </c>
      <c r="B211" s="183">
        <v>17.0</v>
      </c>
      <c r="C211" s="27" t="s">
        <v>3404</v>
      </c>
      <c r="D211" s="27" t="s">
        <v>810</v>
      </c>
      <c r="E211" s="129">
        <v>3140.0</v>
      </c>
      <c r="F211" s="66">
        <v>17801.645669937134</v>
      </c>
      <c r="G211" s="27" t="s">
        <v>3474</v>
      </c>
      <c r="H211" s="167">
        <v>45048.0</v>
      </c>
      <c r="I211" s="167">
        <v>45059.0</v>
      </c>
      <c r="J211" s="66">
        <v>16705.6974029541</v>
      </c>
      <c r="K211" s="1"/>
      <c r="L211" s="1"/>
      <c r="M211" s="1" t="str">
        <f>VLOOKUP(B211,Bounties!A:D,3,FALSE)</f>
        <v>Outreach</v>
      </c>
      <c r="N211" s="1" t="str">
        <f>VLOOKUP(B211,Bounties!A:D,4,FALSE)</f>
        <v>Events/Meetups</v>
      </c>
      <c r="O211" s="1" t="str">
        <f t="shared" ref="O211:P211" si="215">IF(ISBLANK(K211),M211,K211)</f>
        <v>Outreach</v>
      </c>
      <c r="P211" s="1" t="str">
        <f t="shared" si="215"/>
        <v>Events/Meetups</v>
      </c>
      <c r="Q211" s="108" t="str">
        <f t="shared" si="3"/>
        <v>2023</v>
      </c>
      <c r="R211" s="110">
        <f t="shared" si="4"/>
        <v>5</v>
      </c>
      <c r="S211" s="108" t="str">
        <f t="shared" si="5"/>
        <v>2023-Q2</v>
      </c>
      <c r="T211" s="111" t="str">
        <f t="shared" si="6"/>
        <v>2023-05</v>
      </c>
      <c r="U211" s="112" t="str">
        <f t="shared" si="7"/>
        <v>2023-H1</v>
      </c>
      <c r="V211" s="1" t="str">
        <f>VLOOKUP(B211,Bounties!A:E,2,FALSE)</f>
        <v>Events Bounty</v>
      </c>
    </row>
    <row r="212" hidden="1">
      <c r="A212" s="109">
        <f>HYPERLINK("https://polkadot.subsquare.io/treasury/child-bounties/210", 210)</f>
        <v>210</v>
      </c>
      <c r="B212" s="183">
        <v>17.0</v>
      </c>
      <c r="C212" s="27" t="s">
        <v>3404</v>
      </c>
      <c r="D212" s="27" t="s">
        <v>811</v>
      </c>
      <c r="E212" s="129">
        <v>20146.0</v>
      </c>
      <c r="F212" s="66">
        <v>114213.99798297882</v>
      </c>
      <c r="G212" s="27" t="s">
        <v>3475</v>
      </c>
      <c r="H212" s="167">
        <v>45048.0</v>
      </c>
      <c r="I212" s="167">
        <v>45059.0</v>
      </c>
      <c r="J212" s="66">
        <v>106759.53839588165</v>
      </c>
      <c r="K212" s="1"/>
      <c r="L212" s="1"/>
      <c r="M212" s="1" t="str">
        <f>VLOOKUP(B212,Bounties!A:D,3,FALSE)</f>
        <v>Outreach</v>
      </c>
      <c r="N212" s="1" t="str">
        <f>VLOOKUP(B212,Bounties!A:D,4,FALSE)</f>
        <v>Events/Meetups</v>
      </c>
      <c r="O212" s="1" t="str">
        <f t="shared" ref="O212:P212" si="216">IF(ISBLANK(K212),M212,K212)</f>
        <v>Outreach</v>
      </c>
      <c r="P212" s="1" t="str">
        <f t="shared" si="216"/>
        <v>Events/Meetups</v>
      </c>
      <c r="Q212" s="108" t="str">
        <f t="shared" si="3"/>
        <v>2023</v>
      </c>
      <c r="R212" s="110">
        <f t="shared" si="4"/>
        <v>5</v>
      </c>
      <c r="S212" s="108" t="str">
        <f t="shared" si="5"/>
        <v>2023-Q2</v>
      </c>
      <c r="T212" s="111" t="str">
        <f t="shared" si="6"/>
        <v>2023-05</v>
      </c>
      <c r="U212" s="112" t="str">
        <f t="shared" si="7"/>
        <v>2023-H1</v>
      </c>
      <c r="V212" s="1" t="str">
        <f>VLOOKUP(B212,Bounties!A:E,2,FALSE)</f>
        <v>Events Bounty</v>
      </c>
    </row>
    <row r="213" hidden="1">
      <c r="A213" s="109">
        <f>HYPERLINK("https://polkadot.subsquare.io/treasury/child-bounties/211", 211)</f>
        <v>211</v>
      </c>
      <c r="B213" s="183">
        <v>11.0</v>
      </c>
      <c r="C213" s="27" t="s">
        <v>3404</v>
      </c>
      <c r="D213" s="27" t="s">
        <v>812</v>
      </c>
      <c r="E213" s="129">
        <v>298.4099748</v>
      </c>
      <c r="F213" s="66">
        <v>1746.8177428720514</v>
      </c>
      <c r="G213" s="27" t="s">
        <v>3406</v>
      </c>
      <c r="H213" s="167">
        <v>45048.0</v>
      </c>
      <c r="I213" s="167">
        <v>45060.0</v>
      </c>
      <c r="J213" s="66">
        <v>1581.3616183051065</v>
      </c>
      <c r="K213" s="1"/>
      <c r="L213" s="1"/>
      <c r="M213" s="1" t="str">
        <f>VLOOKUP(B213,Bounties!A:D,3,FALSE)</f>
        <v>Research</v>
      </c>
      <c r="N213" s="1" t="str">
        <f>VLOOKUP(B213,Bounties!A:D,4,FALSE)</f>
        <v>Anti-Scam</v>
      </c>
      <c r="O213" s="1" t="str">
        <f t="shared" ref="O213:P213" si="217">IF(ISBLANK(K213),M213,K213)</f>
        <v>Research</v>
      </c>
      <c r="P213" s="1" t="str">
        <f t="shared" si="217"/>
        <v>Anti-Scam</v>
      </c>
      <c r="Q213" s="108" t="str">
        <f t="shared" si="3"/>
        <v>2023</v>
      </c>
      <c r="R213" s="110">
        <f t="shared" si="4"/>
        <v>5</v>
      </c>
      <c r="S213" s="108" t="str">
        <f t="shared" si="5"/>
        <v>2023-Q2</v>
      </c>
      <c r="T213" s="111" t="str">
        <f t="shared" si="6"/>
        <v>2023-05</v>
      </c>
      <c r="U213" s="112" t="str">
        <f t="shared" si="7"/>
        <v>2023-H1</v>
      </c>
      <c r="V213" s="1" t="str">
        <f>VLOOKUP(B213,Bounties!A:E,2,FALSE)</f>
        <v>Anti-Scam Bounty</v>
      </c>
    </row>
    <row r="214" hidden="1">
      <c r="A214" s="109">
        <f>HYPERLINK("https://polkadot.subsquare.io/treasury/child-bounties/212", 212)</f>
        <v>212</v>
      </c>
      <c r="B214" s="183">
        <v>11.0</v>
      </c>
      <c r="C214" s="27" t="s">
        <v>3404</v>
      </c>
      <c r="D214" s="27" t="s">
        <v>813</v>
      </c>
      <c r="E214" s="129">
        <v>1054.587051</v>
      </c>
      <c r="F214" s="66">
        <v>6173.290196899655</v>
      </c>
      <c r="G214" s="27" t="s">
        <v>3407</v>
      </c>
      <c r="H214" s="167">
        <v>45048.0</v>
      </c>
      <c r="I214" s="167">
        <v>45057.0</v>
      </c>
      <c r="J214" s="66">
        <v>5646.690626883273</v>
      </c>
      <c r="K214" s="1"/>
      <c r="L214" s="1"/>
      <c r="M214" s="1" t="str">
        <f>VLOOKUP(B214,Bounties!A:D,3,FALSE)</f>
        <v>Research</v>
      </c>
      <c r="N214" s="1" t="str">
        <f>VLOOKUP(B214,Bounties!A:D,4,FALSE)</f>
        <v>Anti-Scam</v>
      </c>
      <c r="O214" s="1" t="str">
        <f t="shared" ref="O214:P214" si="218">IF(ISBLANK(K214),M214,K214)</f>
        <v>Research</v>
      </c>
      <c r="P214" s="1" t="str">
        <f t="shared" si="218"/>
        <v>Anti-Scam</v>
      </c>
      <c r="Q214" s="108" t="str">
        <f t="shared" si="3"/>
        <v>2023</v>
      </c>
      <c r="R214" s="110">
        <f t="shared" si="4"/>
        <v>5</v>
      </c>
      <c r="S214" s="108" t="str">
        <f t="shared" si="5"/>
        <v>2023-Q2</v>
      </c>
      <c r="T214" s="111" t="str">
        <f t="shared" si="6"/>
        <v>2023-05</v>
      </c>
      <c r="U214" s="112" t="str">
        <f t="shared" si="7"/>
        <v>2023-H1</v>
      </c>
      <c r="V214" s="1" t="str">
        <f>VLOOKUP(B214,Bounties!A:E,2,FALSE)</f>
        <v>Anti-Scam Bounty</v>
      </c>
    </row>
    <row r="215" hidden="1">
      <c r="A215" s="109">
        <f>HYPERLINK("https://polkadot.subsquare.io/treasury/child-bounties/213", 213)</f>
        <v>213</v>
      </c>
      <c r="B215" s="183">
        <v>11.0</v>
      </c>
      <c r="C215" s="27" t="s">
        <v>3404</v>
      </c>
      <c r="D215" s="27" t="s">
        <v>814</v>
      </c>
      <c r="E215" s="129">
        <v>185.9528712</v>
      </c>
      <c r="F215" s="66">
        <v>1088.521839686712</v>
      </c>
      <c r="G215" s="27" t="s">
        <v>3411</v>
      </c>
      <c r="H215" s="167">
        <v>45048.0</v>
      </c>
      <c r="I215" s="167">
        <v>45057.0</v>
      </c>
      <c r="J215" s="66">
        <v>995.2018994561325</v>
      </c>
      <c r="K215" s="1"/>
      <c r="L215" s="1"/>
      <c r="M215" s="1" t="str">
        <f>VLOOKUP(B215,Bounties!A:D,3,FALSE)</f>
        <v>Research</v>
      </c>
      <c r="N215" s="1" t="str">
        <f>VLOOKUP(B215,Bounties!A:D,4,FALSE)</f>
        <v>Anti-Scam</v>
      </c>
      <c r="O215" s="1" t="str">
        <f t="shared" ref="O215:P215" si="219">IF(ISBLANK(K215),M215,K215)</f>
        <v>Research</v>
      </c>
      <c r="P215" s="1" t="str">
        <f t="shared" si="219"/>
        <v>Anti-Scam</v>
      </c>
      <c r="Q215" s="108" t="str">
        <f t="shared" si="3"/>
        <v>2023</v>
      </c>
      <c r="R215" s="110">
        <f t="shared" si="4"/>
        <v>5</v>
      </c>
      <c r="S215" s="108" t="str">
        <f t="shared" si="5"/>
        <v>2023-Q2</v>
      </c>
      <c r="T215" s="111" t="str">
        <f t="shared" si="6"/>
        <v>2023-05</v>
      </c>
      <c r="U215" s="112" t="str">
        <f t="shared" si="7"/>
        <v>2023-H1</v>
      </c>
      <c r="V215" s="1" t="str">
        <f>VLOOKUP(B215,Bounties!A:E,2,FALSE)</f>
        <v>Anti-Scam Bounty</v>
      </c>
    </row>
    <row r="216" hidden="1">
      <c r="A216" s="109">
        <f>HYPERLINK("https://polkadot.subsquare.io/treasury/child-bounties/214", 214)</f>
        <v>214</v>
      </c>
      <c r="B216" s="183">
        <v>11.0</v>
      </c>
      <c r="C216" s="27" t="s">
        <v>3404</v>
      </c>
      <c r="D216" s="27" t="s">
        <v>815</v>
      </c>
      <c r="E216" s="129">
        <v>85.7927478</v>
      </c>
      <c r="F216" s="66">
        <v>502.20939888899176</v>
      </c>
      <c r="G216" s="27" t="s">
        <v>3457</v>
      </c>
      <c r="H216" s="167">
        <v>45048.0</v>
      </c>
      <c r="I216" s="167">
        <v>45056.0</v>
      </c>
      <c r="J216" s="66">
        <v>459.15454286419714</v>
      </c>
      <c r="K216" s="1"/>
      <c r="L216" s="1"/>
      <c r="M216" s="1" t="str">
        <f>VLOOKUP(B216,Bounties!A:D,3,FALSE)</f>
        <v>Research</v>
      </c>
      <c r="N216" s="1" t="str">
        <f>VLOOKUP(B216,Bounties!A:D,4,FALSE)</f>
        <v>Anti-Scam</v>
      </c>
      <c r="O216" s="1" t="str">
        <f t="shared" ref="O216:P216" si="220">IF(ISBLANK(K216),M216,K216)</f>
        <v>Research</v>
      </c>
      <c r="P216" s="1" t="str">
        <f t="shared" si="220"/>
        <v>Anti-Scam</v>
      </c>
      <c r="Q216" s="108" t="str">
        <f t="shared" si="3"/>
        <v>2023</v>
      </c>
      <c r="R216" s="110">
        <f t="shared" si="4"/>
        <v>5</v>
      </c>
      <c r="S216" s="108" t="str">
        <f t="shared" si="5"/>
        <v>2023-Q2</v>
      </c>
      <c r="T216" s="111" t="str">
        <f t="shared" si="6"/>
        <v>2023-05</v>
      </c>
      <c r="U216" s="112" t="str">
        <f t="shared" si="7"/>
        <v>2023-H1</v>
      </c>
      <c r="V216" s="1" t="str">
        <f>VLOOKUP(B216,Bounties!A:E,2,FALSE)</f>
        <v>Anti-Scam Bounty</v>
      </c>
    </row>
    <row r="217" hidden="1">
      <c r="A217" s="109">
        <f>HYPERLINK("https://polkadot.subsquare.io/treasury/child-bounties/215", 215)</f>
        <v>215</v>
      </c>
      <c r="B217" s="183">
        <v>11.0</v>
      </c>
      <c r="C217" s="27" t="s">
        <v>3404</v>
      </c>
      <c r="D217" s="27" t="s">
        <v>816</v>
      </c>
      <c r="E217" s="129">
        <v>85.7927478</v>
      </c>
      <c r="F217" s="66">
        <v>502.20939888899176</v>
      </c>
      <c r="G217" s="27" t="s">
        <v>3409</v>
      </c>
      <c r="H217" s="167">
        <v>45048.0</v>
      </c>
      <c r="I217" s="167">
        <v>45056.0</v>
      </c>
      <c r="J217" s="66">
        <v>459.15454286419714</v>
      </c>
      <c r="K217" s="1"/>
      <c r="L217" s="1"/>
      <c r="M217" s="1" t="str">
        <f>VLOOKUP(B217,Bounties!A:D,3,FALSE)</f>
        <v>Research</v>
      </c>
      <c r="N217" s="1" t="str">
        <f>VLOOKUP(B217,Bounties!A:D,4,FALSE)</f>
        <v>Anti-Scam</v>
      </c>
      <c r="O217" s="1" t="str">
        <f t="shared" ref="O217:P217" si="221">IF(ISBLANK(K217),M217,K217)</f>
        <v>Research</v>
      </c>
      <c r="P217" s="1" t="str">
        <f t="shared" si="221"/>
        <v>Anti-Scam</v>
      </c>
      <c r="Q217" s="108" t="str">
        <f t="shared" si="3"/>
        <v>2023</v>
      </c>
      <c r="R217" s="110">
        <f t="shared" si="4"/>
        <v>5</v>
      </c>
      <c r="S217" s="108" t="str">
        <f t="shared" si="5"/>
        <v>2023-Q2</v>
      </c>
      <c r="T217" s="111" t="str">
        <f t="shared" si="6"/>
        <v>2023-05</v>
      </c>
      <c r="U217" s="112" t="str">
        <f t="shared" si="7"/>
        <v>2023-H1</v>
      </c>
      <c r="V217" s="1" t="str">
        <f>VLOOKUP(B217,Bounties!A:E,2,FALSE)</f>
        <v>Anti-Scam Bounty</v>
      </c>
    </row>
    <row r="218" hidden="1">
      <c r="A218" s="109">
        <f>HYPERLINK("https://polkadot.subsquare.io/treasury/child-bounties/216", 216)</f>
        <v>216</v>
      </c>
      <c r="B218" s="183">
        <v>11.0</v>
      </c>
      <c r="C218" s="27" t="s">
        <v>3404</v>
      </c>
      <c r="D218" s="27" t="s">
        <v>817</v>
      </c>
      <c r="E218" s="129">
        <v>144.1317776253</v>
      </c>
      <c r="F218" s="66">
        <v>843.7115637180203</v>
      </c>
      <c r="G218" s="27" t="s">
        <v>3409</v>
      </c>
      <c r="H218" s="167">
        <v>45048.0</v>
      </c>
      <c r="I218" s="167">
        <v>45056.0</v>
      </c>
      <c r="J218" s="66">
        <v>771.3794250071653</v>
      </c>
      <c r="K218" s="1"/>
      <c r="L218" s="1"/>
      <c r="M218" s="1" t="str">
        <f>VLOOKUP(B218,Bounties!A:D,3,FALSE)</f>
        <v>Research</v>
      </c>
      <c r="N218" s="1" t="str">
        <f>VLOOKUP(B218,Bounties!A:D,4,FALSE)</f>
        <v>Anti-Scam</v>
      </c>
      <c r="O218" s="1" t="str">
        <f t="shared" ref="O218:P218" si="222">IF(ISBLANK(K218),M218,K218)</f>
        <v>Research</v>
      </c>
      <c r="P218" s="1" t="str">
        <f t="shared" si="222"/>
        <v>Anti-Scam</v>
      </c>
      <c r="Q218" s="108" t="str">
        <f t="shared" si="3"/>
        <v>2023</v>
      </c>
      <c r="R218" s="110">
        <f t="shared" si="4"/>
        <v>5</v>
      </c>
      <c r="S218" s="108" t="str">
        <f t="shared" si="5"/>
        <v>2023-Q2</v>
      </c>
      <c r="T218" s="111" t="str">
        <f t="shared" si="6"/>
        <v>2023-05</v>
      </c>
      <c r="U218" s="112" t="str">
        <f t="shared" si="7"/>
        <v>2023-H1</v>
      </c>
      <c r="V218" s="1" t="str">
        <f>VLOOKUP(B218,Bounties!A:E,2,FALSE)</f>
        <v>Anti-Scam Bounty</v>
      </c>
    </row>
    <row r="219" hidden="1">
      <c r="A219" s="109">
        <f>HYPERLINK("https://polkadot.subsquare.io/treasury/child-bounties/217", 217)</f>
        <v>217</v>
      </c>
      <c r="B219" s="183">
        <v>11.0</v>
      </c>
      <c r="C219" s="27" t="s">
        <v>3404</v>
      </c>
      <c r="D219" s="27" t="s">
        <v>818</v>
      </c>
      <c r="E219" s="129">
        <v>123.5415236788</v>
      </c>
      <c r="F219" s="66">
        <v>723.1813403295645</v>
      </c>
      <c r="G219" s="27" t="s">
        <v>3407</v>
      </c>
      <c r="H219" s="167">
        <v>45048.0</v>
      </c>
      <c r="I219" s="167">
        <v>45057.0</v>
      </c>
      <c r="J219" s="66">
        <v>661.4918731710825</v>
      </c>
      <c r="K219" s="1"/>
      <c r="L219" s="1"/>
      <c r="M219" s="1" t="str">
        <f>VLOOKUP(B219,Bounties!A:D,3,FALSE)</f>
        <v>Research</v>
      </c>
      <c r="N219" s="1" t="str">
        <f>VLOOKUP(B219,Bounties!A:D,4,FALSE)</f>
        <v>Anti-Scam</v>
      </c>
      <c r="O219" s="1" t="str">
        <f t="shared" ref="O219:P219" si="223">IF(ISBLANK(K219),M219,K219)</f>
        <v>Research</v>
      </c>
      <c r="P219" s="1" t="str">
        <f t="shared" si="223"/>
        <v>Anti-Scam</v>
      </c>
      <c r="Q219" s="108" t="str">
        <f t="shared" si="3"/>
        <v>2023</v>
      </c>
      <c r="R219" s="110">
        <f t="shared" si="4"/>
        <v>5</v>
      </c>
      <c r="S219" s="108" t="str">
        <f t="shared" si="5"/>
        <v>2023-Q2</v>
      </c>
      <c r="T219" s="111" t="str">
        <f t="shared" si="6"/>
        <v>2023-05</v>
      </c>
      <c r="U219" s="112" t="str">
        <f t="shared" si="7"/>
        <v>2023-H1</v>
      </c>
      <c r="V219" s="1" t="str">
        <f>VLOOKUP(B219,Bounties!A:E,2,FALSE)</f>
        <v>Anti-Scam Bounty</v>
      </c>
    </row>
    <row r="220" hidden="1">
      <c r="A220" s="109">
        <f>HYPERLINK("https://polkadot.subsquare.io/treasury/child-bounties/218", 218)</f>
        <v>218</v>
      </c>
      <c r="B220" s="183">
        <v>11.0</v>
      </c>
      <c r="C220" s="27" t="s">
        <v>3404</v>
      </c>
      <c r="D220" s="27" t="s">
        <v>819</v>
      </c>
      <c r="E220" s="129">
        <v>123.5415236788</v>
      </c>
      <c r="F220" s="66">
        <v>723.1813403295645</v>
      </c>
      <c r="G220" s="27" t="s">
        <v>3469</v>
      </c>
      <c r="H220" s="167">
        <v>45048.0</v>
      </c>
      <c r="I220" s="167">
        <v>45057.0</v>
      </c>
      <c r="J220" s="66">
        <v>661.4918731710825</v>
      </c>
      <c r="K220" s="1"/>
      <c r="L220" s="1"/>
      <c r="M220" s="1" t="str">
        <f>VLOOKUP(B220,Bounties!A:D,3,FALSE)</f>
        <v>Research</v>
      </c>
      <c r="N220" s="1" t="str">
        <f>VLOOKUP(B220,Bounties!A:D,4,FALSE)</f>
        <v>Anti-Scam</v>
      </c>
      <c r="O220" s="1" t="str">
        <f t="shared" ref="O220:P220" si="224">IF(ISBLANK(K220),M220,K220)</f>
        <v>Research</v>
      </c>
      <c r="P220" s="1" t="str">
        <f t="shared" si="224"/>
        <v>Anti-Scam</v>
      </c>
      <c r="Q220" s="108" t="str">
        <f t="shared" si="3"/>
        <v>2023</v>
      </c>
      <c r="R220" s="110">
        <f t="shared" si="4"/>
        <v>5</v>
      </c>
      <c r="S220" s="108" t="str">
        <f t="shared" si="5"/>
        <v>2023-Q2</v>
      </c>
      <c r="T220" s="111" t="str">
        <f t="shared" si="6"/>
        <v>2023-05</v>
      </c>
      <c r="U220" s="112" t="str">
        <f t="shared" si="7"/>
        <v>2023-H1</v>
      </c>
      <c r="V220" s="1" t="str">
        <f>VLOOKUP(B220,Bounties!A:E,2,FALSE)</f>
        <v>Anti-Scam Bounty</v>
      </c>
    </row>
    <row r="221" hidden="1">
      <c r="A221" s="109">
        <f>HYPERLINK("https://polkadot.subsquare.io/treasury/child-bounties/219", 219)</f>
        <v>219</v>
      </c>
      <c r="B221" s="183">
        <v>11.0</v>
      </c>
      <c r="C221" s="27" t="s">
        <v>3404</v>
      </c>
      <c r="D221" s="27" t="s">
        <v>820</v>
      </c>
      <c r="E221" s="129">
        <v>102.9512697323</v>
      </c>
      <c r="F221" s="66">
        <v>602.6511169411086</v>
      </c>
      <c r="G221" s="27" t="s">
        <v>3411</v>
      </c>
      <c r="H221" s="167">
        <v>45048.0</v>
      </c>
      <c r="I221" s="167">
        <v>45057.0</v>
      </c>
      <c r="J221" s="66">
        <v>550.9853035762408</v>
      </c>
      <c r="K221" s="1"/>
      <c r="L221" s="1"/>
      <c r="M221" s="1" t="str">
        <f>VLOOKUP(B221,Bounties!A:D,3,FALSE)</f>
        <v>Research</v>
      </c>
      <c r="N221" s="1" t="str">
        <f>VLOOKUP(B221,Bounties!A:D,4,FALSE)</f>
        <v>Anti-Scam</v>
      </c>
      <c r="O221" s="1" t="str">
        <f t="shared" ref="O221:P221" si="225">IF(ISBLANK(K221),M221,K221)</f>
        <v>Research</v>
      </c>
      <c r="P221" s="1" t="str">
        <f t="shared" si="225"/>
        <v>Anti-Scam</v>
      </c>
      <c r="Q221" s="108" t="str">
        <f t="shared" si="3"/>
        <v>2023</v>
      </c>
      <c r="R221" s="110">
        <f t="shared" si="4"/>
        <v>5</v>
      </c>
      <c r="S221" s="108" t="str">
        <f t="shared" si="5"/>
        <v>2023-Q2</v>
      </c>
      <c r="T221" s="111" t="str">
        <f t="shared" si="6"/>
        <v>2023-05</v>
      </c>
      <c r="U221" s="112" t="str">
        <f t="shared" si="7"/>
        <v>2023-H1</v>
      </c>
      <c r="V221" s="1" t="str">
        <f>VLOOKUP(B221,Bounties!A:E,2,FALSE)</f>
        <v>Anti-Scam Bounty</v>
      </c>
    </row>
    <row r="222" hidden="1">
      <c r="A222" s="109">
        <f>HYPERLINK("https://polkadot.subsquare.io/treasury/child-bounties/220", 220)</f>
        <v>220</v>
      </c>
      <c r="B222" s="183">
        <v>11.0</v>
      </c>
      <c r="C222" s="27" t="s">
        <v>3404</v>
      </c>
      <c r="D222" s="27" t="s">
        <v>821</v>
      </c>
      <c r="E222" s="129">
        <v>68.6341798215</v>
      </c>
      <c r="F222" s="66">
        <v>401.7674112938772</v>
      </c>
      <c r="G222" s="27" t="s">
        <v>3407</v>
      </c>
      <c r="H222" s="167">
        <v>45048.0</v>
      </c>
      <c r="I222" s="167">
        <v>45057.0</v>
      </c>
      <c r="J222" s="66">
        <v>367.49548509474835</v>
      </c>
      <c r="K222" s="1"/>
      <c r="L222" s="1"/>
      <c r="M222" s="1" t="str">
        <f>VLOOKUP(B222,Bounties!A:D,3,FALSE)</f>
        <v>Research</v>
      </c>
      <c r="N222" s="1" t="str">
        <f>VLOOKUP(B222,Bounties!A:D,4,FALSE)</f>
        <v>Anti-Scam</v>
      </c>
      <c r="O222" s="1" t="str">
        <f t="shared" ref="O222:P222" si="226">IF(ISBLANK(K222),M222,K222)</f>
        <v>Research</v>
      </c>
      <c r="P222" s="1" t="str">
        <f t="shared" si="226"/>
        <v>Anti-Scam</v>
      </c>
      <c r="Q222" s="108" t="str">
        <f t="shared" si="3"/>
        <v>2023</v>
      </c>
      <c r="R222" s="110">
        <f t="shared" si="4"/>
        <v>5</v>
      </c>
      <c r="S222" s="108" t="str">
        <f t="shared" si="5"/>
        <v>2023-Q2</v>
      </c>
      <c r="T222" s="111" t="str">
        <f t="shared" si="6"/>
        <v>2023-05</v>
      </c>
      <c r="U222" s="112" t="str">
        <f t="shared" si="7"/>
        <v>2023-H1</v>
      </c>
      <c r="V222" s="1" t="str">
        <f>VLOOKUP(B222,Bounties!A:E,2,FALSE)</f>
        <v>Anti-Scam Bounty</v>
      </c>
    </row>
    <row r="223" hidden="1">
      <c r="A223" s="109">
        <f>HYPERLINK("https://polkadot.subsquare.io/treasury/child-bounties/221", 221)</f>
        <v>221</v>
      </c>
      <c r="B223" s="183">
        <v>11.0</v>
      </c>
      <c r="C223" s="27" t="s">
        <v>3404</v>
      </c>
      <c r="D223" s="27" t="s">
        <v>822</v>
      </c>
      <c r="E223" s="129">
        <v>68.6341798215</v>
      </c>
      <c r="F223" s="66">
        <v>401.7674112938772</v>
      </c>
      <c r="G223" s="27" t="s">
        <v>3406</v>
      </c>
      <c r="H223" s="167">
        <v>45048.0</v>
      </c>
      <c r="I223" s="167">
        <v>45060.0</v>
      </c>
      <c r="J223" s="66">
        <v>363.71256606389727</v>
      </c>
      <c r="K223" s="1"/>
      <c r="L223" s="1"/>
      <c r="M223" s="1" t="str">
        <f>VLOOKUP(B223,Bounties!A:D,3,FALSE)</f>
        <v>Research</v>
      </c>
      <c r="N223" s="1" t="str">
        <f>VLOOKUP(B223,Bounties!A:D,4,FALSE)</f>
        <v>Anti-Scam</v>
      </c>
      <c r="O223" s="1" t="str">
        <f t="shared" ref="O223:P223" si="227">IF(ISBLANK(K223),M223,K223)</f>
        <v>Research</v>
      </c>
      <c r="P223" s="1" t="str">
        <f t="shared" si="227"/>
        <v>Anti-Scam</v>
      </c>
      <c r="Q223" s="108" t="str">
        <f t="shared" si="3"/>
        <v>2023</v>
      </c>
      <c r="R223" s="110">
        <f t="shared" si="4"/>
        <v>5</v>
      </c>
      <c r="S223" s="108" t="str">
        <f t="shared" si="5"/>
        <v>2023-Q2</v>
      </c>
      <c r="T223" s="111" t="str">
        <f t="shared" si="6"/>
        <v>2023-05</v>
      </c>
      <c r="U223" s="112" t="str">
        <f t="shared" si="7"/>
        <v>2023-H1</v>
      </c>
      <c r="V223" s="1" t="str">
        <f>VLOOKUP(B223,Bounties!A:E,2,FALSE)</f>
        <v>Anti-Scam Bounty</v>
      </c>
    </row>
    <row r="224" hidden="1">
      <c r="A224" s="109">
        <f>HYPERLINK("https://polkadot.subsquare.io/treasury/child-bounties/222", 222)</f>
        <v>222</v>
      </c>
      <c r="B224" s="183">
        <v>11.0</v>
      </c>
      <c r="C224" s="27" t="s">
        <v>3404</v>
      </c>
      <c r="D224" s="27" t="s">
        <v>823</v>
      </c>
      <c r="E224" s="129">
        <v>68.6341798215</v>
      </c>
      <c r="F224" s="66">
        <v>401.7674112938772</v>
      </c>
      <c r="G224" s="27" t="s">
        <v>3411</v>
      </c>
      <c r="H224" s="167">
        <v>45048.0</v>
      </c>
      <c r="I224" s="167">
        <v>45057.0</v>
      </c>
      <c r="J224" s="66">
        <v>367.32353571731545</v>
      </c>
      <c r="K224" s="1"/>
      <c r="L224" s="1"/>
      <c r="M224" s="1" t="str">
        <f>VLOOKUP(B224,Bounties!A:D,3,FALSE)</f>
        <v>Research</v>
      </c>
      <c r="N224" s="1" t="str">
        <f>VLOOKUP(B224,Bounties!A:D,4,FALSE)</f>
        <v>Anti-Scam</v>
      </c>
      <c r="O224" s="1" t="str">
        <f t="shared" ref="O224:P224" si="228">IF(ISBLANK(K224),M224,K224)</f>
        <v>Research</v>
      </c>
      <c r="P224" s="1" t="str">
        <f t="shared" si="228"/>
        <v>Anti-Scam</v>
      </c>
      <c r="Q224" s="108" t="str">
        <f t="shared" si="3"/>
        <v>2023</v>
      </c>
      <c r="R224" s="110">
        <f t="shared" si="4"/>
        <v>5</v>
      </c>
      <c r="S224" s="108" t="str">
        <f t="shared" si="5"/>
        <v>2023-Q2</v>
      </c>
      <c r="T224" s="111" t="str">
        <f t="shared" si="6"/>
        <v>2023-05</v>
      </c>
      <c r="U224" s="112" t="str">
        <f t="shared" si="7"/>
        <v>2023-H1</v>
      </c>
      <c r="V224" s="1" t="str">
        <f>VLOOKUP(B224,Bounties!A:E,2,FALSE)</f>
        <v>Anti-Scam Bounty</v>
      </c>
    </row>
    <row r="225" hidden="1">
      <c r="A225" s="109">
        <f>HYPERLINK("https://polkadot.subsquare.io/treasury/child-bounties/223", 223)</f>
        <v>223</v>
      </c>
      <c r="B225" s="183">
        <v>11.0</v>
      </c>
      <c r="C225" s="27" t="s">
        <v>3404</v>
      </c>
      <c r="D225" s="27" t="s">
        <v>824</v>
      </c>
      <c r="E225" s="129">
        <v>83.47</v>
      </c>
      <c r="F225" s="66">
        <v>471.92125403404236</v>
      </c>
      <c r="G225" s="27" t="s">
        <v>3439</v>
      </c>
      <c r="H225" s="167">
        <v>45049.0</v>
      </c>
      <c r="I225" s="167">
        <v>45058.0</v>
      </c>
      <c r="J225" s="66">
        <v>444.08425548553464</v>
      </c>
      <c r="K225" s="1"/>
      <c r="L225" s="1"/>
      <c r="M225" s="1" t="str">
        <f>VLOOKUP(B225,Bounties!A:D,3,FALSE)</f>
        <v>Research</v>
      </c>
      <c r="N225" s="1" t="str">
        <f>VLOOKUP(B225,Bounties!A:D,4,FALSE)</f>
        <v>Anti-Scam</v>
      </c>
      <c r="O225" s="1" t="str">
        <f t="shared" ref="O225:P225" si="229">IF(ISBLANK(K225),M225,K225)</f>
        <v>Research</v>
      </c>
      <c r="P225" s="1" t="str">
        <f t="shared" si="229"/>
        <v>Anti-Scam</v>
      </c>
      <c r="Q225" s="108" t="str">
        <f t="shared" si="3"/>
        <v>2023</v>
      </c>
      <c r="R225" s="110">
        <f t="shared" si="4"/>
        <v>5</v>
      </c>
      <c r="S225" s="108" t="str">
        <f t="shared" si="5"/>
        <v>2023-Q2</v>
      </c>
      <c r="T225" s="111" t="str">
        <f t="shared" si="6"/>
        <v>2023-05</v>
      </c>
      <c r="U225" s="112" t="str">
        <f t="shared" si="7"/>
        <v>2023-H1</v>
      </c>
      <c r="V225" s="1" t="str">
        <f>VLOOKUP(B225,Bounties!A:E,2,FALSE)</f>
        <v>Anti-Scam Bounty</v>
      </c>
    </row>
    <row r="226" hidden="1">
      <c r="A226" s="109">
        <f>HYPERLINK("https://polkadot.subsquare.io/treasury/child-bounties/224", 224)</f>
        <v>224</v>
      </c>
      <c r="B226" s="183">
        <v>11.0</v>
      </c>
      <c r="C226" s="27" t="s">
        <v>3404</v>
      </c>
      <c r="D226" s="27" t="s">
        <v>825</v>
      </c>
      <c r="E226" s="129">
        <v>100.16</v>
      </c>
      <c r="F226" s="66">
        <v>566.2828897094727</v>
      </c>
      <c r="G226" s="27" t="s">
        <v>3470</v>
      </c>
      <c r="H226" s="167">
        <v>45049.0</v>
      </c>
      <c r="I226" s="167">
        <v>45059.0</v>
      </c>
      <c r="J226" s="66">
        <v>532.8798254394532</v>
      </c>
      <c r="K226" s="1"/>
      <c r="L226" s="1"/>
      <c r="M226" s="1" t="str">
        <f>VLOOKUP(B226,Bounties!A:D,3,FALSE)</f>
        <v>Research</v>
      </c>
      <c r="N226" s="1" t="str">
        <f>VLOOKUP(B226,Bounties!A:D,4,FALSE)</f>
        <v>Anti-Scam</v>
      </c>
      <c r="O226" s="1" t="str">
        <f t="shared" ref="O226:P226" si="230">IF(ISBLANK(K226),M226,K226)</f>
        <v>Research</v>
      </c>
      <c r="P226" s="1" t="str">
        <f t="shared" si="230"/>
        <v>Anti-Scam</v>
      </c>
      <c r="Q226" s="108" t="str">
        <f t="shared" si="3"/>
        <v>2023</v>
      </c>
      <c r="R226" s="110">
        <f t="shared" si="4"/>
        <v>5</v>
      </c>
      <c r="S226" s="108" t="str">
        <f t="shared" si="5"/>
        <v>2023-Q2</v>
      </c>
      <c r="T226" s="111" t="str">
        <f t="shared" si="6"/>
        <v>2023-05</v>
      </c>
      <c r="U226" s="112" t="str">
        <f t="shared" si="7"/>
        <v>2023-H1</v>
      </c>
      <c r="V226" s="1" t="str">
        <f>VLOOKUP(B226,Bounties!A:E,2,FALSE)</f>
        <v>Anti-Scam Bounty</v>
      </c>
    </row>
    <row r="227" hidden="1">
      <c r="A227" s="109">
        <f>HYPERLINK("https://polkadot.subsquare.io/treasury/child-bounties/225", 225)</f>
        <v>225</v>
      </c>
      <c r="B227" s="183">
        <v>11.0</v>
      </c>
      <c r="C227" s="27" t="s">
        <v>3404</v>
      </c>
      <c r="D227" s="27" t="s">
        <v>826</v>
      </c>
      <c r="E227" s="129">
        <v>41.393583</v>
      </c>
      <c r="F227" s="66">
        <v>233.51266095330476</v>
      </c>
      <c r="G227" s="27" t="s">
        <v>3411</v>
      </c>
      <c r="H227" s="167">
        <v>45050.0</v>
      </c>
      <c r="I227" s="167">
        <v>45059.0</v>
      </c>
      <c r="J227" s="66">
        <v>219.35668686744833</v>
      </c>
      <c r="K227" s="1"/>
      <c r="L227" s="1"/>
      <c r="M227" s="1" t="str">
        <f>VLOOKUP(B227,Bounties!A:D,3,FALSE)</f>
        <v>Research</v>
      </c>
      <c r="N227" s="1" t="str">
        <f>VLOOKUP(B227,Bounties!A:D,4,FALSE)</f>
        <v>Anti-Scam</v>
      </c>
      <c r="O227" s="1" t="str">
        <f t="shared" ref="O227:P227" si="231">IF(ISBLANK(K227),M227,K227)</f>
        <v>Research</v>
      </c>
      <c r="P227" s="1" t="str">
        <f t="shared" si="231"/>
        <v>Anti-Scam</v>
      </c>
      <c r="Q227" s="108" t="str">
        <f t="shared" si="3"/>
        <v>2023</v>
      </c>
      <c r="R227" s="110">
        <f t="shared" si="4"/>
        <v>5</v>
      </c>
      <c r="S227" s="108" t="str">
        <f t="shared" si="5"/>
        <v>2023-Q2</v>
      </c>
      <c r="T227" s="111" t="str">
        <f t="shared" si="6"/>
        <v>2023-05</v>
      </c>
      <c r="U227" s="112" t="str">
        <f t="shared" si="7"/>
        <v>2023-H1</v>
      </c>
      <c r="V227" s="1" t="str">
        <f>VLOOKUP(B227,Bounties!A:E,2,FALSE)</f>
        <v>Anti-Scam Bounty</v>
      </c>
    </row>
    <row r="228" hidden="1">
      <c r="A228" s="109">
        <f>HYPERLINK("https://polkadot.subsquare.io/treasury/child-bounties/226", 226)</f>
        <v>226</v>
      </c>
      <c r="B228" s="183">
        <v>11.0</v>
      </c>
      <c r="C228" s="27" t="s">
        <v>3404</v>
      </c>
      <c r="D228" s="27" t="s">
        <v>827</v>
      </c>
      <c r="E228" s="129">
        <v>42.94917681</v>
      </c>
      <c r="F228" s="66">
        <v>227.00470179582072</v>
      </c>
      <c r="G228" s="27" t="s">
        <v>3411</v>
      </c>
      <c r="H228" s="167">
        <v>45054.0</v>
      </c>
      <c r="I228" s="167">
        <v>45062.0</v>
      </c>
      <c r="J228" s="66">
        <v>230.63875389515698</v>
      </c>
      <c r="K228" s="1"/>
      <c r="L228" s="1"/>
      <c r="M228" s="1" t="str">
        <f>VLOOKUP(B228,Bounties!A:D,3,FALSE)</f>
        <v>Research</v>
      </c>
      <c r="N228" s="1" t="str">
        <f>VLOOKUP(B228,Bounties!A:D,4,FALSE)</f>
        <v>Anti-Scam</v>
      </c>
      <c r="O228" s="1" t="str">
        <f t="shared" ref="O228:P228" si="232">IF(ISBLANK(K228),M228,K228)</f>
        <v>Research</v>
      </c>
      <c r="P228" s="1" t="str">
        <f t="shared" si="232"/>
        <v>Anti-Scam</v>
      </c>
      <c r="Q228" s="108" t="str">
        <f t="shared" si="3"/>
        <v>2023</v>
      </c>
      <c r="R228" s="110">
        <f t="shared" si="4"/>
        <v>5</v>
      </c>
      <c r="S228" s="108" t="str">
        <f t="shared" si="5"/>
        <v>2023-Q2</v>
      </c>
      <c r="T228" s="111" t="str">
        <f t="shared" si="6"/>
        <v>2023-05</v>
      </c>
      <c r="U228" s="112" t="str">
        <f t="shared" si="7"/>
        <v>2023-H1</v>
      </c>
      <c r="V228" s="1" t="str">
        <f>VLOOKUP(B228,Bounties!A:E,2,FALSE)</f>
        <v>Anti-Scam Bounty</v>
      </c>
    </row>
    <row r="229" hidden="1">
      <c r="A229" s="109">
        <f>HYPERLINK("https://polkadot.subsquare.io/treasury/child-bounties/227", 227)</f>
        <v>227</v>
      </c>
      <c r="B229" s="183">
        <v>11.0</v>
      </c>
      <c r="C229" s="27" t="s">
        <v>3404</v>
      </c>
      <c r="D229" s="27" t="s">
        <v>828</v>
      </c>
      <c r="E229" s="129">
        <v>85.89835361</v>
      </c>
      <c r="F229" s="66">
        <v>454.0094035387872</v>
      </c>
      <c r="G229" s="27" t="s">
        <v>3470</v>
      </c>
      <c r="H229" s="167">
        <v>45054.0</v>
      </c>
      <c r="I229" s="167">
        <v>45062.0</v>
      </c>
      <c r="J229" s="66">
        <v>461.2775077366136</v>
      </c>
      <c r="K229" s="1"/>
      <c r="L229" s="1"/>
      <c r="M229" s="1" t="str">
        <f>VLOOKUP(B229,Bounties!A:D,3,FALSE)</f>
        <v>Research</v>
      </c>
      <c r="N229" s="1" t="str">
        <f>VLOOKUP(B229,Bounties!A:D,4,FALSE)</f>
        <v>Anti-Scam</v>
      </c>
      <c r="O229" s="1" t="str">
        <f t="shared" ref="O229:P229" si="233">IF(ISBLANK(K229),M229,K229)</f>
        <v>Research</v>
      </c>
      <c r="P229" s="1" t="str">
        <f t="shared" si="233"/>
        <v>Anti-Scam</v>
      </c>
      <c r="Q229" s="108" t="str">
        <f t="shared" si="3"/>
        <v>2023</v>
      </c>
      <c r="R229" s="110">
        <f t="shared" si="4"/>
        <v>5</v>
      </c>
      <c r="S229" s="108" t="str">
        <f t="shared" si="5"/>
        <v>2023-Q2</v>
      </c>
      <c r="T229" s="111" t="str">
        <f t="shared" si="6"/>
        <v>2023-05</v>
      </c>
      <c r="U229" s="112" t="str">
        <f t="shared" si="7"/>
        <v>2023-H1</v>
      </c>
      <c r="V229" s="1" t="str">
        <f>VLOOKUP(B229,Bounties!A:E,2,FALSE)</f>
        <v>Anti-Scam Bounty</v>
      </c>
    </row>
    <row r="230" hidden="1">
      <c r="A230" s="109">
        <f>HYPERLINK("https://polkadot.subsquare.io/treasury/child-bounties/228", 228)</f>
        <v>228</v>
      </c>
      <c r="B230" s="183">
        <v>11.0</v>
      </c>
      <c r="C230" s="27" t="s">
        <v>3404</v>
      </c>
      <c r="D230" s="27" t="s">
        <v>829</v>
      </c>
      <c r="E230" s="129">
        <v>143.1639227</v>
      </c>
      <c r="F230" s="66">
        <v>756.6823393194024</v>
      </c>
      <c r="G230" s="27" t="s">
        <v>3424</v>
      </c>
      <c r="H230" s="167">
        <v>45054.0</v>
      </c>
      <c r="I230" s="167">
        <v>45062.0</v>
      </c>
      <c r="J230" s="66">
        <v>768.79584631719</v>
      </c>
      <c r="K230" s="1"/>
      <c r="L230" s="1"/>
      <c r="M230" s="1" t="str">
        <f>VLOOKUP(B230,Bounties!A:D,3,FALSE)</f>
        <v>Research</v>
      </c>
      <c r="N230" s="1" t="str">
        <f>VLOOKUP(B230,Bounties!A:D,4,FALSE)</f>
        <v>Anti-Scam</v>
      </c>
      <c r="O230" s="1" t="str">
        <f t="shared" ref="O230:P230" si="234">IF(ISBLANK(K230),M230,K230)</f>
        <v>Research</v>
      </c>
      <c r="P230" s="1" t="str">
        <f t="shared" si="234"/>
        <v>Anti-Scam</v>
      </c>
      <c r="Q230" s="108" t="str">
        <f t="shared" si="3"/>
        <v>2023</v>
      </c>
      <c r="R230" s="110">
        <f t="shared" si="4"/>
        <v>5</v>
      </c>
      <c r="S230" s="108" t="str">
        <f t="shared" si="5"/>
        <v>2023-Q2</v>
      </c>
      <c r="T230" s="111" t="str">
        <f t="shared" si="6"/>
        <v>2023-05</v>
      </c>
      <c r="U230" s="112" t="str">
        <f t="shared" si="7"/>
        <v>2023-H1</v>
      </c>
      <c r="V230" s="1" t="str">
        <f>VLOOKUP(B230,Bounties!A:E,2,FALSE)</f>
        <v>Anti-Scam Bounty</v>
      </c>
    </row>
    <row r="231" hidden="1">
      <c r="A231" s="109">
        <f>HYPERLINK("https://polkadot.subsquare.io/treasury/child-bounties/229", 229)</f>
        <v>229</v>
      </c>
      <c r="B231" s="183">
        <v>11.0</v>
      </c>
      <c r="C231" s="27" t="s">
        <v>3404</v>
      </c>
      <c r="D231" s="27" t="s">
        <v>830</v>
      </c>
      <c r="E231" s="129">
        <v>89.47745168</v>
      </c>
      <c r="F231" s="66">
        <v>472.92646203498583</v>
      </c>
      <c r="G231" s="27" t="s">
        <v>3423</v>
      </c>
      <c r="H231" s="167">
        <v>45054.0</v>
      </c>
      <c r="I231" s="167">
        <v>45085.0</v>
      </c>
      <c r="J231" s="66">
        <v>405.00127338088004</v>
      </c>
      <c r="K231" s="1"/>
      <c r="L231" s="1"/>
      <c r="M231" s="1" t="str">
        <f>VLOOKUP(B231,Bounties!A:D,3,FALSE)</f>
        <v>Research</v>
      </c>
      <c r="N231" s="1" t="str">
        <f>VLOOKUP(B231,Bounties!A:D,4,FALSE)</f>
        <v>Anti-Scam</v>
      </c>
      <c r="O231" s="1" t="str">
        <f t="shared" ref="O231:P231" si="235">IF(ISBLANK(K231),M231,K231)</f>
        <v>Research</v>
      </c>
      <c r="P231" s="1" t="str">
        <f t="shared" si="235"/>
        <v>Anti-Scam</v>
      </c>
      <c r="Q231" s="108" t="str">
        <f t="shared" si="3"/>
        <v>2023</v>
      </c>
      <c r="R231" s="110">
        <f t="shared" si="4"/>
        <v>6</v>
      </c>
      <c r="S231" s="108" t="str">
        <f t="shared" si="5"/>
        <v>2023-Q2</v>
      </c>
      <c r="T231" s="111" t="str">
        <f t="shared" si="6"/>
        <v>2023-06</v>
      </c>
      <c r="U231" s="112" t="str">
        <f t="shared" si="7"/>
        <v>2023-H1</v>
      </c>
      <c r="V231" s="1" t="str">
        <f>VLOOKUP(B231,Bounties!A:E,2,FALSE)</f>
        <v>Anti-Scam Bounty</v>
      </c>
    </row>
    <row r="232" hidden="1">
      <c r="A232" s="109">
        <f>HYPERLINK("https://polkadot.subsquare.io/treasury/child-bounties/230", 230)</f>
        <v>230</v>
      </c>
      <c r="B232" s="183">
        <v>11.0</v>
      </c>
      <c r="C232" s="27" t="s">
        <v>3404</v>
      </c>
      <c r="D232" s="27" t="s">
        <v>831</v>
      </c>
      <c r="E232" s="129">
        <v>128.8475304</v>
      </c>
      <c r="F232" s="66">
        <v>681.0141052288994</v>
      </c>
      <c r="G232" s="27" t="s">
        <v>3406</v>
      </c>
      <c r="H232" s="167">
        <v>45054.0</v>
      </c>
      <c r="I232" s="167">
        <v>45079.0</v>
      </c>
      <c r="J232" s="66">
        <v>685.3969384372765</v>
      </c>
      <c r="K232" s="1"/>
      <c r="L232" s="1"/>
      <c r="M232" s="1" t="str">
        <f>VLOOKUP(B232,Bounties!A:D,3,FALSE)</f>
        <v>Research</v>
      </c>
      <c r="N232" s="1" t="str">
        <f>VLOOKUP(B232,Bounties!A:D,4,FALSE)</f>
        <v>Anti-Scam</v>
      </c>
      <c r="O232" s="1" t="str">
        <f t="shared" ref="O232:P232" si="236">IF(ISBLANK(K232),M232,K232)</f>
        <v>Research</v>
      </c>
      <c r="P232" s="1" t="str">
        <f t="shared" si="236"/>
        <v>Anti-Scam</v>
      </c>
      <c r="Q232" s="108" t="str">
        <f t="shared" si="3"/>
        <v>2023</v>
      </c>
      <c r="R232" s="110">
        <f t="shared" si="4"/>
        <v>6</v>
      </c>
      <c r="S232" s="108" t="str">
        <f t="shared" si="5"/>
        <v>2023-Q2</v>
      </c>
      <c r="T232" s="111" t="str">
        <f t="shared" si="6"/>
        <v>2023-06</v>
      </c>
      <c r="U232" s="112" t="str">
        <f t="shared" si="7"/>
        <v>2023-H1</v>
      </c>
      <c r="V232" s="1" t="str">
        <f>VLOOKUP(B232,Bounties!A:E,2,FALSE)</f>
        <v>Anti-Scam Bounty</v>
      </c>
    </row>
    <row r="233" hidden="1">
      <c r="A233" s="109">
        <f>HYPERLINK("https://polkadot.subsquare.io/treasury/child-bounties/231", 231)</f>
        <v>231</v>
      </c>
      <c r="B233" s="183">
        <v>17.0</v>
      </c>
      <c r="C233" s="27" t="s">
        <v>3404</v>
      </c>
      <c r="D233" s="27" t="s">
        <v>832</v>
      </c>
      <c r="E233" s="129">
        <v>27.9</v>
      </c>
      <c r="F233" s="66">
        <v>149.02670044898986</v>
      </c>
      <c r="G233" s="27" t="s">
        <v>3426</v>
      </c>
      <c r="H233" s="167">
        <v>45061.0</v>
      </c>
      <c r="I233" s="167">
        <v>45080.0</v>
      </c>
      <c r="J233" s="66">
        <v>145.31175942420958</v>
      </c>
      <c r="K233" s="1"/>
      <c r="L233" s="1"/>
      <c r="M233" s="1" t="str">
        <f>VLOOKUP(B233,Bounties!A:D,3,FALSE)</f>
        <v>Outreach</v>
      </c>
      <c r="N233" s="1" t="str">
        <f>VLOOKUP(B233,Bounties!A:D,4,FALSE)</f>
        <v>Events/Meetups</v>
      </c>
      <c r="O233" s="1" t="str">
        <f t="shared" ref="O233:P233" si="237">IF(ISBLANK(K233),M233,K233)</f>
        <v>Outreach</v>
      </c>
      <c r="P233" s="1" t="str">
        <f t="shared" si="237"/>
        <v>Events/Meetups</v>
      </c>
      <c r="Q233" s="108" t="str">
        <f t="shared" si="3"/>
        <v>2023</v>
      </c>
      <c r="R233" s="110">
        <f t="shared" si="4"/>
        <v>6</v>
      </c>
      <c r="S233" s="108" t="str">
        <f t="shared" si="5"/>
        <v>2023-Q2</v>
      </c>
      <c r="T233" s="111" t="str">
        <f t="shared" si="6"/>
        <v>2023-06</v>
      </c>
      <c r="U233" s="112" t="str">
        <f t="shared" si="7"/>
        <v>2023-H1</v>
      </c>
      <c r="V233" s="1" t="str">
        <f>VLOOKUP(B233,Bounties!A:E,2,FALSE)</f>
        <v>Events Bounty</v>
      </c>
    </row>
    <row r="234" hidden="1">
      <c r="A234" s="109">
        <f>HYPERLINK("https://polkadot.subsquare.io/treasury/child-bounties/232", 232)</f>
        <v>232</v>
      </c>
      <c r="B234" s="183">
        <v>17.0</v>
      </c>
      <c r="C234" s="27" t="s">
        <v>3404</v>
      </c>
      <c r="D234" s="27" t="s">
        <v>833</v>
      </c>
      <c r="E234" s="129">
        <v>55.9</v>
      </c>
      <c r="F234" s="66">
        <v>298.5875467777252</v>
      </c>
      <c r="G234" s="27" t="s">
        <v>3463</v>
      </c>
      <c r="H234" s="167">
        <v>45061.0</v>
      </c>
      <c r="I234" s="167">
        <v>45082.0</v>
      </c>
      <c r="J234" s="66">
        <v>280.74098601341245</v>
      </c>
      <c r="K234" s="1"/>
      <c r="L234" s="1"/>
      <c r="M234" s="1" t="str">
        <f>VLOOKUP(B234,Bounties!A:D,3,FALSE)</f>
        <v>Outreach</v>
      </c>
      <c r="N234" s="1" t="str">
        <f>VLOOKUP(B234,Bounties!A:D,4,FALSE)</f>
        <v>Events/Meetups</v>
      </c>
      <c r="O234" s="1" t="str">
        <f t="shared" ref="O234:P234" si="238">IF(ISBLANK(K234),M234,K234)</f>
        <v>Outreach</v>
      </c>
      <c r="P234" s="1" t="str">
        <f t="shared" si="238"/>
        <v>Events/Meetups</v>
      </c>
      <c r="Q234" s="108" t="str">
        <f t="shared" si="3"/>
        <v>2023</v>
      </c>
      <c r="R234" s="110">
        <f t="shared" si="4"/>
        <v>6</v>
      </c>
      <c r="S234" s="108" t="str">
        <f t="shared" si="5"/>
        <v>2023-Q2</v>
      </c>
      <c r="T234" s="111" t="str">
        <f t="shared" si="6"/>
        <v>2023-06</v>
      </c>
      <c r="U234" s="112" t="str">
        <f t="shared" si="7"/>
        <v>2023-H1</v>
      </c>
      <c r="V234" s="1" t="str">
        <f>VLOOKUP(B234,Bounties!A:E,2,FALSE)</f>
        <v>Events Bounty</v>
      </c>
    </row>
    <row r="235" hidden="1">
      <c r="A235" s="109">
        <f>HYPERLINK("https://polkadot.subsquare.io/treasury/child-bounties/233", 233)</f>
        <v>233</v>
      </c>
      <c r="B235" s="183">
        <v>17.0</v>
      </c>
      <c r="C235" s="27" t="s">
        <v>3404</v>
      </c>
      <c r="D235" s="27" t="s">
        <v>834</v>
      </c>
      <c r="E235" s="129">
        <v>55.9</v>
      </c>
      <c r="F235" s="66">
        <v>298.5875467777252</v>
      </c>
      <c r="G235" s="27" t="s">
        <v>3463</v>
      </c>
      <c r="H235" s="167">
        <v>45061.0</v>
      </c>
      <c r="I235" s="167">
        <v>45077.0</v>
      </c>
      <c r="J235" s="66">
        <v>297.96610751152036</v>
      </c>
      <c r="K235" s="1"/>
      <c r="L235" s="1"/>
      <c r="M235" s="1" t="str">
        <f>VLOOKUP(B235,Bounties!A:D,3,FALSE)</f>
        <v>Outreach</v>
      </c>
      <c r="N235" s="1" t="str">
        <f>VLOOKUP(B235,Bounties!A:D,4,FALSE)</f>
        <v>Events/Meetups</v>
      </c>
      <c r="O235" s="1" t="str">
        <f t="shared" ref="O235:P235" si="239">IF(ISBLANK(K235),M235,K235)</f>
        <v>Outreach</v>
      </c>
      <c r="P235" s="1" t="str">
        <f t="shared" si="239"/>
        <v>Events/Meetups</v>
      </c>
      <c r="Q235" s="108" t="str">
        <f t="shared" si="3"/>
        <v>2023</v>
      </c>
      <c r="R235" s="110">
        <f t="shared" si="4"/>
        <v>5</v>
      </c>
      <c r="S235" s="108" t="str">
        <f t="shared" si="5"/>
        <v>2023-Q2</v>
      </c>
      <c r="T235" s="111" t="str">
        <f t="shared" si="6"/>
        <v>2023-05</v>
      </c>
      <c r="U235" s="112" t="str">
        <f t="shared" si="7"/>
        <v>2023-H1</v>
      </c>
      <c r="V235" s="1" t="str">
        <f>VLOOKUP(B235,Bounties!A:E,2,FALSE)</f>
        <v>Events Bounty</v>
      </c>
    </row>
    <row r="236" hidden="1">
      <c r="A236" s="109">
        <f>HYPERLINK("https://polkadot.subsquare.io/treasury/child-bounties/234", 234)</f>
        <v>234</v>
      </c>
      <c r="B236" s="183">
        <v>17.0</v>
      </c>
      <c r="C236" s="27" t="s">
        <v>3404</v>
      </c>
      <c r="D236" s="27" t="s">
        <v>835</v>
      </c>
      <c r="E236" s="129">
        <v>27.9</v>
      </c>
      <c r="F236" s="66">
        <v>149.02670044898986</v>
      </c>
      <c r="G236" s="27" t="s">
        <v>3476</v>
      </c>
      <c r="H236" s="167">
        <v>45061.0</v>
      </c>
      <c r="I236" s="167">
        <v>45077.0</v>
      </c>
      <c r="J236" s="66">
        <v>148.71653666496277</v>
      </c>
      <c r="K236" s="1"/>
      <c r="L236" s="1"/>
      <c r="M236" s="1" t="str">
        <f>VLOOKUP(B236,Bounties!A:D,3,FALSE)</f>
        <v>Outreach</v>
      </c>
      <c r="N236" s="1" t="str">
        <f>VLOOKUP(B236,Bounties!A:D,4,FALSE)</f>
        <v>Events/Meetups</v>
      </c>
      <c r="O236" s="1" t="str">
        <f t="shared" ref="O236:P236" si="240">IF(ISBLANK(K236),M236,K236)</f>
        <v>Outreach</v>
      </c>
      <c r="P236" s="1" t="str">
        <f t="shared" si="240"/>
        <v>Events/Meetups</v>
      </c>
      <c r="Q236" s="108" t="str">
        <f t="shared" si="3"/>
        <v>2023</v>
      </c>
      <c r="R236" s="110">
        <f t="shared" si="4"/>
        <v>5</v>
      </c>
      <c r="S236" s="108" t="str">
        <f t="shared" si="5"/>
        <v>2023-Q2</v>
      </c>
      <c r="T236" s="111" t="str">
        <f t="shared" si="6"/>
        <v>2023-05</v>
      </c>
      <c r="U236" s="112" t="str">
        <f t="shared" si="7"/>
        <v>2023-H1</v>
      </c>
      <c r="V236" s="1" t="str">
        <f>VLOOKUP(B236,Bounties!A:E,2,FALSE)</f>
        <v>Events Bounty</v>
      </c>
    </row>
    <row r="237" hidden="1">
      <c r="A237" s="109">
        <f>HYPERLINK("https://polkadot.subsquare.io/treasury/child-bounties/235", 235)</f>
        <v>235</v>
      </c>
      <c r="B237" s="183">
        <v>17.0</v>
      </c>
      <c r="C237" s="27" t="s">
        <v>3404</v>
      </c>
      <c r="D237" s="27" t="s">
        <v>836</v>
      </c>
      <c r="E237" s="129">
        <v>27.9</v>
      </c>
      <c r="F237" s="66">
        <v>149.02670044898986</v>
      </c>
      <c r="G237" s="27" t="s">
        <v>3454</v>
      </c>
      <c r="H237" s="167">
        <v>45061.0</v>
      </c>
      <c r="I237" s="167">
        <v>45249.0</v>
      </c>
      <c r="J237" s="66">
        <v>144.32293109893797</v>
      </c>
      <c r="K237" s="1"/>
      <c r="L237" s="1"/>
      <c r="M237" s="1" t="str">
        <f>VLOOKUP(B237,Bounties!A:D,3,FALSE)</f>
        <v>Outreach</v>
      </c>
      <c r="N237" s="1" t="str">
        <f>VLOOKUP(B237,Bounties!A:D,4,FALSE)</f>
        <v>Events/Meetups</v>
      </c>
      <c r="O237" s="1" t="str">
        <f t="shared" ref="O237:P237" si="241">IF(ISBLANK(K237),M237,K237)</f>
        <v>Outreach</v>
      </c>
      <c r="P237" s="1" t="str">
        <f t="shared" si="241"/>
        <v>Events/Meetups</v>
      </c>
      <c r="Q237" s="108" t="str">
        <f t="shared" si="3"/>
        <v>2023</v>
      </c>
      <c r="R237" s="110">
        <f t="shared" si="4"/>
        <v>11</v>
      </c>
      <c r="S237" s="108" t="str">
        <f t="shared" si="5"/>
        <v>2023-Q4</v>
      </c>
      <c r="T237" s="111" t="str">
        <f t="shared" si="6"/>
        <v>2023-11</v>
      </c>
      <c r="U237" s="112" t="str">
        <f t="shared" si="7"/>
        <v>2023-H2</v>
      </c>
      <c r="V237" s="1" t="str">
        <f>VLOOKUP(B237,Bounties!A:E,2,FALSE)</f>
        <v>Events Bounty</v>
      </c>
    </row>
    <row r="238" hidden="1">
      <c r="A238" s="109">
        <f>HYPERLINK("https://polkadot.subsquare.io/treasury/child-bounties/236", 236)</f>
        <v>236</v>
      </c>
      <c r="B238" s="183">
        <v>17.0</v>
      </c>
      <c r="C238" s="27" t="s">
        <v>3404</v>
      </c>
      <c r="D238" s="27" t="s">
        <v>837</v>
      </c>
      <c r="E238" s="129">
        <v>27.9</v>
      </c>
      <c r="F238" s="66">
        <v>149.02670044898986</v>
      </c>
      <c r="G238" s="27" t="s">
        <v>3477</v>
      </c>
      <c r="H238" s="167">
        <v>45061.0</v>
      </c>
      <c r="I238" s="167">
        <v>45078.0</v>
      </c>
      <c r="J238" s="66">
        <v>148.41242609024047</v>
      </c>
      <c r="K238" s="1"/>
      <c r="L238" s="1"/>
      <c r="M238" s="1" t="str">
        <f>VLOOKUP(B238,Bounties!A:D,3,FALSE)</f>
        <v>Outreach</v>
      </c>
      <c r="N238" s="1" t="str">
        <f>VLOOKUP(B238,Bounties!A:D,4,FALSE)</f>
        <v>Events/Meetups</v>
      </c>
      <c r="O238" s="1" t="str">
        <f t="shared" ref="O238:P238" si="242">IF(ISBLANK(K238),M238,K238)</f>
        <v>Outreach</v>
      </c>
      <c r="P238" s="1" t="str">
        <f t="shared" si="242"/>
        <v>Events/Meetups</v>
      </c>
      <c r="Q238" s="108" t="str">
        <f t="shared" si="3"/>
        <v>2023</v>
      </c>
      <c r="R238" s="110">
        <f t="shared" si="4"/>
        <v>6</v>
      </c>
      <c r="S238" s="108" t="str">
        <f t="shared" si="5"/>
        <v>2023-Q2</v>
      </c>
      <c r="T238" s="111" t="str">
        <f t="shared" si="6"/>
        <v>2023-06</v>
      </c>
      <c r="U238" s="112" t="str">
        <f t="shared" si="7"/>
        <v>2023-H1</v>
      </c>
      <c r="V238" s="1" t="str">
        <f>VLOOKUP(B238,Bounties!A:E,2,FALSE)</f>
        <v>Events Bounty</v>
      </c>
    </row>
    <row r="239" hidden="1">
      <c r="A239" s="109">
        <f>HYPERLINK("https://polkadot.subsquare.io/treasury/child-bounties/237", 237)</f>
        <v>237</v>
      </c>
      <c r="B239" s="183">
        <v>17.0</v>
      </c>
      <c r="C239" s="27" t="s">
        <v>3404</v>
      </c>
      <c r="D239" s="27" t="s">
        <v>838</v>
      </c>
      <c r="E239" s="129">
        <v>288.8</v>
      </c>
      <c r="F239" s="66">
        <v>1542.6133007049561</v>
      </c>
      <c r="G239" s="27" t="s">
        <v>3478</v>
      </c>
      <c r="H239" s="167">
        <v>45061.0</v>
      </c>
      <c r="I239" s="167">
        <v>45076.0</v>
      </c>
      <c r="J239" s="66">
        <v>1524.8307346343995</v>
      </c>
      <c r="K239" s="1"/>
      <c r="L239" s="1"/>
      <c r="M239" s="1" t="str">
        <f>VLOOKUP(B239,Bounties!A:D,3,FALSE)</f>
        <v>Outreach</v>
      </c>
      <c r="N239" s="1" t="str">
        <f>VLOOKUP(B239,Bounties!A:D,4,FALSE)</f>
        <v>Events/Meetups</v>
      </c>
      <c r="O239" s="1" t="str">
        <f t="shared" ref="O239:P239" si="243">IF(ISBLANK(K239),M239,K239)</f>
        <v>Outreach</v>
      </c>
      <c r="P239" s="1" t="str">
        <f t="shared" si="243"/>
        <v>Events/Meetups</v>
      </c>
      <c r="Q239" s="108" t="str">
        <f t="shared" si="3"/>
        <v>2023</v>
      </c>
      <c r="R239" s="110">
        <f t="shared" si="4"/>
        <v>5</v>
      </c>
      <c r="S239" s="108" t="str">
        <f t="shared" si="5"/>
        <v>2023-Q2</v>
      </c>
      <c r="T239" s="111" t="str">
        <f t="shared" si="6"/>
        <v>2023-05</v>
      </c>
      <c r="U239" s="112" t="str">
        <f t="shared" si="7"/>
        <v>2023-H1</v>
      </c>
      <c r="V239" s="1" t="str">
        <f>VLOOKUP(B239,Bounties!A:E,2,FALSE)</f>
        <v>Events Bounty</v>
      </c>
    </row>
    <row r="240" hidden="1">
      <c r="A240" s="109">
        <f>HYPERLINK("https://polkadot.subsquare.io/treasury/child-bounties/238", 238)</f>
        <v>238</v>
      </c>
      <c r="B240" s="183">
        <v>10.0</v>
      </c>
      <c r="C240" s="27" t="s">
        <v>3404</v>
      </c>
      <c r="D240" s="27" t="s">
        <v>839</v>
      </c>
      <c r="E240" s="129">
        <v>37384.0</v>
      </c>
      <c r="F240" s="66">
        <v>196641.11420822144</v>
      </c>
      <c r="G240" s="27" t="s">
        <v>3479</v>
      </c>
      <c r="H240" s="167">
        <v>45068.0</v>
      </c>
      <c r="I240" s="167">
        <v>45076.0</v>
      </c>
      <c r="J240" s="66">
        <v>197383.21393203735</v>
      </c>
      <c r="K240" s="1"/>
      <c r="L240" s="1"/>
      <c r="M240" s="1" t="str">
        <f>VLOOKUP(B240,Bounties!A:D,3,FALSE)</f>
        <v/>
      </c>
      <c r="N240" s="1" t="str">
        <f>VLOOKUP(B240,Bounties!A:D,4,FALSE)</f>
        <v/>
      </c>
      <c r="O240" s="1" t="str">
        <f t="shared" ref="O240:P240" si="244">IF(ISBLANK(K240),M240,K240)</f>
        <v/>
      </c>
      <c r="P240" s="1" t="str">
        <f t="shared" si="244"/>
        <v/>
      </c>
      <c r="Q240" s="108" t="str">
        <f t="shared" si="3"/>
        <v>2023</v>
      </c>
      <c r="R240" s="110">
        <f t="shared" si="4"/>
        <v>5</v>
      </c>
      <c r="S240" s="108" t="str">
        <f t="shared" si="5"/>
        <v>2023-Q2</v>
      </c>
      <c r="T240" s="111" t="str">
        <f t="shared" si="6"/>
        <v>2023-05</v>
      </c>
      <c r="U240" s="112" t="str">
        <f t="shared" si="7"/>
        <v>2023-H1</v>
      </c>
      <c r="V240" s="1" t="str">
        <f>VLOOKUP(B240,Bounties!A:E,2,FALSE)</f>
        <v>Polkadot Pioneers Bounty</v>
      </c>
    </row>
    <row r="241" hidden="1">
      <c r="A241" s="109">
        <f>HYPERLINK("https://polkadot.subsquare.io/treasury/child-bounties/239", 239)</f>
        <v>239</v>
      </c>
      <c r="B241" s="183">
        <v>17.0</v>
      </c>
      <c r="C241" s="27" t="s">
        <v>3404</v>
      </c>
      <c r="D241" s="27" t="s">
        <v>840</v>
      </c>
      <c r="E241" s="129">
        <v>125.8</v>
      </c>
      <c r="F241" s="66">
        <v>671.5192976951599</v>
      </c>
      <c r="G241" s="27" t="s">
        <v>3480</v>
      </c>
      <c r="H241" s="167">
        <v>45070.0</v>
      </c>
      <c r="I241" s="167">
        <v>45096.0</v>
      </c>
      <c r="J241" s="66">
        <v>607.6929921150207</v>
      </c>
      <c r="K241" s="1"/>
      <c r="L241" s="1" t="s">
        <v>266</v>
      </c>
      <c r="M241" s="1" t="str">
        <f>VLOOKUP(B241,Bounties!A:D,3,FALSE)</f>
        <v>Outreach</v>
      </c>
      <c r="N241" s="1" t="str">
        <f>VLOOKUP(B241,Bounties!A:D,4,FALSE)</f>
        <v>Events/Meetups</v>
      </c>
      <c r="O241" s="1" t="str">
        <f t="shared" ref="O241:P241" si="245">IF(ISBLANK(K241),M241,K241)</f>
        <v>Outreach</v>
      </c>
      <c r="P241" s="1" t="str">
        <f t="shared" si="245"/>
        <v>Events/Conference Attendance &amp; Side Events</v>
      </c>
      <c r="Q241" s="108" t="str">
        <f t="shared" si="3"/>
        <v>2023</v>
      </c>
      <c r="R241" s="110">
        <f t="shared" si="4"/>
        <v>6</v>
      </c>
      <c r="S241" s="108" t="str">
        <f t="shared" si="5"/>
        <v>2023-Q2</v>
      </c>
      <c r="T241" s="111" t="str">
        <f t="shared" si="6"/>
        <v>2023-06</v>
      </c>
      <c r="U241" s="112" t="str">
        <f t="shared" si="7"/>
        <v>2023-H1</v>
      </c>
      <c r="V241" s="1" t="str">
        <f>VLOOKUP(B241,Bounties!A:E,2,FALSE)</f>
        <v>Events Bounty</v>
      </c>
    </row>
    <row r="242" hidden="1">
      <c r="A242" s="109">
        <f>HYPERLINK("https://polkadot.subsquare.io/treasury/child-bounties/240", 240)</f>
        <v>240</v>
      </c>
      <c r="B242" s="183">
        <v>17.0</v>
      </c>
      <c r="C242" s="27" t="s">
        <v>3404</v>
      </c>
      <c r="D242" s="27" t="s">
        <v>841</v>
      </c>
      <c r="E242" s="129">
        <v>919.4</v>
      </c>
      <c r="F242" s="66">
        <v>4907.749143886566</v>
      </c>
      <c r="G242" s="27" t="s">
        <v>3417</v>
      </c>
      <c r="H242" s="167">
        <v>45070.0</v>
      </c>
      <c r="I242" s="167">
        <v>45097.0</v>
      </c>
      <c r="J242" s="66">
        <v>4441.279308032989</v>
      </c>
      <c r="K242" s="1"/>
      <c r="L242" s="1" t="s">
        <v>266</v>
      </c>
      <c r="M242" s="1" t="str">
        <f>VLOOKUP(B242,Bounties!A:D,3,FALSE)</f>
        <v>Outreach</v>
      </c>
      <c r="N242" s="1" t="str">
        <f>VLOOKUP(B242,Bounties!A:D,4,FALSE)</f>
        <v>Events/Meetups</v>
      </c>
      <c r="O242" s="1" t="str">
        <f t="shared" ref="O242:P242" si="246">IF(ISBLANK(K242),M242,K242)</f>
        <v>Outreach</v>
      </c>
      <c r="P242" s="1" t="str">
        <f t="shared" si="246"/>
        <v>Events/Conference Attendance &amp; Side Events</v>
      </c>
      <c r="Q242" s="108" t="str">
        <f t="shared" si="3"/>
        <v>2023</v>
      </c>
      <c r="R242" s="110">
        <f t="shared" si="4"/>
        <v>6</v>
      </c>
      <c r="S242" s="108" t="str">
        <f t="shared" si="5"/>
        <v>2023-Q2</v>
      </c>
      <c r="T242" s="111" t="str">
        <f t="shared" si="6"/>
        <v>2023-06</v>
      </c>
      <c r="U242" s="112" t="str">
        <f t="shared" si="7"/>
        <v>2023-H1</v>
      </c>
      <c r="V242" s="1" t="str">
        <f>VLOOKUP(B242,Bounties!A:E,2,FALSE)</f>
        <v>Events Bounty</v>
      </c>
    </row>
    <row r="243" hidden="1">
      <c r="A243" s="109">
        <f>HYPERLINK("https://polkadot.subsquare.io/treasury/child-bounties/241", 241)</f>
        <v>241</v>
      </c>
      <c r="B243" s="183">
        <v>17.0</v>
      </c>
      <c r="C243" s="27" t="s">
        <v>3404</v>
      </c>
      <c r="D243" s="27" t="s">
        <v>842</v>
      </c>
      <c r="E243" s="129">
        <v>369.6</v>
      </c>
      <c r="F243" s="66">
        <v>1972.9215614318848</v>
      </c>
      <c r="G243" s="27" t="s">
        <v>3481</v>
      </c>
      <c r="H243" s="167">
        <v>45070.0</v>
      </c>
      <c r="I243" s="167">
        <v>45092.0</v>
      </c>
      <c r="J243" s="66">
        <v>1674.6439041137696</v>
      </c>
      <c r="K243" s="1"/>
      <c r="L243" s="1" t="s">
        <v>266</v>
      </c>
      <c r="M243" s="1" t="str">
        <f>VLOOKUP(B243,Bounties!A:D,3,FALSE)</f>
        <v>Outreach</v>
      </c>
      <c r="N243" s="1" t="str">
        <f>VLOOKUP(B243,Bounties!A:D,4,FALSE)</f>
        <v>Events/Meetups</v>
      </c>
      <c r="O243" s="1" t="str">
        <f t="shared" ref="O243:P243" si="247">IF(ISBLANK(K243),M243,K243)</f>
        <v>Outreach</v>
      </c>
      <c r="P243" s="1" t="str">
        <f t="shared" si="247"/>
        <v>Events/Conference Attendance &amp; Side Events</v>
      </c>
      <c r="Q243" s="108" t="str">
        <f t="shared" si="3"/>
        <v>2023</v>
      </c>
      <c r="R243" s="110">
        <f t="shared" si="4"/>
        <v>6</v>
      </c>
      <c r="S243" s="108" t="str">
        <f t="shared" si="5"/>
        <v>2023-Q2</v>
      </c>
      <c r="T243" s="111" t="str">
        <f t="shared" si="6"/>
        <v>2023-06</v>
      </c>
      <c r="U243" s="112" t="str">
        <f t="shared" si="7"/>
        <v>2023-H1</v>
      </c>
      <c r="V243" s="1" t="str">
        <f>VLOOKUP(B243,Bounties!A:E,2,FALSE)</f>
        <v>Events Bounty</v>
      </c>
    </row>
    <row r="244" hidden="1">
      <c r="A244" s="109">
        <f>HYPERLINK("https://polkadot.subsquare.io/treasury/child-bounties/242", 242)</f>
        <v>242</v>
      </c>
      <c r="B244" s="183">
        <v>17.0</v>
      </c>
      <c r="C244" s="27" t="s">
        <v>3404</v>
      </c>
      <c r="D244" s="27" t="s">
        <v>843</v>
      </c>
      <c r="E244" s="129">
        <v>7005.0</v>
      </c>
      <c r="F244" s="66">
        <v>37392.62861967087</v>
      </c>
      <c r="G244" s="27" t="s">
        <v>3459</v>
      </c>
      <c r="H244" s="167">
        <v>45070.0</v>
      </c>
      <c r="I244" s="167">
        <v>45080.0</v>
      </c>
      <c r="J244" s="66">
        <v>35537.78762340546</v>
      </c>
      <c r="K244" s="1"/>
      <c r="L244" s="1" t="s">
        <v>266</v>
      </c>
      <c r="M244" s="1" t="str">
        <f>VLOOKUP(B244,Bounties!A:D,3,FALSE)</f>
        <v>Outreach</v>
      </c>
      <c r="N244" s="1" t="str">
        <f>VLOOKUP(B244,Bounties!A:D,4,FALSE)</f>
        <v>Events/Meetups</v>
      </c>
      <c r="O244" s="1" t="str">
        <f t="shared" ref="O244:P244" si="248">IF(ISBLANK(K244),M244,K244)</f>
        <v>Outreach</v>
      </c>
      <c r="P244" s="1" t="str">
        <f t="shared" si="248"/>
        <v>Events/Conference Attendance &amp; Side Events</v>
      </c>
      <c r="Q244" s="108" t="str">
        <f t="shared" si="3"/>
        <v>2023</v>
      </c>
      <c r="R244" s="110">
        <f t="shared" si="4"/>
        <v>6</v>
      </c>
      <c r="S244" s="108" t="str">
        <f t="shared" si="5"/>
        <v>2023-Q2</v>
      </c>
      <c r="T244" s="111" t="str">
        <f t="shared" si="6"/>
        <v>2023-06</v>
      </c>
      <c r="U244" s="112" t="str">
        <f t="shared" si="7"/>
        <v>2023-H1</v>
      </c>
      <c r="V244" s="1" t="str">
        <f>VLOOKUP(B244,Bounties!A:E,2,FALSE)</f>
        <v>Events Bounty</v>
      </c>
    </row>
    <row r="245" hidden="1">
      <c r="A245" s="109">
        <f>HYPERLINK("https://polkadot.subsquare.io/treasury/child-bounties/243", 243)</f>
        <v>243</v>
      </c>
      <c r="B245" s="183">
        <v>17.0</v>
      </c>
      <c r="C245" s="27" t="s">
        <v>3427</v>
      </c>
      <c r="D245" s="27" t="s">
        <v>844</v>
      </c>
      <c r="E245" s="129">
        <v>29433.0</v>
      </c>
      <c r="F245" s="66">
        <v>157113.09609746933</v>
      </c>
      <c r="H245" s="167">
        <v>45070.0</v>
      </c>
      <c r="I245" s="167">
        <v>45070.0</v>
      </c>
      <c r="J245" s="66">
        <v>157113.09609746933</v>
      </c>
      <c r="K245" s="1"/>
      <c r="L245" s="1"/>
      <c r="M245" s="1" t="str">
        <f>VLOOKUP(B245,Bounties!A:D,3,FALSE)</f>
        <v>Outreach</v>
      </c>
      <c r="N245" s="1" t="str">
        <f>VLOOKUP(B245,Bounties!A:D,4,FALSE)</f>
        <v>Events/Meetups</v>
      </c>
      <c r="O245" s="1" t="str">
        <f t="shared" ref="O245:P245" si="249">IF(ISBLANK(K245),M245,K245)</f>
        <v>Outreach</v>
      </c>
      <c r="P245" s="1" t="str">
        <f t="shared" si="249"/>
        <v>Events/Meetups</v>
      </c>
      <c r="Q245" s="108" t="str">
        <f t="shared" si="3"/>
        <v>2023</v>
      </c>
      <c r="R245" s="110">
        <f t="shared" si="4"/>
        <v>5</v>
      </c>
      <c r="S245" s="108" t="str">
        <f t="shared" si="5"/>
        <v>2023-Q2</v>
      </c>
      <c r="T245" s="111" t="str">
        <f t="shared" si="6"/>
        <v>2023-05</v>
      </c>
      <c r="U245" s="112" t="str">
        <f t="shared" si="7"/>
        <v>2023-H1</v>
      </c>
      <c r="V245" s="1" t="str">
        <f>VLOOKUP(B245,Bounties!A:E,2,FALSE)</f>
        <v>Events Bounty</v>
      </c>
    </row>
    <row r="246" hidden="1">
      <c r="A246" s="109">
        <f>HYPERLINK("https://polkadot.subsquare.io/treasury/child-bounties/244", 244)</f>
        <v>244</v>
      </c>
      <c r="B246" s="183">
        <v>17.0</v>
      </c>
      <c r="C246" s="27" t="s">
        <v>3427</v>
      </c>
      <c r="D246" s="27" t="s">
        <v>845</v>
      </c>
      <c r="E246" s="129">
        <v>8996.0</v>
      </c>
      <c r="F246" s="66">
        <v>48020.569173812866</v>
      </c>
      <c r="H246" s="167">
        <v>45070.0</v>
      </c>
      <c r="I246" s="167">
        <v>45070.0</v>
      </c>
      <c r="J246" s="66">
        <v>48020.569173812866</v>
      </c>
      <c r="K246" s="1"/>
      <c r="L246" s="1"/>
      <c r="M246" s="1" t="str">
        <f>VLOOKUP(B246,Bounties!A:D,3,FALSE)</f>
        <v>Outreach</v>
      </c>
      <c r="N246" s="1" t="str">
        <f>VLOOKUP(B246,Bounties!A:D,4,FALSE)</f>
        <v>Events/Meetups</v>
      </c>
      <c r="O246" s="1" t="str">
        <f t="shared" ref="O246:P246" si="250">IF(ISBLANK(K246),M246,K246)</f>
        <v>Outreach</v>
      </c>
      <c r="P246" s="1" t="str">
        <f t="shared" si="250"/>
        <v>Events/Meetups</v>
      </c>
      <c r="Q246" s="108" t="str">
        <f t="shared" si="3"/>
        <v>2023</v>
      </c>
      <c r="R246" s="110">
        <f t="shared" si="4"/>
        <v>5</v>
      </c>
      <c r="S246" s="108" t="str">
        <f t="shared" si="5"/>
        <v>2023-Q2</v>
      </c>
      <c r="T246" s="111" t="str">
        <f t="shared" si="6"/>
        <v>2023-05</v>
      </c>
      <c r="U246" s="112" t="str">
        <f t="shared" si="7"/>
        <v>2023-H1</v>
      </c>
      <c r="V246" s="1" t="str">
        <f>VLOOKUP(B246,Bounties!A:E,2,FALSE)</f>
        <v>Events Bounty</v>
      </c>
    </row>
    <row r="247" hidden="1">
      <c r="A247" s="109">
        <f>HYPERLINK("https://polkadot.subsquare.io/treasury/child-bounties/245", 245)</f>
        <v>245</v>
      </c>
      <c r="B247" s="183">
        <v>17.0</v>
      </c>
      <c r="C247" s="27" t="s">
        <v>3404</v>
      </c>
      <c r="D247" s="27" t="s">
        <v>844</v>
      </c>
      <c r="E247" s="129">
        <v>29109.0</v>
      </c>
      <c r="F247" s="66">
        <v>155383.58693647385</v>
      </c>
      <c r="G247" s="27" t="s">
        <v>3459</v>
      </c>
      <c r="H247" s="167">
        <v>45070.0</v>
      </c>
      <c r="I247" s="167">
        <v>45080.0</v>
      </c>
      <c r="J247" s="66">
        <v>147675.86865520477</v>
      </c>
      <c r="K247" s="1"/>
      <c r="L247" s="1"/>
      <c r="M247" s="1" t="str">
        <f>VLOOKUP(B247,Bounties!A:D,3,FALSE)</f>
        <v>Outreach</v>
      </c>
      <c r="N247" s="1" t="str">
        <f>VLOOKUP(B247,Bounties!A:D,4,FALSE)</f>
        <v>Events/Meetups</v>
      </c>
      <c r="O247" s="1" t="str">
        <f t="shared" ref="O247:P247" si="251">IF(ISBLANK(K247),M247,K247)</f>
        <v>Outreach</v>
      </c>
      <c r="P247" s="1" t="str">
        <f t="shared" si="251"/>
        <v>Events/Meetups</v>
      </c>
      <c r="Q247" s="108" t="str">
        <f t="shared" si="3"/>
        <v>2023</v>
      </c>
      <c r="R247" s="110">
        <f t="shared" si="4"/>
        <v>6</v>
      </c>
      <c r="S247" s="108" t="str">
        <f t="shared" si="5"/>
        <v>2023-Q2</v>
      </c>
      <c r="T247" s="111" t="str">
        <f t="shared" si="6"/>
        <v>2023-06</v>
      </c>
      <c r="U247" s="112" t="str">
        <f t="shared" si="7"/>
        <v>2023-H1</v>
      </c>
      <c r="V247" s="1" t="str">
        <f>VLOOKUP(B247,Bounties!A:E,2,FALSE)</f>
        <v>Events Bounty</v>
      </c>
    </row>
    <row r="248" hidden="1">
      <c r="A248" s="109">
        <f>HYPERLINK("https://polkadot.subsquare.io/treasury/child-bounties/246", 246)</f>
        <v>246</v>
      </c>
      <c r="B248" s="183">
        <v>17.0</v>
      </c>
      <c r="C248" s="27" t="s">
        <v>3404</v>
      </c>
      <c r="D248" s="27" t="s">
        <v>845</v>
      </c>
      <c r="E248" s="129">
        <v>8897.0</v>
      </c>
      <c r="F248" s="66">
        <v>47492.10804128647</v>
      </c>
      <c r="G248" s="27" t="s">
        <v>3482</v>
      </c>
      <c r="H248" s="167">
        <v>45070.0</v>
      </c>
      <c r="I248" s="167">
        <v>45080.0</v>
      </c>
      <c r="J248" s="66">
        <v>46338.305505275726</v>
      </c>
      <c r="K248" s="1"/>
      <c r="L248" s="1" t="s">
        <v>266</v>
      </c>
      <c r="M248" s="1" t="str">
        <f>VLOOKUP(B248,Bounties!A:D,3,FALSE)</f>
        <v>Outreach</v>
      </c>
      <c r="N248" s="1" t="str">
        <f>VLOOKUP(B248,Bounties!A:D,4,FALSE)</f>
        <v>Events/Meetups</v>
      </c>
      <c r="O248" s="1" t="str">
        <f t="shared" ref="O248:P248" si="252">IF(ISBLANK(K248),M248,K248)</f>
        <v>Outreach</v>
      </c>
      <c r="P248" s="1" t="str">
        <f t="shared" si="252"/>
        <v>Events/Conference Attendance &amp; Side Events</v>
      </c>
      <c r="Q248" s="108" t="str">
        <f t="shared" si="3"/>
        <v>2023</v>
      </c>
      <c r="R248" s="110">
        <f t="shared" si="4"/>
        <v>6</v>
      </c>
      <c r="S248" s="108" t="str">
        <f t="shared" si="5"/>
        <v>2023-Q2</v>
      </c>
      <c r="T248" s="111" t="str">
        <f t="shared" si="6"/>
        <v>2023-06</v>
      </c>
      <c r="U248" s="112" t="str">
        <f t="shared" si="7"/>
        <v>2023-H1</v>
      </c>
      <c r="V248" s="1" t="str">
        <f>VLOOKUP(B248,Bounties!A:E,2,FALSE)</f>
        <v>Events Bounty</v>
      </c>
    </row>
    <row r="249" hidden="1">
      <c r="A249" s="109">
        <f>HYPERLINK("https://polkadot.subsquare.io/treasury/child-bounties/247", 247)</f>
        <v>247</v>
      </c>
      <c r="B249" s="183">
        <v>17.0</v>
      </c>
      <c r="C249" s="27" t="s">
        <v>3404</v>
      </c>
      <c r="D249" s="27" t="s">
        <v>846</v>
      </c>
      <c r="E249" s="129">
        <v>7929.7</v>
      </c>
      <c r="F249" s="66">
        <v>42328.66911711693</v>
      </c>
      <c r="G249" s="27" t="s">
        <v>3483</v>
      </c>
      <c r="H249" s="167">
        <v>45070.0</v>
      </c>
      <c r="I249" s="167">
        <v>45097.0</v>
      </c>
      <c r="J249" s="66">
        <v>38305.43020329475</v>
      </c>
      <c r="K249" s="1"/>
      <c r="L249" s="1" t="s">
        <v>266</v>
      </c>
      <c r="M249" s="1" t="str">
        <f>VLOOKUP(B249,Bounties!A:D,3,FALSE)</f>
        <v>Outreach</v>
      </c>
      <c r="N249" s="1" t="str">
        <f>VLOOKUP(B249,Bounties!A:D,4,FALSE)</f>
        <v>Events/Meetups</v>
      </c>
      <c r="O249" s="1" t="str">
        <f t="shared" ref="O249:P249" si="253">IF(ISBLANK(K249),M249,K249)</f>
        <v>Outreach</v>
      </c>
      <c r="P249" s="1" t="str">
        <f t="shared" si="253"/>
        <v>Events/Conference Attendance &amp; Side Events</v>
      </c>
      <c r="Q249" s="108" t="str">
        <f t="shared" si="3"/>
        <v>2023</v>
      </c>
      <c r="R249" s="110">
        <f t="shared" si="4"/>
        <v>6</v>
      </c>
      <c r="S249" s="108" t="str">
        <f t="shared" si="5"/>
        <v>2023-Q2</v>
      </c>
      <c r="T249" s="111" t="str">
        <f t="shared" si="6"/>
        <v>2023-06</v>
      </c>
      <c r="U249" s="112" t="str">
        <f t="shared" si="7"/>
        <v>2023-H1</v>
      </c>
      <c r="V249" s="1" t="str">
        <f>VLOOKUP(B249,Bounties!A:E,2,FALSE)</f>
        <v>Events Bounty</v>
      </c>
    </row>
    <row r="250" hidden="1">
      <c r="A250" s="109">
        <f>HYPERLINK("https://polkadot.subsquare.io/treasury/child-bounties/248", 248)</f>
        <v>248</v>
      </c>
      <c r="B250" s="183">
        <v>17.0</v>
      </c>
      <c r="C250" s="27" t="s">
        <v>3404</v>
      </c>
      <c r="D250" s="27" t="s">
        <v>847</v>
      </c>
      <c r="E250" s="129">
        <v>5044.9</v>
      </c>
      <c r="F250" s="66">
        <v>26929.631994771957</v>
      </c>
      <c r="G250" s="27" t="s">
        <v>3484</v>
      </c>
      <c r="H250" s="167">
        <v>45070.0</v>
      </c>
      <c r="I250" s="167">
        <v>45087.0</v>
      </c>
      <c r="J250" s="66">
        <v>23317.896953105927</v>
      </c>
      <c r="K250" s="1"/>
      <c r="L250" s="1" t="s">
        <v>266</v>
      </c>
      <c r="M250" s="1" t="str">
        <f>VLOOKUP(B250,Bounties!A:D,3,FALSE)</f>
        <v>Outreach</v>
      </c>
      <c r="N250" s="1" t="str">
        <f>VLOOKUP(B250,Bounties!A:D,4,FALSE)</f>
        <v>Events/Meetups</v>
      </c>
      <c r="O250" s="1" t="str">
        <f t="shared" ref="O250:P250" si="254">IF(ISBLANK(K250),M250,K250)</f>
        <v>Outreach</v>
      </c>
      <c r="P250" s="1" t="str">
        <f t="shared" si="254"/>
        <v>Events/Conference Attendance &amp; Side Events</v>
      </c>
      <c r="Q250" s="108" t="str">
        <f t="shared" si="3"/>
        <v>2023</v>
      </c>
      <c r="R250" s="110">
        <f t="shared" si="4"/>
        <v>6</v>
      </c>
      <c r="S250" s="108" t="str">
        <f t="shared" si="5"/>
        <v>2023-Q2</v>
      </c>
      <c r="T250" s="111" t="str">
        <f t="shared" si="6"/>
        <v>2023-06</v>
      </c>
      <c r="U250" s="112" t="str">
        <f t="shared" si="7"/>
        <v>2023-H1</v>
      </c>
      <c r="V250" s="1" t="str">
        <f>VLOOKUP(B250,Bounties!A:E,2,FALSE)</f>
        <v>Events Bounty</v>
      </c>
    </row>
    <row r="251" hidden="1">
      <c r="A251" s="109">
        <f>HYPERLINK("https://polkadot.subsquare.io/treasury/child-bounties/249", 249)</f>
        <v>249</v>
      </c>
      <c r="B251" s="183">
        <v>17.0</v>
      </c>
      <c r="C251" s="27" t="s">
        <v>3404</v>
      </c>
      <c r="D251" s="27" t="s">
        <v>848</v>
      </c>
      <c r="E251" s="129">
        <v>7375.5</v>
      </c>
      <c r="F251" s="66">
        <v>39370.35437321663</v>
      </c>
      <c r="G251" s="27" t="s">
        <v>3484</v>
      </c>
      <c r="H251" s="167">
        <v>45070.0</v>
      </c>
      <c r="I251" s="167">
        <v>45087.0</v>
      </c>
      <c r="J251" s="66">
        <v>34090.10069131851</v>
      </c>
      <c r="K251" s="1"/>
      <c r="L251" s="1" t="s">
        <v>266</v>
      </c>
      <c r="M251" s="1" t="str">
        <f>VLOOKUP(B251,Bounties!A:D,3,FALSE)</f>
        <v>Outreach</v>
      </c>
      <c r="N251" s="1" t="str">
        <f>VLOOKUP(B251,Bounties!A:D,4,FALSE)</f>
        <v>Events/Meetups</v>
      </c>
      <c r="O251" s="1" t="str">
        <f t="shared" ref="O251:P251" si="255">IF(ISBLANK(K251),M251,K251)</f>
        <v>Outreach</v>
      </c>
      <c r="P251" s="1" t="str">
        <f t="shared" si="255"/>
        <v>Events/Conference Attendance &amp; Side Events</v>
      </c>
      <c r="Q251" s="108" t="str">
        <f t="shared" si="3"/>
        <v>2023</v>
      </c>
      <c r="R251" s="110">
        <f t="shared" si="4"/>
        <v>6</v>
      </c>
      <c r="S251" s="108" t="str">
        <f t="shared" si="5"/>
        <v>2023-Q2</v>
      </c>
      <c r="T251" s="111" t="str">
        <f t="shared" si="6"/>
        <v>2023-06</v>
      </c>
      <c r="U251" s="112" t="str">
        <f t="shared" si="7"/>
        <v>2023-H1</v>
      </c>
      <c r="V251" s="1" t="str">
        <f>VLOOKUP(B251,Bounties!A:E,2,FALSE)</f>
        <v>Events Bounty</v>
      </c>
    </row>
    <row r="252" hidden="1">
      <c r="A252" s="109">
        <f>HYPERLINK("https://polkadot.subsquare.io/treasury/child-bounties/250", 250)</f>
        <v>250</v>
      </c>
      <c r="B252" s="183">
        <v>11.0</v>
      </c>
      <c r="C252" s="27" t="s">
        <v>3404</v>
      </c>
      <c r="D252" s="27" t="s">
        <v>849</v>
      </c>
      <c r="E252" s="129">
        <v>253.4425009</v>
      </c>
      <c r="F252" s="66">
        <v>1338.1472120322937</v>
      </c>
      <c r="G252" s="27" t="s">
        <v>3406</v>
      </c>
      <c r="H252" s="167">
        <v>45076.0</v>
      </c>
      <c r="I252" s="167">
        <v>45086.0</v>
      </c>
      <c r="J252" s="66">
        <v>1148.7144260142827</v>
      </c>
      <c r="K252" s="1"/>
      <c r="L252" s="1"/>
      <c r="M252" s="1" t="str">
        <f>VLOOKUP(B252,Bounties!A:D,3,FALSE)</f>
        <v>Research</v>
      </c>
      <c r="N252" s="1" t="str">
        <f>VLOOKUP(B252,Bounties!A:D,4,FALSE)</f>
        <v>Anti-Scam</v>
      </c>
      <c r="O252" s="1" t="str">
        <f t="shared" ref="O252:P252" si="256">IF(ISBLANK(K252),M252,K252)</f>
        <v>Research</v>
      </c>
      <c r="P252" s="1" t="str">
        <f t="shared" si="256"/>
        <v>Anti-Scam</v>
      </c>
      <c r="Q252" s="108" t="str">
        <f t="shared" si="3"/>
        <v>2023</v>
      </c>
      <c r="R252" s="110">
        <f t="shared" si="4"/>
        <v>6</v>
      </c>
      <c r="S252" s="108" t="str">
        <f t="shared" si="5"/>
        <v>2023-Q2</v>
      </c>
      <c r="T252" s="111" t="str">
        <f t="shared" si="6"/>
        <v>2023-06</v>
      </c>
      <c r="U252" s="112" t="str">
        <f t="shared" si="7"/>
        <v>2023-H1</v>
      </c>
      <c r="V252" s="1" t="str">
        <f>VLOOKUP(B252,Bounties!A:E,2,FALSE)</f>
        <v>Anti-Scam Bounty</v>
      </c>
    </row>
    <row r="253" hidden="1">
      <c r="A253" s="109">
        <f>HYPERLINK("https://polkadot.subsquare.io/treasury/child-bounties/251", 251)</f>
        <v>251</v>
      </c>
      <c r="B253" s="183">
        <v>11.0</v>
      </c>
      <c r="C253" s="27" t="s">
        <v>3404</v>
      </c>
      <c r="D253" s="27" t="s">
        <v>850</v>
      </c>
      <c r="E253" s="129">
        <v>653.1075549</v>
      </c>
      <c r="F253" s="66">
        <v>3448.332661819402</v>
      </c>
      <c r="G253" s="27" t="s">
        <v>3407</v>
      </c>
      <c r="H253" s="167">
        <v>45076.0</v>
      </c>
      <c r="I253" s="167">
        <v>45085.0</v>
      </c>
      <c r="J253" s="66">
        <v>2956.1569582372913</v>
      </c>
      <c r="K253" s="1"/>
      <c r="L253" s="1"/>
      <c r="M253" s="1" t="str">
        <f>VLOOKUP(B253,Bounties!A:D,3,FALSE)</f>
        <v>Research</v>
      </c>
      <c r="N253" s="1" t="str">
        <f>VLOOKUP(B253,Bounties!A:D,4,FALSE)</f>
        <v>Anti-Scam</v>
      </c>
      <c r="O253" s="1" t="str">
        <f t="shared" ref="O253:P253" si="257">IF(ISBLANK(K253),M253,K253)</f>
        <v>Research</v>
      </c>
      <c r="P253" s="1" t="str">
        <f t="shared" si="257"/>
        <v>Anti-Scam</v>
      </c>
      <c r="Q253" s="108" t="str">
        <f t="shared" si="3"/>
        <v>2023</v>
      </c>
      <c r="R253" s="110">
        <f t="shared" si="4"/>
        <v>6</v>
      </c>
      <c r="S253" s="108" t="str">
        <f t="shared" si="5"/>
        <v>2023-Q2</v>
      </c>
      <c r="T253" s="111" t="str">
        <f t="shared" si="6"/>
        <v>2023-06</v>
      </c>
      <c r="U253" s="112" t="str">
        <f t="shared" si="7"/>
        <v>2023-H1</v>
      </c>
      <c r="V253" s="1" t="str">
        <f>VLOOKUP(B253,Bounties!A:E,2,FALSE)</f>
        <v>Anti-Scam Bounty</v>
      </c>
    </row>
    <row r="254" hidden="1">
      <c r="A254" s="109">
        <f>HYPERLINK("https://polkadot.subsquare.io/treasury/child-bounties/252", 252)</f>
        <v>252</v>
      </c>
      <c r="B254" s="183">
        <v>11.0</v>
      </c>
      <c r="C254" s="27" t="s">
        <v>3404</v>
      </c>
      <c r="D254" s="27" t="s">
        <v>851</v>
      </c>
      <c r="E254" s="129">
        <v>295.6457015</v>
      </c>
      <c r="F254" s="66">
        <v>1560.975250033751</v>
      </c>
      <c r="G254" s="27" t="s">
        <v>3411</v>
      </c>
      <c r="H254" s="167">
        <v>45076.0</v>
      </c>
      <c r="I254" s="167">
        <v>45084.0</v>
      </c>
      <c r="J254" s="66">
        <v>1338.1794332420302</v>
      </c>
      <c r="K254" s="1"/>
      <c r="L254" s="1"/>
      <c r="M254" s="1" t="str">
        <f>VLOOKUP(B254,Bounties!A:D,3,FALSE)</f>
        <v>Research</v>
      </c>
      <c r="N254" s="1" t="str">
        <f>VLOOKUP(B254,Bounties!A:D,4,FALSE)</f>
        <v>Anti-Scam</v>
      </c>
      <c r="O254" s="1" t="str">
        <f t="shared" ref="O254:P254" si="258">IF(ISBLANK(K254),M254,K254)</f>
        <v>Research</v>
      </c>
      <c r="P254" s="1" t="str">
        <f t="shared" si="258"/>
        <v>Anti-Scam</v>
      </c>
      <c r="Q254" s="108" t="str">
        <f t="shared" si="3"/>
        <v>2023</v>
      </c>
      <c r="R254" s="110">
        <f t="shared" si="4"/>
        <v>6</v>
      </c>
      <c r="S254" s="108" t="str">
        <f t="shared" si="5"/>
        <v>2023-Q2</v>
      </c>
      <c r="T254" s="111" t="str">
        <f t="shared" si="6"/>
        <v>2023-06</v>
      </c>
      <c r="U254" s="112" t="str">
        <f t="shared" si="7"/>
        <v>2023-H1</v>
      </c>
      <c r="V254" s="1" t="str">
        <f>VLOOKUP(B254,Bounties!A:E,2,FALSE)</f>
        <v>Anti-Scam Bounty</v>
      </c>
    </row>
    <row r="255" hidden="1">
      <c r="A255" s="109">
        <f>HYPERLINK("https://polkadot.subsquare.io/treasury/child-bounties/253", 253)</f>
        <v>253</v>
      </c>
      <c r="B255" s="183">
        <v>11.0</v>
      </c>
      <c r="C255" s="27" t="s">
        <v>3404</v>
      </c>
      <c r="D255" s="27" t="s">
        <v>852</v>
      </c>
      <c r="E255" s="129">
        <v>133.9784146</v>
      </c>
      <c r="F255" s="66">
        <v>707.3905968132623</v>
      </c>
      <c r="G255" s="27" t="s">
        <v>3407</v>
      </c>
      <c r="H255" s="167">
        <v>45076.0</v>
      </c>
      <c r="I255" s="167">
        <v>45085.0</v>
      </c>
      <c r="J255" s="66">
        <v>606.4257251380798</v>
      </c>
      <c r="K255" s="1"/>
      <c r="L255" s="1"/>
      <c r="M255" s="1" t="str">
        <f>VLOOKUP(B255,Bounties!A:D,3,FALSE)</f>
        <v>Research</v>
      </c>
      <c r="N255" s="1" t="str">
        <f>VLOOKUP(B255,Bounties!A:D,4,FALSE)</f>
        <v>Anti-Scam</v>
      </c>
      <c r="O255" s="1" t="str">
        <f t="shared" ref="O255:P255" si="259">IF(ISBLANK(K255),M255,K255)</f>
        <v>Research</v>
      </c>
      <c r="P255" s="1" t="str">
        <f t="shared" si="259"/>
        <v>Anti-Scam</v>
      </c>
      <c r="Q255" s="108" t="str">
        <f t="shared" si="3"/>
        <v>2023</v>
      </c>
      <c r="R255" s="110">
        <f t="shared" si="4"/>
        <v>6</v>
      </c>
      <c r="S255" s="108" t="str">
        <f t="shared" si="5"/>
        <v>2023-Q2</v>
      </c>
      <c r="T255" s="111" t="str">
        <f t="shared" si="6"/>
        <v>2023-06</v>
      </c>
      <c r="U255" s="112" t="str">
        <f t="shared" si="7"/>
        <v>2023-H1</v>
      </c>
      <c r="V255" s="1" t="str">
        <f>VLOOKUP(B255,Bounties!A:E,2,FALSE)</f>
        <v>Anti-Scam Bounty</v>
      </c>
    </row>
    <row r="256" hidden="1">
      <c r="A256" s="109">
        <f>HYPERLINK("https://polkadot.subsquare.io/treasury/child-bounties/254", 254)</f>
        <v>254</v>
      </c>
      <c r="B256" s="183">
        <v>11.0</v>
      </c>
      <c r="C256" s="27" t="s">
        <v>3404</v>
      </c>
      <c r="D256" s="27" t="s">
        <v>853</v>
      </c>
      <c r="E256" s="129">
        <v>93.0405656866</v>
      </c>
      <c r="F256" s="66">
        <v>491.2434699677922</v>
      </c>
      <c r="G256" s="27" t="s">
        <v>3409</v>
      </c>
      <c r="H256" s="167">
        <v>45077.0</v>
      </c>
      <c r="I256" s="167">
        <v>45085.0</v>
      </c>
      <c r="J256" s="66">
        <v>420.69397497922404</v>
      </c>
      <c r="K256" s="1"/>
      <c r="L256" s="1"/>
      <c r="M256" s="1" t="str">
        <f>VLOOKUP(B256,Bounties!A:D,3,FALSE)</f>
        <v>Research</v>
      </c>
      <c r="N256" s="1" t="str">
        <f>VLOOKUP(B256,Bounties!A:D,4,FALSE)</f>
        <v>Anti-Scam</v>
      </c>
      <c r="O256" s="1" t="str">
        <f t="shared" ref="O256:P256" si="260">IF(ISBLANK(K256),M256,K256)</f>
        <v>Research</v>
      </c>
      <c r="P256" s="1" t="str">
        <f t="shared" si="260"/>
        <v>Anti-Scam</v>
      </c>
      <c r="Q256" s="108" t="str">
        <f t="shared" si="3"/>
        <v>2023</v>
      </c>
      <c r="R256" s="110">
        <f t="shared" si="4"/>
        <v>6</v>
      </c>
      <c r="S256" s="108" t="str">
        <f t="shared" si="5"/>
        <v>2023-Q2</v>
      </c>
      <c r="T256" s="111" t="str">
        <f t="shared" si="6"/>
        <v>2023-06</v>
      </c>
      <c r="U256" s="112" t="str">
        <f t="shared" si="7"/>
        <v>2023-H1</v>
      </c>
      <c r="V256" s="1" t="str">
        <f>VLOOKUP(B256,Bounties!A:E,2,FALSE)</f>
        <v>Anti-Scam Bounty</v>
      </c>
    </row>
    <row r="257" hidden="1">
      <c r="A257" s="109">
        <f>HYPERLINK("https://polkadot.subsquare.io/treasury/child-bounties/255", 255)</f>
        <v>255</v>
      </c>
      <c r="B257" s="183">
        <v>11.0</v>
      </c>
      <c r="C257" s="27" t="s">
        <v>3404</v>
      </c>
      <c r="D257" s="27" t="s">
        <v>854</v>
      </c>
      <c r="E257" s="129">
        <v>156.3081503536</v>
      </c>
      <c r="F257" s="66">
        <v>825.2890295464822</v>
      </c>
      <c r="G257" s="27" t="s">
        <v>3409</v>
      </c>
      <c r="H257" s="167">
        <v>45077.0</v>
      </c>
      <c r="I257" s="167">
        <v>45085.0</v>
      </c>
      <c r="J257" s="66">
        <v>706.7658779656028</v>
      </c>
      <c r="K257" s="1"/>
      <c r="L257" s="1"/>
      <c r="M257" s="1" t="str">
        <f>VLOOKUP(B257,Bounties!A:D,3,FALSE)</f>
        <v>Research</v>
      </c>
      <c r="N257" s="1" t="str">
        <f>VLOOKUP(B257,Bounties!A:D,4,FALSE)</f>
        <v>Anti-Scam</v>
      </c>
      <c r="O257" s="1" t="str">
        <f t="shared" ref="O257:P257" si="261">IF(ISBLANK(K257),M257,K257)</f>
        <v>Research</v>
      </c>
      <c r="P257" s="1" t="str">
        <f t="shared" si="261"/>
        <v>Anti-Scam</v>
      </c>
      <c r="Q257" s="108" t="str">
        <f t="shared" si="3"/>
        <v>2023</v>
      </c>
      <c r="R257" s="110">
        <f t="shared" si="4"/>
        <v>6</v>
      </c>
      <c r="S257" s="108" t="str">
        <f t="shared" si="5"/>
        <v>2023-Q2</v>
      </c>
      <c r="T257" s="111" t="str">
        <f t="shared" si="6"/>
        <v>2023-06</v>
      </c>
      <c r="U257" s="112" t="str">
        <f t="shared" si="7"/>
        <v>2023-H1</v>
      </c>
      <c r="V257" s="1" t="str">
        <f>VLOOKUP(B257,Bounties!A:E,2,FALSE)</f>
        <v>Anti-Scam Bounty</v>
      </c>
    </row>
    <row r="258" hidden="1">
      <c r="A258" s="109">
        <f>HYPERLINK("https://polkadot.subsquare.io/treasury/child-bounties/256", 256)</f>
        <v>256</v>
      </c>
      <c r="B258" s="183">
        <v>11.0</v>
      </c>
      <c r="C258" s="27" t="s">
        <v>3404</v>
      </c>
      <c r="D258" s="27" t="s">
        <v>855</v>
      </c>
      <c r="E258" s="129">
        <v>93.28</v>
      </c>
      <c r="F258" s="66">
        <v>492.5076555633545</v>
      </c>
      <c r="G258" s="27" t="s">
        <v>3439</v>
      </c>
      <c r="H258" s="167">
        <v>45077.0</v>
      </c>
      <c r="I258" s="167">
        <v>45091.0</v>
      </c>
      <c r="J258" s="66">
        <v>422.19751396179197</v>
      </c>
      <c r="K258" s="1"/>
      <c r="L258" s="1"/>
      <c r="M258" s="1" t="str">
        <f>VLOOKUP(B258,Bounties!A:D,3,FALSE)</f>
        <v>Research</v>
      </c>
      <c r="N258" s="1" t="str">
        <f>VLOOKUP(B258,Bounties!A:D,4,FALSE)</f>
        <v>Anti-Scam</v>
      </c>
      <c r="O258" s="1" t="str">
        <f t="shared" ref="O258:P258" si="262">IF(ISBLANK(K258),M258,K258)</f>
        <v>Research</v>
      </c>
      <c r="P258" s="1" t="str">
        <f t="shared" si="262"/>
        <v>Anti-Scam</v>
      </c>
      <c r="Q258" s="108" t="str">
        <f t="shared" si="3"/>
        <v>2023</v>
      </c>
      <c r="R258" s="110">
        <f t="shared" si="4"/>
        <v>6</v>
      </c>
      <c r="S258" s="108" t="str">
        <f t="shared" si="5"/>
        <v>2023-Q2</v>
      </c>
      <c r="T258" s="111" t="str">
        <f t="shared" si="6"/>
        <v>2023-06</v>
      </c>
      <c r="U258" s="112" t="str">
        <f t="shared" si="7"/>
        <v>2023-H1</v>
      </c>
      <c r="V258" s="1" t="str">
        <f>VLOOKUP(B258,Bounties!A:E,2,FALSE)</f>
        <v>Anti-Scam Bounty</v>
      </c>
    </row>
    <row r="259" hidden="1">
      <c r="A259" s="109">
        <f>HYPERLINK("https://polkadot.subsquare.io/treasury/child-bounties/257", 257)</f>
        <v>257</v>
      </c>
      <c r="B259" s="183">
        <v>11.0</v>
      </c>
      <c r="C259" s="27" t="s">
        <v>3404</v>
      </c>
      <c r="D259" s="27" t="s">
        <v>856</v>
      </c>
      <c r="E259" s="129">
        <v>134.32</v>
      </c>
      <c r="F259" s="66">
        <v>709.1941283798218</v>
      </c>
      <c r="G259" s="27" t="s">
        <v>3406</v>
      </c>
      <c r="H259" s="167">
        <v>45077.0</v>
      </c>
      <c r="I259" s="167">
        <v>45086.0</v>
      </c>
      <c r="J259" s="66">
        <v>608.7981343078613</v>
      </c>
      <c r="K259" s="1"/>
      <c r="L259" s="1"/>
      <c r="M259" s="1" t="str">
        <f>VLOOKUP(B259,Bounties!A:D,3,FALSE)</f>
        <v>Research</v>
      </c>
      <c r="N259" s="1" t="str">
        <f>VLOOKUP(B259,Bounties!A:D,4,FALSE)</f>
        <v>Anti-Scam</v>
      </c>
      <c r="O259" s="1" t="str">
        <f t="shared" ref="O259:P259" si="263">IF(ISBLANK(K259),M259,K259)</f>
        <v>Research</v>
      </c>
      <c r="P259" s="1" t="str">
        <f t="shared" si="263"/>
        <v>Anti-Scam</v>
      </c>
      <c r="Q259" s="108" t="str">
        <f t="shared" si="3"/>
        <v>2023</v>
      </c>
      <c r="R259" s="110">
        <f t="shared" si="4"/>
        <v>6</v>
      </c>
      <c r="S259" s="108" t="str">
        <f t="shared" si="5"/>
        <v>2023-Q2</v>
      </c>
      <c r="T259" s="111" t="str">
        <f t="shared" si="6"/>
        <v>2023-06</v>
      </c>
      <c r="U259" s="112" t="str">
        <f t="shared" si="7"/>
        <v>2023-H1</v>
      </c>
      <c r="V259" s="1" t="str">
        <f>VLOOKUP(B259,Bounties!A:E,2,FALSE)</f>
        <v>Anti-Scam Bounty</v>
      </c>
    </row>
    <row r="260" hidden="1">
      <c r="A260" s="109">
        <f>HYPERLINK("https://polkadot.subsquare.io/treasury/child-bounties/258", 258)</f>
        <v>258</v>
      </c>
      <c r="B260" s="183">
        <v>11.0</v>
      </c>
      <c r="C260" s="27" t="s">
        <v>3404</v>
      </c>
      <c r="D260" s="27" t="s">
        <v>857</v>
      </c>
      <c r="E260" s="129">
        <v>111.94</v>
      </c>
      <c r="F260" s="66">
        <v>591.0303062152863</v>
      </c>
      <c r="G260" s="27" t="s">
        <v>3470</v>
      </c>
      <c r="H260" s="167">
        <v>45077.0</v>
      </c>
      <c r="I260" s="167">
        <v>45086.0</v>
      </c>
      <c r="J260" s="66">
        <v>507.361994895935</v>
      </c>
      <c r="K260" s="1"/>
      <c r="L260" s="1"/>
      <c r="M260" s="1" t="str">
        <f>VLOOKUP(B260,Bounties!A:D,3,FALSE)</f>
        <v>Research</v>
      </c>
      <c r="N260" s="1" t="str">
        <f>VLOOKUP(B260,Bounties!A:D,4,FALSE)</f>
        <v>Anti-Scam</v>
      </c>
      <c r="O260" s="1" t="str">
        <f t="shared" ref="O260:P260" si="264">IF(ISBLANK(K260),M260,K260)</f>
        <v>Research</v>
      </c>
      <c r="P260" s="1" t="str">
        <f t="shared" si="264"/>
        <v>Anti-Scam</v>
      </c>
      <c r="Q260" s="108" t="str">
        <f t="shared" si="3"/>
        <v>2023</v>
      </c>
      <c r="R260" s="110">
        <f t="shared" si="4"/>
        <v>6</v>
      </c>
      <c r="S260" s="108" t="str">
        <f t="shared" si="5"/>
        <v>2023-Q2</v>
      </c>
      <c r="T260" s="111" t="str">
        <f t="shared" si="6"/>
        <v>2023-06</v>
      </c>
      <c r="U260" s="112" t="str">
        <f t="shared" si="7"/>
        <v>2023-H1</v>
      </c>
      <c r="V260" s="1" t="str">
        <f>VLOOKUP(B260,Bounties!A:E,2,FALSE)</f>
        <v>Anti-Scam Bounty</v>
      </c>
    </row>
    <row r="261" hidden="1">
      <c r="A261" s="109">
        <f>HYPERLINK("https://polkadot.subsquare.io/treasury/child-bounties/259", 259)</f>
        <v>259</v>
      </c>
      <c r="B261" s="183">
        <v>17.0</v>
      </c>
      <c r="C261" s="27" t="s">
        <v>3404</v>
      </c>
      <c r="D261" s="27" t="s">
        <v>858</v>
      </c>
      <c r="E261" s="129">
        <v>38779.0</v>
      </c>
      <c r="F261" s="66">
        <v>206705.32528066635</v>
      </c>
      <c r="G261" s="27" t="s">
        <v>3485</v>
      </c>
      <c r="H261" s="167">
        <v>45077.0</v>
      </c>
      <c r="I261" s="167">
        <v>45093.0</v>
      </c>
      <c r="J261" s="66">
        <v>175374.99641132355</v>
      </c>
      <c r="K261" s="1"/>
      <c r="L261" s="1"/>
      <c r="M261" s="1" t="str">
        <f>VLOOKUP(B261,Bounties!A:D,3,FALSE)</f>
        <v>Outreach</v>
      </c>
      <c r="N261" s="1" t="str">
        <f>VLOOKUP(B261,Bounties!A:D,4,FALSE)</f>
        <v>Events/Meetups</v>
      </c>
      <c r="O261" s="1" t="str">
        <f t="shared" ref="O261:P261" si="265">IF(ISBLANK(K261),M261,K261)</f>
        <v>Outreach</v>
      </c>
      <c r="P261" s="1" t="str">
        <f t="shared" si="265"/>
        <v>Events/Meetups</v>
      </c>
      <c r="Q261" s="108" t="str">
        <f t="shared" si="3"/>
        <v>2023</v>
      </c>
      <c r="R261" s="110">
        <f t="shared" si="4"/>
        <v>6</v>
      </c>
      <c r="S261" s="108" t="str">
        <f t="shared" si="5"/>
        <v>2023-Q2</v>
      </c>
      <c r="T261" s="111" t="str">
        <f t="shared" si="6"/>
        <v>2023-06</v>
      </c>
      <c r="U261" s="112" t="str">
        <f t="shared" si="7"/>
        <v>2023-H1</v>
      </c>
      <c r="V261" s="1" t="str">
        <f>VLOOKUP(B261,Bounties!A:E,2,FALSE)</f>
        <v>Events Bounty</v>
      </c>
    </row>
    <row r="262" hidden="1">
      <c r="A262" s="109">
        <f>HYPERLINK("https://polkadot.subsquare.io/treasury/child-bounties/260", 260)</f>
        <v>260</v>
      </c>
      <c r="B262" s="183">
        <v>17.0</v>
      </c>
      <c r="C262" s="27" t="s">
        <v>3404</v>
      </c>
      <c r="D262" s="27" t="s">
        <v>859</v>
      </c>
      <c r="E262" s="129">
        <v>1508.0</v>
      </c>
      <c r="F262" s="66">
        <v>8038.155458450317</v>
      </c>
      <c r="G262" s="27" t="s">
        <v>3444</v>
      </c>
      <c r="H262" s="167">
        <v>45077.0</v>
      </c>
      <c r="I262" s="167">
        <v>45088.0</v>
      </c>
      <c r="J262" s="66">
        <v>6891.333751678467</v>
      </c>
      <c r="K262" s="1"/>
      <c r="L262" s="1" t="s">
        <v>266</v>
      </c>
      <c r="M262" s="1" t="str">
        <f>VLOOKUP(B262,Bounties!A:D,3,FALSE)</f>
        <v>Outreach</v>
      </c>
      <c r="N262" s="1" t="str">
        <f>VLOOKUP(B262,Bounties!A:D,4,FALSE)</f>
        <v>Events/Meetups</v>
      </c>
      <c r="O262" s="1" t="str">
        <f t="shared" ref="O262:P262" si="266">IF(ISBLANK(K262),M262,K262)</f>
        <v>Outreach</v>
      </c>
      <c r="P262" s="1" t="str">
        <f t="shared" si="266"/>
        <v>Events/Conference Attendance &amp; Side Events</v>
      </c>
      <c r="Q262" s="108" t="str">
        <f t="shared" si="3"/>
        <v>2023</v>
      </c>
      <c r="R262" s="110">
        <f t="shared" si="4"/>
        <v>6</v>
      </c>
      <c r="S262" s="108" t="str">
        <f t="shared" si="5"/>
        <v>2023-Q2</v>
      </c>
      <c r="T262" s="111" t="str">
        <f t="shared" si="6"/>
        <v>2023-06</v>
      </c>
      <c r="U262" s="112" t="str">
        <f t="shared" si="7"/>
        <v>2023-H1</v>
      </c>
      <c r="V262" s="1" t="str">
        <f>VLOOKUP(B262,Bounties!A:E,2,FALSE)</f>
        <v>Events Bounty</v>
      </c>
    </row>
    <row r="263" hidden="1">
      <c r="A263" s="109">
        <f>HYPERLINK("https://polkadot.subsquare.io/treasury/child-bounties/261", 261)</f>
        <v>261</v>
      </c>
      <c r="B263" s="183">
        <v>11.0</v>
      </c>
      <c r="C263" s="27" t="s">
        <v>3404</v>
      </c>
      <c r="D263" s="27" t="s">
        <v>860</v>
      </c>
      <c r="E263" s="129">
        <v>134.8314606741</v>
      </c>
      <c r="F263" s="66">
        <v>718.6977729365691</v>
      </c>
      <c r="G263" s="27" t="s">
        <v>3469</v>
      </c>
      <c r="H263" s="167">
        <v>45077.0</v>
      </c>
      <c r="I263" s="167">
        <v>45086.0</v>
      </c>
      <c r="J263" s="66">
        <v>611.1163021470804</v>
      </c>
      <c r="K263" s="1"/>
      <c r="L263" s="1"/>
      <c r="M263" s="1" t="str">
        <f>VLOOKUP(B263,Bounties!A:D,3,FALSE)</f>
        <v>Research</v>
      </c>
      <c r="N263" s="1" t="str">
        <f>VLOOKUP(B263,Bounties!A:D,4,FALSE)</f>
        <v>Anti-Scam</v>
      </c>
      <c r="O263" s="1" t="str">
        <f t="shared" ref="O263:P263" si="267">IF(ISBLANK(K263),M263,K263)</f>
        <v>Research</v>
      </c>
      <c r="P263" s="1" t="str">
        <f t="shared" si="267"/>
        <v>Anti-Scam</v>
      </c>
      <c r="Q263" s="108" t="str">
        <f t="shared" si="3"/>
        <v>2023</v>
      </c>
      <c r="R263" s="110">
        <f t="shared" si="4"/>
        <v>6</v>
      </c>
      <c r="S263" s="108" t="str">
        <f t="shared" si="5"/>
        <v>2023-Q2</v>
      </c>
      <c r="T263" s="111" t="str">
        <f t="shared" si="6"/>
        <v>2023-06</v>
      </c>
      <c r="U263" s="112" t="str">
        <f t="shared" si="7"/>
        <v>2023-H1</v>
      </c>
      <c r="V263" s="1" t="str">
        <f>VLOOKUP(B263,Bounties!A:E,2,FALSE)</f>
        <v>Anti-Scam Bounty</v>
      </c>
    </row>
    <row r="264" hidden="1">
      <c r="A264" s="109">
        <f>HYPERLINK("https://polkadot.subsquare.io/treasury/child-bounties/262", 262)</f>
        <v>262</v>
      </c>
      <c r="B264" s="183">
        <v>11.0</v>
      </c>
      <c r="C264" s="27" t="s">
        <v>3404</v>
      </c>
      <c r="D264" s="27" t="s">
        <v>861</v>
      </c>
      <c r="E264" s="129">
        <v>112.3595505617</v>
      </c>
      <c r="F264" s="66">
        <v>598.9148107802077</v>
      </c>
      <c r="G264" s="27" t="s">
        <v>3411</v>
      </c>
      <c r="H264" s="167">
        <v>45077.0</v>
      </c>
      <c r="I264" s="167">
        <v>45085.0</v>
      </c>
      <c r="J264" s="66">
        <v>508.04706101962694</v>
      </c>
      <c r="K264" s="1"/>
      <c r="L264" s="1"/>
      <c r="M264" s="1" t="str">
        <f>VLOOKUP(B264,Bounties!A:D,3,FALSE)</f>
        <v>Research</v>
      </c>
      <c r="N264" s="1" t="str">
        <f>VLOOKUP(B264,Bounties!A:D,4,FALSE)</f>
        <v>Anti-Scam</v>
      </c>
      <c r="O264" s="1" t="str">
        <f t="shared" ref="O264:P264" si="268">IF(ISBLANK(K264),M264,K264)</f>
        <v>Research</v>
      </c>
      <c r="P264" s="1" t="str">
        <f t="shared" si="268"/>
        <v>Anti-Scam</v>
      </c>
      <c r="Q264" s="108" t="str">
        <f t="shared" si="3"/>
        <v>2023</v>
      </c>
      <c r="R264" s="110">
        <f t="shared" si="4"/>
        <v>6</v>
      </c>
      <c r="S264" s="108" t="str">
        <f t="shared" si="5"/>
        <v>2023-Q2</v>
      </c>
      <c r="T264" s="111" t="str">
        <f t="shared" si="6"/>
        <v>2023-06</v>
      </c>
      <c r="U264" s="112" t="str">
        <f t="shared" si="7"/>
        <v>2023-H1</v>
      </c>
      <c r="V264" s="1" t="str">
        <f>VLOOKUP(B264,Bounties!A:E,2,FALSE)</f>
        <v>Anti-Scam Bounty</v>
      </c>
    </row>
    <row r="265" hidden="1">
      <c r="A265" s="109">
        <f>HYPERLINK("https://polkadot.subsquare.io/treasury/child-bounties/263", 263)</f>
        <v>263</v>
      </c>
      <c r="B265" s="183">
        <v>11.0</v>
      </c>
      <c r="C265" s="27" t="s">
        <v>3404</v>
      </c>
      <c r="D265" s="27" t="s">
        <v>862</v>
      </c>
      <c r="E265" s="129">
        <v>93.04056959</v>
      </c>
      <c r="F265" s="66">
        <v>495.9380386652421</v>
      </c>
      <c r="G265" s="27" t="s">
        <v>3457</v>
      </c>
      <c r="H265" s="167">
        <v>45077.0</v>
      </c>
      <c r="I265" s="167">
        <v>45086.0</v>
      </c>
      <c r="J265" s="66">
        <v>420.693992628911</v>
      </c>
      <c r="K265" s="1"/>
      <c r="L265" s="1"/>
      <c r="M265" s="1" t="str">
        <f>VLOOKUP(B265,Bounties!A:D,3,FALSE)</f>
        <v>Research</v>
      </c>
      <c r="N265" s="1" t="str">
        <f>VLOOKUP(B265,Bounties!A:D,4,FALSE)</f>
        <v>Anti-Scam</v>
      </c>
      <c r="O265" s="1" t="str">
        <f t="shared" ref="O265:P265" si="269">IF(ISBLANK(K265),M265,K265)</f>
        <v>Research</v>
      </c>
      <c r="P265" s="1" t="str">
        <f t="shared" si="269"/>
        <v>Anti-Scam</v>
      </c>
      <c r="Q265" s="108" t="str">
        <f t="shared" si="3"/>
        <v>2023</v>
      </c>
      <c r="R265" s="110">
        <f t="shared" si="4"/>
        <v>6</v>
      </c>
      <c r="S265" s="108" t="str">
        <f t="shared" si="5"/>
        <v>2023-Q2</v>
      </c>
      <c r="T265" s="111" t="str">
        <f t="shared" si="6"/>
        <v>2023-06</v>
      </c>
      <c r="U265" s="112" t="str">
        <f t="shared" si="7"/>
        <v>2023-H1</v>
      </c>
      <c r="V265" s="1" t="str">
        <f>VLOOKUP(B265,Bounties!A:E,2,FALSE)</f>
        <v>Anti-Scam Bounty</v>
      </c>
    </row>
    <row r="266" hidden="1">
      <c r="A266" s="109">
        <f>HYPERLINK("https://polkadot.subsquare.io/treasury/child-bounties/264", 264)</f>
        <v>264</v>
      </c>
      <c r="B266" s="183">
        <v>11.0</v>
      </c>
      <c r="C266" s="27" t="s">
        <v>3404</v>
      </c>
      <c r="D266" s="27" t="s">
        <v>863</v>
      </c>
      <c r="E266" s="129">
        <v>93.6329588014</v>
      </c>
      <c r="F266" s="66">
        <v>499.0956756500843</v>
      </c>
      <c r="G266" s="27" t="s">
        <v>3486</v>
      </c>
      <c r="H266" s="167">
        <v>45077.0</v>
      </c>
      <c r="I266" s="167">
        <v>45086.0</v>
      </c>
      <c r="J266" s="66">
        <v>424.3863209352082</v>
      </c>
      <c r="K266" s="1"/>
      <c r="L266" s="1"/>
      <c r="M266" s="1" t="str">
        <f>VLOOKUP(B266,Bounties!A:D,3,FALSE)</f>
        <v>Research</v>
      </c>
      <c r="N266" s="1" t="str">
        <f>VLOOKUP(B266,Bounties!A:D,4,FALSE)</f>
        <v>Anti-Scam</v>
      </c>
      <c r="O266" s="1" t="str">
        <f t="shared" ref="O266:P266" si="270">IF(ISBLANK(K266),M266,K266)</f>
        <v>Research</v>
      </c>
      <c r="P266" s="1" t="str">
        <f t="shared" si="270"/>
        <v>Anti-Scam</v>
      </c>
      <c r="Q266" s="108" t="str">
        <f t="shared" si="3"/>
        <v>2023</v>
      </c>
      <c r="R266" s="110">
        <f t="shared" si="4"/>
        <v>6</v>
      </c>
      <c r="S266" s="108" t="str">
        <f t="shared" si="5"/>
        <v>2023-Q2</v>
      </c>
      <c r="T266" s="111" t="str">
        <f t="shared" si="6"/>
        <v>2023-06</v>
      </c>
      <c r="U266" s="112" t="str">
        <f t="shared" si="7"/>
        <v>2023-H1</v>
      </c>
      <c r="V266" s="1" t="str">
        <f>VLOOKUP(B266,Bounties!A:E,2,FALSE)</f>
        <v>Anti-Scam Bounty</v>
      </c>
    </row>
    <row r="267" hidden="1">
      <c r="A267" s="109">
        <f>HYPERLINK("https://polkadot.subsquare.io/treasury/child-bounties/265", 265)</f>
        <v>265</v>
      </c>
      <c r="B267" s="183">
        <v>11.0</v>
      </c>
      <c r="C267" s="27" t="s">
        <v>3404</v>
      </c>
      <c r="D267" s="27" t="s">
        <v>864</v>
      </c>
      <c r="E267" s="129">
        <v>74.9063670411</v>
      </c>
      <c r="F267" s="66">
        <v>399.2765405199608</v>
      </c>
      <c r="G267" s="27" t="s">
        <v>3407</v>
      </c>
      <c r="H267" s="167">
        <v>45078.0</v>
      </c>
      <c r="I267" s="167">
        <v>45088.0</v>
      </c>
      <c r="J267" s="66">
        <v>342.31085902251186</v>
      </c>
      <c r="K267" s="1"/>
      <c r="L267" s="1"/>
      <c r="M267" s="1" t="str">
        <f>VLOOKUP(B267,Bounties!A:D,3,FALSE)</f>
        <v>Research</v>
      </c>
      <c r="N267" s="1" t="str">
        <f>VLOOKUP(B267,Bounties!A:D,4,FALSE)</f>
        <v>Anti-Scam</v>
      </c>
      <c r="O267" s="1" t="str">
        <f t="shared" ref="O267:P267" si="271">IF(ISBLANK(K267),M267,K267)</f>
        <v>Research</v>
      </c>
      <c r="P267" s="1" t="str">
        <f t="shared" si="271"/>
        <v>Anti-Scam</v>
      </c>
      <c r="Q267" s="108" t="str">
        <f t="shared" si="3"/>
        <v>2023</v>
      </c>
      <c r="R267" s="110">
        <f t="shared" si="4"/>
        <v>6</v>
      </c>
      <c r="S267" s="108" t="str">
        <f t="shared" si="5"/>
        <v>2023-Q2</v>
      </c>
      <c r="T267" s="111" t="str">
        <f t="shared" si="6"/>
        <v>2023-06</v>
      </c>
      <c r="U267" s="112" t="str">
        <f t="shared" si="7"/>
        <v>2023-H1</v>
      </c>
      <c r="V267" s="1" t="str">
        <f>VLOOKUP(B267,Bounties!A:E,2,FALSE)</f>
        <v>Anti-Scam Bounty</v>
      </c>
    </row>
    <row r="268" hidden="1">
      <c r="A268" s="109">
        <f>HYPERLINK("https://polkadot.subsquare.io/treasury/child-bounties/266", 266)</f>
        <v>266</v>
      </c>
      <c r="B268" s="183">
        <v>11.0</v>
      </c>
      <c r="C268" s="27" t="s">
        <v>3404</v>
      </c>
      <c r="D268" s="27" t="s">
        <v>865</v>
      </c>
      <c r="E268" s="129">
        <v>74.9063670411</v>
      </c>
      <c r="F268" s="66">
        <v>399.2765405199608</v>
      </c>
      <c r="G268" s="27" t="s">
        <v>3406</v>
      </c>
      <c r="H268" s="167">
        <v>45078.0</v>
      </c>
      <c r="I268" s="167">
        <v>45086.0</v>
      </c>
      <c r="J268" s="66">
        <v>339.50905674807586</v>
      </c>
      <c r="K268" s="1"/>
      <c r="L268" s="1"/>
      <c r="M268" s="1" t="str">
        <f>VLOOKUP(B268,Bounties!A:D,3,FALSE)</f>
        <v>Research</v>
      </c>
      <c r="N268" s="1" t="str">
        <f>VLOOKUP(B268,Bounties!A:D,4,FALSE)</f>
        <v>Anti-Scam</v>
      </c>
      <c r="O268" s="1" t="str">
        <f t="shared" ref="O268:P268" si="272">IF(ISBLANK(K268),M268,K268)</f>
        <v>Research</v>
      </c>
      <c r="P268" s="1" t="str">
        <f t="shared" si="272"/>
        <v>Anti-Scam</v>
      </c>
      <c r="Q268" s="108" t="str">
        <f t="shared" si="3"/>
        <v>2023</v>
      </c>
      <c r="R268" s="110">
        <f t="shared" si="4"/>
        <v>6</v>
      </c>
      <c r="S268" s="108" t="str">
        <f t="shared" si="5"/>
        <v>2023-Q2</v>
      </c>
      <c r="T268" s="111" t="str">
        <f t="shared" si="6"/>
        <v>2023-06</v>
      </c>
      <c r="U268" s="112" t="str">
        <f t="shared" si="7"/>
        <v>2023-H1</v>
      </c>
      <c r="V268" s="1" t="str">
        <f>VLOOKUP(B268,Bounties!A:E,2,FALSE)</f>
        <v>Anti-Scam Bounty</v>
      </c>
    </row>
    <row r="269" hidden="1">
      <c r="A269" s="109">
        <f>HYPERLINK("https://polkadot.subsquare.io/treasury/child-bounties/267", 267)</f>
        <v>267</v>
      </c>
      <c r="B269" s="183">
        <v>11.0</v>
      </c>
      <c r="C269" s="27" t="s">
        <v>3404</v>
      </c>
      <c r="D269" s="27" t="s">
        <v>866</v>
      </c>
      <c r="E269" s="129">
        <v>74.9063670411</v>
      </c>
      <c r="F269" s="66">
        <v>399.2765405199608</v>
      </c>
      <c r="G269" s="27" t="s">
        <v>3411</v>
      </c>
      <c r="H269" s="167">
        <v>45078.0</v>
      </c>
      <c r="I269" s="167">
        <v>45086.0</v>
      </c>
      <c r="J269" s="66">
        <v>339.50905674807586</v>
      </c>
      <c r="K269" s="1"/>
      <c r="L269" s="1"/>
      <c r="M269" s="1" t="str">
        <f>VLOOKUP(B269,Bounties!A:D,3,FALSE)</f>
        <v>Research</v>
      </c>
      <c r="N269" s="1" t="str">
        <f>VLOOKUP(B269,Bounties!A:D,4,FALSE)</f>
        <v>Anti-Scam</v>
      </c>
      <c r="O269" s="1" t="str">
        <f t="shared" ref="O269:P269" si="273">IF(ISBLANK(K269),M269,K269)</f>
        <v>Research</v>
      </c>
      <c r="P269" s="1" t="str">
        <f t="shared" si="273"/>
        <v>Anti-Scam</v>
      </c>
      <c r="Q269" s="108" t="str">
        <f t="shared" si="3"/>
        <v>2023</v>
      </c>
      <c r="R269" s="110">
        <f t="shared" si="4"/>
        <v>6</v>
      </c>
      <c r="S269" s="108" t="str">
        <f t="shared" si="5"/>
        <v>2023-Q2</v>
      </c>
      <c r="T269" s="111" t="str">
        <f t="shared" si="6"/>
        <v>2023-06</v>
      </c>
      <c r="U269" s="112" t="str">
        <f t="shared" si="7"/>
        <v>2023-H1</v>
      </c>
      <c r="V269" s="1" t="str">
        <f>VLOOKUP(B269,Bounties!A:E,2,FALSE)</f>
        <v>Anti-Scam Bounty</v>
      </c>
    </row>
    <row r="270" hidden="1">
      <c r="A270" s="109">
        <f>HYPERLINK("https://polkadot.subsquare.io/treasury/child-bounties/268", 268)</f>
        <v>268</v>
      </c>
      <c r="B270" s="183">
        <v>11.0</v>
      </c>
      <c r="C270" s="27" t="s">
        <v>3404</v>
      </c>
      <c r="D270" s="27" t="s">
        <v>867</v>
      </c>
      <c r="E270" s="129">
        <v>144.7640533935</v>
      </c>
      <c r="F270" s="66">
        <v>770.0639560855357</v>
      </c>
      <c r="G270" s="27" t="s">
        <v>3411</v>
      </c>
      <c r="H270" s="167">
        <v>45078.0</v>
      </c>
      <c r="I270" s="167">
        <v>45087.0</v>
      </c>
      <c r="J270" s="66">
        <v>656.1352413699109</v>
      </c>
      <c r="K270" s="1"/>
      <c r="L270" s="1"/>
      <c r="M270" s="1" t="str">
        <f>VLOOKUP(B270,Bounties!A:D,3,FALSE)</f>
        <v>Research</v>
      </c>
      <c r="N270" s="1" t="str">
        <f>VLOOKUP(B270,Bounties!A:D,4,FALSE)</f>
        <v>Anti-Scam</v>
      </c>
      <c r="O270" s="1" t="str">
        <f t="shared" ref="O270:P270" si="274">IF(ISBLANK(K270),M270,K270)</f>
        <v>Research</v>
      </c>
      <c r="P270" s="1" t="str">
        <f t="shared" si="274"/>
        <v>Anti-Scam</v>
      </c>
      <c r="Q270" s="108" t="str">
        <f t="shared" si="3"/>
        <v>2023</v>
      </c>
      <c r="R270" s="110">
        <f t="shared" si="4"/>
        <v>6</v>
      </c>
      <c r="S270" s="108" t="str">
        <f t="shared" si="5"/>
        <v>2023-Q2</v>
      </c>
      <c r="T270" s="111" t="str">
        <f t="shared" si="6"/>
        <v>2023-06</v>
      </c>
      <c r="U270" s="112" t="str">
        <f t="shared" si="7"/>
        <v>2023-H1</v>
      </c>
      <c r="V270" s="1" t="str">
        <f>VLOOKUP(B270,Bounties!A:E,2,FALSE)</f>
        <v>Anti-Scam Bounty</v>
      </c>
    </row>
    <row r="271" hidden="1">
      <c r="A271" s="109">
        <f>HYPERLINK("https://polkadot.subsquare.io/treasury/child-bounties/269", 269)</f>
        <v>269</v>
      </c>
      <c r="B271" s="183">
        <v>17.0</v>
      </c>
      <c r="C271" s="27" t="s">
        <v>3404</v>
      </c>
      <c r="D271" s="27" t="s">
        <v>868</v>
      </c>
      <c r="E271" s="129">
        <v>15364.4</v>
      </c>
      <c r="F271" s="66">
        <v>76547.05065555572</v>
      </c>
      <c r="G271" s="27" t="s">
        <v>3487</v>
      </c>
      <c r="H271" s="167">
        <v>45083.0</v>
      </c>
      <c r="I271" s="167">
        <v>45094.0</v>
      </c>
      <c r="J271" s="66">
        <v>69484.29807014465</v>
      </c>
      <c r="K271" s="1"/>
      <c r="L271" s="1"/>
      <c r="M271" s="1" t="str">
        <f>VLOOKUP(B271,Bounties!A:D,3,FALSE)</f>
        <v>Outreach</v>
      </c>
      <c r="N271" s="1" t="str">
        <f>VLOOKUP(B271,Bounties!A:D,4,FALSE)</f>
        <v>Events/Meetups</v>
      </c>
      <c r="O271" s="1" t="str">
        <f t="shared" ref="O271:P271" si="275">IF(ISBLANK(K271),M271,K271)</f>
        <v>Outreach</v>
      </c>
      <c r="P271" s="1" t="str">
        <f t="shared" si="275"/>
        <v>Events/Meetups</v>
      </c>
      <c r="Q271" s="108" t="str">
        <f t="shared" si="3"/>
        <v>2023</v>
      </c>
      <c r="R271" s="110">
        <f t="shared" si="4"/>
        <v>6</v>
      </c>
      <c r="S271" s="108" t="str">
        <f t="shared" si="5"/>
        <v>2023-Q2</v>
      </c>
      <c r="T271" s="111" t="str">
        <f t="shared" si="6"/>
        <v>2023-06</v>
      </c>
      <c r="U271" s="112" t="str">
        <f t="shared" si="7"/>
        <v>2023-H1</v>
      </c>
      <c r="V271" s="1" t="str">
        <f>VLOOKUP(B271,Bounties!A:E,2,FALSE)</f>
        <v>Events Bounty</v>
      </c>
    </row>
    <row r="272" hidden="1">
      <c r="A272" s="109">
        <f>HYPERLINK("https://polkadot.subsquare.io/treasury/child-bounties/270", 270)</f>
        <v>270</v>
      </c>
      <c r="B272" s="183">
        <v>17.0</v>
      </c>
      <c r="C272" s="27" t="s">
        <v>3404</v>
      </c>
      <c r="D272" s="27" t="s">
        <v>869</v>
      </c>
      <c r="E272" s="129">
        <v>2024.5</v>
      </c>
      <c r="F272" s="66">
        <v>10086.27112364769</v>
      </c>
      <c r="G272" s="27" t="s">
        <v>3488</v>
      </c>
      <c r="H272" s="167">
        <v>45083.0</v>
      </c>
      <c r="I272" s="167">
        <v>45092.0</v>
      </c>
      <c r="J272" s="66">
        <v>9163.152519464493</v>
      </c>
      <c r="K272" s="1"/>
      <c r="L272" s="1" t="s">
        <v>266</v>
      </c>
      <c r="M272" s="1" t="str">
        <f>VLOOKUP(B272,Bounties!A:D,3,FALSE)</f>
        <v>Outreach</v>
      </c>
      <c r="N272" s="1" t="str">
        <f>VLOOKUP(B272,Bounties!A:D,4,FALSE)</f>
        <v>Events/Meetups</v>
      </c>
      <c r="O272" s="1" t="str">
        <f t="shared" ref="O272:P272" si="276">IF(ISBLANK(K272),M272,K272)</f>
        <v>Outreach</v>
      </c>
      <c r="P272" s="1" t="str">
        <f t="shared" si="276"/>
        <v>Events/Conference Attendance &amp; Side Events</v>
      </c>
      <c r="Q272" s="108" t="str">
        <f t="shared" si="3"/>
        <v>2023</v>
      </c>
      <c r="R272" s="110">
        <f t="shared" si="4"/>
        <v>6</v>
      </c>
      <c r="S272" s="108" t="str">
        <f t="shared" si="5"/>
        <v>2023-Q2</v>
      </c>
      <c r="T272" s="111" t="str">
        <f t="shared" si="6"/>
        <v>2023-06</v>
      </c>
      <c r="U272" s="112" t="str">
        <f t="shared" si="7"/>
        <v>2023-H1</v>
      </c>
      <c r="V272" s="1" t="str">
        <f>VLOOKUP(B272,Bounties!A:E,2,FALSE)</f>
        <v>Events Bounty</v>
      </c>
    </row>
    <row r="273" hidden="1">
      <c r="A273" s="109">
        <f>HYPERLINK("https://polkadot.subsquare.io/treasury/child-bounties/271", 271)</f>
        <v>271</v>
      </c>
      <c r="B273" s="183">
        <v>17.0</v>
      </c>
      <c r="C273" s="27" t="s">
        <v>3404</v>
      </c>
      <c r="D273" s="27" t="s">
        <v>870</v>
      </c>
      <c r="E273" s="129">
        <v>1065.2</v>
      </c>
      <c r="F273" s="66">
        <v>5306.93800983429</v>
      </c>
      <c r="G273" s="27" t="s">
        <v>3489</v>
      </c>
      <c r="H273" s="167">
        <v>45083.0</v>
      </c>
      <c r="I273" s="167">
        <v>45094.0</v>
      </c>
      <c r="J273" s="66">
        <v>4973.337690162659</v>
      </c>
      <c r="K273" s="1"/>
      <c r="L273" s="1" t="s">
        <v>266</v>
      </c>
      <c r="M273" s="1" t="str">
        <f>VLOOKUP(B273,Bounties!A:D,3,FALSE)</f>
        <v>Outreach</v>
      </c>
      <c r="N273" s="1" t="str">
        <f>VLOOKUP(B273,Bounties!A:D,4,FALSE)</f>
        <v>Events/Meetups</v>
      </c>
      <c r="O273" s="1" t="str">
        <f t="shared" ref="O273:P273" si="277">IF(ISBLANK(K273),M273,K273)</f>
        <v>Outreach</v>
      </c>
      <c r="P273" s="1" t="str">
        <f t="shared" si="277"/>
        <v>Events/Conference Attendance &amp; Side Events</v>
      </c>
      <c r="Q273" s="108" t="str">
        <f t="shared" si="3"/>
        <v>2023</v>
      </c>
      <c r="R273" s="110">
        <f t="shared" si="4"/>
        <v>6</v>
      </c>
      <c r="S273" s="108" t="str">
        <f t="shared" si="5"/>
        <v>2023-Q2</v>
      </c>
      <c r="T273" s="111" t="str">
        <f t="shared" si="6"/>
        <v>2023-06</v>
      </c>
      <c r="U273" s="112" t="str">
        <f t="shared" si="7"/>
        <v>2023-H1</v>
      </c>
      <c r="V273" s="1" t="str">
        <f>VLOOKUP(B273,Bounties!A:E,2,FALSE)</f>
        <v>Events Bounty</v>
      </c>
    </row>
    <row r="274" hidden="1">
      <c r="A274" s="109">
        <f>HYPERLINK("https://polkadot.subsquare.io/treasury/child-bounties/272", 272)</f>
        <v>272</v>
      </c>
      <c r="B274" s="183">
        <v>17.0</v>
      </c>
      <c r="C274" s="27" t="s">
        <v>3404</v>
      </c>
      <c r="D274" s="27" t="s">
        <v>871</v>
      </c>
      <c r="E274" s="129">
        <v>1083.18</v>
      </c>
      <c r="F274" s="66">
        <v>5396.51625374794</v>
      </c>
      <c r="G274" s="27" t="s">
        <v>3490</v>
      </c>
      <c r="H274" s="167">
        <v>45083.0</v>
      </c>
      <c r="I274" s="167">
        <v>45111.0</v>
      </c>
      <c r="J274" s="66">
        <v>5444.115904340744</v>
      </c>
      <c r="K274" s="1"/>
      <c r="L274" s="1" t="s">
        <v>266</v>
      </c>
      <c r="M274" s="1" t="str">
        <f>VLOOKUP(B274,Bounties!A:D,3,FALSE)</f>
        <v>Outreach</v>
      </c>
      <c r="N274" s="1" t="str">
        <f>VLOOKUP(B274,Bounties!A:D,4,FALSE)</f>
        <v>Events/Meetups</v>
      </c>
      <c r="O274" s="1" t="str">
        <f t="shared" ref="O274:P274" si="278">IF(ISBLANK(K274),M274,K274)</f>
        <v>Outreach</v>
      </c>
      <c r="P274" s="1" t="str">
        <f t="shared" si="278"/>
        <v>Events/Conference Attendance &amp; Side Events</v>
      </c>
      <c r="Q274" s="108" t="str">
        <f t="shared" si="3"/>
        <v>2023</v>
      </c>
      <c r="R274" s="110">
        <f t="shared" si="4"/>
        <v>7</v>
      </c>
      <c r="S274" s="108" t="str">
        <f t="shared" si="5"/>
        <v>2023-Q3</v>
      </c>
      <c r="T274" s="111" t="str">
        <f t="shared" si="6"/>
        <v>2023-07</v>
      </c>
      <c r="U274" s="112" t="str">
        <f t="shared" si="7"/>
        <v>2023-H2</v>
      </c>
      <c r="V274" s="1" t="str">
        <f>VLOOKUP(B274,Bounties!A:E,2,FALSE)</f>
        <v>Events Bounty</v>
      </c>
    </row>
    <row r="275" hidden="1">
      <c r="A275" s="109">
        <f>HYPERLINK("https://polkadot.subsquare.io/treasury/child-bounties/273", 273)</f>
        <v>273</v>
      </c>
      <c r="B275" s="183">
        <v>17.0</v>
      </c>
      <c r="C275" s="27" t="s">
        <v>3404</v>
      </c>
      <c r="D275" s="27" t="s">
        <v>872</v>
      </c>
      <c r="E275" s="129">
        <v>466.7</v>
      </c>
      <c r="F275" s="66">
        <v>2325.148300027847</v>
      </c>
      <c r="G275" s="27" t="s">
        <v>3491</v>
      </c>
      <c r="H275" s="167">
        <v>45083.0</v>
      </c>
      <c r="I275" s="167">
        <v>45108.0</v>
      </c>
      <c r="J275" s="66">
        <v>2529.1915752887726</v>
      </c>
      <c r="K275" s="1"/>
      <c r="L275" s="1" t="s">
        <v>266</v>
      </c>
      <c r="M275" s="1" t="str">
        <f>VLOOKUP(B275,Bounties!A:D,3,FALSE)</f>
        <v>Outreach</v>
      </c>
      <c r="N275" s="1" t="str">
        <f>VLOOKUP(B275,Bounties!A:D,4,FALSE)</f>
        <v>Events/Meetups</v>
      </c>
      <c r="O275" s="1" t="str">
        <f t="shared" ref="O275:P275" si="279">IF(ISBLANK(K275),M275,K275)</f>
        <v>Outreach</v>
      </c>
      <c r="P275" s="1" t="str">
        <f t="shared" si="279"/>
        <v>Events/Conference Attendance &amp; Side Events</v>
      </c>
      <c r="Q275" s="108" t="str">
        <f t="shared" si="3"/>
        <v>2023</v>
      </c>
      <c r="R275" s="110">
        <f t="shared" si="4"/>
        <v>7</v>
      </c>
      <c r="S275" s="108" t="str">
        <f t="shared" si="5"/>
        <v>2023-Q3</v>
      </c>
      <c r="T275" s="111" t="str">
        <f t="shared" si="6"/>
        <v>2023-07</v>
      </c>
      <c r="U275" s="112" t="str">
        <f t="shared" si="7"/>
        <v>2023-H2</v>
      </c>
      <c r="V275" s="1" t="str">
        <f>VLOOKUP(B275,Bounties!A:E,2,FALSE)</f>
        <v>Events Bounty</v>
      </c>
    </row>
    <row r="276" hidden="1">
      <c r="A276" s="109">
        <f>HYPERLINK("https://polkadot.subsquare.io/treasury/child-bounties/274", 274)</f>
        <v>274</v>
      </c>
      <c r="B276" s="183">
        <v>17.0</v>
      </c>
      <c r="C276" s="27" t="s">
        <v>3404</v>
      </c>
      <c r="D276" s="27" t="s">
        <v>873</v>
      </c>
      <c r="E276" s="129">
        <v>11466.0</v>
      </c>
      <c r="F276" s="66">
        <v>57124.81338787079</v>
      </c>
      <c r="G276" s="27" t="s">
        <v>3417</v>
      </c>
      <c r="H276" s="167">
        <v>45083.0</v>
      </c>
      <c r="I276" s="167">
        <v>45097.0</v>
      </c>
      <c r="J276" s="66">
        <v>55387.97971057892</v>
      </c>
      <c r="K276" s="1"/>
      <c r="L276" s="1" t="s">
        <v>266</v>
      </c>
      <c r="M276" s="1" t="str">
        <f>VLOOKUP(B276,Bounties!A:D,3,FALSE)</f>
        <v>Outreach</v>
      </c>
      <c r="N276" s="1" t="str">
        <f>VLOOKUP(B276,Bounties!A:D,4,FALSE)</f>
        <v>Events/Meetups</v>
      </c>
      <c r="O276" s="1" t="str">
        <f t="shared" ref="O276:P276" si="280">IF(ISBLANK(K276),M276,K276)</f>
        <v>Outreach</v>
      </c>
      <c r="P276" s="1" t="str">
        <f t="shared" si="280"/>
        <v>Events/Conference Attendance &amp; Side Events</v>
      </c>
      <c r="Q276" s="108" t="str">
        <f t="shared" si="3"/>
        <v>2023</v>
      </c>
      <c r="R276" s="110">
        <f t="shared" si="4"/>
        <v>6</v>
      </c>
      <c r="S276" s="108" t="str">
        <f t="shared" si="5"/>
        <v>2023-Q2</v>
      </c>
      <c r="T276" s="111" t="str">
        <f t="shared" si="6"/>
        <v>2023-06</v>
      </c>
      <c r="U276" s="112" t="str">
        <f t="shared" si="7"/>
        <v>2023-H1</v>
      </c>
      <c r="V276" s="1" t="str">
        <f>VLOOKUP(B276,Bounties!A:E,2,FALSE)</f>
        <v>Events Bounty</v>
      </c>
    </row>
    <row r="277" hidden="1">
      <c r="A277" s="109">
        <f>HYPERLINK("https://polkadot.subsquare.io/treasury/child-bounties/275", 275)</f>
        <v>275</v>
      </c>
      <c r="B277" s="183">
        <v>17.0</v>
      </c>
      <c r="C277" s="27" t="s">
        <v>3404</v>
      </c>
      <c r="D277" s="27" t="s">
        <v>874</v>
      </c>
      <c r="E277" s="129">
        <v>8118.789</v>
      </c>
      <c r="F277" s="66">
        <v>40448.65747082663</v>
      </c>
      <c r="G277" s="27" t="s">
        <v>3440</v>
      </c>
      <c r="H277" s="167">
        <v>45083.0</v>
      </c>
      <c r="I277" s="167">
        <v>45092.0</v>
      </c>
      <c r="J277" s="66">
        <v>36785.932109404566</v>
      </c>
      <c r="K277" s="1"/>
      <c r="L277" s="1" t="s">
        <v>266</v>
      </c>
      <c r="M277" s="1" t="str">
        <f>VLOOKUP(B277,Bounties!A:D,3,FALSE)</f>
        <v>Outreach</v>
      </c>
      <c r="N277" s="1" t="str">
        <f>VLOOKUP(B277,Bounties!A:D,4,FALSE)</f>
        <v>Events/Meetups</v>
      </c>
      <c r="O277" s="1" t="str">
        <f t="shared" ref="O277:P277" si="281">IF(ISBLANK(K277),M277,K277)</f>
        <v>Outreach</v>
      </c>
      <c r="P277" s="1" t="str">
        <f t="shared" si="281"/>
        <v>Events/Conference Attendance &amp; Side Events</v>
      </c>
      <c r="Q277" s="108" t="str">
        <f t="shared" si="3"/>
        <v>2023</v>
      </c>
      <c r="R277" s="110">
        <f t="shared" si="4"/>
        <v>6</v>
      </c>
      <c r="S277" s="108" t="str">
        <f t="shared" si="5"/>
        <v>2023-Q2</v>
      </c>
      <c r="T277" s="111" t="str">
        <f t="shared" si="6"/>
        <v>2023-06</v>
      </c>
      <c r="U277" s="112" t="str">
        <f t="shared" si="7"/>
        <v>2023-H1</v>
      </c>
      <c r="V277" s="1" t="str">
        <f>VLOOKUP(B277,Bounties!A:E,2,FALSE)</f>
        <v>Events Bounty</v>
      </c>
    </row>
    <row r="278" hidden="1">
      <c r="A278" s="109">
        <f>HYPERLINK("https://polkadot.subsquare.io/treasury/child-bounties/276", 276)</f>
        <v>276</v>
      </c>
      <c r="B278" s="183">
        <v>17.0</v>
      </c>
      <c r="C278" s="27" t="s">
        <v>3404</v>
      </c>
      <c r="D278" s="27" t="s">
        <v>875</v>
      </c>
      <c r="E278" s="129">
        <v>654.646</v>
      </c>
      <c r="F278" s="66">
        <v>3025.8217147541045</v>
      </c>
      <c r="G278" s="27" t="s">
        <v>3492</v>
      </c>
      <c r="H278" s="167">
        <v>45087.0</v>
      </c>
      <c r="I278" s="167">
        <v>45097.0</v>
      </c>
      <c r="J278" s="66">
        <v>3162.351244166374</v>
      </c>
      <c r="K278" s="1"/>
      <c r="L278" s="1" t="s">
        <v>266</v>
      </c>
      <c r="M278" s="1" t="str">
        <f>VLOOKUP(B278,Bounties!A:D,3,FALSE)</f>
        <v>Outreach</v>
      </c>
      <c r="N278" s="1" t="str">
        <f>VLOOKUP(B278,Bounties!A:D,4,FALSE)</f>
        <v>Events/Meetups</v>
      </c>
      <c r="O278" s="1" t="str">
        <f t="shared" ref="O278:P278" si="282">IF(ISBLANK(K278),M278,K278)</f>
        <v>Outreach</v>
      </c>
      <c r="P278" s="1" t="str">
        <f t="shared" si="282"/>
        <v>Events/Conference Attendance &amp; Side Events</v>
      </c>
      <c r="Q278" s="108" t="str">
        <f t="shared" si="3"/>
        <v>2023</v>
      </c>
      <c r="R278" s="110">
        <f t="shared" si="4"/>
        <v>6</v>
      </c>
      <c r="S278" s="108" t="str">
        <f t="shared" si="5"/>
        <v>2023-Q2</v>
      </c>
      <c r="T278" s="111" t="str">
        <f t="shared" si="6"/>
        <v>2023-06</v>
      </c>
      <c r="U278" s="112" t="str">
        <f t="shared" si="7"/>
        <v>2023-H1</v>
      </c>
      <c r="V278" s="1" t="str">
        <f>VLOOKUP(B278,Bounties!A:E,2,FALSE)</f>
        <v>Events Bounty</v>
      </c>
    </row>
    <row r="279" hidden="1">
      <c r="A279" s="109">
        <f>HYPERLINK("https://polkadot.subsquare.io/treasury/child-bounties/277", 277)</f>
        <v>277</v>
      </c>
      <c r="B279" s="183">
        <v>17.0</v>
      </c>
      <c r="C279" s="27" t="s">
        <v>3404</v>
      </c>
      <c r="D279" s="27" t="s">
        <v>876</v>
      </c>
      <c r="E279" s="129">
        <v>345.197</v>
      </c>
      <c r="F279" s="66">
        <v>1595.5257932806014</v>
      </c>
      <c r="G279" s="27" t="s">
        <v>3493</v>
      </c>
      <c r="H279" s="167">
        <v>45087.0</v>
      </c>
      <c r="I279" s="167">
        <v>45096.0</v>
      </c>
      <c r="J279" s="66">
        <v>1667.5182654938699</v>
      </c>
      <c r="K279" s="1"/>
      <c r="L279" s="1" t="s">
        <v>266</v>
      </c>
      <c r="M279" s="1" t="str">
        <f>VLOOKUP(B279,Bounties!A:D,3,FALSE)</f>
        <v>Outreach</v>
      </c>
      <c r="N279" s="1" t="str">
        <f>VLOOKUP(B279,Bounties!A:D,4,FALSE)</f>
        <v>Events/Meetups</v>
      </c>
      <c r="O279" s="1" t="str">
        <f t="shared" ref="O279:P279" si="283">IF(ISBLANK(K279),M279,K279)</f>
        <v>Outreach</v>
      </c>
      <c r="P279" s="1" t="str">
        <f t="shared" si="283"/>
        <v>Events/Conference Attendance &amp; Side Events</v>
      </c>
      <c r="Q279" s="108" t="str">
        <f t="shared" si="3"/>
        <v>2023</v>
      </c>
      <c r="R279" s="110">
        <f t="shared" si="4"/>
        <v>6</v>
      </c>
      <c r="S279" s="108" t="str">
        <f t="shared" si="5"/>
        <v>2023-Q2</v>
      </c>
      <c r="T279" s="111" t="str">
        <f t="shared" si="6"/>
        <v>2023-06</v>
      </c>
      <c r="U279" s="112" t="str">
        <f t="shared" si="7"/>
        <v>2023-H1</v>
      </c>
      <c r="V279" s="1" t="str">
        <f>VLOOKUP(B279,Bounties!A:E,2,FALSE)</f>
        <v>Events Bounty</v>
      </c>
    </row>
    <row r="280" hidden="1">
      <c r="A280" s="109">
        <f>HYPERLINK("https://polkadot.subsquare.io/treasury/child-bounties/278", 278)</f>
        <v>278</v>
      </c>
      <c r="B280" s="183">
        <v>17.0</v>
      </c>
      <c r="C280" s="27" t="s">
        <v>3404</v>
      </c>
      <c r="D280" s="27" t="s">
        <v>877</v>
      </c>
      <c r="E280" s="129">
        <v>432.836</v>
      </c>
      <c r="F280" s="66">
        <v>2000.5996641349793</v>
      </c>
      <c r="G280" s="27" t="s">
        <v>3494</v>
      </c>
      <c r="H280" s="167">
        <v>45087.0</v>
      </c>
      <c r="I280" s="167">
        <v>45096.0</v>
      </c>
      <c r="J280" s="66">
        <v>2090.869665620804</v>
      </c>
      <c r="K280" s="1"/>
      <c r="L280" s="1" t="s">
        <v>266</v>
      </c>
      <c r="M280" s="1" t="str">
        <f>VLOOKUP(B280,Bounties!A:D,3,FALSE)</f>
        <v>Outreach</v>
      </c>
      <c r="N280" s="1" t="str">
        <f>VLOOKUP(B280,Bounties!A:D,4,FALSE)</f>
        <v>Events/Meetups</v>
      </c>
      <c r="O280" s="1" t="str">
        <f t="shared" ref="O280:P280" si="284">IF(ISBLANK(K280),M280,K280)</f>
        <v>Outreach</v>
      </c>
      <c r="P280" s="1" t="str">
        <f t="shared" si="284"/>
        <v>Events/Conference Attendance &amp; Side Events</v>
      </c>
      <c r="Q280" s="108" t="str">
        <f t="shared" si="3"/>
        <v>2023</v>
      </c>
      <c r="R280" s="110">
        <f t="shared" si="4"/>
        <v>6</v>
      </c>
      <c r="S280" s="108" t="str">
        <f t="shared" si="5"/>
        <v>2023-Q2</v>
      </c>
      <c r="T280" s="111" t="str">
        <f t="shared" si="6"/>
        <v>2023-06</v>
      </c>
      <c r="U280" s="112" t="str">
        <f t="shared" si="7"/>
        <v>2023-H1</v>
      </c>
      <c r="V280" s="1" t="str">
        <f>VLOOKUP(B280,Bounties!A:E,2,FALSE)</f>
        <v>Events Bounty</v>
      </c>
    </row>
    <row r="281" hidden="1">
      <c r="A281" s="109">
        <f>HYPERLINK("https://polkadot.subsquare.io/treasury/child-bounties/279", 279)</f>
        <v>279</v>
      </c>
      <c r="B281" s="183">
        <v>17.0</v>
      </c>
      <c r="C281" s="27" t="s">
        <v>3404</v>
      </c>
      <c r="D281" s="27" t="s">
        <v>878</v>
      </c>
      <c r="E281" s="129">
        <v>469.429</v>
      </c>
      <c r="F281" s="66">
        <v>2169.735187773704</v>
      </c>
      <c r="G281" s="27" t="s">
        <v>3494</v>
      </c>
      <c r="H281" s="167">
        <v>45087.0</v>
      </c>
      <c r="I281" s="167">
        <v>45096.0</v>
      </c>
      <c r="J281" s="66">
        <v>2267.6368330330847</v>
      </c>
      <c r="K281" s="1"/>
      <c r="L281" s="1" t="s">
        <v>266</v>
      </c>
      <c r="M281" s="1" t="str">
        <f>VLOOKUP(B281,Bounties!A:D,3,FALSE)</f>
        <v>Outreach</v>
      </c>
      <c r="N281" s="1" t="str">
        <f>VLOOKUP(B281,Bounties!A:D,4,FALSE)</f>
        <v>Events/Meetups</v>
      </c>
      <c r="O281" s="1" t="str">
        <f t="shared" ref="O281:P281" si="285">IF(ISBLANK(K281),M281,K281)</f>
        <v>Outreach</v>
      </c>
      <c r="P281" s="1" t="str">
        <f t="shared" si="285"/>
        <v>Events/Conference Attendance &amp; Side Events</v>
      </c>
      <c r="Q281" s="108" t="str">
        <f t="shared" si="3"/>
        <v>2023</v>
      </c>
      <c r="R281" s="110">
        <f t="shared" si="4"/>
        <v>6</v>
      </c>
      <c r="S281" s="108" t="str">
        <f t="shared" si="5"/>
        <v>2023-Q2</v>
      </c>
      <c r="T281" s="111" t="str">
        <f t="shared" si="6"/>
        <v>2023-06</v>
      </c>
      <c r="U281" s="112" t="str">
        <f t="shared" si="7"/>
        <v>2023-H1</v>
      </c>
      <c r="V281" s="1" t="str">
        <f>VLOOKUP(B281,Bounties!A:E,2,FALSE)</f>
        <v>Events Bounty</v>
      </c>
    </row>
    <row r="282" hidden="1">
      <c r="A282" s="109">
        <f>HYPERLINK("https://polkadot.subsquare.io/treasury/child-bounties/280", 280)</f>
        <v>280</v>
      </c>
      <c r="B282" s="183">
        <v>17.0</v>
      </c>
      <c r="C282" s="27" t="s">
        <v>3404</v>
      </c>
      <c r="D282" s="27" t="s">
        <v>879</v>
      </c>
      <c r="E282" s="129">
        <v>508.333</v>
      </c>
      <c r="F282" s="66">
        <v>2349.5523225164416</v>
      </c>
      <c r="G282" s="27" t="s">
        <v>3453</v>
      </c>
      <c r="H282" s="167">
        <v>45087.0</v>
      </c>
      <c r="I282" s="167">
        <v>45096.0</v>
      </c>
      <c r="J282" s="66">
        <v>2455.5675815644267</v>
      </c>
      <c r="K282" s="1"/>
      <c r="L282" s="1" t="s">
        <v>266</v>
      </c>
      <c r="M282" s="1" t="str">
        <f>VLOOKUP(B282,Bounties!A:D,3,FALSE)</f>
        <v>Outreach</v>
      </c>
      <c r="N282" s="1" t="str">
        <f>VLOOKUP(B282,Bounties!A:D,4,FALSE)</f>
        <v>Events/Meetups</v>
      </c>
      <c r="O282" s="1" t="str">
        <f t="shared" ref="O282:P282" si="286">IF(ISBLANK(K282),M282,K282)</f>
        <v>Outreach</v>
      </c>
      <c r="P282" s="1" t="str">
        <f t="shared" si="286"/>
        <v>Events/Conference Attendance &amp; Side Events</v>
      </c>
      <c r="Q282" s="108" t="str">
        <f t="shared" si="3"/>
        <v>2023</v>
      </c>
      <c r="R282" s="110">
        <f t="shared" si="4"/>
        <v>6</v>
      </c>
      <c r="S282" s="108" t="str">
        <f t="shared" si="5"/>
        <v>2023-Q2</v>
      </c>
      <c r="T282" s="111" t="str">
        <f t="shared" si="6"/>
        <v>2023-06</v>
      </c>
      <c r="U282" s="112" t="str">
        <f t="shared" si="7"/>
        <v>2023-H1</v>
      </c>
      <c r="V282" s="1" t="str">
        <f>VLOOKUP(B282,Bounties!A:E,2,FALSE)</f>
        <v>Events Bounty</v>
      </c>
    </row>
    <row r="283" hidden="1">
      <c r="A283" s="109">
        <f>HYPERLINK("https://polkadot.subsquare.io/treasury/child-bounties/281", 281)</f>
        <v>281</v>
      </c>
      <c r="B283" s="183">
        <v>17.0</v>
      </c>
      <c r="C283" s="27" t="s">
        <v>3404</v>
      </c>
      <c r="D283" s="27" t="s">
        <v>880</v>
      </c>
      <c r="E283" s="129">
        <v>519.197</v>
      </c>
      <c r="F283" s="66">
        <v>2399.766525473595</v>
      </c>
      <c r="G283" s="27" t="s">
        <v>3495</v>
      </c>
      <c r="H283" s="167">
        <v>45087.0</v>
      </c>
      <c r="I283" s="167">
        <v>45097.0</v>
      </c>
      <c r="J283" s="66">
        <v>2648.01630564785</v>
      </c>
      <c r="K283" s="1"/>
      <c r="L283" s="1" t="s">
        <v>266</v>
      </c>
      <c r="M283" s="1" t="str">
        <f>VLOOKUP(B283,Bounties!A:D,3,FALSE)</f>
        <v>Outreach</v>
      </c>
      <c r="N283" s="1" t="str">
        <f>VLOOKUP(B283,Bounties!A:D,4,FALSE)</f>
        <v>Events/Meetups</v>
      </c>
      <c r="O283" s="1" t="str">
        <f t="shared" ref="O283:P283" si="287">IF(ISBLANK(K283),M283,K283)</f>
        <v>Outreach</v>
      </c>
      <c r="P283" s="1" t="str">
        <f t="shared" si="287"/>
        <v>Events/Conference Attendance &amp; Side Events</v>
      </c>
      <c r="Q283" s="108" t="str">
        <f t="shared" si="3"/>
        <v>2023</v>
      </c>
      <c r="R283" s="110">
        <f t="shared" si="4"/>
        <v>6</v>
      </c>
      <c r="S283" s="108" t="str">
        <f t="shared" si="5"/>
        <v>2023-Q2</v>
      </c>
      <c r="T283" s="111" t="str">
        <f t="shared" si="6"/>
        <v>2023-06</v>
      </c>
      <c r="U283" s="112" t="str">
        <f t="shared" si="7"/>
        <v>2023-H1</v>
      </c>
      <c r="V283" s="1" t="str">
        <f>VLOOKUP(B283,Bounties!A:E,2,FALSE)</f>
        <v>Events Bounty</v>
      </c>
    </row>
    <row r="284" hidden="1">
      <c r="A284" s="109">
        <f>HYPERLINK("https://polkadot.subsquare.io/treasury/child-bounties/282", 282)</f>
        <v>282</v>
      </c>
      <c r="B284" s="183">
        <v>17.0</v>
      </c>
      <c r="C284" s="27" t="s">
        <v>3404</v>
      </c>
      <c r="D284" s="27" t="s">
        <v>881</v>
      </c>
      <c r="E284" s="129">
        <v>616.277</v>
      </c>
      <c r="F284" s="66">
        <v>2848.4773891592026</v>
      </c>
      <c r="G284" s="27" t="s">
        <v>3496</v>
      </c>
      <c r="H284" s="167">
        <v>45087.0</v>
      </c>
      <c r="I284" s="167">
        <v>45097.0</v>
      </c>
      <c r="J284" s="66">
        <v>3143.1451737890247</v>
      </c>
      <c r="K284" s="1"/>
      <c r="L284" s="1" t="s">
        <v>266</v>
      </c>
      <c r="M284" s="1" t="str">
        <f>VLOOKUP(B284,Bounties!A:D,3,FALSE)</f>
        <v>Outreach</v>
      </c>
      <c r="N284" s="1" t="str">
        <f>VLOOKUP(B284,Bounties!A:D,4,FALSE)</f>
        <v>Events/Meetups</v>
      </c>
      <c r="O284" s="1" t="str">
        <f t="shared" ref="O284:P284" si="288">IF(ISBLANK(K284),M284,K284)</f>
        <v>Outreach</v>
      </c>
      <c r="P284" s="1" t="str">
        <f t="shared" si="288"/>
        <v>Events/Conference Attendance &amp; Side Events</v>
      </c>
      <c r="Q284" s="108" t="str">
        <f t="shared" si="3"/>
        <v>2023</v>
      </c>
      <c r="R284" s="110">
        <f t="shared" si="4"/>
        <v>6</v>
      </c>
      <c r="S284" s="108" t="str">
        <f t="shared" si="5"/>
        <v>2023-Q2</v>
      </c>
      <c r="T284" s="111" t="str">
        <f t="shared" si="6"/>
        <v>2023-06</v>
      </c>
      <c r="U284" s="112" t="str">
        <f t="shared" si="7"/>
        <v>2023-H1</v>
      </c>
      <c r="V284" s="1" t="str">
        <f>VLOOKUP(B284,Bounties!A:E,2,FALSE)</f>
        <v>Events Bounty</v>
      </c>
    </row>
    <row r="285" hidden="1">
      <c r="A285" s="109">
        <f>HYPERLINK("https://polkadot.subsquare.io/treasury/child-bounties/283", 283)</f>
        <v>283</v>
      </c>
      <c r="B285" s="183">
        <v>17.0</v>
      </c>
      <c r="C285" s="27" t="s">
        <v>3404</v>
      </c>
      <c r="D285" s="27" t="s">
        <v>882</v>
      </c>
      <c r="E285" s="129">
        <v>616.804</v>
      </c>
      <c r="F285" s="66">
        <v>2850.913221721649</v>
      </c>
      <c r="G285" s="27" t="s">
        <v>3497</v>
      </c>
      <c r="H285" s="167">
        <v>45087.0</v>
      </c>
      <c r="I285" s="167">
        <v>45096.0</v>
      </c>
      <c r="J285" s="66">
        <v>2979.550622484207</v>
      </c>
      <c r="K285" s="1"/>
      <c r="L285" s="1" t="s">
        <v>266</v>
      </c>
      <c r="M285" s="1" t="str">
        <f>VLOOKUP(B285,Bounties!A:D,3,FALSE)</f>
        <v>Outreach</v>
      </c>
      <c r="N285" s="1" t="str">
        <f>VLOOKUP(B285,Bounties!A:D,4,FALSE)</f>
        <v>Events/Meetups</v>
      </c>
      <c r="O285" s="1" t="str">
        <f t="shared" ref="O285:P285" si="289">IF(ISBLANK(K285),M285,K285)</f>
        <v>Outreach</v>
      </c>
      <c r="P285" s="1" t="str">
        <f t="shared" si="289"/>
        <v>Events/Conference Attendance &amp; Side Events</v>
      </c>
      <c r="Q285" s="108" t="str">
        <f t="shared" si="3"/>
        <v>2023</v>
      </c>
      <c r="R285" s="110">
        <f t="shared" si="4"/>
        <v>6</v>
      </c>
      <c r="S285" s="108" t="str">
        <f t="shared" si="5"/>
        <v>2023-Q2</v>
      </c>
      <c r="T285" s="111" t="str">
        <f t="shared" si="6"/>
        <v>2023-06</v>
      </c>
      <c r="U285" s="112" t="str">
        <f t="shared" si="7"/>
        <v>2023-H1</v>
      </c>
      <c r="V285" s="1" t="str">
        <f>VLOOKUP(B285,Bounties!A:E,2,FALSE)</f>
        <v>Events Bounty</v>
      </c>
    </row>
    <row r="286" hidden="1">
      <c r="A286" s="109">
        <f>HYPERLINK("https://polkadot.subsquare.io/treasury/child-bounties/284", 284)</f>
        <v>284</v>
      </c>
      <c r="B286" s="183">
        <v>17.0</v>
      </c>
      <c r="C286" s="27" t="s">
        <v>3404</v>
      </c>
      <c r="D286" s="27" t="s">
        <v>883</v>
      </c>
      <c r="E286" s="129">
        <v>655.232</v>
      </c>
      <c r="F286" s="66">
        <v>3028.530249633789</v>
      </c>
      <c r="G286" s="27" t="s">
        <v>3478</v>
      </c>
      <c r="H286" s="167">
        <v>45087.0</v>
      </c>
      <c r="I286" s="167">
        <v>45097.0</v>
      </c>
      <c r="J286" s="66">
        <v>3165.1819921264646</v>
      </c>
      <c r="K286" s="1"/>
      <c r="L286" s="1" t="s">
        <v>266</v>
      </c>
      <c r="M286" s="1" t="str">
        <f>VLOOKUP(B286,Bounties!A:D,3,FALSE)</f>
        <v>Outreach</v>
      </c>
      <c r="N286" s="1" t="str">
        <f>VLOOKUP(B286,Bounties!A:D,4,FALSE)</f>
        <v>Events/Meetups</v>
      </c>
      <c r="O286" s="1" t="str">
        <f t="shared" ref="O286:P286" si="290">IF(ISBLANK(K286),M286,K286)</f>
        <v>Outreach</v>
      </c>
      <c r="P286" s="1" t="str">
        <f t="shared" si="290"/>
        <v>Events/Conference Attendance &amp; Side Events</v>
      </c>
      <c r="Q286" s="108" t="str">
        <f t="shared" si="3"/>
        <v>2023</v>
      </c>
      <c r="R286" s="110">
        <f t="shared" si="4"/>
        <v>6</v>
      </c>
      <c r="S286" s="108" t="str">
        <f t="shared" si="5"/>
        <v>2023-Q2</v>
      </c>
      <c r="T286" s="111" t="str">
        <f t="shared" si="6"/>
        <v>2023-06</v>
      </c>
      <c r="U286" s="112" t="str">
        <f t="shared" si="7"/>
        <v>2023-H1</v>
      </c>
      <c r="V286" s="1" t="str">
        <f>VLOOKUP(B286,Bounties!A:E,2,FALSE)</f>
        <v>Events Bounty</v>
      </c>
    </row>
    <row r="287" hidden="1">
      <c r="A287" s="109">
        <f>HYPERLINK("https://polkadot.subsquare.io/treasury/child-bounties/285", 285)</f>
        <v>285</v>
      </c>
      <c r="B287" s="183">
        <v>17.0</v>
      </c>
      <c r="C287" s="27" t="s">
        <v>3404</v>
      </c>
      <c r="D287" s="27" t="s">
        <v>884</v>
      </c>
      <c r="E287" s="129">
        <v>753.548</v>
      </c>
      <c r="F287" s="66">
        <v>3482.9539957618713</v>
      </c>
      <c r="G287" s="27" t="s">
        <v>3494</v>
      </c>
      <c r="H287" s="167">
        <v>45087.0</v>
      </c>
      <c r="I287" s="167">
        <v>45096.0</v>
      </c>
      <c r="J287" s="66">
        <v>3640.110006536484</v>
      </c>
      <c r="K287" s="1"/>
      <c r="L287" s="1" t="s">
        <v>266</v>
      </c>
      <c r="M287" s="1" t="str">
        <f>VLOOKUP(B287,Bounties!A:D,3,FALSE)</f>
        <v>Outreach</v>
      </c>
      <c r="N287" s="1" t="str">
        <f>VLOOKUP(B287,Bounties!A:D,4,FALSE)</f>
        <v>Events/Meetups</v>
      </c>
      <c r="O287" s="1" t="str">
        <f t="shared" ref="O287:P287" si="291">IF(ISBLANK(K287),M287,K287)</f>
        <v>Outreach</v>
      </c>
      <c r="P287" s="1" t="str">
        <f t="shared" si="291"/>
        <v>Events/Conference Attendance &amp; Side Events</v>
      </c>
      <c r="Q287" s="108" t="str">
        <f t="shared" si="3"/>
        <v>2023</v>
      </c>
      <c r="R287" s="110">
        <f t="shared" si="4"/>
        <v>6</v>
      </c>
      <c r="S287" s="108" t="str">
        <f t="shared" si="5"/>
        <v>2023-Q2</v>
      </c>
      <c r="T287" s="111" t="str">
        <f t="shared" si="6"/>
        <v>2023-06</v>
      </c>
      <c r="U287" s="112" t="str">
        <f t="shared" si="7"/>
        <v>2023-H1</v>
      </c>
      <c r="V287" s="1" t="str">
        <f>VLOOKUP(B287,Bounties!A:E,2,FALSE)</f>
        <v>Events Bounty</v>
      </c>
    </row>
    <row r="288" hidden="1">
      <c r="A288" s="109">
        <f>HYPERLINK("https://polkadot.subsquare.io/treasury/child-bounties/286", 286)</f>
        <v>286</v>
      </c>
      <c r="B288" s="183">
        <v>17.0</v>
      </c>
      <c r="C288" s="27" t="s">
        <v>3404</v>
      </c>
      <c r="D288" s="27" t="s">
        <v>885</v>
      </c>
      <c r="E288" s="129">
        <v>803.839</v>
      </c>
      <c r="F288" s="66">
        <v>3715.4026777315144</v>
      </c>
      <c r="G288" s="27" t="s">
        <v>3431</v>
      </c>
      <c r="H288" s="167">
        <v>45087.0</v>
      </c>
      <c r="I288" s="167">
        <v>45098.0</v>
      </c>
      <c r="J288" s="66">
        <v>4025.1810008540156</v>
      </c>
      <c r="K288" s="1"/>
      <c r="L288" s="1" t="s">
        <v>266</v>
      </c>
      <c r="M288" s="1" t="str">
        <f>VLOOKUP(B288,Bounties!A:D,3,FALSE)</f>
        <v>Outreach</v>
      </c>
      <c r="N288" s="1" t="str">
        <f>VLOOKUP(B288,Bounties!A:D,4,FALSE)</f>
        <v>Events/Meetups</v>
      </c>
      <c r="O288" s="1" t="str">
        <f t="shared" ref="O288:P288" si="292">IF(ISBLANK(K288),M288,K288)</f>
        <v>Outreach</v>
      </c>
      <c r="P288" s="1" t="str">
        <f t="shared" si="292"/>
        <v>Events/Conference Attendance &amp; Side Events</v>
      </c>
      <c r="Q288" s="108" t="str">
        <f t="shared" si="3"/>
        <v>2023</v>
      </c>
      <c r="R288" s="110">
        <f t="shared" si="4"/>
        <v>6</v>
      </c>
      <c r="S288" s="108" t="str">
        <f t="shared" si="5"/>
        <v>2023-Q2</v>
      </c>
      <c r="T288" s="111" t="str">
        <f t="shared" si="6"/>
        <v>2023-06</v>
      </c>
      <c r="U288" s="112" t="str">
        <f t="shared" si="7"/>
        <v>2023-H1</v>
      </c>
      <c r="V288" s="1" t="str">
        <f>VLOOKUP(B288,Bounties!A:E,2,FALSE)</f>
        <v>Events Bounty</v>
      </c>
    </row>
    <row r="289" hidden="1">
      <c r="A289" s="109">
        <f>HYPERLINK("https://polkadot.subsquare.io/treasury/child-bounties/287", 287)</f>
        <v>287</v>
      </c>
      <c r="B289" s="183">
        <v>17.0</v>
      </c>
      <c r="C289" s="27" t="s">
        <v>3404</v>
      </c>
      <c r="D289" s="27" t="s">
        <v>886</v>
      </c>
      <c r="E289" s="129">
        <v>824.45</v>
      </c>
      <c r="F289" s="66">
        <v>3810.6682279109955</v>
      </c>
      <c r="G289" s="27" t="s">
        <v>3439</v>
      </c>
      <c r="H289" s="167">
        <v>45087.0</v>
      </c>
      <c r="I289" s="167">
        <v>45098.0</v>
      </c>
      <c r="J289" s="66">
        <v>4204.872222280503</v>
      </c>
      <c r="K289" s="1"/>
      <c r="L289" s="1" t="s">
        <v>266</v>
      </c>
      <c r="M289" s="1" t="str">
        <f>VLOOKUP(B289,Bounties!A:D,3,FALSE)</f>
        <v>Outreach</v>
      </c>
      <c r="N289" s="1" t="str">
        <f>VLOOKUP(B289,Bounties!A:D,4,FALSE)</f>
        <v>Events/Meetups</v>
      </c>
      <c r="O289" s="1" t="str">
        <f t="shared" ref="O289:P289" si="293">IF(ISBLANK(K289),M289,K289)</f>
        <v>Outreach</v>
      </c>
      <c r="P289" s="1" t="str">
        <f t="shared" si="293"/>
        <v>Events/Conference Attendance &amp; Side Events</v>
      </c>
      <c r="Q289" s="108" t="str">
        <f t="shared" si="3"/>
        <v>2023</v>
      </c>
      <c r="R289" s="110">
        <f t="shared" si="4"/>
        <v>6</v>
      </c>
      <c r="S289" s="108" t="str">
        <f t="shared" si="5"/>
        <v>2023-Q2</v>
      </c>
      <c r="T289" s="111" t="str">
        <f t="shared" si="6"/>
        <v>2023-06</v>
      </c>
      <c r="U289" s="112" t="str">
        <f t="shared" si="7"/>
        <v>2023-H1</v>
      </c>
      <c r="V289" s="1" t="str">
        <f>VLOOKUP(B289,Bounties!A:E,2,FALSE)</f>
        <v>Events Bounty</v>
      </c>
    </row>
    <row r="290" hidden="1">
      <c r="A290" s="109">
        <f>HYPERLINK("https://polkadot.subsquare.io/treasury/child-bounties/288", 288)</f>
        <v>288</v>
      </c>
      <c r="B290" s="183">
        <v>17.0</v>
      </c>
      <c r="C290" s="27" t="s">
        <v>3404</v>
      </c>
      <c r="D290" s="27" t="s">
        <v>887</v>
      </c>
      <c r="E290" s="129">
        <v>831.664</v>
      </c>
      <c r="F290" s="66">
        <v>3844.01186378479</v>
      </c>
      <c r="G290" s="27" t="s">
        <v>3498</v>
      </c>
      <c r="H290" s="167">
        <v>45087.0</v>
      </c>
      <c r="I290" s="167">
        <v>45098.0</v>
      </c>
      <c r="J290" s="66">
        <v>4164.513207115173</v>
      </c>
      <c r="K290" s="1"/>
      <c r="L290" s="1" t="s">
        <v>266</v>
      </c>
      <c r="M290" s="1" t="str">
        <f>VLOOKUP(B290,Bounties!A:D,3,FALSE)</f>
        <v>Outreach</v>
      </c>
      <c r="N290" s="1" t="str">
        <f>VLOOKUP(B290,Bounties!A:D,4,FALSE)</f>
        <v>Events/Meetups</v>
      </c>
      <c r="O290" s="1" t="str">
        <f t="shared" ref="O290:P290" si="294">IF(ISBLANK(K290),M290,K290)</f>
        <v>Outreach</v>
      </c>
      <c r="P290" s="1" t="str">
        <f t="shared" si="294"/>
        <v>Events/Conference Attendance &amp; Side Events</v>
      </c>
      <c r="Q290" s="108" t="str">
        <f t="shared" si="3"/>
        <v>2023</v>
      </c>
      <c r="R290" s="110">
        <f t="shared" si="4"/>
        <v>6</v>
      </c>
      <c r="S290" s="108" t="str">
        <f t="shared" si="5"/>
        <v>2023-Q2</v>
      </c>
      <c r="T290" s="111" t="str">
        <f t="shared" si="6"/>
        <v>2023-06</v>
      </c>
      <c r="U290" s="112" t="str">
        <f t="shared" si="7"/>
        <v>2023-H1</v>
      </c>
      <c r="V290" s="1" t="str">
        <f>VLOOKUP(B290,Bounties!A:E,2,FALSE)</f>
        <v>Events Bounty</v>
      </c>
    </row>
    <row r="291" hidden="1">
      <c r="A291" s="109">
        <f>HYPERLINK("https://polkadot.subsquare.io/treasury/child-bounties/289", 289)</f>
        <v>289</v>
      </c>
      <c r="B291" s="183">
        <v>17.0</v>
      </c>
      <c r="C291" s="27" t="s">
        <v>3404</v>
      </c>
      <c r="D291" s="27" t="s">
        <v>888</v>
      </c>
      <c r="E291" s="129">
        <v>959.322</v>
      </c>
      <c r="F291" s="66">
        <v>4434.056480970383</v>
      </c>
      <c r="G291" s="27" t="s">
        <v>3499</v>
      </c>
      <c r="H291" s="167">
        <v>45087.0</v>
      </c>
      <c r="I291" s="167">
        <v>45097.0</v>
      </c>
      <c r="J291" s="66">
        <v>4634.127635785103</v>
      </c>
      <c r="K291" s="1"/>
      <c r="L291" s="1" t="s">
        <v>266</v>
      </c>
      <c r="M291" s="1" t="str">
        <f>VLOOKUP(B291,Bounties!A:D,3,FALSE)</f>
        <v>Outreach</v>
      </c>
      <c r="N291" s="1" t="str">
        <f>VLOOKUP(B291,Bounties!A:D,4,FALSE)</f>
        <v>Events/Meetups</v>
      </c>
      <c r="O291" s="1" t="str">
        <f t="shared" ref="O291:P291" si="295">IF(ISBLANK(K291),M291,K291)</f>
        <v>Outreach</v>
      </c>
      <c r="P291" s="1" t="str">
        <f t="shared" si="295"/>
        <v>Events/Conference Attendance &amp; Side Events</v>
      </c>
      <c r="Q291" s="108" t="str">
        <f t="shared" si="3"/>
        <v>2023</v>
      </c>
      <c r="R291" s="110">
        <f t="shared" si="4"/>
        <v>6</v>
      </c>
      <c r="S291" s="108" t="str">
        <f t="shared" si="5"/>
        <v>2023-Q2</v>
      </c>
      <c r="T291" s="111" t="str">
        <f t="shared" si="6"/>
        <v>2023-06</v>
      </c>
      <c r="U291" s="112" t="str">
        <f t="shared" si="7"/>
        <v>2023-H1</v>
      </c>
      <c r="V291" s="1" t="str">
        <f>VLOOKUP(B291,Bounties!A:E,2,FALSE)</f>
        <v>Events Bounty</v>
      </c>
    </row>
    <row r="292" hidden="1">
      <c r="A292" s="109">
        <f>HYPERLINK("https://polkadot.subsquare.io/treasury/child-bounties/290", 290)</f>
        <v>290</v>
      </c>
      <c r="B292" s="183">
        <v>17.0</v>
      </c>
      <c r="C292" s="27" t="s">
        <v>3404</v>
      </c>
      <c r="D292" s="27" t="s">
        <v>889</v>
      </c>
      <c r="E292" s="129">
        <v>971.821</v>
      </c>
      <c r="F292" s="66">
        <v>4491.827773566246</v>
      </c>
      <c r="G292" s="27" t="s">
        <v>3500</v>
      </c>
      <c r="H292" s="167">
        <v>45087.0</v>
      </c>
      <c r="I292" s="167">
        <v>45097.0</v>
      </c>
      <c r="J292" s="66">
        <v>4956.496000884056</v>
      </c>
      <c r="K292" s="1"/>
      <c r="L292" s="1" t="s">
        <v>266</v>
      </c>
      <c r="M292" s="1" t="str">
        <f>VLOOKUP(B292,Bounties!A:D,3,FALSE)</f>
        <v>Outreach</v>
      </c>
      <c r="N292" s="1" t="str">
        <f>VLOOKUP(B292,Bounties!A:D,4,FALSE)</f>
        <v>Events/Meetups</v>
      </c>
      <c r="O292" s="1" t="str">
        <f t="shared" ref="O292:P292" si="296">IF(ISBLANK(K292),M292,K292)</f>
        <v>Outreach</v>
      </c>
      <c r="P292" s="1" t="str">
        <f t="shared" si="296"/>
        <v>Events/Conference Attendance &amp; Side Events</v>
      </c>
      <c r="Q292" s="108" t="str">
        <f t="shared" si="3"/>
        <v>2023</v>
      </c>
      <c r="R292" s="110">
        <f t="shared" si="4"/>
        <v>6</v>
      </c>
      <c r="S292" s="108" t="str">
        <f t="shared" si="5"/>
        <v>2023-Q2</v>
      </c>
      <c r="T292" s="111" t="str">
        <f t="shared" si="6"/>
        <v>2023-06</v>
      </c>
      <c r="U292" s="112" t="str">
        <f t="shared" si="7"/>
        <v>2023-H1</v>
      </c>
      <c r="V292" s="1" t="str">
        <f>VLOOKUP(B292,Bounties!A:E,2,FALSE)</f>
        <v>Events Bounty</v>
      </c>
    </row>
    <row r="293" hidden="1">
      <c r="A293" s="109">
        <f>HYPERLINK("https://polkadot.subsquare.io/treasury/child-bounties/291", 291)</f>
        <v>291</v>
      </c>
      <c r="B293" s="183">
        <v>17.0</v>
      </c>
      <c r="C293" s="27" t="s">
        <v>3404</v>
      </c>
      <c r="D293" s="27" t="s">
        <v>890</v>
      </c>
      <c r="E293" s="129">
        <v>999.646</v>
      </c>
      <c r="F293" s="66">
        <v>4620.436959619522</v>
      </c>
      <c r="G293" s="27" t="s">
        <v>3501</v>
      </c>
      <c r="H293" s="167">
        <v>45087.0</v>
      </c>
      <c r="I293" s="167">
        <v>45097.0</v>
      </c>
      <c r="J293" s="66">
        <v>5098.409482095718</v>
      </c>
      <c r="K293" s="1"/>
      <c r="L293" s="1" t="s">
        <v>266</v>
      </c>
      <c r="M293" s="1" t="str">
        <f>VLOOKUP(B293,Bounties!A:D,3,FALSE)</f>
        <v>Outreach</v>
      </c>
      <c r="N293" s="1" t="str">
        <f>VLOOKUP(B293,Bounties!A:D,4,FALSE)</f>
        <v>Events/Meetups</v>
      </c>
      <c r="O293" s="1" t="str">
        <f t="shared" ref="O293:P293" si="297">IF(ISBLANK(K293),M293,K293)</f>
        <v>Outreach</v>
      </c>
      <c r="P293" s="1" t="str">
        <f t="shared" si="297"/>
        <v>Events/Conference Attendance &amp; Side Events</v>
      </c>
      <c r="Q293" s="108" t="str">
        <f t="shared" si="3"/>
        <v>2023</v>
      </c>
      <c r="R293" s="110">
        <f t="shared" si="4"/>
        <v>6</v>
      </c>
      <c r="S293" s="108" t="str">
        <f t="shared" si="5"/>
        <v>2023-Q2</v>
      </c>
      <c r="T293" s="111" t="str">
        <f t="shared" si="6"/>
        <v>2023-06</v>
      </c>
      <c r="U293" s="112" t="str">
        <f t="shared" si="7"/>
        <v>2023-H1</v>
      </c>
      <c r="V293" s="1" t="str">
        <f>VLOOKUP(B293,Bounties!A:E,2,FALSE)</f>
        <v>Events Bounty</v>
      </c>
    </row>
    <row r="294" hidden="1">
      <c r="A294" s="109">
        <f>HYPERLINK("https://polkadot.subsquare.io/treasury/child-bounties/292", 292)</f>
        <v>292</v>
      </c>
      <c r="B294" s="183">
        <v>17.0</v>
      </c>
      <c r="C294" s="27" t="s">
        <v>3404</v>
      </c>
      <c r="D294" s="27" t="s">
        <v>891</v>
      </c>
      <c r="E294" s="129">
        <v>1005.623</v>
      </c>
      <c r="F294" s="66">
        <v>4648.063090977669</v>
      </c>
      <c r="G294" s="27" t="s">
        <v>3502</v>
      </c>
      <c r="H294" s="167">
        <v>45087.0</v>
      </c>
      <c r="I294" s="167">
        <v>45098.0</v>
      </c>
      <c r="J294" s="66">
        <v>5128.893466900826</v>
      </c>
      <c r="K294" s="1"/>
      <c r="L294" s="1" t="s">
        <v>266</v>
      </c>
      <c r="M294" s="1" t="str">
        <f>VLOOKUP(B294,Bounties!A:D,3,FALSE)</f>
        <v>Outreach</v>
      </c>
      <c r="N294" s="1" t="str">
        <f>VLOOKUP(B294,Bounties!A:D,4,FALSE)</f>
        <v>Events/Meetups</v>
      </c>
      <c r="O294" s="1" t="str">
        <f t="shared" ref="O294:P294" si="298">IF(ISBLANK(K294),M294,K294)</f>
        <v>Outreach</v>
      </c>
      <c r="P294" s="1" t="str">
        <f t="shared" si="298"/>
        <v>Events/Conference Attendance &amp; Side Events</v>
      </c>
      <c r="Q294" s="108" t="str">
        <f t="shared" si="3"/>
        <v>2023</v>
      </c>
      <c r="R294" s="110">
        <f t="shared" si="4"/>
        <v>6</v>
      </c>
      <c r="S294" s="108" t="str">
        <f t="shared" si="5"/>
        <v>2023-Q2</v>
      </c>
      <c r="T294" s="111" t="str">
        <f t="shared" si="6"/>
        <v>2023-06</v>
      </c>
      <c r="U294" s="112" t="str">
        <f t="shared" si="7"/>
        <v>2023-H1</v>
      </c>
      <c r="V294" s="1" t="str">
        <f>VLOOKUP(B294,Bounties!A:E,2,FALSE)</f>
        <v>Events Bounty</v>
      </c>
    </row>
    <row r="295" hidden="1">
      <c r="A295" s="109">
        <f>HYPERLINK("https://polkadot.subsquare.io/treasury/child-bounties/293", 293)</f>
        <v>293</v>
      </c>
      <c r="B295" s="183">
        <v>17.0</v>
      </c>
      <c r="C295" s="27" t="s">
        <v>3404</v>
      </c>
      <c r="D295" s="27" t="s">
        <v>892</v>
      </c>
      <c r="E295" s="129">
        <v>1030.563</v>
      </c>
      <c r="F295" s="66">
        <v>4763.337595925332</v>
      </c>
      <c r="G295" s="27" t="s">
        <v>3503</v>
      </c>
      <c r="H295" s="167">
        <v>45087.0</v>
      </c>
      <c r="I295" s="167">
        <v>45096.0</v>
      </c>
      <c r="J295" s="66">
        <v>4978.266399308682</v>
      </c>
      <c r="K295" s="1"/>
      <c r="L295" s="1" t="s">
        <v>266</v>
      </c>
      <c r="M295" s="1" t="str">
        <f>VLOOKUP(B295,Bounties!A:D,3,FALSE)</f>
        <v>Outreach</v>
      </c>
      <c r="N295" s="1" t="str">
        <f>VLOOKUP(B295,Bounties!A:D,4,FALSE)</f>
        <v>Events/Meetups</v>
      </c>
      <c r="O295" s="1" t="str">
        <f t="shared" ref="O295:P295" si="299">IF(ISBLANK(K295),M295,K295)</f>
        <v>Outreach</v>
      </c>
      <c r="P295" s="1" t="str">
        <f t="shared" si="299"/>
        <v>Events/Conference Attendance &amp; Side Events</v>
      </c>
      <c r="Q295" s="108" t="str">
        <f t="shared" si="3"/>
        <v>2023</v>
      </c>
      <c r="R295" s="110">
        <f t="shared" si="4"/>
        <v>6</v>
      </c>
      <c r="S295" s="108" t="str">
        <f t="shared" si="5"/>
        <v>2023-Q2</v>
      </c>
      <c r="T295" s="111" t="str">
        <f t="shared" si="6"/>
        <v>2023-06</v>
      </c>
      <c r="U295" s="112" t="str">
        <f t="shared" si="7"/>
        <v>2023-H1</v>
      </c>
      <c r="V295" s="1" t="str">
        <f>VLOOKUP(B295,Bounties!A:E,2,FALSE)</f>
        <v>Events Bounty</v>
      </c>
    </row>
    <row r="296" hidden="1">
      <c r="A296" s="109">
        <f>HYPERLINK("https://polkadot.subsquare.io/treasury/child-bounties/294", 294)</f>
        <v>294</v>
      </c>
      <c r="B296" s="183">
        <v>17.0</v>
      </c>
      <c r="C296" s="27" t="s">
        <v>3427</v>
      </c>
      <c r="D296" s="27" t="s">
        <v>3504</v>
      </c>
      <c r="E296" s="129">
        <v>466.746</v>
      </c>
      <c r="F296" s="66">
        <v>2157.3341654491423</v>
      </c>
      <c r="H296" s="167">
        <v>45087.0</v>
      </c>
      <c r="I296" s="167">
        <v>45088.0</v>
      </c>
      <c r="J296" s="66">
        <v>2132.9591931438445</v>
      </c>
      <c r="K296" s="1"/>
      <c r="L296" s="1"/>
      <c r="M296" s="1" t="str">
        <f>VLOOKUP(B296,Bounties!A:D,3,FALSE)</f>
        <v>Outreach</v>
      </c>
      <c r="N296" s="1" t="str">
        <f>VLOOKUP(B296,Bounties!A:D,4,FALSE)</f>
        <v>Events/Meetups</v>
      </c>
      <c r="O296" s="1" t="str">
        <f t="shared" ref="O296:P296" si="300">IF(ISBLANK(K296),M296,K296)</f>
        <v>Outreach</v>
      </c>
      <c r="P296" s="1" t="str">
        <f t="shared" si="300"/>
        <v>Events/Meetups</v>
      </c>
      <c r="Q296" s="108" t="str">
        <f t="shared" si="3"/>
        <v>2023</v>
      </c>
      <c r="R296" s="110">
        <f t="shared" si="4"/>
        <v>6</v>
      </c>
      <c r="S296" s="108" t="str">
        <f t="shared" si="5"/>
        <v>2023-Q2</v>
      </c>
      <c r="T296" s="111" t="str">
        <f t="shared" si="6"/>
        <v>2023-06</v>
      </c>
      <c r="U296" s="112" t="str">
        <f t="shared" si="7"/>
        <v>2023-H1</v>
      </c>
      <c r="V296" s="1" t="str">
        <f>VLOOKUP(B296,Bounties!A:E,2,FALSE)</f>
        <v>Events Bounty</v>
      </c>
    </row>
    <row r="297" hidden="1">
      <c r="A297" s="109">
        <f>HYPERLINK("https://polkadot.subsquare.io/treasury/child-bounties/295", 295)</f>
        <v>295</v>
      </c>
      <c r="B297" s="183">
        <v>17.0</v>
      </c>
      <c r="C297" s="27" t="s">
        <v>3404</v>
      </c>
      <c r="D297" s="27" t="s">
        <v>893</v>
      </c>
      <c r="E297" s="129">
        <v>653.171</v>
      </c>
      <c r="F297" s="66">
        <v>2984.8934734201434</v>
      </c>
      <c r="G297" s="27" t="s">
        <v>3505</v>
      </c>
      <c r="H297" s="167">
        <v>45088.0</v>
      </c>
      <c r="I297" s="167">
        <v>45097.0</v>
      </c>
      <c r="J297" s="66">
        <v>3331.3125044565204</v>
      </c>
      <c r="K297" s="1"/>
      <c r="L297" s="1" t="s">
        <v>266</v>
      </c>
      <c r="M297" s="1" t="str">
        <f>VLOOKUP(B297,Bounties!A:D,3,FALSE)</f>
        <v>Outreach</v>
      </c>
      <c r="N297" s="1" t="str">
        <f>VLOOKUP(B297,Bounties!A:D,4,FALSE)</f>
        <v>Events/Meetups</v>
      </c>
      <c r="O297" s="1" t="str">
        <f t="shared" ref="O297:P297" si="301">IF(ISBLANK(K297),M297,K297)</f>
        <v>Outreach</v>
      </c>
      <c r="P297" s="1" t="str">
        <f t="shared" si="301"/>
        <v>Events/Conference Attendance &amp; Side Events</v>
      </c>
      <c r="Q297" s="108" t="str">
        <f t="shared" si="3"/>
        <v>2023</v>
      </c>
      <c r="R297" s="110">
        <f t="shared" si="4"/>
        <v>6</v>
      </c>
      <c r="S297" s="108" t="str">
        <f t="shared" si="5"/>
        <v>2023-Q2</v>
      </c>
      <c r="T297" s="111" t="str">
        <f t="shared" si="6"/>
        <v>2023-06</v>
      </c>
      <c r="U297" s="112" t="str">
        <f t="shared" si="7"/>
        <v>2023-H1</v>
      </c>
      <c r="V297" s="1" t="str">
        <f>VLOOKUP(B297,Bounties!A:E,2,FALSE)</f>
        <v>Events Bounty</v>
      </c>
    </row>
    <row r="298" hidden="1">
      <c r="A298" s="109">
        <f>HYPERLINK("https://polkadot.subsquare.io/treasury/child-bounties/296", 296)</f>
        <v>296</v>
      </c>
      <c r="B298" s="183">
        <v>17.0</v>
      </c>
      <c r="C298" s="27" t="s">
        <v>3404</v>
      </c>
      <c r="D298" s="27" t="s">
        <v>894</v>
      </c>
      <c r="E298" s="129">
        <v>906.895</v>
      </c>
      <c r="F298" s="66">
        <v>4144.374086689949</v>
      </c>
      <c r="G298" s="27" t="s">
        <v>3506</v>
      </c>
      <c r="H298" s="167">
        <v>45088.0</v>
      </c>
      <c r="I298" s="167">
        <v>45098.0</v>
      </c>
      <c r="J298" s="66">
        <v>4625.359444508553</v>
      </c>
      <c r="K298" s="1"/>
      <c r="L298" s="1" t="s">
        <v>266</v>
      </c>
      <c r="M298" s="1" t="str">
        <f>VLOOKUP(B298,Bounties!A:D,3,FALSE)</f>
        <v>Outreach</v>
      </c>
      <c r="N298" s="1" t="str">
        <f>VLOOKUP(B298,Bounties!A:D,4,FALSE)</f>
        <v>Events/Meetups</v>
      </c>
      <c r="O298" s="1" t="str">
        <f t="shared" ref="O298:P298" si="302">IF(ISBLANK(K298),M298,K298)</f>
        <v>Outreach</v>
      </c>
      <c r="P298" s="1" t="str">
        <f t="shared" si="302"/>
        <v>Events/Conference Attendance &amp; Side Events</v>
      </c>
      <c r="Q298" s="108" t="str">
        <f t="shared" si="3"/>
        <v>2023</v>
      </c>
      <c r="R298" s="110">
        <f t="shared" si="4"/>
        <v>6</v>
      </c>
      <c r="S298" s="108" t="str">
        <f t="shared" si="5"/>
        <v>2023-Q2</v>
      </c>
      <c r="T298" s="111" t="str">
        <f t="shared" si="6"/>
        <v>2023-06</v>
      </c>
      <c r="U298" s="112" t="str">
        <f t="shared" si="7"/>
        <v>2023-H1</v>
      </c>
      <c r="V298" s="1" t="str">
        <f>VLOOKUP(B298,Bounties!A:E,2,FALSE)</f>
        <v>Events Bounty</v>
      </c>
    </row>
    <row r="299" hidden="1">
      <c r="A299" s="109">
        <f>HYPERLINK("https://polkadot.subsquare.io/treasury/child-bounties/297", 297)</f>
        <v>297</v>
      </c>
      <c r="B299" s="183">
        <v>17.0</v>
      </c>
      <c r="C299" s="27" t="s">
        <v>3404</v>
      </c>
      <c r="D299" s="27" t="s">
        <v>895</v>
      </c>
      <c r="E299" s="129">
        <v>1030.563</v>
      </c>
      <c r="F299" s="66">
        <v>4709.518292527199</v>
      </c>
      <c r="G299" s="27" t="s">
        <v>3507</v>
      </c>
      <c r="H299" s="167">
        <v>45088.0</v>
      </c>
      <c r="I299" s="167">
        <v>45097.0</v>
      </c>
      <c r="J299" s="66">
        <v>5256.092827958108</v>
      </c>
      <c r="K299" s="1"/>
      <c r="L299" s="1" t="s">
        <v>266</v>
      </c>
      <c r="M299" s="1" t="str">
        <f>VLOOKUP(B299,Bounties!A:D,3,FALSE)</f>
        <v>Outreach</v>
      </c>
      <c r="N299" s="1" t="str">
        <f>VLOOKUP(B299,Bounties!A:D,4,FALSE)</f>
        <v>Events/Meetups</v>
      </c>
      <c r="O299" s="1" t="str">
        <f t="shared" ref="O299:P299" si="303">IF(ISBLANK(K299),M299,K299)</f>
        <v>Outreach</v>
      </c>
      <c r="P299" s="1" t="str">
        <f t="shared" si="303"/>
        <v>Events/Conference Attendance &amp; Side Events</v>
      </c>
      <c r="Q299" s="108" t="str">
        <f t="shared" si="3"/>
        <v>2023</v>
      </c>
      <c r="R299" s="110">
        <f t="shared" si="4"/>
        <v>6</v>
      </c>
      <c r="S299" s="108" t="str">
        <f t="shared" si="5"/>
        <v>2023-Q2</v>
      </c>
      <c r="T299" s="111" t="str">
        <f t="shared" si="6"/>
        <v>2023-06</v>
      </c>
      <c r="U299" s="112" t="str">
        <f t="shared" si="7"/>
        <v>2023-H1</v>
      </c>
      <c r="V299" s="1" t="str">
        <f>VLOOKUP(B299,Bounties!A:E,2,FALSE)</f>
        <v>Events Bounty</v>
      </c>
    </row>
    <row r="300" hidden="1">
      <c r="A300" s="109">
        <f>HYPERLINK("https://polkadot.subsquare.io/treasury/child-bounties/298", 298)</f>
        <v>298</v>
      </c>
      <c r="B300" s="183">
        <v>17.0</v>
      </c>
      <c r="C300" s="27" t="s">
        <v>3404</v>
      </c>
      <c r="D300" s="27" t="s">
        <v>896</v>
      </c>
      <c r="E300" s="129">
        <v>1030.563</v>
      </c>
      <c r="F300" s="66">
        <v>4709.518292527199</v>
      </c>
      <c r="G300" s="27" t="s">
        <v>3508</v>
      </c>
      <c r="H300" s="167">
        <v>45088.0</v>
      </c>
      <c r="I300" s="167">
        <v>45098.0</v>
      </c>
      <c r="J300" s="66">
        <v>5256.092827958108</v>
      </c>
      <c r="K300" s="1"/>
      <c r="L300" s="1" t="s">
        <v>266</v>
      </c>
      <c r="M300" s="1" t="str">
        <f>VLOOKUP(B300,Bounties!A:D,3,FALSE)</f>
        <v>Outreach</v>
      </c>
      <c r="N300" s="1" t="str">
        <f>VLOOKUP(B300,Bounties!A:D,4,FALSE)</f>
        <v>Events/Meetups</v>
      </c>
      <c r="O300" s="1" t="str">
        <f t="shared" ref="O300:P300" si="304">IF(ISBLANK(K300),M300,K300)</f>
        <v>Outreach</v>
      </c>
      <c r="P300" s="1" t="str">
        <f t="shared" si="304"/>
        <v>Events/Conference Attendance &amp; Side Events</v>
      </c>
      <c r="Q300" s="108" t="str">
        <f t="shared" si="3"/>
        <v>2023</v>
      </c>
      <c r="R300" s="110">
        <f t="shared" si="4"/>
        <v>6</v>
      </c>
      <c r="S300" s="108" t="str">
        <f t="shared" si="5"/>
        <v>2023-Q2</v>
      </c>
      <c r="T300" s="111" t="str">
        <f t="shared" si="6"/>
        <v>2023-06</v>
      </c>
      <c r="U300" s="112" t="str">
        <f t="shared" si="7"/>
        <v>2023-H1</v>
      </c>
      <c r="V300" s="1" t="str">
        <f>VLOOKUP(B300,Bounties!A:E,2,FALSE)</f>
        <v>Events Bounty</v>
      </c>
    </row>
    <row r="301" hidden="1">
      <c r="A301" s="109">
        <f>HYPERLINK("https://polkadot.subsquare.io/treasury/child-bounties/299", 299)</f>
        <v>299</v>
      </c>
      <c r="B301" s="183">
        <v>17.0</v>
      </c>
      <c r="C301" s="27" t="s">
        <v>3404</v>
      </c>
      <c r="D301" s="27" t="s">
        <v>897</v>
      </c>
      <c r="E301" s="129">
        <v>1052.0</v>
      </c>
      <c r="F301" s="66">
        <v>4604.797477722168</v>
      </c>
      <c r="G301" s="27" t="s">
        <v>3509</v>
      </c>
      <c r="H301" s="167">
        <v>45089.0</v>
      </c>
      <c r="I301" s="167">
        <v>45097.0</v>
      </c>
      <c r="J301" s="66">
        <v>5365.426136016846</v>
      </c>
      <c r="K301" s="1"/>
      <c r="L301" s="1" t="s">
        <v>266</v>
      </c>
      <c r="M301" s="1" t="str">
        <f>VLOOKUP(B301,Bounties!A:D,3,FALSE)</f>
        <v>Outreach</v>
      </c>
      <c r="N301" s="1" t="str">
        <f>VLOOKUP(B301,Bounties!A:D,4,FALSE)</f>
        <v>Events/Meetups</v>
      </c>
      <c r="O301" s="1" t="str">
        <f t="shared" ref="O301:P301" si="305">IF(ISBLANK(K301),M301,K301)</f>
        <v>Outreach</v>
      </c>
      <c r="P301" s="1" t="str">
        <f t="shared" si="305"/>
        <v>Events/Conference Attendance &amp; Side Events</v>
      </c>
      <c r="Q301" s="108" t="str">
        <f t="shared" si="3"/>
        <v>2023</v>
      </c>
      <c r="R301" s="110">
        <f t="shared" si="4"/>
        <v>6</v>
      </c>
      <c r="S301" s="108" t="str">
        <f t="shared" si="5"/>
        <v>2023-Q2</v>
      </c>
      <c r="T301" s="111" t="str">
        <f t="shared" si="6"/>
        <v>2023-06</v>
      </c>
      <c r="U301" s="112" t="str">
        <f t="shared" si="7"/>
        <v>2023-H1</v>
      </c>
      <c r="V301" s="1" t="str">
        <f>VLOOKUP(B301,Bounties!A:E,2,FALSE)</f>
        <v>Events Bounty</v>
      </c>
    </row>
    <row r="302" hidden="1">
      <c r="A302" s="109">
        <f>HYPERLINK("https://polkadot.subsquare.io/treasury/child-bounties/300", 300)</f>
        <v>300</v>
      </c>
      <c r="B302" s="183">
        <v>17.0</v>
      </c>
      <c r="C302" s="27" t="s">
        <v>3404</v>
      </c>
      <c r="D302" s="27" t="s">
        <v>898</v>
      </c>
      <c r="E302" s="129">
        <v>728.0</v>
      </c>
      <c r="F302" s="66">
        <v>3186.589889526367</v>
      </c>
      <c r="G302" s="27" t="s">
        <v>3443</v>
      </c>
      <c r="H302" s="167">
        <v>45089.0</v>
      </c>
      <c r="I302" s="167">
        <v>45101.0</v>
      </c>
      <c r="J302" s="66">
        <v>3659.460178375244</v>
      </c>
      <c r="K302" s="1"/>
      <c r="L302" s="1" t="s">
        <v>266</v>
      </c>
      <c r="M302" s="1" t="str">
        <f>VLOOKUP(B302,Bounties!A:D,3,FALSE)</f>
        <v>Outreach</v>
      </c>
      <c r="N302" s="1" t="str">
        <f>VLOOKUP(B302,Bounties!A:D,4,FALSE)</f>
        <v>Events/Meetups</v>
      </c>
      <c r="O302" s="1" t="str">
        <f t="shared" ref="O302:P302" si="306">IF(ISBLANK(K302),M302,K302)</f>
        <v>Outreach</v>
      </c>
      <c r="P302" s="1" t="str">
        <f t="shared" si="306"/>
        <v>Events/Conference Attendance &amp; Side Events</v>
      </c>
      <c r="Q302" s="108" t="str">
        <f t="shared" si="3"/>
        <v>2023</v>
      </c>
      <c r="R302" s="110">
        <f t="shared" si="4"/>
        <v>6</v>
      </c>
      <c r="S302" s="108" t="str">
        <f t="shared" si="5"/>
        <v>2023-Q2</v>
      </c>
      <c r="T302" s="111" t="str">
        <f t="shared" si="6"/>
        <v>2023-06</v>
      </c>
      <c r="U302" s="112" t="str">
        <f t="shared" si="7"/>
        <v>2023-H1</v>
      </c>
      <c r="V302" s="1" t="str">
        <f>VLOOKUP(B302,Bounties!A:E,2,FALSE)</f>
        <v>Events Bounty</v>
      </c>
    </row>
    <row r="303" hidden="1">
      <c r="A303" s="109">
        <f>HYPERLINK("https://polkadot.subsquare.io/treasury/child-bounties/301", 301)</f>
        <v>301</v>
      </c>
      <c r="B303" s="183">
        <v>17.0</v>
      </c>
      <c r="C303" s="27" t="s">
        <v>3404</v>
      </c>
      <c r="D303" s="27" t="s">
        <v>899</v>
      </c>
      <c r="E303" s="129">
        <v>1027.0</v>
      </c>
      <c r="F303" s="66">
        <v>4495.367879867554</v>
      </c>
      <c r="G303" s="27" t="s">
        <v>3510</v>
      </c>
      <c r="H303" s="167">
        <v>45089.0</v>
      </c>
      <c r="I303" s="167">
        <v>45099.0</v>
      </c>
      <c r="J303" s="66">
        <v>5335.064884185791</v>
      </c>
      <c r="K303" s="1"/>
      <c r="L303" s="1" t="s">
        <v>266</v>
      </c>
      <c r="M303" s="1" t="str">
        <f>VLOOKUP(B303,Bounties!A:D,3,FALSE)</f>
        <v>Outreach</v>
      </c>
      <c r="N303" s="1" t="str">
        <f>VLOOKUP(B303,Bounties!A:D,4,FALSE)</f>
        <v>Events/Meetups</v>
      </c>
      <c r="O303" s="1" t="str">
        <f t="shared" ref="O303:P303" si="307">IF(ISBLANK(K303),M303,K303)</f>
        <v>Outreach</v>
      </c>
      <c r="P303" s="1" t="str">
        <f t="shared" si="307"/>
        <v>Events/Conference Attendance &amp; Side Events</v>
      </c>
      <c r="Q303" s="108" t="str">
        <f t="shared" si="3"/>
        <v>2023</v>
      </c>
      <c r="R303" s="110">
        <f t="shared" si="4"/>
        <v>6</v>
      </c>
      <c r="S303" s="108" t="str">
        <f t="shared" si="5"/>
        <v>2023-Q2</v>
      </c>
      <c r="T303" s="111" t="str">
        <f t="shared" si="6"/>
        <v>2023-06</v>
      </c>
      <c r="U303" s="112" t="str">
        <f t="shared" si="7"/>
        <v>2023-H1</v>
      </c>
      <c r="V303" s="1" t="str">
        <f>VLOOKUP(B303,Bounties!A:E,2,FALSE)</f>
        <v>Events Bounty</v>
      </c>
    </row>
    <row r="304" hidden="1">
      <c r="A304" s="109">
        <f>HYPERLINK("https://polkadot.subsquare.io/treasury/child-bounties/302", 302)</f>
        <v>302</v>
      </c>
      <c r="B304" s="183">
        <v>17.0</v>
      </c>
      <c r="C304" s="27" t="s">
        <v>3404</v>
      </c>
      <c r="D304" s="27" t="s">
        <v>900</v>
      </c>
      <c r="E304" s="129">
        <v>843.0</v>
      </c>
      <c r="F304" s="66">
        <v>3689.966039657593</v>
      </c>
      <c r="G304" s="27" t="s">
        <v>3476</v>
      </c>
      <c r="H304" s="167">
        <v>45089.0</v>
      </c>
      <c r="I304" s="167">
        <v>45098.0</v>
      </c>
      <c r="J304" s="66">
        <v>4299.481209754944</v>
      </c>
      <c r="K304" s="1"/>
      <c r="L304" s="1" t="s">
        <v>266</v>
      </c>
      <c r="M304" s="1" t="str">
        <f>VLOOKUP(B304,Bounties!A:D,3,FALSE)</f>
        <v>Outreach</v>
      </c>
      <c r="N304" s="1" t="str">
        <f>VLOOKUP(B304,Bounties!A:D,4,FALSE)</f>
        <v>Events/Meetups</v>
      </c>
      <c r="O304" s="1" t="str">
        <f t="shared" ref="O304:P304" si="308">IF(ISBLANK(K304),M304,K304)</f>
        <v>Outreach</v>
      </c>
      <c r="P304" s="1" t="str">
        <f t="shared" si="308"/>
        <v>Events/Conference Attendance &amp; Side Events</v>
      </c>
      <c r="Q304" s="108" t="str">
        <f t="shared" si="3"/>
        <v>2023</v>
      </c>
      <c r="R304" s="110">
        <f t="shared" si="4"/>
        <v>6</v>
      </c>
      <c r="S304" s="108" t="str">
        <f t="shared" si="5"/>
        <v>2023-Q2</v>
      </c>
      <c r="T304" s="111" t="str">
        <f t="shared" si="6"/>
        <v>2023-06</v>
      </c>
      <c r="U304" s="112" t="str">
        <f t="shared" si="7"/>
        <v>2023-H1</v>
      </c>
      <c r="V304" s="1" t="str">
        <f>VLOOKUP(B304,Bounties!A:E,2,FALSE)</f>
        <v>Events Bounty</v>
      </c>
    </row>
    <row r="305" hidden="1">
      <c r="A305" s="109">
        <f>HYPERLINK("https://polkadot.subsquare.io/treasury/child-bounties/303", 303)</f>
        <v>303</v>
      </c>
      <c r="B305" s="183">
        <v>17.0</v>
      </c>
      <c r="C305" s="27" t="s">
        <v>3404</v>
      </c>
      <c r="D305" s="27" t="s">
        <v>901</v>
      </c>
      <c r="E305" s="129">
        <v>5639.0</v>
      </c>
      <c r="F305" s="66">
        <v>24682.940092086792</v>
      </c>
      <c r="G305" s="27" t="s">
        <v>3511</v>
      </c>
      <c r="H305" s="167">
        <v>45089.0</v>
      </c>
      <c r="I305" s="167">
        <v>45097.0</v>
      </c>
      <c r="J305" s="66">
        <v>28760.112149238586</v>
      </c>
      <c r="K305" s="1"/>
      <c r="L305" s="1" t="s">
        <v>266</v>
      </c>
      <c r="M305" s="1" t="str">
        <f>VLOOKUP(B305,Bounties!A:D,3,FALSE)</f>
        <v>Outreach</v>
      </c>
      <c r="N305" s="1" t="str">
        <f>VLOOKUP(B305,Bounties!A:D,4,FALSE)</f>
        <v>Events/Meetups</v>
      </c>
      <c r="O305" s="1" t="str">
        <f t="shared" ref="O305:P305" si="309">IF(ISBLANK(K305),M305,K305)</f>
        <v>Outreach</v>
      </c>
      <c r="P305" s="1" t="str">
        <f t="shared" si="309"/>
        <v>Events/Conference Attendance &amp; Side Events</v>
      </c>
      <c r="Q305" s="108" t="str">
        <f t="shared" si="3"/>
        <v>2023</v>
      </c>
      <c r="R305" s="110">
        <f t="shared" si="4"/>
        <v>6</v>
      </c>
      <c r="S305" s="108" t="str">
        <f t="shared" si="5"/>
        <v>2023-Q2</v>
      </c>
      <c r="T305" s="111" t="str">
        <f t="shared" si="6"/>
        <v>2023-06</v>
      </c>
      <c r="U305" s="112" t="str">
        <f t="shared" si="7"/>
        <v>2023-H1</v>
      </c>
      <c r="V305" s="1" t="str">
        <f>VLOOKUP(B305,Bounties!A:E,2,FALSE)</f>
        <v>Events Bounty</v>
      </c>
    </row>
    <row r="306" hidden="1">
      <c r="A306" s="109">
        <f>HYPERLINK("https://polkadot.subsquare.io/treasury/child-bounties/304", 304)</f>
        <v>304</v>
      </c>
      <c r="B306" s="183">
        <v>17.0</v>
      </c>
      <c r="C306" s="27" t="s">
        <v>3404</v>
      </c>
      <c r="D306" s="27" t="s">
        <v>902</v>
      </c>
      <c r="E306" s="129">
        <v>958.0</v>
      </c>
      <c r="F306" s="66">
        <v>4193.342189788818</v>
      </c>
      <c r="G306" s="27" t="s">
        <v>3512</v>
      </c>
      <c r="H306" s="167">
        <v>45089.0</v>
      </c>
      <c r="I306" s="167">
        <v>45099.0</v>
      </c>
      <c r="J306" s="66">
        <v>4797.134001731873</v>
      </c>
      <c r="K306" s="1"/>
      <c r="L306" s="1" t="s">
        <v>266</v>
      </c>
      <c r="M306" s="1" t="str">
        <f>VLOOKUP(B306,Bounties!A:D,3,FALSE)</f>
        <v>Outreach</v>
      </c>
      <c r="N306" s="1" t="str">
        <f>VLOOKUP(B306,Bounties!A:D,4,FALSE)</f>
        <v>Events/Meetups</v>
      </c>
      <c r="O306" s="1" t="str">
        <f t="shared" ref="O306:P306" si="310">IF(ISBLANK(K306),M306,K306)</f>
        <v>Outreach</v>
      </c>
      <c r="P306" s="1" t="str">
        <f t="shared" si="310"/>
        <v>Events/Conference Attendance &amp; Side Events</v>
      </c>
      <c r="Q306" s="108" t="str">
        <f t="shared" si="3"/>
        <v>2023</v>
      </c>
      <c r="R306" s="110">
        <f t="shared" si="4"/>
        <v>6</v>
      </c>
      <c r="S306" s="108" t="str">
        <f t="shared" si="5"/>
        <v>2023-Q2</v>
      </c>
      <c r="T306" s="111" t="str">
        <f t="shared" si="6"/>
        <v>2023-06</v>
      </c>
      <c r="U306" s="112" t="str">
        <f t="shared" si="7"/>
        <v>2023-H1</v>
      </c>
      <c r="V306" s="1" t="str">
        <f>VLOOKUP(B306,Bounties!A:E,2,FALSE)</f>
        <v>Events Bounty</v>
      </c>
    </row>
    <row r="307" hidden="1">
      <c r="A307" s="109">
        <f>HYPERLINK("https://polkadot.subsquare.io/treasury/child-bounties/305", 305)</f>
        <v>305</v>
      </c>
      <c r="B307" s="183">
        <v>17.0</v>
      </c>
      <c r="C307" s="27" t="s">
        <v>3404</v>
      </c>
      <c r="D307" s="27" t="s">
        <v>903</v>
      </c>
      <c r="E307" s="129">
        <v>767.0</v>
      </c>
      <c r="F307" s="66">
        <v>3357.3000621795654</v>
      </c>
      <c r="G307" s="27" t="s">
        <v>3513</v>
      </c>
      <c r="H307" s="167">
        <v>45089.0</v>
      </c>
      <c r="I307" s="167">
        <v>45100.0</v>
      </c>
      <c r="J307" s="66">
        <v>3855.502687931061</v>
      </c>
      <c r="K307" s="1"/>
      <c r="L307" s="1" t="s">
        <v>266</v>
      </c>
      <c r="M307" s="1" t="str">
        <f>VLOOKUP(B307,Bounties!A:D,3,FALSE)</f>
        <v>Outreach</v>
      </c>
      <c r="N307" s="1" t="str">
        <f>VLOOKUP(B307,Bounties!A:D,4,FALSE)</f>
        <v>Events/Meetups</v>
      </c>
      <c r="O307" s="1" t="str">
        <f t="shared" ref="O307:P307" si="311">IF(ISBLANK(K307),M307,K307)</f>
        <v>Outreach</v>
      </c>
      <c r="P307" s="1" t="str">
        <f t="shared" si="311"/>
        <v>Events/Conference Attendance &amp; Side Events</v>
      </c>
      <c r="Q307" s="108" t="str">
        <f t="shared" si="3"/>
        <v>2023</v>
      </c>
      <c r="R307" s="110">
        <f t="shared" si="4"/>
        <v>6</v>
      </c>
      <c r="S307" s="108" t="str">
        <f t="shared" si="5"/>
        <v>2023-Q2</v>
      </c>
      <c r="T307" s="111" t="str">
        <f t="shared" si="6"/>
        <v>2023-06</v>
      </c>
      <c r="U307" s="112" t="str">
        <f t="shared" si="7"/>
        <v>2023-H1</v>
      </c>
      <c r="V307" s="1" t="str">
        <f>VLOOKUP(B307,Bounties!A:E,2,FALSE)</f>
        <v>Events Bounty</v>
      </c>
    </row>
    <row r="308" hidden="1">
      <c r="A308" s="109">
        <f>HYPERLINK("https://polkadot.subsquare.io/treasury/child-bounties/306", 306)</f>
        <v>306</v>
      </c>
      <c r="B308" s="183">
        <v>17.0</v>
      </c>
      <c r="C308" s="27" t="s">
        <v>3404</v>
      </c>
      <c r="D308" s="27" t="s">
        <v>904</v>
      </c>
      <c r="E308" s="129">
        <v>911.0</v>
      </c>
      <c r="F308" s="66">
        <v>3987.6145458221436</v>
      </c>
      <c r="G308" s="27" t="s">
        <v>3450</v>
      </c>
      <c r="H308" s="167">
        <v>45089.0</v>
      </c>
      <c r="I308" s="167">
        <v>45099.0</v>
      </c>
      <c r="J308" s="66">
        <v>4561.784003734589</v>
      </c>
      <c r="K308" s="1"/>
      <c r="L308" s="1" t="s">
        <v>266</v>
      </c>
      <c r="M308" s="1" t="str">
        <f>VLOOKUP(B308,Bounties!A:D,3,FALSE)</f>
        <v>Outreach</v>
      </c>
      <c r="N308" s="1" t="str">
        <f>VLOOKUP(B308,Bounties!A:D,4,FALSE)</f>
        <v>Events/Meetups</v>
      </c>
      <c r="O308" s="1" t="str">
        <f t="shared" ref="O308:P308" si="312">IF(ISBLANK(K308),M308,K308)</f>
        <v>Outreach</v>
      </c>
      <c r="P308" s="1" t="str">
        <f t="shared" si="312"/>
        <v>Events/Conference Attendance &amp; Side Events</v>
      </c>
      <c r="Q308" s="108" t="str">
        <f t="shared" si="3"/>
        <v>2023</v>
      </c>
      <c r="R308" s="110">
        <f t="shared" si="4"/>
        <v>6</v>
      </c>
      <c r="S308" s="108" t="str">
        <f t="shared" si="5"/>
        <v>2023-Q2</v>
      </c>
      <c r="T308" s="111" t="str">
        <f t="shared" si="6"/>
        <v>2023-06</v>
      </c>
      <c r="U308" s="112" t="str">
        <f t="shared" si="7"/>
        <v>2023-H1</v>
      </c>
      <c r="V308" s="1" t="str">
        <f>VLOOKUP(B308,Bounties!A:E,2,FALSE)</f>
        <v>Events Bounty</v>
      </c>
    </row>
    <row r="309" hidden="1">
      <c r="A309" s="109">
        <f>HYPERLINK("https://polkadot.subsquare.io/treasury/child-bounties/307", 307)</f>
        <v>307</v>
      </c>
      <c r="B309" s="183">
        <v>17.0</v>
      </c>
      <c r="C309" s="27" t="s">
        <v>3404</v>
      </c>
      <c r="D309" s="27" t="s">
        <v>905</v>
      </c>
      <c r="E309" s="129">
        <v>974.0</v>
      </c>
      <c r="F309" s="66">
        <v>4263.3771324157715</v>
      </c>
      <c r="G309" s="27" t="s">
        <v>3514</v>
      </c>
      <c r="H309" s="167">
        <v>45089.0</v>
      </c>
      <c r="I309" s="167">
        <v>45098.0</v>
      </c>
      <c r="J309" s="66">
        <v>4967.609369277954</v>
      </c>
      <c r="K309" s="1"/>
      <c r="L309" s="1" t="s">
        <v>266</v>
      </c>
      <c r="M309" s="1" t="str">
        <f>VLOOKUP(B309,Bounties!A:D,3,FALSE)</f>
        <v>Outreach</v>
      </c>
      <c r="N309" s="1" t="str">
        <f>VLOOKUP(B309,Bounties!A:D,4,FALSE)</f>
        <v>Events/Meetups</v>
      </c>
      <c r="O309" s="1" t="str">
        <f t="shared" ref="O309:P309" si="313">IF(ISBLANK(K309),M309,K309)</f>
        <v>Outreach</v>
      </c>
      <c r="P309" s="1" t="str">
        <f t="shared" si="313"/>
        <v>Events/Conference Attendance &amp; Side Events</v>
      </c>
      <c r="Q309" s="108" t="str">
        <f t="shared" si="3"/>
        <v>2023</v>
      </c>
      <c r="R309" s="110">
        <f t="shared" si="4"/>
        <v>6</v>
      </c>
      <c r="S309" s="108" t="str">
        <f t="shared" si="5"/>
        <v>2023-Q2</v>
      </c>
      <c r="T309" s="111" t="str">
        <f t="shared" si="6"/>
        <v>2023-06</v>
      </c>
      <c r="U309" s="112" t="str">
        <f t="shared" si="7"/>
        <v>2023-H1</v>
      </c>
      <c r="V309" s="1" t="str">
        <f>VLOOKUP(B309,Bounties!A:E,2,FALSE)</f>
        <v>Events Bounty</v>
      </c>
    </row>
    <row r="310" hidden="1">
      <c r="A310" s="109">
        <f>HYPERLINK("https://polkadot.subsquare.io/treasury/child-bounties/308", 308)</f>
        <v>308</v>
      </c>
      <c r="B310" s="183">
        <v>17.0</v>
      </c>
      <c r="C310" s="27" t="s">
        <v>3404</v>
      </c>
      <c r="D310" s="27" t="s">
        <v>906</v>
      </c>
      <c r="E310" s="129">
        <v>783.0</v>
      </c>
      <c r="F310" s="66">
        <v>3427.3350048065186</v>
      </c>
      <c r="G310" s="27" t="s">
        <v>3514</v>
      </c>
      <c r="H310" s="167">
        <v>45089.0</v>
      </c>
      <c r="I310" s="167">
        <v>45098.0</v>
      </c>
      <c r="J310" s="66">
        <v>3993.4683122634888</v>
      </c>
      <c r="K310" s="1"/>
      <c r="L310" s="1" t="s">
        <v>266</v>
      </c>
      <c r="M310" s="1" t="str">
        <f>VLOOKUP(B310,Bounties!A:D,3,FALSE)</f>
        <v>Outreach</v>
      </c>
      <c r="N310" s="1" t="str">
        <f>VLOOKUP(B310,Bounties!A:D,4,FALSE)</f>
        <v>Events/Meetups</v>
      </c>
      <c r="O310" s="1" t="str">
        <f t="shared" ref="O310:P310" si="314">IF(ISBLANK(K310),M310,K310)</f>
        <v>Outreach</v>
      </c>
      <c r="P310" s="1" t="str">
        <f t="shared" si="314"/>
        <v>Events/Conference Attendance &amp; Side Events</v>
      </c>
      <c r="Q310" s="108" t="str">
        <f t="shared" si="3"/>
        <v>2023</v>
      </c>
      <c r="R310" s="110">
        <f t="shared" si="4"/>
        <v>6</v>
      </c>
      <c r="S310" s="108" t="str">
        <f t="shared" si="5"/>
        <v>2023-Q2</v>
      </c>
      <c r="T310" s="111" t="str">
        <f t="shared" si="6"/>
        <v>2023-06</v>
      </c>
      <c r="U310" s="112" t="str">
        <f t="shared" si="7"/>
        <v>2023-H1</v>
      </c>
      <c r="V310" s="1" t="str">
        <f>VLOOKUP(B310,Bounties!A:E,2,FALSE)</f>
        <v>Events Bounty</v>
      </c>
    </row>
    <row r="311" hidden="1">
      <c r="A311" s="109">
        <f>HYPERLINK("https://polkadot.subsquare.io/treasury/child-bounties/309", 309)</f>
        <v>309</v>
      </c>
      <c r="B311" s="183">
        <v>17.0</v>
      </c>
      <c r="C311" s="27" t="s">
        <v>3404</v>
      </c>
      <c r="D311" s="27" t="s">
        <v>907</v>
      </c>
      <c r="E311" s="129">
        <v>910.0</v>
      </c>
      <c r="F311" s="66">
        <v>3983.237361907959</v>
      </c>
      <c r="G311" s="27" t="s">
        <v>3515</v>
      </c>
      <c r="H311" s="167">
        <v>45089.0</v>
      </c>
      <c r="I311" s="167">
        <v>45098.0</v>
      </c>
      <c r="J311" s="66">
        <v>4556.776556968689</v>
      </c>
      <c r="K311" s="1"/>
      <c r="L311" s="1" t="s">
        <v>266</v>
      </c>
      <c r="M311" s="1" t="str">
        <f>VLOOKUP(B311,Bounties!A:D,3,FALSE)</f>
        <v>Outreach</v>
      </c>
      <c r="N311" s="1" t="str">
        <f>VLOOKUP(B311,Bounties!A:D,4,FALSE)</f>
        <v>Events/Meetups</v>
      </c>
      <c r="O311" s="1" t="str">
        <f t="shared" ref="O311:P311" si="315">IF(ISBLANK(K311),M311,K311)</f>
        <v>Outreach</v>
      </c>
      <c r="P311" s="1" t="str">
        <f t="shared" si="315"/>
        <v>Events/Conference Attendance &amp; Side Events</v>
      </c>
      <c r="Q311" s="108" t="str">
        <f t="shared" si="3"/>
        <v>2023</v>
      </c>
      <c r="R311" s="110">
        <f t="shared" si="4"/>
        <v>6</v>
      </c>
      <c r="S311" s="108" t="str">
        <f t="shared" si="5"/>
        <v>2023-Q2</v>
      </c>
      <c r="T311" s="111" t="str">
        <f t="shared" si="6"/>
        <v>2023-06</v>
      </c>
      <c r="U311" s="112" t="str">
        <f t="shared" si="7"/>
        <v>2023-H1</v>
      </c>
      <c r="V311" s="1" t="str">
        <f>VLOOKUP(B311,Bounties!A:E,2,FALSE)</f>
        <v>Events Bounty</v>
      </c>
    </row>
    <row r="312" hidden="1">
      <c r="A312" s="109">
        <f>HYPERLINK("https://polkadot.subsquare.io/treasury/child-bounties/310", 310)</f>
        <v>310</v>
      </c>
      <c r="B312" s="183">
        <v>17.0</v>
      </c>
      <c r="C312" s="27" t="s">
        <v>3404</v>
      </c>
      <c r="D312" s="27" t="s">
        <v>908</v>
      </c>
      <c r="E312" s="129">
        <v>880.4</v>
      </c>
      <c r="F312" s="66">
        <v>3853.6727180480957</v>
      </c>
      <c r="G312" s="27" t="s">
        <v>3516</v>
      </c>
      <c r="H312" s="167">
        <v>45089.0</v>
      </c>
      <c r="I312" s="167">
        <v>45103.0</v>
      </c>
      <c r="J312" s="66">
        <v>4299.003604507446</v>
      </c>
      <c r="K312" s="1"/>
      <c r="L312" s="1" t="s">
        <v>266</v>
      </c>
      <c r="M312" s="1" t="str">
        <f>VLOOKUP(B312,Bounties!A:D,3,FALSE)</f>
        <v>Outreach</v>
      </c>
      <c r="N312" s="1" t="str">
        <f>VLOOKUP(B312,Bounties!A:D,4,FALSE)</f>
        <v>Events/Meetups</v>
      </c>
      <c r="O312" s="1" t="str">
        <f t="shared" ref="O312:P312" si="316">IF(ISBLANK(K312),M312,K312)</f>
        <v>Outreach</v>
      </c>
      <c r="P312" s="1" t="str">
        <f t="shared" si="316"/>
        <v>Events/Conference Attendance &amp; Side Events</v>
      </c>
      <c r="Q312" s="108" t="str">
        <f t="shared" si="3"/>
        <v>2023</v>
      </c>
      <c r="R312" s="110">
        <f t="shared" si="4"/>
        <v>6</v>
      </c>
      <c r="S312" s="108" t="str">
        <f t="shared" si="5"/>
        <v>2023-Q2</v>
      </c>
      <c r="T312" s="111" t="str">
        <f t="shared" si="6"/>
        <v>2023-06</v>
      </c>
      <c r="U312" s="112" t="str">
        <f t="shared" si="7"/>
        <v>2023-H1</v>
      </c>
      <c r="V312" s="1" t="str">
        <f>VLOOKUP(B312,Bounties!A:E,2,FALSE)</f>
        <v>Events Bounty</v>
      </c>
    </row>
    <row r="313" hidden="1">
      <c r="A313" s="109">
        <f>HYPERLINK("https://polkadot.subsquare.io/treasury/child-bounties/311", 311)</f>
        <v>311</v>
      </c>
      <c r="B313" s="183">
        <v>17.0</v>
      </c>
      <c r="C313" s="27" t="s">
        <v>3404</v>
      </c>
      <c r="D313" s="27" t="s">
        <v>909</v>
      </c>
      <c r="E313" s="129">
        <v>1058.2</v>
      </c>
      <c r="F313" s="66">
        <v>4631.936017990112</v>
      </c>
      <c r="G313" s="27" t="s">
        <v>3517</v>
      </c>
      <c r="H313" s="167">
        <v>45089.0</v>
      </c>
      <c r="I313" s="167">
        <v>45098.0</v>
      </c>
      <c r="J313" s="66">
        <v>5298.880167675018</v>
      </c>
      <c r="K313" s="1"/>
      <c r="L313" s="1" t="s">
        <v>266</v>
      </c>
      <c r="M313" s="1" t="str">
        <f>VLOOKUP(B313,Bounties!A:D,3,FALSE)</f>
        <v>Outreach</v>
      </c>
      <c r="N313" s="1" t="str">
        <f>VLOOKUP(B313,Bounties!A:D,4,FALSE)</f>
        <v>Events/Meetups</v>
      </c>
      <c r="O313" s="1" t="str">
        <f t="shared" ref="O313:P313" si="317">IF(ISBLANK(K313),M313,K313)</f>
        <v>Outreach</v>
      </c>
      <c r="P313" s="1" t="str">
        <f t="shared" si="317"/>
        <v>Events/Conference Attendance &amp; Side Events</v>
      </c>
      <c r="Q313" s="108" t="str">
        <f t="shared" si="3"/>
        <v>2023</v>
      </c>
      <c r="R313" s="110">
        <f t="shared" si="4"/>
        <v>6</v>
      </c>
      <c r="S313" s="108" t="str">
        <f t="shared" si="5"/>
        <v>2023-Q2</v>
      </c>
      <c r="T313" s="111" t="str">
        <f t="shared" si="6"/>
        <v>2023-06</v>
      </c>
      <c r="U313" s="112" t="str">
        <f t="shared" si="7"/>
        <v>2023-H1</v>
      </c>
      <c r="V313" s="1" t="str">
        <f>VLOOKUP(B313,Bounties!A:E,2,FALSE)</f>
        <v>Events Bounty</v>
      </c>
    </row>
    <row r="314" hidden="1">
      <c r="A314" s="109">
        <f>HYPERLINK("https://polkadot.subsquare.io/treasury/child-bounties/312", 312)</f>
        <v>312</v>
      </c>
      <c r="B314" s="183">
        <v>17.0</v>
      </c>
      <c r="C314" s="27" t="s">
        <v>3404</v>
      </c>
      <c r="D314" s="27" t="s">
        <v>910</v>
      </c>
      <c r="E314" s="129">
        <v>717.8</v>
      </c>
      <c r="F314" s="66">
        <v>3141.9426136016846</v>
      </c>
      <c r="G314" s="27" t="s">
        <v>3513</v>
      </c>
      <c r="H314" s="167">
        <v>45089.0</v>
      </c>
      <c r="I314" s="167">
        <v>45100.0</v>
      </c>
      <c r="J314" s="66">
        <v>3608.1875220298766</v>
      </c>
      <c r="K314" s="1"/>
      <c r="L314" s="1" t="s">
        <v>266</v>
      </c>
      <c r="M314" s="1" t="str">
        <f>VLOOKUP(B314,Bounties!A:D,3,FALSE)</f>
        <v>Outreach</v>
      </c>
      <c r="N314" s="1" t="str">
        <f>VLOOKUP(B314,Bounties!A:D,4,FALSE)</f>
        <v>Events/Meetups</v>
      </c>
      <c r="O314" s="1" t="str">
        <f t="shared" ref="O314:P314" si="318">IF(ISBLANK(K314),M314,K314)</f>
        <v>Outreach</v>
      </c>
      <c r="P314" s="1" t="str">
        <f t="shared" si="318"/>
        <v>Events/Conference Attendance &amp; Side Events</v>
      </c>
      <c r="Q314" s="108" t="str">
        <f t="shared" si="3"/>
        <v>2023</v>
      </c>
      <c r="R314" s="110">
        <f t="shared" si="4"/>
        <v>6</v>
      </c>
      <c r="S314" s="108" t="str">
        <f t="shared" si="5"/>
        <v>2023-Q2</v>
      </c>
      <c r="T314" s="111" t="str">
        <f t="shared" si="6"/>
        <v>2023-06</v>
      </c>
      <c r="U314" s="112" t="str">
        <f t="shared" si="7"/>
        <v>2023-H1</v>
      </c>
      <c r="V314" s="1" t="str">
        <f>VLOOKUP(B314,Bounties!A:E,2,FALSE)</f>
        <v>Events Bounty</v>
      </c>
    </row>
    <row r="315" hidden="1">
      <c r="A315" s="109">
        <f>HYPERLINK("https://polkadot.subsquare.io/treasury/child-bounties/313", 313)</f>
        <v>313</v>
      </c>
      <c r="B315" s="183">
        <v>17.0</v>
      </c>
      <c r="C315" s="27" t="s">
        <v>3404</v>
      </c>
      <c r="D315" s="27" t="s">
        <v>911</v>
      </c>
      <c r="E315" s="129">
        <v>8597.0</v>
      </c>
      <c r="F315" s="66">
        <v>37971.63562774658</v>
      </c>
      <c r="G315" s="27" t="s">
        <v>3518</v>
      </c>
      <c r="H315" s="167">
        <v>45091.0</v>
      </c>
      <c r="I315" s="167">
        <v>45103.0</v>
      </c>
      <c r="J315" s="66">
        <v>42866.88487958908</v>
      </c>
      <c r="K315" s="1"/>
      <c r="L315" s="1" t="s">
        <v>266</v>
      </c>
      <c r="M315" s="1" t="str">
        <f>VLOOKUP(B315,Bounties!A:D,3,FALSE)</f>
        <v>Outreach</v>
      </c>
      <c r="N315" s="1" t="str">
        <f>VLOOKUP(B315,Bounties!A:D,4,FALSE)</f>
        <v>Events/Meetups</v>
      </c>
      <c r="O315" s="1" t="str">
        <f t="shared" ref="O315:P315" si="319">IF(ISBLANK(K315),M315,K315)</f>
        <v>Outreach</v>
      </c>
      <c r="P315" s="1" t="str">
        <f t="shared" si="319"/>
        <v>Events/Conference Attendance &amp; Side Events</v>
      </c>
      <c r="Q315" s="108" t="str">
        <f t="shared" si="3"/>
        <v>2023</v>
      </c>
      <c r="R315" s="110">
        <f t="shared" si="4"/>
        <v>6</v>
      </c>
      <c r="S315" s="108" t="str">
        <f t="shared" si="5"/>
        <v>2023-Q2</v>
      </c>
      <c r="T315" s="111" t="str">
        <f t="shared" si="6"/>
        <v>2023-06</v>
      </c>
      <c r="U315" s="112" t="str">
        <f t="shared" si="7"/>
        <v>2023-H1</v>
      </c>
      <c r="V315" s="1" t="str">
        <f>VLOOKUP(B315,Bounties!A:E,2,FALSE)</f>
        <v>Events Bounty</v>
      </c>
    </row>
    <row r="316" hidden="1">
      <c r="A316" s="109">
        <f>HYPERLINK("https://polkadot.subsquare.io/treasury/child-bounties/314", 314)</f>
        <v>314</v>
      </c>
      <c r="B316" s="183">
        <v>17.0</v>
      </c>
      <c r="C316" s="27" t="s">
        <v>3404</v>
      </c>
      <c r="D316" s="27" t="s">
        <v>912</v>
      </c>
      <c r="E316" s="129">
        <v>3316.7</v>
      </c>
      <c r="F316" s="66">
        <v>16608.198688459397</v>
      </c>
      <c r="G316" s="27" t="s">
        <v>3468</v>
      </c>
      <c r="H316" s="167">
        <v>45098.0</v>
      </c>
      <c r="I316" s="167">
        <v>45111.0</v>
      </c>
      <c r="J316" s="66">
        <v>16964.846990680693</v>
      </c>
      <c r="K316" s="1"/>
      <c r="L316" s="1" t="s">
        <v>266</v>
      </c>
      <c r="M316" s="1" t="str">
        <f>VLOOKUP(B316,Bounties!A:D,3,FALSE)</f>
        <v>Outreach</v>
      </c>
      <c r="N316" s="1" t="str">
        <f>VLOOKUP(B316,Bounties!A:D,4,FALSE)</f>
        <v>Events/Meetups</v>
      </c>
      <c r="O316" s="1" t="str">
        <f t="shared" ref="O316:P316" si="320">IF(ISBLANK(K316),M316,K316)</f>
        <v>Outreach</v>
      </c>
      <c r="P316" s="1" t="str">
        <f t="shared" si="320"/>
        <v>Events/Conference Attendance &amp; Side Events</v>
      </c>
      <c r="Q316" s="108" t="str">
        <f t="shared" si="3"/>
        <v>2023</v>
      </c>
      <c r="R316" s="110">
        <f t="shared" si="4"/>
        <v>7</v>
      </c>
      <c r="S316" s="108" t="str">
        <f t="shared" si="5"/>
        <v>2023-Q3</v>
      </c>
      <c r="T316" s="111" t="str">
        <f t="shared" si="6"/>
        <v>2023-07</v>
      </c>
      <c r="U316" s="112" t="str">
        <f t="shared" si="7"/>
        <v>2023-H2</v>
      </c>
      <c r="V316" s="1" t="str">
        <f>VLOOKUP(B316,Bounties!A:E,2,FALSE)</f>
        <v>Events Bounty</v>
      </c>
    </row>
    <row r="317" hidden="1">
      <c r="A317" s="109">
        <f>HYPERLINK("https://polkadot.subsquare.io/treasury/child-bounties/315", 315)</f>
        <v>315</v>
      </c>
      <c r="B317" s="183">
        <v>17.0</v>
      </c>
      <c r="C317" s="27" t="s">
        <v>3404</v>
      </c>
      <c r="D317" s="27" t="s">
        <v>913</v>
      </c>
      <c r="E317" s="129">
        <v>4938.7</v>
      </c>
      <c r="F317" s="66">
        <v>24730.277342748643</v>
      </c>
      <c r="G317" s="27" t="s">
        <v>3468</v>
      </c>
      <c r="H317" s="167">
        <v>45098.0</v>
      </c>
      <c r="I317" s="167">
        <v>45111.0</v>
      </c>
      <c r="J317" s="66">
        <v>25261.341041660307</v>
      </c>
      <c r="K317" s="1"/>
      <c r="L317" s="1" t="s">
        <v>266</v>
      </c>
      <c r="M317" s="1" t="str">
        <f>VLOOKUP(B317,Bounties!A:D,3,FALSE)</f>
        <v>Outreach</v>
      </c>
      <c r="N317" s="1" t="str">
        <f>VLOOKUP(B317,Bounties!A:D,4,FALSE)</f>
        <v>Events/Meetups</v>
      </c>
      <c r="O317" s="1" t="str">
        <f t="shared" ref="O317:P317" si="321">IF(ISBLANK(K317),M317,K317)</f>
        <v>Outreach</v>
      </c>
      <c r="P317" s="1" t="str">
        <f t="shared" si="321"/>
        <v>Events/Conference Attendance &amp; Side Events</v>
      </c>
      <c r="Q317" s="108" t="str">
        <f t="shared" si="3"/>
        <v>2023</v>
      </c>
      <c r="R317" s="110">
        <f t="shared" si="4"/>
        <v>7</v>
      </c>
      <c r="S317" s="108" t="str">
        <f t="shared" si="5"/>
        <v>2023-Q3</v>
      </c>
      <c r="T317" s="111" t="str">
        <f t="shared" si="6"/>
        <v>2023-07</v>
      </c>
      <c r="U317" s="112" t="str">
        <f t="shared" si="7"/>
        <v>2023-H2</v>
      </c>
      <c r="V317" s="1" t="str">
        <f>VLOOKUP(B317,Bounties!A:E,2,FALSE)</f>
        <v>Events Bounty</v>
      </c>
    </row>
    <row r="318" hidden="1">
      <c r="A318" s="109">
        <f>HYPERLINK("https://polkadot.subsquare.io/treasury/child-bounties/316", 316)</f>
        <v>316</v>
      </c>
      <c r="B318" s="183">
        <v>17.0</v>
      </c>
      <c r="C318" s="27" t="s">
        <v>3404</v>
      </c>
      <c r="D318" s="27" t="s">
        <v>914</v>
      </c>
      <c r="E318" s="129">
        <v>21418.579</v>
      </c>
      <c r="F318" s="66">
        <v>104587.17438031292</v>
      </c>
      <c r="G318" s="27" t="s">
        <v>3485</v>
      </c>
      <c r="H318" s="167">
        <v>45102.0</v>
      </c>
      <c r="I318" s="167">
        <v>45120.0</v>
      </c>
      <c r="J318" s="66">
        <v>116338.69789567853</v>
      </c>
      <c r="K318" s="1"/>
      <c r="L318" s="1"/>
      <c r="M318" s="1" t="str">
        <f>VLOOKUP(B318,Bounties!A:D,3,FALSE)</f>
        <v>Outreach</v>
      </c>
      <c r="N318" s="1" t="str">
        <f>VLOOKUP(B318,Bounties!A:D,4,FALSE)</f>
        <v>Events/Meetups</v>
      </c>
      <c r="O318" s="1" t="str">
        <f t="shared" ref="O318:P318" si="322">IF(ISBLANK(K318),M318,K318)</f>
        <v>Outreach</v>
      </c>
      <c r="P318" s="1" t="str">
        <f t="shared" si="322"/>
        <v>Events/Meetups</v>
      </c>
      <c r="Q318" s="108" t="str">
        <f t="shared" si="3"/>
        <v>2023</v>
      </c>
      <c r="R318" s="110">
        <f t="shared" si="4"/>
        <v>7</v>
      </c>
      <c r="S318" s="108" t="str">
        <f t="shared" si="5"/>
        <v>2023-Q3</v>
      </c>
      <c r="T318" s="111" t="str">
        <f t="shared" si="6"/>
        <v>2023-07</v>
      </c>
      <c r="U318" s="112" t="str">
        <f t="shared" si="7"/>
        <v>2023-H2</v>
      </c>
      <c r="V318" s="1" t="str">
        <f>VLOOKUP(B318,Bounties!A:E,2,FALSE)</f>
        <v>Events Bounty</v>
      </c>
    </row>
    <row r="319" hidden="1">
      <c r="A319" s="109">
        <f>HYPERLINK("https://polkadot.subsquare.io/treasury/child-bounties/317", 317)</f>
        <v>317</v>
      </c>
      <c r="B319" s="183">
        <v>11.0</v>
      </c>
      <c r="C319" s="27" t="s">
        <v>3404</v>
      </c>
      <c r="D319" s="27" t="s">
        <v>915</v>
      </c>
      <c r="E319" s="129">
        <v>150.0681066</v>
      </c>
      <c r="F319" s="66">
        <v>802.4471725698746</v>
      </c>
      <c r="G319" s="27" t="s">
        <v>3406</v>
      </c>
      <c r="H319" s="167">
        <v>45108.0</v>
      </c>
      <c r="I319" s="167">
        <v>45118.0</v>
      </c>
      <c r="J319" s="66">
        <v>832.1959289254995</v>
      </c>
      <c r="K319" s="1"/>
      <c r="L319" s="1"/>
      <c r="M319" s="1" t="str">
        <f>VLOOKUP(B319,Bounties!A:D,3,FALSE)</f>
        <v>Research</v>
      </c>
      <c r="N319" s="1" t="str">
        <f>VLOOKUP(B319,Bounties!A:D,4,FALSE)</f>
        <v>Anti-Scam</v>
      </c>
      <c r="O319" s="1" t="str">
        <f t="shared" ref="O319:P319" si="323">IF(ISBLANK(K319),M319,K319)</f>
        <v>Research</v>
      </c>
      <c r="P319" s="1" t="str">
        <f t="shared" si="323"/>
        <v>Anti-Scam</v>
      </c>
      <c r="Q319" s="108" t="str">
        <f t="shared" si="3"/>
        <v>2023</v>
      </c>
      <c r="R319" s="110">
        <f t="shared" si="4"/>
        <v>7</v>
      </c>
      <c r="S319" s="108" t="str">
        <f t="shared" si="5"/>
        <v>2023-Q3</v>
      </c>
      <c r="T319" s="111" t="str">
        <f t="shared" si="6"/>
        <v>2023-07</v>
      </c>
      <c r="U319" s="112" t="str">
        <f t="shared" si="7"/>
        <v>2023-H2</v>
      </c>
      <c r="V319" s="1" t="str">
        <f>VLOOKUP(B319,Bounties!A:E,2,FALSE)</f>
        <v>Anti-Scam Bounty</v>
      </c>
    </row>
    <row r="320" hidden="1">
      <c r="A320" s="109">
        <f>HYPERLINK("https://polkadot.subsquare.io/treasury/child-bounties/318", 318)</f>
        <v>318</v>
      </c>
      <c r="B320" s="183">
        <v>11.0</v>
      </c>
      <c r="C320" s="27" t="s">
        <v>3404</v>
      </c>
      <c r="D320" s="27" t="s">
        <v>916</v>
      </c>
      <c r="E320" s="129">
        <v>844.9114614</v>
      </c>
      <c r="F320" s="66">
        <v>4517.927417312472</v>
      </c>
      <c r="G320" s="27" t="s">
        <v>3407</v>
      </c>
      <c r="H320" s="167">
        <v>45108.0</v>
      </c>
      <c r="I320" s="167">
        <v>45117.0</v>
      </c>
      <c r="J320" s="66">
        <v>4685.418470386528</v>
      </c>
      <c r="K320" s="1"/>
      <c r="L320" s="1"/>
      <c r="M320" s="1" t="str">
        <f>VLOOKUP(B320,Bounties!A:D,3,FALSE)</f>
        <v>Research</v>
      </c>
      <c r="N320" s="1" t="str">
        <f>VLOOKUP(B320,Bounties!A:D,4,FALSE)</f>
        <v>Anti-Scam</v>
      </c>
      <c r="O320" s="1" t="str">
        <f t="shared" ref="O320:P320" si="324">IF(ISBLANK(K320),M320,K320)</f>
        <v>Research</v>
      </c>
      <c r="P320" s="1" t="str">
        <f t="shared" si="324"/>
        <v>Anti-Scam</v>
      </c>
      <c r="Q320" s="108" t="str">
        <f t="shared" si="3"/>
        <v>2023</v>
      </c>
      <c r="R320" s="110">
        <f t="shared" si="4"/>
        <v>7</v>
      </c>
      <c r="S320" s="108" t="str">
        <f t="shared" si="5"/>
        <v>2023-Q3</v>
      </c>
      <c r="T320" s="111" t="str">
        <f t="shared" si="6"/>
        <v>2023-07</v>
      </c>
      <c r="U320" s="112" t="str">
        <f t="shared" si="7"/>
        <v>2023-H2</v>
      </c>
      <c r="V320" s="1" t="str">
        <f>VLOOKUP(B320,Bounties!A:E,2,FALSE)</f>
        <v>Anti-Scam Bounty</v>
      </c>
    </row>
    <row r="321" hidden="1">
      <c r="A321" s="109">
        <f>HYPERLINK("https://polkadot.subsquare.io/treasury/child-bounties/319", 319)</f>
        <v>319</v>
      </c>
      <c r="B321" s="183">
        <v>11.0</v>
      </c>
      <c r="C321" s="27" t="s">
        <v>3404</v>
      </c>
      <c r="D321" s="27" t="s">
        <v>917</v>
      </c>
      <c r="E321" s="129">
        <v>303.9891029</v>
      </c>
      <c r="F321" s="66">
        <v>1625.4965937856223</v>
      </c>
      <c r="G321" s="27" t="s">
        <v>3411</v>
      </c>
      <c r="H321" s="167">
        <v>45108.0</v>
      </c>
      <c r="I321" s="167">
        <v>45117.0</v>
      </c>
      <c r="J321" s="66">
        <v>1564.9423527308609</v>
      </c>
      <c r="K321" s="1"/>
      <c r="L321" s="1"/>
      <c r="M321" s="1" t="str">
        <f>VLOOKUP(B321,Bounties!A:D,3,FALSE)</f>
        <v>Research</v>
      </c>
      <c r="N321" s="1" t="str">
        <f>VLOOKUP(B321,Bounties!A:D,4,FALSE)</f>
        <v>Anti-Scam</v>
      </c>
      <c r="O321" s="1" t="str">
        <f t="shared" ref="O321:P321" si="325">IF(ISBLANK(K321),M321,K321)</f>
        <v>Research</v>
      </c>
      <c r="P321" s="1" t="str">
        <f t="shared" si="325"/>
        <v>Anti-Scam</v>
      </c>
      <c r="Q321" s="108" t="str">
        <f t="shared" si="3"/>
        <v>2023</v>
      </c>
      <c r="R321" s="110">
        <f t="shared" si="4"/>
        <v>7</v>
      </c>
      <c r="S321" s="108" t="str">
        <f t="shared" si="5"/>
        <v>2023-Q3</v>
      </c>
      <c r="T321" s="111" t="str">
        <f t="shared" si="6"/>
        <v>2023-07</v>
      </c>
      <c r="U321" s="112" t="str">
        <f t="shared" si="7"/>
        <v>2023-H2</v>
      </c>
      <c r="V321" s="1" t="str">
        <f>VLOOKUP(B321,Bounties!A:E,2,FALSE)</f>
        <v>Anti-Scam Bounty</v>
      </c>
    </row>
    <row r="322" hidden="1">
      <c r="A322" s="109">
        <f>HYPERLINK("https://polkadot.subsquare.io/treasury/child-bounties/320", 320)</f>
        <v>320</v>
      </c>
      <c r="B322" s="183">
        <v>11.0</v>
      </c>
      <c r="C322" s="27" t="s">
        <v>3404</v>
      </c>
      <c r="D322" s="27" t="s">
        <v>918</v>
      </c>
      <c r="E322" s="129">
        <v>81.72796264</v>
      </c>
      <c r="F322" s="66">
        <v>437.01739181111486</v>
      </c>
      <c r="G322" s="27" t="s">
        <v>3411</v>
      </c>
      <c r="H322" s="167">
        <v>45108.0</v>
      </c>
      <c r="I322" s="167">
        <v>45118.0</v>
      </c>
      <c r="J322" s="66">
        <v>445.6281745570286</v>
      </c>
      <c r="K322" s="1"/>
      <c r="L322" s="1"/>
      <c r="M322" s="1" t="str">
        <f>VLOOKUP(B322,Bounties!A:D,3,FALSE)</f>
        <v>Research</v>
      </c>
      <c r="N322" s="1" t="str">
        <f>VLOOKUP(B322,Bounties!A:D,4,FALSE)</f>
        <v>Anti-Scam</v>
      </c>
      <c r="O322" s="1" t="str">
        <f t="shared" ref="O322:P322" si="326">IF(ISBLANK(K322),M322,K322)</f>
        <v>Research</v>
      </c>
      <c r="P322" s="1" t="str">
        <f t="shared" si="326"/>
        <v>Anti-Scam</v>
      </c>
      <c r="Q322" s="108" t="str">
        <f t="shared" si="3"/>
        <v>2023</v>
      </c>
      <c r="R322" s="110">
        <f t="shared" si="4"/>
        <v>7</v>
      </c>
      <c r="S322" s="108" t="str">
        <f t="shared" si="5"/>
        <v>2023-Q3</v>
      </c>
      <c r="T322" s="111" t="str">
        <f t="shared" si="6"/>
        <v>2023-07</v>
      </c>
      <c r="U322" s="112" t="str">
        <f t="shared" si="7"/>
        <v>2023-H2</v>
      </c>
      <c r="V322" s="1" t="str">
        <f>VLOOKUP(B322,Bounties!A:E,2,FALSE)</f>
        <v>Anti-Scam Bounty</v>
      </c>
    </row>
    <row r="323" hidden="1">
      <c r="A323" s="109">
        <f>HYPERLINK("https://polkadot.subsquare.io/treasury/child-bounties/321", 321)</f>
        <v>321</v>
      </c>
      <c r="B323" s="183">
        <v>11.0</v>
      </c>
      <c r="C323" s="27" t="s">
        <v>3404</v>
      </c>
      <c r="D323" s="27" t="s">
        <v>919</v>
      </c>
      <c r="E323" s="129">
        <v>97.29519362</v>
      </c>
      <c r="F323" s="66">
        <v>520.2587997802293</v>
      </c>
      <c r="G323" s="27" t="s">
        <v>3457</v>
      </c>
      <c r="H323" s="167">
        <v>45108.0</v>
      </c>
      <c r="I323" s="167">
        <v>45116.0</v>
      </c>
      <c r="J323" s="66">
        <v>500.87772147271755</v>
      </c>
      <c r="K323" s="1"/>
      <c r="L323" s="1"/>
      <c r="M323" s="1" t="str">
        <f>VLOOKUP(B323,Bounties!A:D,3,FALSE)</f>
        <v>Research</v>
      </c>
      <c r="N323" s="1" t="str">
        <f>VLOOKUP(B323,Bounties!A:D,4,FALSE)</f>
        <v>Anti-Scam</v>
      </c>
      <c r="O323" s="1" t="str">
        <f t="shared" ref="O323:P323" si="327">IF(ISBLANK(K323),M323,K323)</f>
        <v>Research</v>
      </c>
      <c r="P323" s="1" t="str">
        <f t="shared" si="327"/>
        <v>Anti-Scam</v>
      </c>
      <c r="Q323" s="108" t="str">
        <f t="shared" si="3"/>
        <v>2023</v>
      </c>
      <c r="R323" s="110">
        <f t="shared" si="4"/>
        <v>7</v>
      </c>
      <c r="S323" s="108" t="str">
        <f t="shared" si="5"/>
        <v>2023-Q3</v>
      </c>
      <c r="T323" s="111" t="str">
        <f t="shared" si="6"/>
        <v>2023-07</v>
      </c>
      <c r="U323" s="112" t="str">
        <f t="shared" si="7"/>
        <v>2023-H2</v>
      </c>
      <c r="V323" s="1" t="str">
        <f>VLOOKUP(B323,Bounties!A:E,2,FALSE)</f>
        <v>Anti-Scam Bounty</v>
      </c>
    </row>
    <row r="324" hidden="1">
      <c r="A324" s="109">
        <f>HYPERLINK("https://polkadot.subsquare.io/treasury/child-bounties/322", 322)</f>
        <v>322</v>
      </c>
      <c r="B324" s="183">
        <v>11.0</v>
      </c>
      <c r="C324" s="27" t="s">
        <v>3404</v>
      </c>
      <c r="D324" s="27" t="s">
        <v>920</v>
      </c>
      <c r="E324" s="129">
        <v>97.29519362</v>
      </c>
      <c r="F324" s="66">
        <v>520.2587997802293</v>
      </c>
      <c r="G324" s="27" t="s">
        <v>3439</v>
      </c>
      <c r="H324" s="167">
        <v>45108.0</v>
      </c>
      <c r="I324" s="167">
        <v>45121.0</v>
      </c>
      <c r="J324" s="66">
        <v>516.0273455391923</v>
      </c>
      <c r="K324" s="1"/>
      <c r="L324" s="1"/>
      <c r="M324" s="1" t="str">
        <f>VLOOKUP(B324,Bounties!A:D,3,FALSE)</f>
        <v>Research</v>
      </c>
      <c r="N324" s="1" t="str">
        <f>VLOOKUP(B324,Bounties!A:D,4,FALSE)</f>
        <v>Anti-Scam</v>
      </c>
      <c r="O324" s="1" t="str">
        <f t="shared" ref="O324:P324" si="328">IF(ISBLANK(K324),M324,K324)</f>
        <v>Research</v>
      </c>
      <c r="P324" s="1" t="str">
        <f t="shared" si="328"/>
        <v>Anti-Scam</v>
      </c>
      <c r="Q324" s="108" t="str">
        <f t="shared" si="3"/>
        <v>2023</v>
      </c>
      <c r="R324" s="110">
        <f t="shared" si="4"/>
        <v>7</v>
      </c>
      <c r="S324" s="108" t="str">
        <f t="shared" si="5"/>
        <v>2023-Q3</v>
      </c>
      <c r="T324" s="111" t="str">
        <f t="shared" si="6"/>
        <v>2023-07</v>
      </c>
      <c r="U324" s="112" t="str">
        <f t="shared" si="7"/>
        <v>2023-H2</v>
      </c>
      <c r="V324" s="1" t="str">
        <f>VLOOKUP(B324,Bounties!A:E,2,FALSE)</f>
        <v>Anti-Scam Bounty</v>
      </c>
    </row>
    <row r="325" hidden="1">
      <c r="A325" s="109">
        <f>HYPERLINK("https://polkadot.subsquare.io/treasury/child-bounties/323", 323)</f>
        <v>323</v>
      </c>
      <c r="B325" s="183">
        <v>11.0</v>
      </c>
      <c r="C325" s="27" t="s">
        <v>3404</v>
      </c>
      <c r="D325" s="27" t="s">
        <v>921</v>
      </c>
      <c r="E325" s="129">
        <v>116.7542323409</v>
      </c>
      <c r="F325" s="66">
        <v>624.3105597196989</v>
      </c>
      <c r="G325" s="27" t="s">
        <v>3470</v>
      </c>
      <c r="H325" s="167">
        <v>45108.0</v>
      </c>
      <c r="I325" s="167">
        <v>45117.0</v>
      </c>
      <c r="J325" s="66">
        <v>647.4553390474968</v>
      </c>
      <c r="K325" s="1"/>
      <c r="L325" s="1"/>
      <c r="M325" s="1" t="str">
        <f>VLOOKUP(B325,Bounties!A:D,3,FALSE)</f>
        <v>Research</v>
      </c>
      <c r="N325" s="1" t="str">
        <f>VLOOKUP(B325,Bounties!A:D,4,FALSE)</f>
        <v>Anti-Scam</v>
      </c>
      <c r="O325" s="1" t="str">
        <f t="shared" ref="O325:P325" si="329">IF(ISBLANK(K325),M325,K325)</f>
        <v>Research</v>
      </c>
      <c r="P325" s="1" t="str">
        <f t="shared" si="329"/>
        <v>Anti-Scam</v>
      </c>
      <c r="Q325" s="108" t="str">
        <f t="shared" si="3"/>
        <v>2023</v>
      </c>
      <c r="R325" s="110">
        <f t="shared" si="4"/>
        <v>7</v>
      </c>
      <c r="S325" s="108" t="str">
        <f t="shared" si="5"/>
        <v>2023-Q3</v>
      </c>
      <c r="T325" s="111" t="str">
        <f t="shared" si="6"/>
        <v>2023-07</v>
      </c>
      <c r="U325" s="112" t="str">
        <f t="shared" si="7"/>
        <v>2023-H2</v>
      </c>
      <c r="V325" s="1" t="str">
        <f>VLOOKUP(B325,Bounties!A:E,2,FALSE)</f>
        <v>Anti-Scam Bounty</v>
      </c>
    </row>
    <row r="326" hidden="1">
      <c r="A326" s="109">
        <f>HYPERLINK("https://polkadot.subsquare.io/treasury/child-bounties/324", 324)</f>
        <v>324</v>
      </c>
      <c r="B326" s="183">
        <v>11.0</v>
      </c>
      <c r="C326" s="27" t="s">
        <v>3404</v>
      </c>
      <c r="D326" s="27" t="s">
        <v>922</v>
      </c>
      <c r="E326" s="129">
        <v>140.1050788091</v>
      </c>
      <c r="F326" s="66">
        <v>749.1726716637455</v>
      </c>
      <c r="G326" s="27" t="s">
        <v>3406</v>
      </c>
      <c r="H326" s="167">
        <v>45108.0</v>
      </c>
      <c r="I326" s="167">
        <v>45118.0</v>
      </c>
      <c r="J326" s="66">
        <v>776.9464068571069</v>
      </c>
      <c r="K326" s="1"/>
      <c r="L326" s="1"/>
      <c r="M326" s="1" t="str">
        <f>VLOOKUP(B326,Bounties!A:D,3,FALSE)</f>
        <v>Research</v>
      </c>
      <c r="N326" s="1" t="str">
        <f>VLOOKUP(B326,Bounties!A:D,4,FALSE)</f>
        <v>Anti-Scam</v>
      </c>
      <c r="O326" s="1" t="str">
        <f t="shared" ref="O326:P326" si="330">IF(ISBLANK(K326),M326,K326)</f>
        <v>Research</v>
      </c>
      <c r="P326" s="1" t="str">
        <f t="shared" si="330"/>
        <v>Anti-Scam</v>
      </c>
      <c r="Q326" s="108" t="str">
        <f t="shared" si="3"/>
        <v>2023</v>
      </c>
      <c r="R326" s="110">
        <f t="shared" si="4"/>
        <v>7</v>
      </c>
      <c r="S326" s="108" t="str">
        <f t="shared" si="5"/>
        <v>2023-Q3</v>
      </c>
      <c r="T326" s="111" t="str">
        <f t="shared" si="6"/>
        <v>2023-07</v>
      </c>
      <c r="U326" s="112" t="str">
        <f t="shared" si="7"/>
        <v>2023-H2</v>
      </c>
      <c r="V326" s="1" t="str">
        <f>VLOOKUP(B326,Bounties!A:E,2,FALSE)</f>
        <v>Anti-Scam Bounty</v>
      </c>
    </row>
    <row r="327" hidden="1">
      <c r="A327" s="109">
        <f>HYPERLINK("https://polkadot.subsquare.io/treasury/child-bounties/325", 325)</f>
        <v>325</v>
      </c>
      <c r="B327" s="183">
        <v>11.0</v>
      </c>
      <c r="C327" s="27" t="s">
        <v>3404</v>
      </c>
      <c r="D327" s="27" t="s">
        <v>923</v>
      </c>
      <c r="E327" s="129">
        <v>140.1050788091</v>
      </c>
      <c r="F327" s="66">
        <v>749.1726716637455</v>
      </c>
      <c r="G327" s="27" t="s">
        <v>3469</v>
      </c>
      <c r="H327" s="167">
        <v>45108.0</v>
      </c>
      <c r="I327" s="167">
        <v>45119.0</v>
      </c>
      <c r="J327" s="66">
        <v>761.0048471106378</v>
      </c>
      <c r="K327" s="1"/>
      <c r="L327" s="1"/>
      <c r="M327" s="1" t="str">
        <f>VLOOKUP(B327,Bounties!A:D,3,FALSE)</f>
        <v>Research</v>
      </c>
      <c r="N327" s="1" t="str">
        <f>VLOOKUP(B327,Bounties!A:D,4,FALSE)</f>
        <v>Anti-Scam</v>
      </c>
      <c r="O327" s="1" t="str">
        <f t="shared" ref="O327:P327" si="331">IF(ISBLANK(K327),M327,K327)</f>
        <v>Research</v>
      </c>
      <c r="P327" s="1" t="str">
        <f t="shared" si="331"/>
        <v>Anti-Scam</v>
      </c>
      <c r="Q327" s="108" t="str">
        <f t="shared" si="3"/>
        <v>2023</v>
      </c>
      <c r="R327" s="110">
        <f t="shared" si="4"/>
        <v>7</v>
      </c>
      <c r="S327" s="108" t="str">
        <f t="shared" si="5"/>
        <v>2023-Q3</v>
      </c>
      <c r="T327" s="111" t="str">
        <f t="shared" si="6"/>
        <v>2023-07</v>
      </c>
      <c r="U327" s="112" t="str">
        <f t="shared" si="7"/>
        <v>2023-H2</v>
      </c>
      <c r="V327" s="1" t="str">
        <f>VLOOKUP(B327,Bounties!A:E,2,FALSE)</f>
        <v>Anti-Scam Bounty</v>
      </c>
    </row>
    <row r="328" hidden="1">
      <c r="A328" s="109">
        <f>HYPERLINK("https://polkadot.subsquare.io/treasury/child-bounties/326", 326)</f>
        <v>326</v>
      </c>
      <c r="B328" s="183">
        <v>11.0</v>
      </c>
      <c r="C328" s="27" t="s">
        <v>3404</v>
      </c>
      <c r="D328" s="27" t="s">
        <v>924</v>
      </c>
      <c r="E328" s="129">
        <v>116.7542323409</v>
      </c>
      <c r="F328" s="66">
        <v>624.3105597196989</v>
      </c>
      <c r="G328" s="27" t="s">
        <v>3411</v>
      </c>
      <c r="H328" s="167">
        <v>45108.0</v>
      </c>
      <c r="I328" s="167">
        <v>45117.0</v>
      </c>
      <c r="J328" s="66">
        <v>601.0532657513022</v>
      </c>
      <c r="K328" s="1"/>
      <c r="L328" s="1"/>
      <c r="M328" s="1" t="str">
        <f>VLOOKUP(B328,Bounties!A:D,3,FALSE)</f>
        <v>Research</v>
      </c>
      <c r="N328" s="1" t="str">
        <f>VLOOKUP(B328,Bounties!A:D,4,FALSE)</f>
        <v>Anti-Scam</v>
      </c>
      <c r="O328" s="1" t="str">
        <f t="shared" ref="O328:P328" si="332">IF(ISBLANK(K328),M328,K328)</f>
        <v>Research</v>
      </c>
      <c r="P328" s="1" t="str">
        <f t="shared" si="332"/>
        <v>Anti-Scam</v>
      </c>
      <c r="Q328" s="108" t="str">
        <f t="shared" si="3"/>
        <v>2023</v>
      </c>
      <c r="R328" s="110">
        <f t="shared" si="4"/>
        <v>7</v>
      </c>
      <c r="S328" s="108" t="str">
        <f t="shared" si="5"/>
        <v>2023-Q3</v>
      </c>
      <c r="T328" s="111" t="str">
        <f t="shared" si="6"/>
        <v>2023-07</v>
      </c>
      <c r="U328" s="112" t="str">
        <f t="shared" si="7"/>
        <v>2023-H2</v>
      </c>
      <c r="V328" s="1" t="str">
        <f>VLOOKUP(B328,Bounties!A:E,2,FALSE)</f>
        <v>Anti-Scam Bounty</v>
      </c>
    </row>
    <row r="329" hidden="1">
      <c r="A329" s="109">
        <f>HYPERLINK("https://polkadot.subsquare.io/treasury/child-bounties/327", 327)</f>
        <v>327</v>
      </c>
      <c r="B329" s="183">
        <v>11.0</v>
      </c>
      <c r="C329" s="27" t="s">
        <v>3404</v>
      </c>
      <c r="D329" s="27" t="s">
        <v>925</v>
      </c>
      <c r="E329" s="129">
        <v>97.29519362</v>
      </c>
      <c r="F329" s="66">
        <v>520.2587997802293</v>
      </c>
      <c r="G329" s="27" t="s">
        <v>3486</v>
      </c>
      <c r="H329" s="167">
        <v>45108.0</v>
      </c>
      <c r="I329" s="167">
        <v>45117.0</v>
      </c>
      <c r="J329" s="66">
        <v>500.87772147271755</v>
      </c>
      <c r="K329" s="1"/>
      <c r="L329" s="1"/>
      <c r="M329" s="1" t="str">
        <f>VLOOKUP(B329,Bounties!A:D,3,FALSE)</f>
        <v>Research</v>
      </c>
      <c r="N329" s="1" t="str">
        <f>VLOOKUP(B329,Bounties!A:D,4,FALSE)</f>
        <v>Anti-Scam</v>
      </c>
      <c r="O329" s="1" t="str">
        <f t="shared" ref="O329:P329" si="333">IF(ISBLANK(K329),M329,K329)</f>
        <v>Research</v>
      </c>
      <c r="P329" s="1" t="str">
        <f t="shared" si="333"/>
        <v>Anti-Scam</v>
      </c>
      <c r="Q329" s="108" t="str">
        <f t="shared" si="3"/>
        <v>2023</v>
      </c>
      <c r="R329" s="110">
        <f t="shared" si="4"/>
        <v>7</v>
      </c>
      <c r="S329" s="108" t="str">
        <f t="shared" si="5"/>
        <v>2023-Q3</v>
      </c>
      <c r="T329" s="111" t="str">
        <f t="shared" si="6"/>
        <v>2023-07</v>
      </c>
      <c r="U329" s="112" t="str">
        <f t="shared" si="7"/>
        <v>2023-H2</v>
      </c>
      <c r="V329" s="1" t="str">
        <f>VLOOKUP(B329,Bounties!A:E,2,FALSE)</f>
        <v>Anti-Scam Bounty</v>
      </c>
    </row>
    <row r="330" hidden="1">
      <c r="A330" s="109">
        <f>HYPERLINK("https://polkadot.subsquare.io/treasury/child-bounties/328", 328)</f>
        <v>328</v>
      </c>
      <c r="B330" s="183">
        <v>11.0</v>
      </c>
      <c r="C330" s="27" t="s">
        <v>3404</v>
      </c>
      <c r="D330" s="27" t="s">
        <v>926</v>
      </c>
      <c r="E330" s="129">
        <v>97.29519362</v>
      </c>
      <c r="F330" s="66">
        <v>520.2587997802293</v>
      </c>
      <c r="G330" s="27" t="s">
        <v>3409</v>
      </c>
      <c r="H330" s="167">
        <v>45109.0</v>
      </c>
      <c r="I330" s="167">
        <v>45117.0</v>
      </c>
      <c r="J330" s="66">
        <v>539.5461158872397</v>
      </c>
      <c r="K330" s="1"/>
      <c r="L330" s="1"/>
      <c r="M330" s="1" t="str">
        <f>VLOOKUP(B330,Bounties!A:D,3,FALSE)</f>
        <v>Research</v>
      </c>
      <c r="N330" s="1" t="str">
        <f>VLOOKUP(B330,Bounties!A:D,4,FALSE)</f>
        <v>Anti-Scam</v>
      </c>
      <c r="O330" s="1" t="str">
        <f t="shared" ref="O330:P330" si="334">IF(ISBLANK(K330),M330,K330)</f>
        <v>Research</v>
      </c>
      <c r="P330" s="1" t="str">
        <f t="shared" si="334"/>
        <v>Anti-Scam</v>
      </c>
      <c r="Q330" s="108" t="str">
        <f t="shared" si="3"/>
        <v>2023</v>
      </c>
      <c r="R330" s="110">
        <f t="shared" si="4"/>
        <v>7</v>
      </c>
      <c r="S330" s="108" t="str">
        <f t="shared" si="5"/>
        <v>2023-Q3</v>
      </c>
      <c r="T330" s="111" t="str">
        <f t="shared" si="6"/>
        <v>2023-07</v>
      </c>
      <c r="U330" s="112" t="str">
        <f t="shared" si="7"/>
        <v>2023-H2</v>
      </c>
      <c r="V330" s="1" t="str">
        <f>VLOOKUP(B330,Bounties!A:E,2,FALSE)</f>
        <v>Anti-Scam Bounty</v>
      </c>
    </row>
    <row r="331" hidden="1">
      <c r="A331" s="109">
        <f>HYPERLINK("https://polkadot.subsquare.io/treasury/child-bounties/329", 329)</f>
        <v>329</v>
      </c>
      <c r="B331" s="183">
        <v>11.0</v>
      </c>
      <c r="C331" s="27" t="s">
        <v>3404</v>
      </c>
      <c r="D331" s="27" t="s">
        <v>927</v>
      </c>
      <c r="E331" s="129">
        <v>163.4559252773</v>
      </c>
      <c r="F331" s="66">
        <v>874.0347836077922</v>
      </c>
      <c r="G331" s="27" t="s">
        <v>3409</v>
      </c>
      <c r="H331" s="167">
        <v>45109.0</v>
      </c>
      <c r="I331" s="167">
        <v>45117.0</v>
      </c>
      <c r="J331" s="66">
        <v>906.4374746667172</v>
      </c>
      <c r="K331" s="1"/>
      <c r="L331" s="1"/>
      <c r="M331" s="1" t="str">
        <f>VLOOKUP(B331,Bounties!A:D,3,FALSE)</f>
        <v>Research</v>
      </c>
      <c r="N331" s="1" t="str">
        <f>VLOOKUP(B331,Bounties!A:D,4,FALSE)</f>
        <v>Anti-Scam</v>
      </c>
      <c r="O331" s="1" t="str">
        <f t="shared" ref="O331:P331" si="335">IF(ISBLANK(K331),M331,K331)</f>
        <v>Research</v>
      </c>
      <c r="P331" s="1" t="str">
        <f t="shared" si="335"/>
        <v>Anti-Scam</v>
      </c>
      <c r="Q331" s="108" t="str">
        <f t="shared" si="3"/>
        <v>2023</v>
      </c>
      <c r="R331" s="110">
        <f t="shared" si="4"/>
        <v>7</v>
      </c>
      <c r="S331" s="108" t="str">
        <f t="shared" si="5"/>
        <v>2023-Q3</v>
      </c>
      <c r="T331" s="111" t="str">
        <f t="shared" si="6"/>
        <v>2023-07</v>
      </c>
      <c r="U331" s="112" t="str">
        <f t="shared" si="7"/>
        <v>2023-H2</v>
      </c>
      <c r="V331" s="1" t="str">
        <f>VLOOKUP(B331,Bounties!A:E,2,FALSE)</f>
        <v>Anti-Scam Bounty</v>
      </c>
    </row>
    <row r="332" hidden="1">
      <c r="A332" s="109">
        <f>HYPERLINK("https://polkadot.subsquare.io/treasury/child-bounties/330", 330)</f>
        <v>330</v>
      </c>
      <c r="B332" s="183">
        <v>11.0</v>
      </c>
      <c r="C332" s="27" t="s">
        <v>3404</v>
      </c>
      <c r="D332" s="27" t="s">
        <v>928</v>
      </c>
      <c r="E332" s="129">
        <v>140.1050788091</v>
      </c>
      <c r="F332" s="66">
        <v>749.1726716637455</v>
      </c>
      <c r="G332" s="27" t="s">
        <v>3407</v>
      </c>
      <c r="H332" s="167">
        <v>45109.0</v>
      </c>
      <c r="I332" s="167">
        <v>45117.0</v>
      </c>
      <c r="J332" s="66">
        <v>776.9464068571069</v>
      </c>
      <c r="K332" s="1"/>
      <c r="L332" s="1"/>
      <c r="M332" s="1" t="str">
        <f>VLOOKUP(B332,Bounties!A:D,3,FALSE)</f>
        <v>Research</v>
      </c>
      <c r="N332" s="1" t="str">
        <f>VLOOKUP(B332,Bounties!A:D,4,FALSE)</f>
        <v>Anti-Scam</v>
      </c>
      <c r="O332" s="1" t="str">
        <f t="shared" ref="O332:P332" si="336">IF(ISBLANK(K332),M332,K332)</f>
        <v>Research</v>
      </c>
      <c r="P332" s="1" t="str">
        <f t="shared" si="336"/>
        <v>Anti-Scam</v>
      </c>
      <c r="Q332" s="108" t="str">
        <f t="shared" si="3"/>
        <v>2023</v>
      </c>
      <c r="R332" s="110">
        <f t="shared" si="4"/>
        <v>7</v>
      </c>
      <c r="S332" s="108" t="str">
        <f t="shared" si="5"/>
        <v>2023-Q3</v>
      </c>
      <c r="T332" s="111" t="str">
        <f t="shared" si="6"/>
        <v>2023-07</v>
      </c>
      <c r="U332" s="112" t="str">
        <f t="shared" si="7"/>
        <v>2023-H2</v>
      </c>
      <c r="V332" s="1" t="str">
        <f>VLOOKUP(B332,Bounties!A:E,2,FALSE)</f>
        <v>Anti-Scam Bounty</v>
      </c>
    </row>
    <row r="333" hidden="1">
      <c r="A333" s="109">
        <f>HYPERLINK("https://polkadot.subsquare.io/treasury/child-bounties/331", 331)</f>
        <v>331</v>
      </c>
      <c r="B333" s="183">
        <v>11.0</v>
      </c>
      <c r="C333" s="27" t="s">
        <v>3404</v>
      </c>
      <c r="D333" s="27" t="s">
        <v>929</v>
      </c>
      <c r="E333" s="129">
        <v>104.34616121</v>
      </c>
      <c r="F333" s="66">
        <v>543.550957488406</v>
      </c>
      <c r="G333" s="27" t="s">
        <v>3411</v>
      </c>
      <c r="H333" s="167">
        <v>45109.0</v>
      </c>
      <c r="I333" s="167">
        <v>45118.0</v>
      </c>
      <c r="J333" s="66">
        <v>568.9556895828883</v>
      </c>
      <c r="K333" s="1"/>
      <c r="L333" s="1"/>
      <c r="M333" s="1" t="str">
        <f>VLOOKUP(B333,Bounties!A:D,3,FALSE)</f>
        <v>Research</v>
      </c>
      <c r="N333" s="1" t="str">
        <f>VLOOKUP(B333,Bounties!A:D,4,FALSE)</f>
        <v>Anti-Scam</v>
      </c>
      <c r="O333" s="1" t="str">
        <f t="shared" ref="O333:P333" si="337">IF(ISBLANK(K333),M333,K333)</f>
        <v>Research</v>
      </c>
      <c r="P333" s="1" t="str">
        <f t="shared" si="337"/>
        <v>Anti-Scam</v>
      </c>
      <c r="Q333" s="108" t="str">
        <f t="shared" si="3"/>
        <v>2023</v>
      </c>
      <c r="R333" s="110">
        <f t="shared" si="4"/>
        <v>7</v>
      </c>
      <c r="S333" s="108" t="str">
        <f t="shared" si="5"/>
        <v>2023-Q3</v>
      </c>
      <c r="T333" s="111" t="str">
        <f t="shared" si="6"/>
        <v>2023-07</v>
      </c>
      <c r="U333" s="112" t="str">
        <f t="shared" si="7"/>
        <v>2023-H2</v>
      </c>
      <c r="V333" s="1" t="str">
        <f>VLOOKUP(B333,Bounties!A:E,2,FALSE)</f>
        <v>Anti-Scam Bounty</v>
      </c>
    </row>
    <row r="334" hidden="1">
      <c r="A334" s="109">
        <f>HYPERLINK("https://polkadot.subsquare.io/treasury/child-bounties/332", 332)</f>
        <v>332</v>
      </c>
      <c r="B334" s="183">
        <v>11.0</v>
      </c>
      <c r="C334" s="27" t="s">
        <v>3404</v>
      </c>
      <c r="D334" s="27" t="s">
        <v>930</v>
      </c>
      <c r="E334" s="129">
        <v>89.0292935095</v>
      </c>
      <c r="F334" s="66">
        <v>463.7636609766091</v>
      </c>
      <c r="G334" s="27" t="s">
        <v>3407</v>
      </c>
      <c r="H334" s="167">
        <v>45109.0</v>
      </c>
      <c r="I334" s="167">
        <v>45118.0</v>
      </c>
      <c r="J334" s="66">
        <v>485.43925808475774</v>
      </c>
      <c r="K334" s="1"/>
      <c r="L334" s="1"/>
      <c r="M334" s="1" t="str">
        <f>VLOOKUP(B334,Bounties!A:D,3,FALSE)</f>
        <v>Research</v>
      </c>
      <c r="N334" s="1" t="str">
        <f>VLOOKUP(B334,Bounties!A:D,4,FALSE)</f>
        <v>Anti-Scam</v>
      </c>
      <c r="O334" s="1" t="str">
        <f t="shared" ref="O334:P334" si="338">IF(ISBLANK(K334),M334,K334)</f>
        <v>Research</v>
      </c>
      <c r="P334" s="1" t="str">
        <f t="shared" si="338"/>
        <v>Anti-Scam</v>
      </c>
      <c r="Q334" s="108" t="str">
        <f t="shared" si="3"/>
        <v>2023</v>
      </c>
      <c r="R334" s="110">
        <f t="shared" si="4"/>
        <v>7</v>
      </c>
      <c r="S334" s="108" t="str">
        <f t="shared" si="5"/>
        <v>2023-Q3</v>
      </c>
      <c r="T334" s="111" t="str">
        <f t="shared" si="6"/>
        <v>2023-07</v>
      </c>
      <c r="U334" s="112" t="str">
        <f t="shared" si="7"/>
        <v>2023-H2</v>
      </c>
      <c r="V334" s="1" t="str">
        <f>VLOOKUP(B334,Bounties!A:E,2,FALSE)</f>
        <v>Anti-Scam Bounty</v>
      </c>
    </row>
    <row r="335" hidden="1">
      <c r="A335" s="109">
        <f>HYPERLINK("https://polkadot.subsquare.io/treasury/child-bounties/333", 333)</f>
        <v>333</v>
      </c>
      <c r="B335" s="183">
        <v>11.0</v>
      </c>
      <c r="C335" s="27" t="s">
        <v>3404</v>
      </c>
      <c r="D335" s="27" t="s">
        <v>931</v>
      </c>
      <c r="E335" s="129">
        <v>76.5843385027</v>
      </c>
      <c r="F335" s="66">
        <v>398.9364825600255</v>
      </c>
      <c r="G335" s="27" t="s">
        <v>3407</v>
      </c>
      <c r="H335" s="167">
        <v>45109.0</v>
      </c>
      <c r="I335" s="167">
        <v>45118.0</v>
      </c>
      <c r="J335" s="66">
        <v>417.582157491743</v>
      </c>
      <c r="K335" s="1"/>
      <c r="L335" s="1"/>
      <c r="M335" s="1" t="str">
        <f>VLOOKUP(B335,Bounties!A:D,3,FALSE)</f>
        <v>Research</v>
      </c>
      <c r="N335" s="1" t="str">
        <f>VLOOKUP(B335,Bounties!A:D,4,FALSE)</f>
        <v>Anti-Scam</v>
      </c>
      <c r="O335" s="1" t="str">
        <f t="shared" ref="O335:P335" si="339">IF(ISBLANK(K335),M335,K335)</f>
        <v>Research</v>
      </c>
      <c r="P335" s="1" t="str">
        <f t="shared" si="339"/>
        <v>Anti-Scam</v>
      </c>
      <c r="Q335" s="108" t="str">
        <f t="shared" si="3"/>
        <v>2023</v>
      </c>
      <c r="R335" s="110">
        <f t="shared" si="4"/>
        <v>7</v>
      </c>
      <c r="S335" s="108" t="str">
        <f t="shared" si="5"/>
        <v>2023-Q3</v>
      </c>
      <c r="T335" s="111" t="str">
        <f t="shared" si="6"/>
        <v>2023-07</v>
      </c>
      <c r="U335" s="112" t="str">
        <f t="shared" si="7"/>
        <v>2023-H2</v>
      </c>
      <c r="V335" s="1" t="str">
        <f>VLOOKUP(B335,Bounties!A:E,2,FALSE)</f>
        <v>Anti-Scam Bounty</v>
      </c>
    </row>
    <row r="336" hidden="1">
      <c r="A336" s="109">
        <f>HYPERLINK("https://polkadot.subsquare.io/treasury/child-bounties/334", 334)</f>
        <v>334</v>
      </c>
      <c r="B336" s="183">
        <v>11.0</v>
      </c>
      <c r="C336" s="27" t="s">
        <v>3404</v>
      </c>
      <c r="D336" s="27" t="s">
        <v>932</v>
      </c>
      <c r="E336" s="129">
        <v>76.5843385027</v>
      </c>
      <c r="F336" s="66">
        <v>398.9364825600255</v>
      </c>
      <c r="G336" s="27" t="s">
        <v>3406</v>
      </c>
      <c r="H336" s="167">
        <v>45109.0</v>
      </c>
      <c r="I336" s="167">
        <v>45118.0</v>
      </c>
      <c r="J336" s="66">
        <v>424.695001258844</v>
      </c>
      <c r="K336" s="1"/>
      <c r="L336" s="1"/>
      <c r="M336" s="1" t="str">
        <f>VLOOKUP(B336,Bounties!A:D,3,FALSE)</f>
        <v>Research</v>
      </c>
      <c r="N336" s="1" t="str">
        <f>VLOOKUP(B336,Bounties!A:D,4,FALSE)</f>
        <v>Anti-Scam</v>
      </c>
      <c r="O336" s="1" t="str">
        <f t="shared" ref="O336:P336" si="340">IF(ISBLANK(K336),M336,K336)</f>
        <v>Research</v>
      </c>
      <c r="P336" s="1" t="str">
        <f t="shared" si="340"/>
        <v>Anti-Scam</v>
      </c>
      <c r="Q336" s="108" t="str">
        <f t="shared" si="3"/>
        <v>2023</v>
      </c>
      <c r="R336" s="110">
        <f t="shared" si="4"/>
        <v>7</v>
      </c>
      <c r="S336" s="108" t="str">
        <f t="shared" si="5"/>
        <v>2023-Q3</v>
      </c>
      <c r="T336" s="111" t="str">
        <f t="shared" si="6"/>
        <v>2023-07</v>
      </c>
      <c r="U336" s="112" t="str">
        <f t="shared" si="7"/>
        <v>2023-H2</v>
      </c>
      <c r="V336" s="1" t="str">
        <f>VLOOKUP(B336,Bounties!A:E,2,FALSE)</f>
        <v>Anti-Scam Bounty</v>
      </c>
    </row>
    <row r="337" hidden="1">
      <c r="A337" s="109">
        <f>HYPERLINK("https://polkadot.subsquare.io/treasury/child-bounties/335", 335)</f>
        <v>335</v>
      </c>
      <c r="B337" s="183">
        <v>11.0</v>
      </c>
      <c r="C337" s="27" t="s">
        <v>3404</v>
      </c>
      <c r="D337" s="27" t="s">
        <v>933</v>
      </c>
      <c r="E337" s="129">
        <v>76.5843385027</v>
      </c>
      <c r="F337" s="66">
        <v>398.9364825600255</v>
      </c>
      <c r="G337" s="27" t="s">
        <v>3411</v>
      </c>
      <c r="H337" s="167">
        <v>45109.0</v>
      </c>
      <c r="I337" s="167">
        <v>45117.0</v>
      </c>
      <c r="J337" s="66">
        <v>424.695001258844</v>
      </c>
      <c r="K337" s="1"/>
      <c r="L337" s="1"/>
      <c r="M337" s="1" t="str">
        <f>VLOOKUP(B337,Bounties!A:D,3,FALSE)</f>
        <v>Research</v>
      </c>
      <c r="N337" s="1" t="str">
        <f>VLOOKUP(B337,Bounties!A:D,4,FALSE)</f>
        <v>Anti-Scam</v>
      </c>
      <c r="O337" s="1" t="str">
        <f t="shared" ref="O337:P337" si="341">IF(ISBLANK(K337),M337,K337)</f>
        <v>Research</v>
      </c>
      <c r="P337" s="1" t="str">
        <f t="shared" si="341"/>
        <v>Anti-Scam</v>
      </c>
      <c r="Q337" s="108" t="str">
        <f t="shared" si="3"/>
        <v>2023</v>
      </c>
      <c r="R337" s="110">
        <f t="shared" si="4"/>
        <v>7</v>
      </c>
      <c r="S337" s="108" t="str">
        <f t="shared" si="5"/>
        <v>2023-Q3</v>
      </c>
      <c r="T337" s="111" t="str">
        <f t="shared" si="6"/>
        <v>2023-07</v>
      </c>
      <c r="U337" s="112" t="str">
        <f t="shared" si="7"/>
        <v>2023-H2</v>
      </c>
      <c r="V337" s="1" t="str">
        <f>VLOOKUP(B337,Bounties!A:E,2,FALSE)</f>
        <v>Anti-Scam Bounty</v>
      </c>
    </row>
    <row r="338" hidden="1">
      <c r="A338" s="109">
        <f>HYPERLINK("https://polkadot.subsquare.io/treasury/child-bounties/336", 336)</f>
        <v>336</v>
      </c>
      <c r="B338" s="183">
        <v>17.0</v>
      </c>
      <c r="C338" s="27" t="s">
        <v>3404</v>
      </c>
      <c r="D338" s="27" t="s">
        <v>934</v>
      </c>
      <c r="E338" s="129">
        <v>10133.0</v>
      </c>
      <c r="F338" s="66">
        <v>51830.07041835785</v>
      </c>
      <c r="G338" s="27" t="s">
        <v>3519</v>
      </c>
      <c r="H338" s="167">
        <v>45112.0</v>
      </c>
      <c r="I338" s="167">
        <v>45122.0</v>
      </c>
      <c r="J338" s="66">
        <v>52481.555284023285</v>
      </c>
      <c r="K338" s="1"/>
      <c r="L338" s="1" t="s">
        <v>266</v>
      </c>
      <c r="M338" s="1" t="str">
        <f>VLOOKUP(B338,Bounties!A:D,3,FALSE)</f>
        <v>Outreach</v>
      </c>
      <c r="N338" s="1" t="str">
        <f>VLOOKUP(B338,Bounties!A:D,4,FALSE)</f>
        <v>Events/Meetups</v>
      </c>
      <c r="O338" s="1" t="str">
        <f t="shared" ref="O338:P338" si="342">IF(ISBLANK(K338),M338,K338)</f>
        <v>Outreach</v>
      </c>
      <c r="P338" s="1" t="str">
        <f t="shared" si="342"/>
        <v>Events/Conference Attendance &amp; Side Events</v>
      </c>
      <c r="Q338" s="108" t="str">
        <f t="shared" si="3"/>
        <v>2023</v>
      </c>
      <c r="R338" s="110">
        <f t="shared" si="4"/>
        <v>7</v>
      </c>
      <c r="S338" s="108" t="str">
        <f t="shared" si="5"/>
        <v>2023-Q3</v>
      </c>
      <c r="T338" s="111" t="str">
        <f t="shared" si="6"/>
        <v>2023-07</v>
      </c>
      <c r="U338" s="112" t="str">
        <f t="shared" si="7"/>
        <v>2023-H2</v>
      </c>
      <c r="V338" s="1" t="str">
        <f>VLOOKUP(B338,Bounties!A:E,2,FALSE)</f>
        <v>Events Bounty</v>
      </c>
    </row>
    <row r="339" hidden="1">
      <c r="A339" s="109">
        <f>HYPERLINK("https://polkadot.subsquare.io/treasury/child-bounties/337", 337)</f>
        <v>337</v>
      </c>
      <c r="B339" s="183">
        <v>17.0</v>
      </c>
      <c r="C339" s="27" t="s">
        <v>3404</v>
      </c>
      <c r="D339" s="27" t="s">
        <v>935</v>
      </c>
      <c r="E339" s="129">
        <v>8137.02</v>
      </c>
      <c r="F339" s="66">
        <v>42288.77604317665</v>
      </c>
      <c r="G339" s="27" t="s">
        <v>3490</v>
      </c>
      <c r="H339" s="167">
        <v>45123.0</v>
      </c>
      <c r="I339" s="167">
        <v>45144.0</v>
      </c>
      <c r="J339" s="66">
        <v>41126.77585261345</v>
      </c>
      <c r="K339" s="1"/>
      <c r="L339" s="1" t="s">
        <v>266</v>
      </c>
      <c r="M339" s="1" t="str">
        <f>VLOOKUP(B339,Bounties!A:D,3,FALSE)</f>
        <v>Outreach</v>
      </c>
      <c r="N339" s="1" t="str">
        <f>VLOOKUP(B339,Bounties!A:D,4,FALSE)</f>
        <v>Events/Meetups</v>
      </c>
      <c r="O339" s="1" t="str">
        <f t="shared" ref="O339:P339" si="343">IF(ISBLANK(K339),M339,K339)</f>
        <v>Outreach</v>
      </c>
      <c r="P339" s="1" t="str">
        <f t="shared" si="343"/>
        <v>Events/Conference Attendance &amp; Side Events</v>
      </c>
      <c r="Q339" s="108" t="str">
        <f t="shared" si="3"/>
        <v>2023</v>
      </c>
      <c r="R339" s="110">
        <f t="shared" si="4"/>
        <v>8</v>
      </c>
      <c r="S339" s="108" t="str">
        <f t="shared" si="5"/>
        <v>2023-Q3</v>
      </c>
      <c r="T339" s="111" t="str">
        <f t="shared" si="6"/>
        <v>2023-08</v>
      </c>
      <c r="U339" s="112" t="str">
        <f t="shared" si="7"/>
        <v>2023-H2</v>
      </c>
      <c r="V339" s="1" t="str">
        <f>VLOOKUP(B339,Bounties!A:E,2,FALSE)</f>
        <v>Events Bounty</v>
      </c>
    </row>
    <row r="340" hidden="1">
      <c r="A340" s="109">
        <f>HYPERLINK("https://polkadot.subsquare.io/treasury/child-bounties/338", 338)</f>
        <v>338</v>
      </c>
      <c r="B340" s="183">
        <v>17.0</v>
      </c>
      <c r="C340" s="27" t="s">
        <v>3404</v>
      </c>
      <c r="D340" s="27" t="s">
        <v>936</v>
      </c>
      <c r="E340" s="129">
        <v>169.6</v>
      </c>
      <c r="F340" s="66">
        <v>881.4254379272461</v>
      </c>
      <c r="G340" s="27" t="s">
        <v>3520</v>
      </c>
      <c r="H340" s="167">
        <v>45123.0</v>
      </c>
      <c r="I340" s="167">
        <v>45185.0</v>
      </c>
      <c r="J340" s="66">
        <v>704.8986251831054</v>
      </c>
      <c r="K340" s="1"/>
      <c r="L340" s="1"/>
      <c r="M340" s="1" t="str">
        <f>VLOOKUP(B340,Bounties!A:D,3,FALSE)</f>
        <v>Outreach</v>
      </c>
      <c r="N340" s="1" t="str">
        <f>VLOOKUP(B340,Bounties!A:D,4,FALSE)</f>
        <v>Events/Meetups</v>
      </c>
      <c r="O340" s="1" t="str">
        <f t="shared" ref="O340:P340" si="344">IF(ISBLANK(K340),M340,K340)</f>
        <v>Outreach</v>
      </c>
      <c r="P340" s="1" t="str">
        <f t="shared" si="344"/>
        <v>Events/Meetups</v>
      </c>
      <c r="Q340" s="108" t="str">
        <f t="shared" si="3"/>
        <v>2023</v>
      </c>
      <c r="R340" s="110">
        <f t="shared" si="4"/>
        <v>9</v>
      </c>
      <c r="S340" s="108" t="str">
        <f t="shared" si="5"/>
        <v>2023-Q3</v>
      </c>
      <c r="T340" s="111" t="str">
        <f t="shared" si="6"/>
        <v>2023-09</v>
      </c>
      <c r="U340" s="112" t="str">
        <f t="shared" si="7"/>
        <v>2023-H2</v>
      </c>
      <c r="V340" s="1" t="str">
        <f>VLOOKUP(B340,Bounties!A:E,2,FALSE)</f>
        <v>Events Bounty</v>
      </c>
    </row>
    <row r="341" hidden="1">
      <c r="A341" s="109">
        <f>HYPERLINK("https://polkadot.subsquare.io/treasury/child-bounties/339", 339)</f>
        <v>339</v>
      </c>
      <c r="B341" s="183">
        <v>17.0</v>
      </c>
      <c r="C341" s="27" t="s">
        <v>3404</v>
      </c>
      <c r="D341" s="27" t="s">
        <v>937</v>
      </c>
      <c r="E341" s="129">
        <v>107.7</v>
      </c>
      <c r="F341" s="66">
        <v>559.7259414196014</v>
      </c>
      <c r="G341" s="27" t="s">
        <v>3422</v>
      </c>
      <c r="H341" s="167">
        <v>45123.0</v>
      </c>
      <c r="I341" s="167">
        <v>45140.0</v>
      </c>
      <c r="J341" s="66">
        <v>535.1840356349945</v>
      </c>
      <c r="K341" s="1"/>
      <c r="L341" s="1"/>
      <c r="M341" s="1" t="str">
        <f>VLOOKUP(B341,Bounties!A:D,3,FALSE)</f>
        <v>Outreach</v>
      </c>
      <c r="N341" s="1" t="str">
        <f>VLOOKUP(B341,Bounties!A:D,4,FALSE)</f>
        <v>Events/Meetups</v>
      </c>
      <c r="O341" s="1" t="str">
        <f t="shared" ref="O341:P341" si="345">IF(ISBLANK(K341),M341,K341)</f>
        <v>Outreach</v>
      </c>
      <c r="P341" s="1" t="str">
        <f t="shared" si="345"/>
        <v>Events/Meetups</v>
      </c>
      <c r="Q341" s="108" t="str">
        <f t="shared" si="3"/>
        <v>2023</v>
      </c>
      <c r="R341" s="110">
        <f t="shared" si="4"/>
        <v>8</v>
      </c>
      <c r="S341" s="108" t="str">
        <f t="shared" si="5"/>
        <v>2023-Q3</v>
      </c>
      <c r="T341" s="111" t="str">
        <f t="shared" si="6"/>
        <v>2023-08</v>
      </c>
      <c r="U341" s="112" t="str">
        <f t="shared" si="7"/>
        <v>2023-H2</v>
      </c>
      <c r="V341" s="1" t="str">
        <f>VLOOKUP(B341,Bounties!A:E,2,FALSE)</f>
        <v>Events Bounty</v>
      </c>
    </row>
    <row r="342" hidden="1">
      <c r="A342" s="109">
        <f>HYPERLINK("https://polkadot.subsquare.io/treasury/child-bounties/340", 340)</f>
        <v>340</v>
      </c>
      <c r="B342" s="183">
        <v>17.0</v>
      </c>
      <c r="C342" s="27" t="s">
        <v>3404</v>
      </c>
      <c r="D342" s="27" t="s">
        <v>938</v>
      </c>
      <c r="E342" s="129">
        <v>29.5</v>
      </c>
      <c r="F342" s="66">
        <v>153.31397652626038</v>
      </c>
      <c r="G342" s="27" t="s">
        <v>3521</v>
      </c>
      <c r="H342" s="167">
        <v>45123.0</v>
      </c>
      <c r="I342" s="167">
        <v>45142.0</v>
      </c>
      <c r="J342" s="66">
        <v>146.33658576011658</v>
      </c>
      <c r="K342" s="1"/>
      <c r="L342" s="1"/>
      <c r="M342" s="1" t="str">
        <f>VLOOKUP(B342,Bounties!A:D,3,FALSE)</f>
        <v>Outreach</v>
      </c>
      <c r="N342" s="1" t="str">
        <f>VLOOKUP(B342,Bounties!A:D,4,FALSE)</f>
        <v>Events/Meetups</v>
      </c>
      <c r="O342" s="1" t="str">
        <f t="shared" ref="O342:P342" si="346">IF(ISBLANK(K342),M342,K342)</f>
        <v>Outreach</v>
      </c>
      <c r="P342" s="1" t="str">
        <f t="shared" si="346"/>
        <v>Events/Meetups</v>
      </c>
      <c r="Q342" s="108" t="str">
        <f t="shared" si="3"/>
        <v>2023</v>
      </c>
      <c r="R342" s="110">
        <f t="shared" si="4"/>
        <v>8</v>
      </c>
      <c r="S342" s="108" t="str">
        <f t="shared" si="5"/>
        <v>2023-Q3</v>
      </c>
      <c r="T342" s="111" t="str">
        <f t="shared" si="6"/>
        <v>2023-08</v>
      </c>
      <c r="U342" s="112" t="str">
        <f t="shared" si="7"/>
        <v>2023-H2</v>
      </c>
      <c r="V342" s="1" t="str">
        <f>VLOOKUP(B342,Bounties!A:E,2,FALSE)</f>
        <v>Events Bounty</v>
      </c>
    </row>
    <row r="343" hidden="1">
      <c r="A343" s="109">
        <f>HYPERLINK("https://polkadot.subsquare.io/treasury/child-bounties/341", 341)</f>
        <v>341</v>
      </c>
      <c r="B343" s="183">
        <v>10.0</v>
      </c>
      <c r="C343" s="27" t="s">
        <v>3404</v>
      </c>
      <c r="D343" s="27" t="s">
        <v>939</v>
      </c>
      <c r="E343" s="129">
        <v>2200.0</v>
      </c>
      <c r="F343" s="66">
        <v>11476.902770996094</v>
      </c>
      <c r="G343" s="27" t="s">
        <v>3522</v>
      </c>
      <c r="H343" s="167">
        <v>45132.0</v>
      </c>
      <c r="I343" s="167">
        <v>45142.0</v>
      </c>
      <c r="J343" s="66">
        <v>10995.967483520508</v>
      </c>
      <c r="K343" s="1"/>
      <c r="L343" s="1"/>
      <c r="M343" s="1" t="str">
        <f>VLOOKUP(B343,Bounties!A:D,3,FALSE)</f>
        <v/>
      </c>
      <c r="N343" s="1" t="str">
        <f>VLOOKUP(B343,Bounties!A:D,4,FALSE)</f>
        <v/>
      </c>
      <c r="O343" s="1" t="str">
        <f t="shared" ref="O343:P343" si="347">IF(ISBLANK(K343),M343,K343)</f>
        <v/>
      </c>
      <c r="P343" s="1" t="str">
        <f t="shared" si="347"/>
        <v/>
      </c>
      <c r="Q343" s="108" t="str">
        <f t="shared" si="3"/>
        <v>2023</v>
      </c>
      <c r="R343" s="110">
        <f t="shared" si="4"/>
        <v>8</v>
      </c>
      <c r="S343" s="108" t="str">
        <f t="shared" si="5"/>
        <v>2023-Q3</v>
      </c>
      <c r="T343" s="111" t="str">
        <f t="shared" si="6"/>
        <v>2023-08</v>
      </c>
      <c r="U343" s="112" t="str">
        <f t="shared" si="7"/>
        <v>2023-H2</v>
      </c>
      <c r="V343" s="1" t="str">
        <f>VLOOKUP(B343,Bounties!A:E,2,FALSE)</f>
        <v>Polkadot Pioneers Bounty</v>
      </c>
    </row>
    <row r="344" hidden="1">
      <c r="A344" s="109">
        <f>HYPERLINK("https://polkadot.subsquare.io/treasury/child-bounties/342", 342)</f>
        <v>342</v>
      </c>
      <c r="B344" s="183">
        <v>17.0</v>
      </c>
      <c r="C344" s="27" t="s">
        <v>3404</v>
      </c>
      <c r="D344" s="27" t="s">
        <v>940</v>
      </c>
      <c r="E344" s="129">
        <v>571.8</v>
      </c>
      <c r="F344" s="66">
        <v>2972.2370956420896</v>
      </c>
      <c r="G344" s="27" t="s">
        <v>3424</v>
      </c>
      <c r="H344" s="167">
        <v>45136.0</v>
      </c>
      <c r="I344" s="167">
        <v>45157.0</v>
      </c>
      <c r="J344" s="66">
        <v>2535.156989765167</v>
      </c>
      <c r="K344" s="1"/>
      <c r="L344" s="1"/>
      <c r="M344" s="1" t="str">
        <f>VLOOKUP(B344,Bounties!A:D,3,FALSE)</f>
        <v>Outreach</v>
      </c>
      <c r="N344" s="1" t="str">
        <f>VLOOKUP(B344,Bounties!A:D,4,FALSE)</f>
        <v>Events/Meetups</v>
      </c>
      <c r="O344" s="1" t="str">
        <f t="shared" ref="O344:P344" si="348">IF(ISBLANK(K344),M344,K344)</f>
        <v>Outreach</v>
      </c>
      <c r="P344" s="1" t="str">
        <f t="shared" si="348"/>
        <v>Events/Meetups</v>
      </c>
      <c r="Q344" s="108" t="str">
        <f t="shared" si="3"/>
        <v>2023</v>
      </c>
      <c r="R344" s="110">
        <f t="shared" si="4"/>
        <v>8</v>
      </c>
      <c r="S344" s="108" t="str">
        <f t="shared" si="5"/>
        <v>2023-Q3</v>
      </c>
      <c r="T344" s="111" t="str">
        <f t="shared" si="6"/>
        <v>2023-08</v>
      </c>
      <c r="U344" s="112" t="str">
        <f t="shared" si="7"/>
        <v>2023-H2</v>
      </c>
      <c r="V344" s="1" t="str">
        <f>VLOOKUP(B344,Bounties!A:E,2,FALSE)</f>
        <v>Events Bounty</v>
      </c>
    </row>
    <row r="345" hidden="1">
      <c r="A345" s="109">
        <f>HYPERLINK("https://polkadot.subsquare.io/treasury/child-bounties/343", 343)</f>
        <v>343</v>
      </c>
      <c r="B345" s="183">
        <v>17.0</v>
      </c>
      <c r="C345" s="27" t="s">
        <v>3404</v>
      </c>
      <c r="D345" s="27" t="s">
        <v>941</v>
      </c>
      <c r="E345" s="129">
        <v>265.2</v>
      </c>
      <c r="F345" s="66">
        <v>1378.5191986083985</v>
      </c>
      <c r="G345" s="27" t="s">
        <v>3450</v>
      </c>
      <c r="H345" s="167">
        <v>45136.0</v>
      </c>
      <c r="I345" s="167">
        <v>45153.0</v>
      </c>
      <c r="J345" s="66">
        <v>1196.5336097717284</v>
      </c>
      <c r="K345" s="1"/>
      <c r="L345" s="1" t="s">
        <v>266</v>
      </c>
      <c r="M345" s="1" t="str">
        <f>VLOOKUP(B345,Bounties!A:D,3,FALSE)</f>
        <v>Outreach</v>
      </c>
      <c r="N345" s="1" t="str">
        <f>VLOOKUP(B345,Bounties!A:D,4,FALSE)</f>
        <v>Events/Meetups</v>
      </c>
      <c r="O345" s="1" t="str">
        <f t="shared" ref="O345:P345" si="349">IF(ISBLANK(K345),M345,K345)</f>
        <v>Outreach</v>
      </c>
      <c r="P345" s="1" t="str">
        <f t="shared" si="349"/>
        <v>Events/Conference Attendance &amp; Side Events</v>
      </c>
      <c r="Q345" s="108" t="str">
        <f t="shared" si="3"/>
        <v>2023</v>
      </c>
      <c r="R345" s="110">
        <f t="shared" si="4"/>
        <v>8</v>
      </c>
      <c r="S345" s="108" t="str">
        <f t="shared" si="5"/>
        <v>2023-Q3</v>
      </c>
      <c r="T345" s="111" t="str">
        <f t="shared" si="6"/>
        <v>2023-08</v>
      </c>
      <c r="U345" s="112" t="str">
        <f t="shared" si="7"/>
        <v>2023-H2</v>
      </c>
      <c r="V345" s="1" t="str">
        <f>VLOOKUP(B345,Bounties!A:E,2,FALSE)</f>
        <v>Events Bounty</v>
      </c>
    </row>
    <row r="346" hidden="1">
      <c r="A346" s="109">
        <f>HYPERLINK("https://polkadot.subsquare.io/treasury/child-bounties/344", 344)</f>
        <v>344</v>
      </c>
      <c r="B346" s="183">
        <v>17.0</v>
      </c>
      <c r="C346" s="27" t="s">
        <v>3404</v>
      </c>
      <c r="D346" s="27" t="s">
        <v>942</v>
      </c>
      <c r="E346" s="129">
        <v>56.8</v>
      </c>
      <c r="F346" s="66">
        <v>295.2484558105469</v>
      </c>
      <c r="G346" s="27" t="s">
        <v>3463</v>
      </c>
      <c r="H346" s="167">
        <v>45136.0</v>
      </c>
      <c r="I346" s="167">
        <v>45229.0</v>
      </c>
      <c r="J346" s="66">
        <v>268.715678024292</v>
      </c>
      <c r="K346" s="1"/>
      <c r="L346" s="1"/>
      <c r="M346" s="1" t="str">
        <f>VLOOKUP(B346,Bounties!A:D,3,FALSE)</f>
        <v>Outreach</v>
      </c>
      <c r="N346" s="1" t="str">
        <f>VLOOKUP(B346,Bounties!A:D,4,FALSE)</f>
        <v>Events/Meetups</v>
      </c>
      <c r="O346" s="1" t="str">
        <f t="shared" ref="O346:P346" si="350">IF(ISBLANK(K346),M346,K346)</f>
        <v>Outreach</v>
      </c>
      <c r="P346" s="1" t="str">
        <f t="shared" si="350"/>
        <v>Events/Meetups</v>
      </c>
      <c r="Q346" s="108" t="str">
        <f t="shared" si="3"/>
        <v>2023</v>
      </c>
      <c r="R346" s="110">
        <f t="shared" si="4"/>
        <v>10</v>
      </c>
      <c r="S346" s="108" t="str">
        <f t="shared" si="5"/>
        <v>2023-Q4</v>
      </c>
      <c r="T346" s="111" t="str">
        <f t="shared" si="6"/>
        <v>2023-10</v>
      </c>
      <c r="U346" s="112" t="str">
        <f t="shared" si="7"/>
        <v>2023-H2</v>
      </c>
      <c r="V346" s="1" t="str">
        <f>VLOOKUP(B346,Bounties!A:E,2,FALSE)</f>
        <v>Events Bounty</v>
      </c>
    </row>
    <row r="347" hidden="1">
      <c r="A347" s="109">
        <f>HYPERLINK("https://polkadot.subsquare.io/treasury/child-bounties/345", 345)</f>
        <v>345</v>
      </c>
      <c r="B347" s="183">
        <v>17.0</v>
      </c>
      <c r="C347" s="27" t="s">
        <v>3404</v>
      </c>
      <c r="D347" s="27" t="s">
        <v>943</v>
      </c>
      <c r="E347" s="129">
        <v>10317.0</v>
      </c>
      <c r="F347" s="66">
        <v>53628.13941192627</v>
      </c>
      <c r="G347" s="27" t="s">
        <v>3417</v>
      </c>
      <c r="H347" s="167">
        <v>45136.0</v>
      </c>
      <c r="I347" s="167">
        <v>45148.0</v>
      </c>
      <c r="J347" s="66">
        <v>51945.95075941086</v>
      </c>
      <c r="K347" s="1"/>
      <c r="L347" s="1" t="s">
        <v>266</v>
      </c>
      <c r="M347" s="1" t="str">
        <f>VLOOKUP(B347,Bounties!A:D,3,FALSE)</f>
        <v>Outreach</v>
      </c>
      <c r="N347" s="1" t="str">
        <f>VLOOKUP(B347,Bounties!A:D,4,FALSE)</f>
        <v>Events/Meetups</v>
      </c>
      <c r="O347" s="1" t="str">
        <f t="shared" ref="O347:P347" si="351">IF(ISBLANK(K347),M347,K347)</f>
        <v>Outreach</v>
      </c>
      <c r="P347" s="1" t="str">
        <f t="shared" si="351"/>
        <v>Events/Conference Attendance &amp; Side Events</v>
      </c>
      <c r="Q347" s="108" t="str">
        <f t="shared" si="3"/>
        <v>2023</v>
      </c>
      <c r="R347" s="110">
        <f t="shared" si="4"/>
        <v>8</v>
      </c>
      <c r="S347" s="108" t="str">
        <f t="shared" si="5"/>
        <v>2023-Q3</v>
      </c>
      <c r="T347" s="111" t="str">
        <f t="shared" si="6"/>
        <v>2023-08</v>
      </c>
      <c r="U347" s="112" t="str">
        <f t="shared" si="7"/>
        <v>2023-H2</v>
      </c>
      <c r="V347" s="1" t="str">
        <f>VLOOKUP(B347,Bounties!A:E,2,FALSE)</f>
        <v>Events Bounty</v>
      </c>
    </row>
    <row r="348" hidden="1">
      <c r="A348" s="109">
        <f>HYPERLINK("https://polkadot.subsquare.io/treasury/child-bounties/346", 346)</f>
        <v>346</v>
      </c>
      <c r="B348" s="183">
        <v>17.0</v>
      </c>
      <c r="C348" s="27" t="s">
        <v>3404</v>
      </c>
      <c r="D348" s="27" t="s">
        <v>944</v>
      </c>
      <c r="E348" s="129">
        <v>2076.0</v>
      </c>
      <c r="F348" s="66">
        <v>10791.123138427734</v>
      </c>
      <c r="G348" s="27" t="s">
        <v>3523</v>
      </c>
      <c r="H348" s="167">
        <v>45136.0</v>
      </c>
      <c r="I348" s="167">
        <v>45147.0</v>
      </c>
      <c r="J348" s="66">
        <v>10388.142042160034</v>
      </c>
      <c r="K348" s="1"/>
      <c r="L348" s="1" t="s">
        <v>266</v>
      </c>
      <c r="M348" s="1" t="str">
        <f>VLOOKUP(B348,Bounties!A:D,3,FALSE)</f>
        <v>Outreach</v>
      </c>
      <c r="N348" s="1" t="str">
        <f>VLOOKUP(B348,Bounties!A:D,4,FALSE)</f>
        <v>Events/Meetups</v>
      </c>
      <c r="O348" s="1" t="str">
        <f t="shared" ref="O348:P348" si="352">IF(ISBLANK(K348),M348,K348)</f>
        <v>Outreach</v>
      </c>
      <c r="P348" s="1" t="str">
        <f t="shared" si="352"/>
        <v>Events/Conference Attendance &amp; Side Events</v>
      </c>
      <c r="Q348" s="108" t="str">
        <f t="shared" si="3"/>
        <v>2023</v>
      </c>
      <c r="R348" s="110">
        <f t="shared" si="4"/>
        <v>8</v>
      </c>
      <c r="S348" s="108" t="str">
        <f t="shared" si="5"/>
        <v>2023-Q3</v>
      </c>
      <c r="T348" s="111" t="str">
        <f t="shared" si="6"/>
        <v>2023-08</v>
      </c>
      <c r="U348" s="112" t="str">
        <f t="shared" si="7"/>
        <v>2023-H2</v>
      </c>
      <c r="V348" s="1" t="str">
        <f>VLOOKUP(B348,Bounties!A:E,2,FALSE)</f>
        <v>Events Bounty</v>
      </c>
    </row>
    <row r="349" hidden="1">
      <c r="A349" s="109">
        <f>HYPERLINK("https://polkadot.subsquare.io/treasury/child-bounties/347", 347)</f>
        <v>347</v>
      </c>
      <c r="B349" s="183">
        <v>17.0</v>
      </c>
      <c r="C349" s="27" t="s">
        <v>3404</v>
      </c>
      <c r="D349" s="27" t="s">
        <v>945</v>
      </c>
      <c r="E349" s="129">
        <v>1072.0</v>
      </c>
      <c r="F349" s="66">
        <v>5572.2947998046875</v>
      </c>
      <c r="G349" s="27" t="s">
        <v>3524</v>
      </c>
      <c r="H349" s="167">
        <v>45136.0</v>
      </c>
      <c r="I349" s="167">
        <v>45146.0</v>
      </c>
      <c r="J349" s="66">
        <v>5364.204368591309</v>
      </c>
      <c r="K349" s="1"/>
      <c r="L349" s="1" t="s">
        <v>266</v>
      </c>
      <c r="M349" s="1" t="str">
        <f>VLOOKUP(B349,Bounties!A:D,3,FALSE)</f>
        <v>Outreach</v>
      </c>
      <c r="N349" s="1" t="str">
        <f>VLOOKUP(B349,Bounties!A:D,4,FALSE)</f>
        <v>Events/Meetups</v>
      </c>
      <c r="O349" s="1" t="str">
        <f t="shared" ref="O349:P349" si="353">IF(ISBLANK(K349),M349,K349)</f>
        <v>Outreach</v>
      </c>
      <c r="P349" s="1" t="str">
        <f t="shared" si="353"/>
        <v>Events/Conference Attendance &amp; Side Events</v>
      </c>
      <c r="Q349" s="108" t="str">
        <f t="shared" si="3"/>
        <v>2023</v>
      </c>
      <c r="R349" s="110">
        <f t="shared" si="4"/>
        <v>8</v>
      </c>
      <c r="S349" s="108" t="str">
        <f t="shared" si="5"/>
        <v>2023-Q3</v>
      </c>
      <c r="T349" s="111" t="str">
        <f t="shared" si="6"/>
        <v>2023-08</v>
      </c>
      <c r="U349" s="112" t="str">
        <f t="shared" si="7"/>
        <v>2023-H2</v>
      </c>
      <c r="V349" s="1" t="str">
        <f>VLOOKUP(B349,Bounties!A:E,2,FALSE)</f>
        <v>Events Bounty</v>
      </c>
    </row>
    <row r="350" hidden="1">
      <c r="A350" s="109">
        <f>HYPERLINK("https://polkadot.subsquare.io/treasury/child-bounties/348", 348)</f>
        <v>348</v>
      </c>
      <c r="B350" s="183">
        <v>17.0</v>
      </c>
      <c r="C350" s="27" t="s">
        <v>3404</v>
      </c>
      <c r="D350" s="27" t="s">
        <v>946</v>
      </c>
      <c r="E350" s="129">
        <v>4846.0</v>
      </c>
      <c r="F350" s="66">
        <v>25189.683395385742</v>
      </c>
      <c r="G350" s="27" t="s">
        <v>3525</v>
      </c>
      <c r="H350" s="167">
        <v>45136.0</v>
      </c>
      <c r="I350" s="167">
        <v>45158.0</v>
      </c>
      <c r="J350" s="66">
        <v>21422.804985046387</v>
      </c>
      <c r="K350" s="1"/>
      <c r="L350" s="1" t="s">
        <v>266</v>
      </c>
      <c r="M350" s="1" t="str">
        <f>VLOOKUP(B350,Bounties!A:D,3,FALSE)</f>
        <v>Outreach</v>
      </c>
      <c r="N350" s="1" t="str">
        <f>VLOOKUP(B350,Bounties!A:D,4,FALSE)</f>
        <v>Events/Meetups</v>
      </c>
      <c r="O350" s="1" t="str">
        <f t="shared" ref="O350:P350" si="354">IF(ISBLANK(K350),M350,K350)</f>
        <v>Outreach</v>
      </c>
      <c r="P350" s="1" t="str">
        <f t="shared" si="354"/>
        <v>Events/Conference Attendance &amp; Side Events</v>
      </c>
      <c r="Q350" s="108" t="str">
        <f t="shared" si="3"/>
        <v>2023</v>
      </c>
      <c r="R350" s="110">
        <f t="shared" si="4"/>
        <v>8</v>
      </c>
      <c r="S350" s="108" t="str">
        <f t="shared" si="5"/>
        <v>2023-Q3</v>
      </c>
      <c r="T350" s="111" t="str">
        <f t="shared" si="6"/>
        <v>2023-08</v>
      </c>
      <c r="U350" s="112" t="str">
        <f t="shared" si="7"/>
        <v>2023-H2</v>
      </c>
      <c r="V350" s="1" t="str">
        <f>VLOOKUP(B350,Bounties!A:E,2,FALSE)</f>
        <v>Events Bounty</v>
      </c>
    </row>
    <row r="351" hidden="1">
      <c r="A351" s="109">
        <f>HYPERLINK("https://polkadot.subsquare.io/treasury/child-bounties/349", 349)</f>
        <v>349</v>
      </c>
      <c r="B351" s="183">
        <v>11.0</v>
      </c>
      <c r="C351" s="27" t="s">
        <v>3404</v>
      </c>
      <c r="D351" s="27" t="s">
        <v>947</v>
      </c>
      <c r="E351" s="129">
        <v>96.61835749</v>
      </c>
      <c r="F351" s="66">
        <v>481.9518932501434</v>
      </c>
      <c r="G351" s="27" t="s">
        <v>3486</v>
      </c>
      <c r="H351" s="167">
        <v>45139.0</v>
      </c>
      <c r="I351" s="167">
        <v>45147.0</v>
      </c>
      <c r="J351" s="66">
        <v>486.4720791538912</v>
      </c>
      <c r="K351" s="1"/>
      <c r="L351" s="1"/>
      <c r="M351" s="1" t="str">
        <f>VLOOKUP(B351,Bounties!A:D,3,FALSE)</f>
        <v>Research</v>
      </c>
      <c r="N351" s="1" t="str">
        <f>VLOOKUP(B351,Bounties!A:D,4,FALSE)</f>
        <v>Anti-Scam</v>
      </c>
      <c r="O351" s="1" t="str">
        <f t="shared" ref="O351:P351" si="355">IF(ISBLANK(K351),M351,K351)</f>
        <v>Research</v>
      </c>
      <c r="P351" s="1" t="str">
        <f t="shared" si="355"/>
        <v>Anti-Scam</v>
      </c>
      <c r="Q351" s="108" t="str">
        <f t="shared" si="3"/>
        <v>2023</v>
      </c>
      <c r="R351" s="110">
        <f t="shared" si="4"/>
        <v>8</v>
      </c>
      <c r="S351" s="108" t="str">
        <f t="shared" si="5"/>
        <v>2023-Q3</v>
      </c>
      <c r="T351" s="111" t="str">
        <f t="shared" si="6"/>
        <v>2023-08</v>
      </c>
      <c r="U351" s="112" t="str">
        <f t="shared" si="7"/>
        <v>2023-H2</v>
      </c>
      <c r="V351" s="1" t="str">
        <f>VLOOKUP(B351,Bounties!A:E,2,FALSE)</f>
        <v>Anti-Scam Bounty</v>
      </c>
    </row>
    <row r="352" hidden="1">
      <c r="A352" s="109">
        <f>HYPERLINK("https://polkadot.subsquare.io/treasury/child-bounties/350", 350)</f>
        <v>350</v>
      </c>
      <c r="B352" s="183">
        <v>11.0</v>
      </c>
      <c r="C352" s="27" t="s">
        <v>3404</v>
      </c>
      <c r="D352" s="27" t="s">
        <v>948</v>
      </c>
      <c r="E352" s="129">
        <v>173.9130435</v>
      </c>
      <c r="F352" s="66">
        <v>867.5134079400458</v>
      </c>
      <c r="G352" s="27" t="s">
        <v>3411</v>
      </c>
      <c r="H352" s="167">
        <v>45139.0</v>
      </c>
      <c r="I352" s="167">
        <v>45147.0</v>
      </c>
      <c r="J352" s="66">
        <v>875.6497425676338</v>
      </c>
      <c r="K352" s="1"/>
      <c r="L352" s="1"/>
      <c r="M352" s="1" t="str">
        <f>VLOOKUP(B352,Bounties!A:D,3,FALSE)</f>
        <v>Research</v>
      </c>
      <c r="N352" s="1" t="str">
        <f>VLOOKUP(B352,Bounties!A:D,4,FALSE)</f>
        <v>Anti-Scam</v>
      </c>
      <c r="O352" s="1" t="str">
        <f t="shared" ref="O352:P352" si="356">IF(ISBLANK(K352),M352,K352)</f>
        <v>Research</v>
      </c>
      <c r="P352" s="1" t="str">
        <f t="shared" si="356"/>
        <v>Anti-Scam</v>
      </c>
      <c r="Q352" s="108" t="str">
        <f t="shared" si="3"/>
        <v>2023</v>
      </c>
      <c r="R352" s="110">
        <f t="shared" si="4"/>
        <v>8</v>
      </c>
      <c r="S352" s="108" t="str">
        <f t="shared" si="5"/>
        <v>2023-Q3</v>
      </c>
      <c r="T352" s="111" t="str">
        <f t="shared" si="6"/>
        <v>2023-08</v>
      </c>
      <c r="U352" s="112" t="str">
        <f t="shared" si="7"/>
        <v>2023-H2</v>
      </c>
      <c r="V352" s="1" t="str">
        <f>VLOOKUP(B352,Bounties!A:E,2,FALSE)</f>
        <v>Anti-Scam Bounty</v>
      </c>
    </row>
    <row r="353" hidden="1">
      <c r="A353" s="109">
        <f>HYPERLINK("https://polkadot.subsquare.io/treasury/child-bounties/351", 351)</f>
        <v>351</v>
      </c>
      <c r="B353" s="183">
        <v>11.0</v>
      </c>
      <c r="C353" s="27" t="s">
        <v>3404</v>
      </c>
      <c r="D353" s="27" t="s">
        <v>949</v>
      </c>
      <c r="E353" s="129">
        <v>48.30917874</v>
      </c>
      <c r="F353" s="66">
        <v>240.9759466001307</v>
      </c>
      <c r="G353" s="27" t="s">
        <v>3411</v>
      </c>
      <c r="H353" s="167">
        <v>45139.0</v>
      </c>
      <c r="I353" s="167">
        <v>45147.0</v>
      </c>
      <c r="J353" s="66">
        <v>243.23603955177066</v>
      </c>
      <c r="K353" s="1"/>
      <c r="L353" s="1"/>
      <c r="M353" s="1" t="str">
        <f>VLOOKUP(B353,Bounties!A:D,3,FALSE)</f>
        <v>Research</v>
      </c>
      <c r="N353" s="1" t="str">
        <f>VLOOKUP(B353,Bounties!A:D,4,FALSE)</f>
        <v>Anti-Scam</v>
      </c>
      <c r="O353" s="1" t="str">
        <f t="shared" ref="O353:P353" si="357">IF(ISBLANK(K353),M353,K353)</f>
        <v>Research</v>
      </c>
      <c r="P353" s="1" t="str">
        <f t="shared" si="357"/>
        <v>Anti-Scam</v>
      </c>
      <c r="Q353" s="108" t="str">
        <f t="shared" si="3"/>
        <v>2023</v>
      </c>
      <c r="R353" s="110">
        <f t="shared" si="4"/>
        <v>8</v>
      </c>
      <c r="S353" s="108" t="str">
        <f t="shared" si="5"/>
        <v>2023-Q3</v>
      </c>
      <c r="T353" s="111" t="str">
        <f t="shared" si="6"/>
        <v>2023-08</v>
      </c>
      <c r="U353" s="112" t="str">
        <f t="shared" si="7"/>
        <v>2023-H2</v>
      </c>
      <c r="V353" s="1" t="str">
        <f>VLOOKUP(B353,Bounties!A:E,2,FALSE)</f>
        <v>Anti-Scam Bounty</v>
      </c>
    </row>
    <row r="354" hidden="1">
      <c r="A354" s="109">
        <f>HYPERLINK("https://polkadot.subsquare.io/treasury/child-bounties/352", 352)</f>
        <v>352</v>
      </c>
      <c r="B354" s="183">
        <v>11.0</v>
      </c>
      <c r="C354" s="27" t="s">
        <v>3404</v>
      </c>
      <c r="D354" s="27" t="s">
        <v>950</v>
      </c>
      <c r="E354" s="129">
        <v>144.9275362</v>
      </c>
      <c r="F354" s="66">
        <v>722.927839700628</v>
      </c>
      <c r="G354" s="27" t="s">
        <v>3470</v>
      </c>
      <c r="H354" s="167">
        <v>45139.0</v>
      </c>
      <c r="I354" s="167">
        <v>45150.0</v>
      </c>
      <c r="J354" s="66">
        <v>697.4614183301268</v>
      </c>
      <c r="K354" s="1"/>
      <c r="L354" s="1"/>
      <c r="M354" s="1" t="str">
        <f>VLOOKUP(B354,Bounties!A:D,3,FALSE)</f>
        <v>Research</v>
      </c>
      <c r="N354" s="1" t="str">
        <f>VLOOKUP(B354,Bounties!A:D,4,FALSE)</f>
        <v>Anti-Scam</v>
      </c>
      <c r="O354" s="1" t="str">
        <f t="shared" ref="O354:P354" si="358">IF(ISBLANK(K354),M354,K354)</f>
        <v>Research</v>
      </c>
      <c r="P354" s="1" t="str">
        <f t="shared" si="358"/>
        <v>Anti-Scam</v>
      </c>
      <c r="Q354" s="108" t="str">
        <f t="shared" si="3"/>
        <v>2023</v>
      </c>
      <c r="R354" s="110">
        <f t="shared" si="4"/>
        <v>8</v>
      </c>
      <c r="S354" s="108" t="str">
        <f t="shared" si="5"/>
        <v>2023-Q3</v>
      </c>
      <c r="T354" s="111" t="str">
        <f t="shared" si="6"/>
        <v>2023-08</v>
      </c>
      <c r="U354" s="112" t="str">
        <f t="shared" si="7"/>
        <v>2023-H2</v>
      </c>
      <c r="V354" s="1" t="str">
        <f>VLOOKUP(B354,Bounties!A:E,2,FALSE)</f>
        <v>Anti-Scam Bounty</v>
      </c>
    </row>
    <row r="355" hidden="1">
      <c r="A355" s="109">
        <f>HYPERLINK("https://polkadot.subsquare.io/treasury/child-bounties/353", 353)</f>
        <v>353</v>
      </c>
      <c r="B355" s="183">
        <v>11.0</v>
      </c>
      <c r="C355" s="27" t="s">
        <v>3404</v>
      </c>
      <c r="D355" s="27" t="s">
        <v>951</v>
      </c>
      <c r="E355" s="129">
        <v>386.47343</v>
      </c>
      <c r="F355" s="66">
        <v>1927.8075732001018</v>
      </c>
      <c r="G355" s="27" t="s">
        <v>3424</v>
      </c>
      <c r="H355" s="167">
        <v>45139.0</v>
      </c>
      <c r="I355" s="167">
        <v>45147.0</v>
      </c>
      <c r="J355" s="66">
        <v>1945.888316816964</v>
      </c>
      <c r="K355" s="1"/>
      <c r="L355" s="1"/>
      <c r="M355" s="1" t="str">
        <f>VLOOKUP(B355,Bounties!A:D,3,FALSE)</f>
        <v>Research</v>
      </c>
      <c r="N355" s="1" t="str">
        <f>VLOOKUP(B355,Bounties!A:D,4,FALSE)</f>
        <v>Anti-Scam</v>
      </c>
      <c r="O355" s="1" t="str">
        <f t="shared" ref="O355:P355" si="359">IF(ISBLANK(K355),M355,K355)</f>
        <v>Research</v>
      </c>
      <c r="P355" s="1" t="str">
        <f t="shared" si="359"/>
        <v>Anti-Scam</v>
      </c>
      <c r="Q355" s="108" t="str">
        <f t="shared" si="3"/>
        <v>2023</v>
      </c>
      <c r="R355" s="110">
        <f t="shared" si="4"/>
        <v>8</v>
      </c>
      <c r="S355" s="108" t="str">
        <f t="shared" si="5"/>
        <v>2023-Q3</v>
      </c>
      <c r="T355" s="111" t="str">
        <f t="shared" si="6"/>
        <v>2023-08</v>
      </c>
      <c r="U355" s="112" t="str">
        <f t="shared" si="7"/>
        <v>2023-H2</v>
      </c>
      <c r="V355" s="1" t="str">
        <f>VLOOKUP(B355,Bounties!A:E,2,FALSE)</f>
        <v>Anti-Scam Bounty</v>
      </c>
    </row>
    <row r="356" hidden="1">
      <c r="A356" s="109">
        <f>HYPERLINK("https://polkadot.subsquare.io/treasury/child-bounties/354", 354)</f>
        <v>354</v>
      </c>
      <c r="B356" s="183">
        <v>11.0</v>
      </c>
      <c r="C356" s="27" t="s">
        <v>3404</v>
      </c>
      <c r="D356" s="27" t="s">
        <v>952</v>
      </c>
      <c r="E356" s="129">
        <v>96.61835749</v>
      </c>
      <c r="F356" s="66">
        <v>481.9518932501434</v>
      </c>
      <c r="G356" s="27" t="s">
        <v>3423</v>
      </c>
      <c r="H356" s="167">
        <v>45139.0</v>
      </c>
      <c r="I356" s="167">
        <v>45158.0</v>
      </c>
      <c r="J356" s="66">
        <v>427.12262288150345</v>
      </c>
      <c r="K356" s="1"/>
      <c r="L356" s="1"/>
      <c r="M356" s="1" t="str">
        <f>VLOOKUP(B356,Bounties!A:D,3,FALSE)</f>
        <v>Research</v>
      </c>
      <c r="N356" s="1" t="str">
        <f>VLOOKUP(B356,Bounties!A:D,4,FALSE)</f>
        <v>Anti-Scam</v>
      </c>
      <c r="O356" s="1" t="str">
        <f t="shared" ref="O356:P356" si="360">IF(ISBLANK(K356),M356,K356)</f>
        <v>Research</v>
      </c>
      <c r="P356" s="1" t="str">
        <f t="shared" si="360"/>
        <v>Anti-Scam</v>
      </c>
      <c r="Q356" s="108" t="str">
        <f t="shared" si="3"/>
        <v>2023</v>
      </c>
      <c r="R356" s="110">
        <f t="shared" si="4"/>
        <v>8</v>
      </c>
      <c r="S356" s="108" t="str">
        <f t="shared" si="5"/>
        <v>2023-Q3</v>
      </c>
      <c r="T356" s="111" t="str">
        <f t="shared" si="6"/>
        <v>2023-08</v>
      </c>
      <c r="U356" s="112" t="str">
        <f t="shared" si="7"/>
        <v>2023-H2</v>
      </c>
      <c r="V356" s="1" t="str">
        <f>VLOOKUP(B356,Bounties!A:E,2,FALSE)</f>
        <v>Anti-Scam Bounty</v>
      </c>
    </row>
    <row r="357" hidden="1">
      <c r="A357" s="109">
        <f>HYPERLINK("https://polkadot.subsquare.io/treasury/child-bounties/355", 355)</f>
        <v>355</v>
      </c>
      <c r="B357" s="183">
        <v>11.0</v>
      </c>
      <c r="C357" s="27" t="s">
        <v>3404</v>
      </c>
      <c r="D357" s="27" t="s">
        <v>953</v>
      </c>
      <c r="E357" s="129">
        <v>270.531401</v>
      </c>
      <c r="F357" s="66">
        <v>1349.4653012400713</v>
      </c>
      <c r="G357" s="27" t="s">
        <v>3469</v>
      </c>
      <c r="H357" s="167">
        <v>45139.0</v>
      </c>
      <c r="I357" s="167">
        <v>45149.0</v>
      </c>
      <c r="J357" s="66">
        <v>1349.4923911192075</v>
      </c>
      <c r="K357" s="1"/>
      <c r="L357" s="1"/>
      <c r="M357" s="1" t="str">
        <f>VLOOKUP(B357,Bounties!A:D,3,FALSE)</f>
        <v>Research</v>
      </c>
      <c r="N357" s="1" t="str">
        <f>VLOOKUP(B357,Bounties!A:D,4,FALSE)</f>
        <v>Anti-Scam</v>
      </c>
      <c r="O357" s="1" t="str">
        <f t="shared" ref="O357:P357" si="361">IF(ISBLANK(K357),M357,K357)</f>
        <v>Research</v>
      </c>
      <c r="P357" s="1" t="str">
        <f t="shared" si="361"/>
        <v>Anti-Scam</v>
      </c>
      <c r="Q357" s="108" t="str">
        <f t="shared" si="3"/>
        <v>2023</v>
      </c>
      <c r="R357" s="110">
        <f t="shared" si="4"/>
        <v>8</v>
      </c>
      <c r="S357" s="108" t="str">
        <f t="shared" si="5"/>
        <v>2023-Q3</v>
      </c>
      <c r="T357" s="111" t="str">
        <f t="shared" si="6"/>
        <v>2023-08</v>
      </c>
      <c r="U357" s="112" t="str">
        <f t="shared" si="7"/>
        <v>2023-H2</v>
      </c>
      <c r="V357" s="1" t="str">
        <f>VLOOKUP(B357,Bounties!A:E,2,FALSE)</f>
        <v>Anti-Scam Bounty</v>
      </c>
    </row>
    <row r="358" hidden="1">
      <c r="A358" s="109">
        <f>HYPERLINK("https://polkadot.subsquare.io/treasury/child-bounties/356", 356)</f>
        <v>356</v>
      </c>
      <c r="B358" s="183">
        <v>11.0</v>
      </c>
      <c r="C358" s="27" t="s">
        <v>3404</v>
      </c>
      <c r="D358" s="27" t="s">
        <v>954</v>
      </c>
      <c r="E358" s="129">
        <v>77.29468599</v>
      </c>
      <c r="F358" s="66">
        <v>385.56151459013836</v>
      </c>
      <c r="G358" s="27" t="s">
        <v>3526</v>
      </c>
      <c r="H358" s="167">
        <v>45139.0</v>
      </c>
      <c r="I358" s="167">
        <v>45148.0</v>
      </c>
      <c r="J358" s="66">
        <v>389.177663313043</v>
      </c>
      <c r="K358" s="1"/>
      <c r="L358" s="1"/>
      <c r="M358" s="1" t="str">
        <f>VLOOKUP(B358,Bounties!A:D,3,FALSE)</f>
        <v>Research</v>
      </c>
      <c r="N358" s="1" t="str">
        <f>VLOOKUP(B358,Bounties!A:D,4,FALSE)</f>
        <v>Anti-Scam</v>
      </c>
      <c r="O358" s="1" t="str">
        <f t="shared" ref="O358:P358" si="362">IF(ISBLANK(K358),M358,K358)</f>
        <v>Research</v>
      </c>
      <c r="P358" s="1" t="str">
        <f t="shared" si="362"/>
        <v>Anti-Scam</v>
      </c>
      <c r="Q358" s="108" t="str">
        <f t="shared" si="3"/>
        <v>2023</v>
      </c>
      <c r="R358" s="110">
        <f t="shared" si="4"/>
        <v>8</v>
      </c>
      <c r="S358" s="108" t="str">
        <f t="shared" si="5"/>
        <v>2023-Q3</v>
      </c>
      <c r="T358" s="111" t="str">
        <f t="shared" si="6"/>
        <v>2023-08</v>
      </c>
      <c r="U358" s="112" t="str">
        <f t="shared" si="7"/>
        <v>2023-H2</v>
      </c>
      <c r="V358" s="1" t="str">
        <f>VLOOKUP(B358,Bounties!A:E,2,FALSE)</f>
        <v>Anti-Scam Bounty</v>
      </c>
    </row>
    <row r="359" hidden="1">
      <c r="A359" s="109">
        <f>HYPERLINK("https://polkadot.subsquare.io/treasury/child-bounties/357", 357)</f>
        <v>357</v>
      </c>
      <c r="B359" s="183">
        <v>11.0</v>
      </c>
      <c r="C359" s="27" t="s">
        <v>3404</v>
      </c>
      <c r="D359" s="27" t="s">
        <v>955</v>
      </c>
      <c r="E359" s="129">
        <v>162.31884058</v>
      </c>
      <c r="F359" s="66">
        <v>809.6791806442787</v>
      </c>
      <c r="G359" s="27" t="s">
        <v>3409</v>
      </c>
      <c r="H359" s="167">
        <v>45139.0</v>
      </c>
      <c r="I359" s="167">
        <v>45147.0</v>
      </c>
      <c r="J359" s="66">
        <v>817.2730929624253</v>
      </c>
      <c r="K359" s="1"/>
      <c r="L359" s="1"/>
      <c r="M359" s="1" t="str">
        <f>VLOOKUP(B359,Bounties!A:D,3,FALSE)</f>
        <v>Research</v>
      </c>
      <c r="N359" s="1" t="str">
        <f>VLOOKUP(B359,Bounties!A:D,4,FALSE)</f>
        <v>Anti-Scam</v>
      </c>
      <c r="O359" s="1" t="str">
        <f t="shared" ref="O359:P359" si="363">IF(ISBLANK(K359),M359,K359)</f>
        <v>Research</v>
      </c>
      <c r="P359" s="1" t="str">
        <f t="shared" si="363"/>
        <v>Anti-Scam</v>
      </c>
      <c r="Q359" s="108" t="str">
        <f t="shared" si="3"/>
        <v>2023</v>
      </c>
      <c r="R359" s="110">
        <f t="shared" si="4"/>
        <v>8</v>
      </c>
      <c r="S359" s="108" t="str">
        <f t="shared" si="5"/>
        <v>2023-Q3</v>
      </c>
      <c r="T359" s="111" t="str">
        <f t="shared" si="6"/>
        <v>2023-08</v>
      </c>
      <c r="U359" s="112" t="str">
        <f t="shared" si="7"/>
        <v>2023-H2</v>
      </c>
      <c r="V359" s="1" t="str">
        <f>VLOOKUP(B359,Bounties!A:E,2,FALSE)</f>
        <v>Anti-Scam Bounty</v>
      </c>
    </row>
    <row r="360" hidden="1">
      <c r="A360" s="109">
        <f>HYPERLINK("https://polkadot.subsquare.io/treasury/child-bounties/358", 358)</f>
        <v>358</v>
      </c>
      <c r="B360" s="183">
        <v>11.0</v>
      </c>
      <c r="C360" s="27" t="s">
        <v>3404</v>
      </c>
      <c r="D360" s="27" t="s">
        <v>956</v>
      </c>
      <c r="E360" s="129">
        <v>139.13043478</v>
      </c>
      <c r="F360" s="66">
        <v>694.0107262522727</v>
      </c>
      <c r="G360" s="27" t="s">
        <v>3407</v>
      </c>
      <c r="H360" s="167">
        <v>45139.0</v>
      </c>
      <c r="I360" s="167">
        <v>45147.0</v>
      </c>
      <c r="J360" s="66">
        <v>700.5197939534074</v>
      </c>
      <c r="K360" s="1"/>
      <c r="L360" s="1"/>
      <c r="M360" s="1" t="str">
        <f>VLOOKUP(B360,Bounties!A:D,3,FALSE)</f>
        <v>Research</v>
      </c>
      <c r="N360" s="1" t="str">
        <f>VLOOKUP(B360,Bounties!A:D,4,FALSE)</f>
        <v>Anti-Scam</v>
      </c>
      <c r="O360" s="1" t="str">
        <f t="shared" ref="O360:P360" si="364">IF(ISBLANK(K360),M360,K360)</f>
        <v>Research</v>
      </c>
      <c r="P360" s="1" t="str">
        <f t="shared" si="364"/>
        <v>Anti-Scam</v>
      </c>
      <c r="Q360" s="108" t="str">
        <f t="shared" si="3"/>
        <v>2023</v>
      </c>
      <c r="R360" s="110">
        <f t="shared" si="4"/>
        <v>8</v>
      </c>
      <c r="S360" s="108" t="str">
        <f t="shared" si="5"/>
        <v>2023-Q3</v>
      </c>
      <c r="T360" s="111" t="str">
        <f t="shared" si="6"/>
        <v>2023-08</v>
      </c>
      <c r="U360" s="112" t="str">
        <f t="shared" si="7"/>
        <v>2023-H2</v>
      </c>
      <c r="V360" s="1" t="str">
        <f>VLOOKUP(B360,Bounties!A:E,2,FALSE)</f>
        <v>Anti-Scam Bounty</v>
      </c>
    </row>
    <row r="361" hidden="1">
      <c r="A361" s="109">
        <f>HYPERLINK("https://polkadot.subsquare.io/treasury/child-bounties/359", 359)</f>
        <v>359</v>
      </c>
      <c r="B361" s="183">
        <v>11.0</v>
      </c>
      <c r="C361" s="27" t="s">
        <v>3404</v>
      </c>
      <c r="D361" s="27" t="s">
        <v>957</v>
      </c>
      <c r="E361" s="129">
        <v>96.61835749</v>
      </c>
      <c r="F361" s="66">
        <v>481.9518932501434</v>
      </c>
      <c r="G361" s="27" t="s">
        <v>3409</v>
      </c>
      <c r="H361" s="167">
        <v>45139.0</v>
      </c>
      <c r="I361" s="167">
        <v>45147.0</v>
      </c>
      <c r="J361" s="66">
        <v>486.4720791538912</v>
      </c>
      <c r="K361" s="1"/>
      <c r="L361" s="1"/>
      <c r="M361" s="1" t="str">
        <f>VLOOKUP(B361,Bounties!A:D,3,FALSE)</f>
        <v>Research</v>
      </c>
      <c r="N361" s="1" t="str">
        <f>VLOOKUP(B361,Bounties!A:D,4,FALSE)</f>
        <v>Anti-Scam</v>
      </c>
      <c r="O361" s="1" t="str">
        <f t="shared" ref="O361:P361" si="365">IF(ISBLANK(K361),M361,K361)</f>
        <v>Research</v>
      </c>
      <c r="P361" s="1" t="str">
        <f t="shared" si="365"/>
        <v>Anti-Scam</v>
      </c>
      <c r="Q361" s="108" t="str">
        <f t="shared" si="3"/>
        <v>2023</v>
      </c>
      <c r="R361" s="110">
        <f t="shared" si="4"/>
        <v>8</v>
      </c>
      <c r="S361" s="108" t="str">
        <f t="shared" si="5"/>
        <v>2023-Q3</v>
      </c>
      <c r="T361" s="111" t="str">
        <f t="shared" si="6"/>
        <v>2023-08</v>
      </c>
      <c r="U361" s="112" t="str">
        <f t="shared" si="7"/>
        <v>2023-H2</v>
      </c>
      <c r="V361" s="1" t="str">
        <f>VLOOKUP(B361,Bounties!A:E,2,FALSE)</f>
        <v>Anti-Scam Bounty</v>
      </c>
    </row>
    <row r="362" hidden="1">
      <c r="A362" s="109">
        <f>HYPERLINK("https://polkadot.subsquare.io/treasury/child-bounties/360", 360)</f>
        <v>360</v>
      </c>
      <c r="B362" s="183">
        <v>11.0</v>
      </c>
      <c r="C362" s="27" t="s">
        <v>3404</v>
      </c>
      <c r="D362" s="27" t="s">
        <v>958</v>
      </c>
      <c r="E362" s="129">
        <v>96.61835749</v>
      </c>
      <c r="F362" s="66">
        <v>481.9518932501434</v>
      </c>
      <c r="G362" s="27" t="s">
        <v>3457</v>
      </c>
      <c r="H362" s="167">
        <v>45139.0</v>
      </c>
      <c r="I362" s="167">
        <v>45148.0</v>
      </c>
      <c r="J362" s="66">
        <v>486.4720791538912</v>
      </c>
      <c r="K362" s="1"/>
      <c r="L362" s="1"/>
      <c r="M362" s="1" t="str">
        <f>VLOOKUP(B362,Bounties!A:D,3,FALSE)</f>
        <v>Research</v>
      </c>
      <c r="N362" s="1" t="str">
        <f>VLOOKUP(B362,Bounties!A:D,4,FALSE)</f>
        <v>Anti-Scam</v>
      </c>
      <c r="O362" s="1" t="str">
        <f t="shared" ref="O362:P362" si="366">IF(ISBLANK(K362),M362,K362)</f>
        <v>Research</v>
      </c>
      <c r="P362" s="1" t="str">
        <f t="shared" si="366"/>
        <v>Anti-Scam</v>
      </c>
      <c r="Q362" s="108" t="str">
        <f t="shared" si="3"/>
        <v>2023</v>
      </c>
      <c r="R362" s="110">
        <f t="shared" si="4"/>
        <v>8</v>
      </c>
      <c r="S362" s="108" t="str">
        <f t="shared" si="5"/>
        <v>2023-Q3</v>
      </c>
      <c r="T362" s="111" t="str">
        <f t="shared" si="6"/>
        <v>2023-08</v>
      </c>
      <c r="U362" s="112" t="str">
        <f t="shared" si="7"/>
        <v>2023-H2</v>
      </c>
      <c r="V362" s="1" t="str">
        <f>VLOOKUP(B362,Bounties!A:E,2,FALSE)</f>
        <v>Anti-Scam Bounty</v>
      </c>
    </row>
    <row r="363" hidden="1">
      <c r="A363" s="109">
        <f>HYPERLINK("https://polkadot.subsquare.io/treasury/child-bounties/361", 361)</f>
        <v>361</v>
      </c>
      <c r="B363" s="183">
        <v>11.0</v>
      </c>
      <c r="C363" s="27" t="s">
        <v>3404</v>
      </c>
      <c r="D363" s="27" t="s">
        <v>959</v>
      </c>
      <c r="E363" s="129">
        <v>139.1304347826</v>
      </c>
      <c r="F363" s="66">
        <v>694.0107262652419</v>
      </c>
      <c r="G363" s="27" t="s">
        <v>3469</v>
      </c>
      <c r="H363" s="167">
        <v>45139.0</v>
      </c>
      <c r="I363" s="167">
        <v>45149.0</v>
      </c>
      <c r="J363" s="66">
        <v>694.0246582030816</v>
      </c>
      <c r="K363" s="1"/>
      <c r="L363" s="1"/>
      <c r="M363" s="1" t="str">
        <f>VLOOKUP(B363,Bounties!A:D,3,FALSE)</f>
        <v>Research</v>
      </c>
      <c r="N363" s="1" t="str">
        <f>VLOOKUP(B363,Bounties!A:D,4,FALSE)</f>
        <v>Anti-Scam</v>
      </c>
      <c r="O363" s="1" t="str">
        <f t="shared" ref="O363:P363" si="367">IF(ISBLANK(K363),M363,K363)</f>
        <v>Research</v>
      </c>
      <c r="P363" s="1" t="str">
        <f t="shared" si="367"/>
        <v>Anti-Scam</v>
      </c>
      <c r="Q363" s="108" t="str">
        <f t="shared" si="3"/>
        <v>2023</v>
      </c>
      <c r="R363" s="110">
        <f t="shared" si="4"/>
        <v>8</v>
      </c>
      <c r="S363" s="108" t="str">
        <f t="shared" si="5"/>
        <v>2023-Q3</v>
      </c>
      <c r="T363" s="111" t="str">
        <f t="shared" si="6"/>
        <v>2023-08</v>
      </c>
      <c r="U363" s="112" t="str">
        <f t="shared" si="7"/>
        <v>2023-H2</v>
      </c>
      <c r="V363" s="1" t="str">
        <f>VLOOKUP(B363,Bounties!A:E,2,FALSE)</f>
        <v>Anti-Scam Bounty</v>
      </c>
    </row>
    <row r="364" hidden="1">
      <c r="A364" s="109">
        <f>HYPERLINK("https://polkadot.subsquare.io/treasury/child-bounties/362", 362)</f>
        <v>362</v>
      </c>
      <c r="B364" s="183">
        <v>11.0</v>
      </c>
      <c r="C364" s="27" t="s">
        <v>3404</v>
      </c>
      <c r="D364" s="27" t="s">
        <v>960</v>
      </c>
      <c r="E364" s="129">
        <v>115.9420289855</v>
      </c>
      <c r="F364" s="66">
        <v>578.3422718877016</v>
      </c>
      <c r="G364" s="27" t="s">
        <v>3411</v>
      </c>
      <c r="H364" s="167">
        <v>45139.0</v>
      </c>
      <c r="I364" s="167">
        <v>45148.0</v>
      </c>
      <c r="J364" s="66">
        <v>583.766494972082</v>
      </c>
      <c r="K364" s="1"/>
      <c r="L364" s="1"/>
      <c r="M364" s="1" t="str">
        <f>VLOOKUP(B364,Bounties!A:D,3,FALSE)</f>
        <v>Research</v>
      </c>
      <c r="N364" s="1" t="str">
        <f>VLOOKUP(B364,Bounties!A:D,4,FALSE)</f>
        <v>Anti-Scam</v>
      </c>
      <c r="O364" s="1" t="str">
        <f t="shared" ref="O364:P364" si="368">IF(ISBLANK(K364),M364,K364)</f>
        <v>Research</v>
      </c>
      <c r="P364" s="1" t="str">
        <f t="shared" si="368"/>
        <v>Anti-Scam</v>
      </c>
      <c r="Q364" s="108" t="str">
        <f t="shared" si="3"/>
        <v>2023</v>
      </c>
      <c r="R364" s="110">
        <f t="shared" si="4"/>
        <v>8</v>
      </c>
      <c r="S364" s="108" t="str">
        <f t="shared" si="5"/>
        <v>2023-Q3</v>
      </c>
      <c r="T364" s="111" t="str">
        <f t="shared" si="6"/>
        <v>2023-08</v>
      </c>
      <c r="U364" s="112" t="str">
        <f t="shared" si="7"/>
        <v>2023-H2</v>
      </c>
      <c r="V364" s="1" t="str">
        <f>VLOOKUP(B364,Bounties!A:E,2,FALSE)</f>
        <v>Anti-Scam Bounty</v>
      </c>
    </row>
    <row r="365" hidden="1">
      <c r="A365" s="109">
        <f>HYPERLINK("https://polkadot.subsquare.io/treasury/child-bounties/363", 363)</f>
        <v>363</v>
      </c>
      <c r="B365" s="183">
        <v>11.0</v>
      </c>
      <c r="C365" s="27" t="s">
        <v>3404</v>
      </c>
      <c r="D365" s="27" t="s">
        <v>961</v>
      </c>
      <c r="E365" s="129">
        <v>77.29468599</v>
      </c>
      <c r="F365" s="66">
        <v>385.56151459013836</v>
      </c>
      <c r="G365" s="27" t="s">
        <v>3407</v>
      </c>
      <c r="H365" s="167">
        <v>45139.0</v>
      </c>
      <c r="I365" s="167">
        <v>45148.0</v>
      </c>
      <c r="J365" s="66">
        <v>385.4147132451247</v>
      </c>
      <c r="K365" s="1"/>
      <c r="L365" s="1"/>
      <c r="M365" s="1" t="str">
        <f>VLOOKUP(B365,Bounties!A:D,3,FALSE)</f>
        <v>Research</v>
      </c>
      <c r="N365" s="1" t="str">
        <f>VLOOKUP(B365,Bounties!A:D,4,FALSE)</f>
        <v>Anti-Scam</v>
      </c>
      <c r="O365" s="1" t="str">
        <f t="shared" ref="O365:P365" si="369">IF(ISBLANK(K365),M365,K365)</f>
        <v>Research</v>
      </c>
      <c r="P365" s="1" t="str">
        <f t="shared" si="369"/>
        <v>Anti-Scam</v>
      </c>
      <c r="Q365" s="108" t="str">
        <f t="shared" si="3"/>
        <v>2023</v>
      </c>
      <c r="R365" s="110">
        <f t="shared" si="4"/>
        <v>8</v>
      </c>
      <c r="S365" s="108" t="str">
        <f t="shared" si="5"/>
        <v>2023-Q3</v>
      </c>
      <c r="T365" s="111" t="str">
        <f t="shared" si="6"/>
        <v>2023-08</v>
      </c>
      <c r="U365" s="112" t="str">
        <f t="shared" si="7"/>
        <v>2023-H2</v>
      </c>
      <c r="V365" s="1" t="str">
        <f>VLOOKUP(B365,Bounties!A:E,2,FALSE)</f>
        <v>Anti-Scam Bounty</v>
      </c>
    </row>
    <row r="366" hidden="1">
      <c r="A366" s="109">
        <f>HYPERLINK("https://polkadot.subsquare.io/treasury/child-bounties/364", 364)</f>
        <v>364</v>
      </c>
      <c r="B366" s="183">
        <v>11.0</v>
      </c>
      <c r="C366" s="27" t="s">
        <v>3404</v>
      </c>
      <c r="D366" s="27" t="s">
        <v>962</v>
      </c>
      <c r="E366" s="129">
        <v>77.29468599</v>
      </c>
      <c r="F366" s="66">
        <v>385.56151459013836</v>
      </c>
      <c r="G366" s="27" t="s">
        <v>3406</v>
      </c>
      <c r="H366" s="167">
        <v>45139.0</v>
      </c>
      <c r="I366" s="167">
        <v>45148.0</v>
      </c>
      <c r="J366" s="66">
        <v>385.4147132451247</v>
      </c>
      <c r="K366" s="1"/>
      <c r="L366" s="1"/>
      <c r="M366" s="1" t="str">
        <f>VLOOKUP(B366,Bounties!A:D,3,FALSE)</f>
        <v>Research</v>
      </c>
      <c r="N366" s="1" t="str">
        <f>VLOOKUP(B366,Bounties!A:D,4,FALSE)</f>
        <v>Anti-Scam</v>
      </c>
      <c r="O366" s="1" t="str">
        <f t="shared" ref="O366:P366" si="370">IF(ISBLANK(K366),M366,K366)</f>
        <v>Research</v>
      </c>
      <c r="P366" s="1" t="str">
        <f t="shared" si="370"/>
        <v>Anti-Scam</v>
      </c>
      <c r="Q366" s="108" t="str">
        <f t="shared" si="3"/>
        <v>2023</v>
      </c>
      <c r="R366" s="110">
        <f t="shared" si="4"/>
        <v>8</v>
      </c>
      <c r="S366" s="108" t="str">
        <f t="shared" si="5"/>
        <v>2023-Q3</v>
      </c>
      <c r="T366" s="111" t="str">
        <f t="shared" si="6"/>
        <v>2023-08</v>
      </c>
      <c r="U366" s="112" t="str">
        <f t="shared" si="7"/>
        <v>2023-H2</v>
      </c>
      <c r="V366" s="1" t="str">
        <f>VLOOKUP(B366,Bounties!A:E,2,FALSE)</f>
        <v>Anti-Scam Bounty</v>
      </c>
    </row>
    <row r="367" hidden="1">
      <c r="A367" s="109">
        <f>HYPERLINK("https://polkadot.subsquare.io/treasury/child-bounties/365", 365)</f>
        <v>365</v>
      </c>
      <c r="B367" s="183">
        <v>11.0</v>
      </c>
      <c r="C367" s="27" t="s">
        <v>3404</v>
      </c>
      <c r="D367" s="27" t="s">
        <v>963</v>
      </c>
      <c r="E367" s="129">
        <v>77.29468599</v>
      </c>
      <c r="F367" s="66">
        <v>385.56151459013836</v>
      </c>
      <c r="G367" s="27" t="s">
        <v>3411</v>
      </c>
      <c r="H367" s="167">
        <v>45139.0</v>
      </c>
      <c r="I367" s="167">
        <v>45148.0</v>
      </c>
      <c r="J367" s="66">
        <v>389.177663313043</v>
      </c>
      <c r="K367" s="1"/>
      <c r="L367" s="1"/>
      <c r="M367" s="1" t="str">
        <f>VLOOKUP(B367,Bounties!A:D,3,FALSE)</f>
        <v>Research</v>
      </c>
      <c r="N367" s="1" t="str">
        <f>VLOOKUP(B367,Bounties!A:D,4,FALSE)</f>
        <v>Anti-Scam</v>
      </c>
      <c r="O367" s="1" t="str">
        <f t="shared" ref="O367:P367" si="371">IF(ISBLANK(K367),M367,K367)</f>
        <v>Research</v>
      </c>
      <c r="P367" s="1" t="str">
        <f t="shared" si="371"/>
        <v>Anti-Scam</v>
      </c>
      <c r="Q367" s="108" t="str">
        <f t="shared" si="3"/>
        <v>2023</v>
      </c>
      <c r="R367" s="110">
        <f t="shared" si="4"/>
        <v>8</v>
      </c>
      <c r="S367" s="108" t="str">
        <f t="shared" si="5"/>
        <v>2023-Q3</v>
      </c>
      <c r="T367" s="111" t="str">
        <f t="shared" si="6"/>
        <v>2023-08</v>
      </c>
      <c r="U367" s="112" t="str">
        <f t="shared" si="7"/>
        <v>2023-H2</v>
      </c>
      <c r="V367" s="1" t="str">
        <f>VLOOKUP(B367,Bounties!A:E,2,FALSE)</f>
        <v>Anti-Scam Bounty</v>
      </c>
    </row>
    <row r="368" hidden="1">
      <c r="A368" s="109">
        <f>HYPERLINK("https://polkadot.subsquare.io/treasury/child-bounties/366", 366)</f>
        <v>366</v>
      </c>
      <c r="B368" s="183">
        <v>11.0</v>
      </c>
      <c r="C368" s="27" t="s">
        <v>3427</v>
      </c>
      <c r="D368" s="27" t="s">
        <v>3527</v>
      </c>
      <c r="E368" s="129">
        <v>1033.87191</v>
      </c>
      <c r="F368" s="66">
        <v>5157.162027456465</v>
      </c>
      <c r="H368" s="167">
        <v>45140.0</v>
      </c>
      <c r="I368" s="167">
        <v>45140.0</v>
      </c>
      <c r="J368" s="66">
        <v>5137.527772734075</v>
      </c>
      <c r="K368" s="1"/>
      <c r="L368" s="1"/>
      <c r="M368" s="1" t="str">
        <f>VLOOKUP(B368,Bounties!A:D,3,FALSE)</f>
        <v>Research</v>
      </c>
      <c r="N368" s="1" t="str">
        <f>VLOOKUP(B368,Bounties!A:D,4,FALSE)</f>
        <v>Anti-Scam</v>
      </c>
      <c r="O368" s="1" t="str">
        <f t="shared" ref="O368:P368" si="372">IF(ISBLANK(K368),M368,K368)</f>
        <v>Research</v>
      </c>
      <c r="P368" s="1" t="str">
        <f t="shared" si="372"/>
        <v>Anti-Scam</v>
      </c>
      <c r="Q368" s="108" t="str">
        <f t="shared" si="3"/>
        <v>2023</v>
      </c>
      <c r="R368" s="110">
        <f t="shared" si="4"/>
        <v>8</v>
      </c>
      <c r="S368" s="108" t="str">
        <f t="shared" si="5"/>
        <v>2023-Q3</v>
      </c>
      <c r="T368" s="111" t="str">
        <f t="shared" si="6"/>
        <v>2023-08</v>
      </c>
      <c r="U368" s="112" t="str">
        <f t="shared" si="7"/>
        <v>2023-H2</v>
      </c>
      <c r="V368" s="1" t="str">
        <f>VLOOKUP(B368,Bounties!A:E,2,FALSE)</f>
        <v>Anti-Scam Bounty</v>
      </c>
    </row>
    <row r="369" hidden="1">
      <c r="A369" s="109">
        <f>HYPERLINK("https://polkadot.subsquare.io/treasury/child-bounties/367", 367)</f>
        <v>367</v>
      </c>
      <c r="B369" s="183">
        <v>11.0</v>
      </c>
      <c r="C369" s="27" t="s">
        <v>3427</v>
      </c>
      <c r="D369" s="27" t="s">
        <v>3528</v>
      </c>
      <c r="E369" s="129">
        <v>1557.40705</v>
      </c>
      <c r="F369" s="66">
        <v>7768.661109627199</v>
      </c>
      <c r="H369" s="167">
        <v>45140.0</v>
      </c>
      <c r="I369" s="167">
        <v>45140.0</v>
      </c>
      <c r="J369" s="66">
        <v>7739.084402464176</v>
      </c>
      <c r="K369" s="1"/>
      <c r="L369" s="1"/>
      <c r="M369" s="1" t="str">
        <f>VLOOKUP(B369,Bounties!A:D,3,FALSE)</f>
        <v>Research</v>
      </c>
      <c r="N369" s="1" t="str">
        <f>VLOOKUP(B369,Bounties!A:D,4,FALSE)</f>
        <v>Anti-Scam</v>
      </c>
      <c r="O369" s="1" t="str">
        <f t="shared" ref="O369:P369" si="373">IF(ISBLANK(K369),M369,K369)</f>
        <v>Research</v>
      </c>
      <c r="P369" s="1" t="str">
        <f t="shared" si="373"/>
        <v>Anti-Scam</v>
      </c>
      <c r="Q369" s="108" t="str">
        <f t="shared" si="3"/>
        <v>2023</v>
      </c>
      <c r="R369" s="110">
        <f t="shared" si="4"/>
        <v>8</v>
      </c>
      <c r="S369" s="108" t="str">
        <f t="shared" si="5"/>
        <v>2023-Q3</v>
      </c>
      <c r="T369" s="111" t="str">
        <f t="shared" si="6"/>
        <v>2023-08</v>
      </c>
      <c r="U369" s="112" t="str">
        <f t="shared" si="7"/>
        <v>2023-H2</v>
      </c>
      <c r="V369" s="1" t="str">
        <f>VLOOKUP(B369,Bounties!A:E,2,FALSE)</f>
        <v>Anti-Scam Bounty</v>
      </c>
    </row>
    <row r="370" hidden="1">
      <c r="A370" s="109">
        <f>HYPERLINK("https://polkadot.subsquare.io/treasury/child-bounties/368", 368)</f>
        <v>368</v>
      </c>
      <c r="B370" s="183">
        <v>11.0</v>
      </c>
      <c r="C370" s="27" t="s">
        <v>3427</v>
      </c>
      <c r="D370" s="27" t="s">
        <v>3529</v>
      </c>
      <c r="E370" s="129">
        <v>1557.40705</v>
      </c>
      <c r="F370" s="66">
        <v>7768.661109627199</v>
      </c>
      <c r="H370" s="167">
        <v>45140.0</v>
      </c>
      <c r="I370" s="167">
        <v>45140.0</v>
      </c>
      <c r="J370" s="66">
        <v>7739.084402464176</v>
      </c>
      <c r="K370" s="1"/>
      <c r="L370" s="1"/>
      <c r="M370" s="1" t="str">
        <f>VLOOKUP(B370,Bounties!A:D,3,FALSE)</f>
        <v>Research</v>
      </c>
      <c r="N370" s="1" t="str">
        <f>VLOOKUP(B370,Bounties!A:D,4,FALSE)</f>
        <v>Anti-Scam</v>
      </c>
      <c r="O370" s="1" t="str">
        <f t="shared" ref="O370:P370" si="374">IF(ISBLANK(K370),M370,K370)</f>
        <v>Research</v>
      </c>
      <c r="P370" s="1" t="str">
        <f t="shared" si="374"/>
        <v>Anti-Scam</v>
      </c>
      <c r="Q370" s="108" t="str">
        <f t="shared" si="3"/>
        <v>2023</v>
      </c>
      <c r="R370" s="110">
        <f t="shared" si="4"/>
        <v>8</v>
      </c>
      <c r="S370" s="108" t="str">
        <f t="shared" si="5"/>
        <v>2023-Q3</v>
      </c>
      <c r="T370" s="111" t="str">
        <f t="shared" si="6"/>
        <v>2023-08</v>
      </c>
      <c r="U370" s="112" t="str">
        <f t="shared" si="7"/>
        <v>2023-H2</v>
      </c>
      <c r="V370" s="1" t="str">
        <f>VLOOKUP(B370,Bounties!A:E,2,FALSE)</f>
        <v>Anti-Scam Bounty</v>
      </c>
    </row>
    <row r="371" hidden="1">
      <c r="A371" s="109">
        <f>HYPERLINK("https://polkadot.subsquare.io/treasury/child-bounties/369", 369)</f>
        <v>369</v>
      </c>
      <c r="B371" s="183">
        <v>11.0</v>
      </c>
      <c r="C371" s="27" t="s">
        <v>3427</v>
      </c>
      <c r="D371" s="27" t="s">
        <v>3530</v>
      </c>
      <c r="E371" s="129">
        <v>1052.75453</v>
      </c>
      <c r="F371" s="66">
        <v>5251.3523521001525</v>
      </c>
      <c r="H371" s="167">
        <v>45140.0</v>
      </c>
      <c r="I371" s="167">
        <v>45140.0</v>
      </c>
      <c r="J371" s="66">
        <v>5231.359497664084</v>
      </c>
      <c r="K371" s="1"/>
      <c r="L371" s="1"/>
      <c r="M371" s="1" t="str">
        <f>VLOOKUP(B371,Bounties!A:D,3,FALSE)</f>
        <v>Research</v>
      </c>
      <c r="N371" s="1" t="str">
        <f>VLOOKUP(B371,Bounties!A:D,4,FALSE)</f>
        <v>Anti-Scam</v>
      </c>
      <c r="O371" s="1" t="str">
        <f t="shared" ref="O371:P371" si="375">IF(ISBLANK(K371),M371,K371)</f>
        <v>Research</v>
      </c>
      <c r="P371" s="1" t="str">
        <f t="shared" si="375"/>
        <v>Anti-Scam</v>
      </c>
      <c r="Q371" s="108" t="str">
        <f t="shared" si="3"/>
        <v>2023</v>
      </c>
      <c r="R371" s="110">
        <f t="shared" si="4"/>
        <v>8</v>
      </c>
      <c r="S371" s="108" t="str">
        <f t="shared" si="5"/>
        <v>2023-Q3</v>
      </c>
      <c r="T371" s="111" t="str">
        <f t="shared" si="6"/>
        <v>2023-08</v>
      </c>
      <c r="U371" s="112" t="str">
        <f t="shared" si="7"/>
        <v>2023-H2</v>
      </c>
      <c r="V371" s="1" t="str">
        <f>VLOOKUP(B371,Bounties!A:E,2,FALSE)</f>
        <v>Anti-Scam Bounty</v>
      </c>
    </row>
    <row r="372" hidden="1">
      <c r="A372" s="109">
        <f>HYPERLINK("https://polkadot.subsquare.io/treasury/child-bounties/370", 370)</f>
        <v>370</v>
      </c>
      <c r="B372" s="183">
        <v>11.0</v>
      </c>
      <c r="C372" s="27" t="s">
        <v>3404</v>
      </c>
      <c r="D372" s="27" t="s">
        <v>964</v>
      </c>
      <c r="E372" s="129">
        <v>68.5990338164</v>
      </c>
      <c r="F372" s="66">
        <v>340.88308039482274</v>
      </c>
      <c r="G372" s="27" t="s">
        <v>3411</v>
      </c>
      <c r="H372" s="167">
        <v>45140.0</v>
      </c>
      <c r="I372" s="167">
        <v>45148.0</v>
      </c>
      <c r="J372" s="66">
        <v>342.05555800641935</v>
      </c>
      <c r="K372" s="1"/>
      <c r="L372" s="1"/>
      <c r="M372" s="1" t="str">
        <f>VLOOKUP(B372,Bounties!A:D,3,FALSE)</f>
        <v>Research</v>
      </c>
      <c r="N372" s="1" t="str">
        <f>VLOOKUP(B372,Bounties!A:D,4,FALSE)</f>
        <v>Anti-Scam</v>
      </c>
      <c r="O372" s="1" t="str">
        <f t="shared" ref="O372:P372" si="376">IF(ISBLANK(K372),M372,K372)</f>
        <v>Research</v>
      </c>
      <c r="P372" s="1" t="str">
        <f t="shared" si="376"/>
        <v>Anti-Scam</v>
      </c>
      <c r="Q372" s="108" t="str">
        <f t="shared" si="3"/>
        <v>2023</v>
      </c>
      <c r="R372" s="110">
        <f t="shared" si="4"/>
        <v>8</v>
      </c>
      <c r="S372" s="108" t="str">
        <f t="shared" si="5"/>
        <v>2023-Q3</v>
      </c>
      <c r="T372" s="111" t="str">
        <f t="shared" si="6"/>
        <v>2023-08</v>
      </c>
      <c r="U372" s="112" t="str">
        <f t="shared" si="7"/>
        <v>2023-H2</v>
      </c>
      <c r="V372" s="1" t="str">
        <f>VLOOKUP(B372,Bounties!A:E,2,FALSE)</f>
        <v>Anti-Scam Bounty</v>
      </c>
    </row>
    <row r="373" hidden="1">
      <c r="A373" s="109">
        <f>HYPERLINK("https://polkadot.subsquare.io/treasury/child-bounties/371", 371)</f>
        <v>371</v>
      </c>
      <c r="B373" s="183">
        <v>11.0</v>
      </c>
      <c r="C373" s="27" t="s">
        <v>3404</v>
      </c>
      <c r="D373" s="27" t="s">
        <v>965</v>
      </c>
      <c r="E373" s="129">
        <v>68.5990338164</v>
      </c>
      <c r="F373" s="66">
        <v>340.88308039482274</v>
      </c>
      <c r="G373" s="27" t="s">
        <v>3407</v>
      </c>
      <c r="H373" s="167">
        <v>45140.0</v>
      </c>
      <c r="I373" s="167">
        <v>45148.0</v>
      </c>
      <c r="J373" s="66">
        <v>342.05555800641935</v>
      </c>
      <c r="K373" s="1"/>
      <c r="L373" s="1"/>
      <c r="M373" s="1" t="str">
        <f>VLOOKUP(B373,Bounties!A:D,3,FALSE)</f>
        <v>Research</v>
      </c>
      <c r="N373" s="1" t="str">
        <f>VLOOKUP(B373,Bounties!A:D,4,FALSE)</f>
        <v>Anti-Scam</v>
      </c>
      <c r="O373" s="1" t="str">
        <f t="shared" ref="O373:P373" si="377">IF(ISBLANK(K373),M373,K373)</f>
        <v>Research</v>
      </c>
      <c r="P373" s="1" t="str">
        <f t="shared" si="377"/>
        <v>Anti-Scam</v>
      </c>
      <c r="Q373" s="108" t="str">
        <f t="shared" si="3"/>
        <v>2023</v>
      </c>
      <c r="R373" s="110">
        <f t="shared" si="4"/>
        <v>8</v>
      </c>
      <c r="S373" s="108" t="str">
        <f t="shared" si="5"/>
        <v>2023-Q3</v>
      </c>
      <c r="T373" s="111" t="str">
        <f t="shared" si="6"/>
        <v>2023-08</v>
      </c>
      <c r="U373" s="112" t="str">
        <f t="shared" si="7"/>
        <v>2023-H2</v>
      </c>
      <c r="V373" s="1" t="str">
        <f>VLOOKUP(B373,Bounties!A:E,2,FALSE)</f>
        <v>Anti-Scam Bounty</v>
      </c>
    </row>
    <row r="374" hidden="1">
      <c r="A374" s="109">
        <f>HYPERLINK("https://polkadot.subsquare.io/treasury/child-bounties/372", 372)</f>
        <v>372</v>
      </c>
      <c r="B374" s="183">
        <v>11.0</v>
      </c>
      <c r="C374" s="27" t="s">
        <v>3404</v>
      </c>
      <c r="D374" s="27" t="s">
        <v>966</v>
      </c>
      <c r="E374" s="129">
        <v>1419.54871</v>
      </c>
      <c r="F374" s="66">
        <v>7183.73814017016</v>
      </c>
      <c r="G374" s="27" t="s">
        <v>3406</v>
      </c>
      <c r="H374" s="167">
        <v>45143.0</v>
      </c>
      <c r="I374" s="167">
        <v>45153.0</v>
      </c>
      <c r="J374" s="66">
        <v>6299.906018071341</v>
      </c>
      <c r="K374" s="1"/>
      <c r="L374" s="1"/>
      <c r="M374" s="1" t="str">
        <f>VLOOKUP(B374,Bounties!A:D,3,FALSE)</f>
        <v>Research</v>
      </c>
      <c r="N374" s="1" t="str">
        <f>VLOOKUP(B374,Bounties!A:D,4,FALSE)</f>
        <v>Anti-Scam</v>
      </c>
      <c r="O374" s="1" t="str">
        <f t="shared" ref="O374:P374" si="378">IF(ISBLANK(K374),M374,K374)</f>
        <v>Research</v>
      </c>
      <c r="P374" s="1" t="str">
        <f t="shared" si="378"/>
        <v>Anti-Scam</v>
      </c>
      <c r="Q374" s="108" t="str">
        <f t="shared" si="3"/>
        <v>2023</v>
      </c>
      <c r="R374" s="110">
        <f t="shared" si="4"/>
        <v>8</v>
      </c>
      <c r="S374" s="108" t="str">
        <f t="shared" si="5"/>
        <v>2023-Q3</v>
      </c>
      <c r="T374" s="111" t="str">
        <f t="shared" si="6"/>
        <v>2023-08</v>
      </c>
      <c r="U374" s="112" t="str">
        <f t="shared" si="7"/>
        <v>2023-H2</v>
      </c>
      <c r="V374" s="1" t="str">
        <f>VLOOKUP(B374,Bounties!A:E,2,FALSE)</f>
        <v>Anti-Scam Bounty</v>
      </c>
    </row>
    <row r="375" hidden="1">
      <c r="A375" s="109">
        <f>HYPERLINK("https://polkadot.subsquare.io/treasury/child-bounties/373", 373)</f>
        <v>373</v>
      </c>
      <c r="B375" s="183">
        <v>11.0</v>
      </c>
      <c r="C375" s="27" t="s">
        <v>3404</v>
      </c>
      <c r="D375" s="27" t="s">
        <v>967</v>
      </c>
      <c r="E375" s="129">
        <v>1954.22068</v>
      </c>
      <c r="F375" s="66">
        <v>9889.487788851757</v>
      </c>
      <c r="G375" s="27" t="s">
        <v>3407</v>
      </c>
      <c r="H375" s="167">
        <v>45143.0</v>
      </c>
      <c r="I375" s="167">
        <v>45153.0</v>
      </c>
      <c r="J375" s="66">
        <v>8817.084179981002</v>
      </c>
      <c r="K375" s="1"/>
      <c r="L375" s="1"/>
      <c r="M375" s="1" t="str">
        <f>VLOOKUP(B375,Bounties!A:D,3,FALSE)</f>
        <v>Research</v>
      </c>
      <c r="N375" s="1" t="str">
        <f>VLOOKUP(B375,Bounties!A:D,4,FALSE)</f>
        <v>Anti-Scam</v>
      </c>
      <c r="O375" s="1" t="str">
        <f t="shared" ref="O375:P375" si="379">IF(ISBLANK(K375),M375,K375)</f>
        <v>Research</v>
      </c>
      <c r="P375" s="1" t="str">
        <f t="shared" si="379"/>
        <v>Anti-Scam</v>
      </c>
      <c r="Q375" s="108" t="str">
        <f t="shared" si="3"/>
        <v>2023</v>
      </c>
      <c r="R375" s="110">
        <f t="shared" si="4"/>
        <v>8</v>
      </c>
      <c r="S375" s="108" t="str">
        <f t="shared" si="5"/>
        <v>2023-Q3</v>
      </c>
      <c r="T375" s="111" t="str">
        <f t="shared" si="6"/>
        <v>2023-08</v>
      </c>
      <c r="U375" s="112" t="str">
        <f t="shared" si="7"/>
        <v>2023-H2</v>
      </c>
      <c r="V375" s="1" t="str">
        <f>VLOOKUP(B375,Bounties!A:E,2,FALSE)</f>
        <v>Anti-Scam Bounty</v>
      </c>
    </row>
    <row r="376" hidden="1">
      <c r="A376" s="109">
        <f>HYPERLINK("https://polkadot.subsquare.io/treasury/child-bounties/374", 374)</f>
        <v>374</v>
      </c>
      <c r="B376" s="183">
        <v>11.0</v>
      </c>
      <c r="C376" s="27" t="s">
        <v>3404</v>
      </c>
      <c r="D376" s="27" t="s">
        <v>968</v>
      </c>
      <c r="E376" s="129">
        <v>1954.22068</v>
      </c>
      <c r="F376" s="66">
        <v>9889.487788851757</v>
      </c>
      <c r="G376" s="27" t="s">
        <v>3411</v>
      </c>
      <c r="H376" s="167">
        <v>45143.0</v>
      </c>
      <c r="I376" s="167">
        <v>45152.0</v>
      </c>
      <c r="J376" s="66">
        <v>8672.760952719593</v>
      </c>
      <c r="K376" s="1"/>
      <c r="L376" s="1"/>
      <c r="M376" s="1" t="str">
        <f>VLOOKUP(B376,Bounties!A:D,3,FALSE)</f>
        <v>Research</v>
      </c>
      <c r="N376" s="1" t="str">
        <f>VLOOKUP(B376,Bounties!A:D,4,FALSE)</f>
        <v>Anti-Scam</v>
      </c>
      <c r="O376" s="1" t="str">
        <f t="shared" ref="O376:P376" si="380">IF(ISBLANK(K376),M376,K376)</f>
        <v>Research</v>
      </c>
      <c r="P376" s="1" t="str">
        <f t="shared" si="380"/>
        <v>Anti-Scam</v>
      </c>
      <c r="Q376" s="108" t="str">
        <f t="shared" si="3"/>
        <v>2023</v>
      </c>
      <c r="R376" s="110">
        <f t="shared" si="4"/>
        <v>8</v>
      </c>
      <c r="S376" s="108" t="str">
        <f t="shared" si="5"/>
        <v>2023-Q3</v>
      </c>
      <c r="T376" s="111" t="str">
        <f t="shared" si="6"/>
        <v>2023-08</v>
      </c>
      <c r="U376" s="112" t="str">
        <f t="shared" si="7"/>
        <v>2023-H2</v>
      </c>
      <c r="V376" s="1" t="str">
        <f>VLOOKUP(B376,Bounties!A:E,2,FALSE)</f>
        <v>Anti-Scam Bounty</v>
      </c>
    </row>
    <row r="377" hidden="1">
      <c r="A377" s="109">
        <f>HYPERLINK("https://polkadot.subsquare.io/treasury/child-bounties/375", 375)</f>
        <v>375</v>
      </c>
      <c r="B377" s="183">
        <v>11.0</v>
      </c>
      <c r="C377" s="27" t="s">
        <v>3404</v>
      </c>
      <c r="D377" s="27" t="s">
        <v>969</v>
      </c>
      <c r="E377" s="129">
        <v>99.40357</v>
      </c>
      <c r="F377" s="66">
        <v>503.03960128150464</v>
      </c>
      <c r="G377" s="27" t="s">
        <v>3439</v>
      </c>
      <c r="H377" s="167">
        <v>45143.0</v>
      </c>
      <c r="I377" s="167">
        <v>45155.0</v>
      </c>
      <c r="J377" s="66">
        <v>449.30157494097233</v>
      </c>
      <c r="K377" s="1"/>
      <c r="L377" s="1"/>
      <c r="M377" s="1" t="str">
        <f>VLOOKUP(B377,Bounties!A:D,3,FALSE)</f>
        <v>Research</v>
      </c>
      <c r="N377" s="1" t="str">
        <f>VLOOKUP(B377,Bounties!A:D,4,FALSE)</f>
        <v>Anti-Scam</v>
      </c>
      <c r="O377" s="1" t="str">
        <f t="shared" ref="O377:P377" si="381">IF(ISBLANK(K377),M377,K377)</f>
        <v>Research</v>
      </c>
      <c r="P377" s="1" t="str">
        <f t="shared" si="381"/>
        <v>Anti-Scam</v>
      </c>
      <c r="Q377" s="108" t="str">
        <f t="shared" si="3"/>
        <v>2023</v>
      </c>
      <c r="R377" s="110">
        <f t="shared" si="4"/>
        <v>8</v>
      </c>
      <c r="S377" s="108" t="str">
        <f t="shared" si="5"/>
        <v>2023-Q3</v>
      </c>
      <c r="T377" s="111" t="str">
        <f t="shared" si="6"/>
        <v>2023-08</v>
      </c>
      <c r="U377" s="112" t="str">
        <f t="shared" si="7"/>
        <v>2023-H2</v>
      </c>
      <c r="V377" s="1" t="str">
        <f>VLOOKUP(B377,Bounties!A:E,2,FALSE)</f>
        <v>Anti-Scam Bounty</v>
      </c>
    </row>
    <row r="378" hidden="1">
      <c r="A378" s="109">
        <f>HYPERLINK("https://polkadot.subsquare.io/treasury/child-bounties/376", 376)</f>
        <v>376</v>
      </c>
      <c r="B378" s="183">
        <v>11.0</v>
      </c>
      <c r="C378" s="27" t="s">
        <v>3404</v>
      </c>
      <c r="D378" s="27" t="s">
        <v>970</v>
      </c>
      <c r="E378" s="129">
        <v>143.14115</v>
      </c>
      <c r="F378" s="66">
        <v>724.3770724026919</v>
      </c>
      <c r="G378" s="27" t="s">
        <v>3406</v>
      </c>
      <c r="H378" s="167">
        <v>45143.0</v>
      </c>
      <c r="I378" s="167">
        <v>45152.0</v>
      </c>
      <c r="J378" s="66">
        <v>667.8976138901235</v>
      </c>
      <c r="K378" s="1"/>
      <c r="L378" s="1"/>
      <c r="M378" s="1" t="str">
        <f>VLOOKUP(B378,Bounties!A:D,3,FALSE)</f>
        <v>Research</v>
      </c>
      <c r="N378" s="1" t="str">
        <f>VLOOKUP(B378,Bounties!A:D,4,FALSE)</f>
        <v>Anti-Scam</v>
      </c>
      <c r="O378" s="1" t="str">
        <f t="shared" ref="O378:P378" si="382">IF(ISBLANK(K378),M378,K378)</f>
        <v>Research</v>
      </c>
      <c r="P378" s="1" t="str">
        <f t="shared" si="382"/>
        <v>Anti-Scam</v>
      </c>
      <c r="Q378" s="108" t="str">
        <f t="shared" si="3"/>
        <v>2023</v>
      </c>
      <c r="R378" s="110">
        <f t="shared" si="4"/>
        <v>8</v>
      </c>
      <c r="S378" s="108" t="str">
        <f t="shared" si="5"/>
        <v>2023-Q3</v>
      </c>
      <c r="T378" s="111" t="str">
        <f t="shared" si="6"/>
        <v>2023-08</v>
      </c>
      <c r="U378" s="112" t="str">
        <f t="shared" si="7"/>
        <v>2023-H2</v>
      </c>
      <c r="V378" s="1" t="str">
        <f>VLOOKUP(B378,Bounties!A:E,2,FALSE)</f>
        <v>Anti-Scam Bounty</v>
      </c>
    </row>
    <row r="379" hidden="1">
      <c r="A379" s="109">
        <f>HYPERLINK("https://polkadot.subsquare.io/treasury/child-bounties/377", 377)</f>
        <v>377</v>
      </c>
      <c r="B379" s="183">
        <v>11.0</v>
      </c>
      <c r="C379" s="27" t="s">
        <v>3404</v>
      </c>
      <c r="D379" s="27" t="s">
        <v>971</v>
      </c>
      <c r="E379" s="129">
        <v>119.28429</v>
      </c>
      <c r="F379" s="66">
        <v>603.6475519012785</v>
      </c>
      <c r="G379" s="27" t="s">
        <v>3470</v>
      </c>
      <c r="H379" s="167">
        <v>45143.0</v>
      </c>
      <c r="I379" s="167">
        <v>45152.0</v>
      </c>
      <c r="J379" s="66">
        <v>556.5813371317578</v>
      </c>
      <c r="K379" s="1"/>
      <c r="L379" s="1"/>
      <c r="M379" s="1" t="str">
        <f>VLOOKUP(B379,Bounties!A:D,3,FALSE)</f>
        <v>Research</v>
      </c>
      <c r="N379" s="1" t="str">
        <f>VLOOKUP(B379,Bounties!A:D,4,FALSE)</f>
        <v>Anti-Scam</v>
      </c>
      <c r="O379" s="1" t="str">
        <f t="shared" ref="O379:P379" si="383">IF(ISBLANK(K379),M379,K379)</f>
        <v>Research</v>
      </c>
      <c r="P379" s="1" t="str">
        <f t="shared" si="383"/>
        <v>Anti-Scam</v>
      </c>
      <c r="Q379" s="108" t="str">
        <f t="shared" si="3"/>
        <v>2023</v>
      </c>
      <c r="R379" s="110">
        <f t="shared" si="4"/>
        <v>8</v>
      </c>
      <c r="S379" s="108" t="str">
        <f t="shared" si="5"/>
        <v>2023-Q3</v>
      </c>
      <c r="T379" s="111" t="str">
        <f t="shared" si="6"/>
        <v>2023-08</v>
      </c>
      <c r="U379" s="112" t="str">
        <f t="shared" si="7"/>
        <v>2023-H2</v>
      </c>
      <c r="V379" s="1" t="str">
        <f>VLOOKUP(B379,Bounties!A:E,2,FALSE)</f>
        <v>Anti-Scam Bounty</v>
      </c>
    </row>
    <row r="380" hidden="1">
      <c r="A380" s="109">
        <f>HYPERLINK("https://polkadot.subsquare.io/treasury/child-bounties/378", 378)</f>
        <v>378</v>
      </c>
      <c r="B380" s="183">
        <v>17.0</v>
      </c>
      <c r="C380" s="27" t="s">
        <v>3404</v>
      </c>
      <c r="D380" s="27" t="s">
        <v>972</v>
      </c>
      <c r="E380" s="129">
        <v>4659.9</v>
      </c>
      <c r="F380" s="66">
        <v>21775.06543636322</v>
      </c>
      <c r="G380" s="27" t="s">
        <v>3531</v>
      </c>
      <c r="H380" s="167">
        <v>45164.0</v>
      </c>
      <c r="I380" s="167">
        <v>45211.0</v>
      </c>
      <c r="J380" s="66">
        <v>17497.821709656713</v>
      </c>
      <c r="K380" s="1"/>
      <c r="L380" s="1" t="s">
        <v>266</v>
      </c>
      <c r="M380" s="1" t="str">
        <f>VLOOKUP(B380,Bounties!A:D,3,FALSE)</f>
        <v>Outreach</v>
      </c>
      <c r="N380" s="1" t="str">
        <f>VLOOKUP(B380,Bounties!A:D,4,FALSE)</f>
        <v>Events/Meetups</v>
      </c>
      <c r="O380" s="1" t="str">
        <f t="shared" ref="O380:P380" si="384">IF(ISBLANK(K380),M380,K380)</f>
        <v>Outreach</v>
      </c>
      <c r="P380" s="1" t="str">
        <f t="shared" si="384"/>
        <v>Events/Conference Attendance &amp; Side Events</v>
      </c>
      <c r="Q380" s="108" t="str">
        <f t="shared" si="3"/>
        <v>2023</v>
      </c>
      <c r="R380" s="110">
        <f t="shared" si="4"/>
        <v>10</v>
      </c>
      <c r="S380" s="108" t="str">
        <f t="shared" si="5"/>
        <v>2023-Q4</v>
      </c>
      <c r="T380" s="111" t="str">
        <f t="shared" si="6"/>
        <v>2023-10</v>
      </c>
      <c r="U380" s="112" t="str">
        <f t="shared" si="7"/>
        <v>2023-H2</v>
      </c>
      <c r="V380" s="1" t="str">
        <f>VLOOKUP(B380,Bounties!A:E,2,FALSE)</f>
        <v>Events Bounty</v>
      </c>
    </row>
    <row r="381" hidden="1">
      <c r="A381" s="109">
        <f>HYPERLINK("https://polkadot.subsquare.io/treasury/child-bounties/379", 379)</f>
        <v>379</v>
      </c>
      <c r="B381" s="183">
        <v>17.0</v>
      </c>
      <c r="C381" s="27" t="s">
        <v>3404</v>
      </c>
      <c r="D381" s="27" t="s">
        <v>973</v>
      </c>
      <c r="E381" s="129">
        <v>10415.0</v>
      </c>
      <c r="F381" s="66">
        <v>48667.848348617554</v>
      </c>
      <c r="G381" s="27" t="s">
        <v>3484</v>
      </c>
      <c r="H381" s="167">
        <v>45164.0</v>
      </c>
      <c r="I381" s="167">
        <v>45195.0</v>
      </c>
      <c r="J381" s="66">
        <v>42437.59200334549</v>
      </c>
      <c r="K381" s="1"/>
      <c r="L381" s="1" t="s">
        <v>266</v>
      </c>
      <c r="M381" s="1" t="str">
        <f>VLOOKUP(B381,Bounties!A:D,3,FALSE)</f>
        <v>Outreach</v>
      </c>
      <c r="N381" s="1" t="str">
        <f>VLOOKUP(B381,Bounties!A:D,4,FALSE)</f>
        <v>Events/Meetups</v>
      </c>
      <c r="O381" s="1" t="str">
        <f t="shared" ref="O381:P381" si="385">IF(ISBLANK(K381),M381,K381)</f>
        <v>Outreach</v>
      </c>
      <c r="P381" s="1" t="str">
        <f t="shared" si="385"/>
        <v>Events/Conference Attendance &amp; Side Events</v>
      </c>
      <c r="Q381" s="108" t="str">
        <f t="shared" si="3"/>
        <v>2023</v>
      </c>
      <c r="R381" s="110">
        <f t="shared" si="4"/>
        <v>9</v>
      </c>
      <c r="S381" s="108" t="str">
        <f t="shared" si="5"/>
        <v>2023-Q3</v>
      </c>
      <c r="T381" s="111" t="str">
        <f t="shared" si="6"/>
        <v>2023-09</v>
      </c>
      <c r="U381" s="112" t="str">
        <f t="shared" si="7"/>
        <v>2023-H2</v>
      </c>
      <c r="V381" s="1" t="str">
        <f>VLOOKUP(B381,Bounties!A:E,2,FALSE)</f>
        <v>Events Bounty</v>
      </c>
    </row>
    <row r="382" hidden="1">
      <c r="A382" s="109">
        <f>HYPERLINK("https://polkadot.subsquare.io/treasury/child-bounties/380", 380)</f>
        <v>380</v>
      </c>
      <c r="B382" s="183">
        <v>17.0</v>
      </c>
      <c r="C382" s="27" t="s">
        <v>3404</v>
      </c>
      <c r="D382" s="27" t="s">
        <v>974</v>
      </c>
      <c r="E382" s="129">
        <v>17698.0</v>
      </c>
      <c r="F382" s="66">
        <v>82700.29573440552</v>
      </c>
      <c r="G382" s="27" t="s">
        <v>3532</v>
      </c>
      <c r="H382" s="167">
        <v>45164.0</v>
      </c>
      <c r="I382" s="167">
        <v>45192.0</v>
      </c>
      <c r="J382" s="66">
        <v>71041.56000137329</v>
      </c>
      <c r="K382" s="1"/>
      <c r="L382" s="1"/>
      <c r="M382" s="1" t="str">
        <f>VLOOKUP(B382,Bounties!A:D,3,FALSE)</f>
        <v>Outreach</v>
      </c>
      <c r="N382" s="1" t="str">
        <f>VLOOKUP(B382,Bounties!A:D,4,FALSE)</f>
        <v>Events/Meetups</v>
      </c>
      <c r="O382" s="1" t="str">
        <f t="shared" ref="O382:P382" si="386">IF(ISBLANK(K382),M382,K382)</f>
        <v>Outreach</v>
      </c>
      <c r="P382" s="1" t="str">
        <f t="shared" si="386"/>
        <v>Events/Meetups</v>
      </c>
      <c r="Q382" s="108" t="str">
        <f t="shared" si="3"/>
        <v>2023</v>
      </c>
      <c r="R382" s="110">
        <f t="shared" si="4"/>
        <v>9</v>
      </c>
      <c r="S382" s="108" t="str">
        <f t="shared" si="5"/>
        <v>2023-Q3</v>
      </c>
      <c r="T382" s="111" t="str">
        <f t="shared" si="6"/>
        <v>2023-09</v>
      </c>
      <c r="U382" s="112" t="str">
        <f t="shared" si="7"/>
        <v>2023-H2</v>
      </c>
      <c r="V382" s="1" t="str">
        <f>VLOOKUP(B382,Bounties!A:E,2,FALSE)</f>
        <v>Events Bounty</v>
      </c>
    </row>
    <row r="383" hidden="1">
      <c r="A383" s="109">
        <f>HYPERLINK("https://polkadot.subsquare.io/treasury/child-bounties/381", 381)</f>
        <v>381</v>
      </c>
      <c r="B383" s="183">
        <v>17.0</v>
      </c>
      <c r="C383" s="27" t="s">
        <v>3404</v>
      </c>
      <c r="D383" s="27" t="s">
        <v>975</v>
      </c>
      <c r="E383" s="129">
        <v>1520.0</v>
      </c>
      <c r="F383" s="66">
        <v>7102.748870849609</v>
      </c>
      <c r="G383" s="27" t="s">
        <v>3413</v>
      </c>
      <c r="H383" s="167">
        <v>45164.0</v>
      </c>
      <c r="I383" s="167">
        <v>45209.0</v>
      </c>
      <c r="J383" s="66">
        <v>5583.867588043213</v>
      </c>
      <c r="K383" s="1"/>
      <c r="L383" s="1"/>
      <c r="M383" s="1" t="str">
        <f>VLOOKUP(B383,Bounties!A:D,3,FALSE)</f>
        <v>Outreach</v>
      </c>
      <c r="N383" s="1" t="str">
        <f>VLOOKUP(B383,Bounties!A:D,4,FALSE)</f>
        <v>Events/Meetups</v>
      </c>
      <c r="O383" s="1" t="str">
        <f t="shared" ref="O383:P383" si="387">IF(ISBLANK(K383),M383,K383)</f>
        <v>Outreach</v>
      </c>
      <c r="P383" s="1" t="str">
        <f t="shared" si="387"/>
        <v>Events/Meetups</v>
      </c>
      <c r="Q383" s="108" t="str">
        <f t="shared" si="3"/>
        <v>2023</v>
      </c>
      <c r="R383" s="110">
        <f t="shared" si="4"/>
        <v>10</v>
      </c>
      <c r="S383" s="108" t="str">
        <f t="shared" si="5"/>
        <v>2023-Q4</v>
      </c>
      <c r="T383" s="111" t="str">
        <f t="shared" si="6"/>
        <v>2023-10</v>
      </c>
      <c r="U383" s="112" t="str">
        <f t="shared" si="7"/>
        <v>2023-H2</v>
      </c>
      <c r="V383" s="1" t="str">
        <f>VLOOKUP(B383,Bounties!A:E,2,FALSE)</f>
        <v>Events Bounty</v>
      </c>
    </row>
    <row r="384" hidden="1">
      <c r="A384" s="109">
        <f>HYPERLINK("https://polkadot.subsquare.io/treasury/child-bounties/382", 382)</f>
        <v>382</v>
      </c>
      <c r="B384" s="183">
        <v>17.0</v>
      </c>
      <c r="C384" s="27" t="s">
        <v>3404</v>
      </c>
      <c r="D384" s="27" t="s">
        <v>976</v>
      </c>
      <c r="E384" s="129">
        <v>1520.0</v>
      </c>
      <c r="F384" s="66">
        <v>7102.748870849609</v>
      </c>
      <c r="G384" s="27" t="s">
        <v>3447</v>
      </c>
      <c r="H384" s="167">
        <v>45164.0</v>
      </c>
      <c r="I384" s="167">
        <v>45197.0</v>
      </c>
      <c r="J384" s="66">
        <v>6476.7340087890625</v>
      </c>
      <c r="K384" s="1"/>
      <c r="L384" s="1"/>
      <c r="M384" s="1" t="str">
        <f>VLOOKUP(B384,Bounties!A:D,3,FALSE)</f>
        <v>Outreach</v>
      </c>
      <c r="N384" s="1" t="str">
        <f>VLOOKUP(B384,Bounties!A:D,4,FALSE)</f>
        <v>Events/Meetups</v>
      </c>
      <c r="O384" s="1" t="str">
        <f t="shared" ref="O384:P384" si="388">IF(ISBLANK(K384),M384,K384)</f>
        <v>Outreach</v>
      </c>
      <c r="P384" s="1" t="str">
        <f t="shared" si="388"/>
        <v>Events/Meetups</v>
      </c>
      <c r="Q384" s="108" t="str">
        <f t="shared" si="3"/>
        <v>2023</v>
      </c>
      <c r="R384" s="110">
        <f t="shared" si="4"/>
        <v>9</v>
      </c>
      <c r="S384" s="108" t="str">
        <f t="shared" si="5"/>
        <v>2023-Q3</v>
      </c>
      <c r="T384" s="111" t="str">
        <f t="shared" si="6"/>
        <v>2023-09</v>
      </c>
      <c r="U384" s="112" t="str">
        <f t="shared" si="7"/>
        <v>2023-H2</v>
      </c>
      <c r="V384" s="1" t="str">
        <f>VLOOKUP(B384,Bounties!A:E,2,FALSE)</f>
        <v>Events Bounty</v>
      </c>
    </row>
    <row r="385" hidden="1">
      <c r="A385" s="109">
        <f>HYPERLINK("https://polkadot.subsquare.io/treasury/child-bounties/383", 383)</f>
        <v>383</v>
      </c>
      <c r="B385" s="183">
        <v>17.0</v>
      </c>
      <c r="C385" s="27" t="s">
        <v>3404</v>
      </c>
      <c r="D385" s="27" t="s">
        <v>977</v>
      </c>
      <c r="E385" s="129">
        <v>9295.0</v>
      </c>
      <c r="F385" s="66">
        <v>39684.539494514465</v>
      </c>
      <c r="G385" s="27" t="s">
        <v>3533</v>
      </c>
      <c r="H385" s="167">
        <v>45166.0</v>
      </c>
      <c r="I385" s="167">
        <v>45175.0</v>
      </c>
      <c r="J385" s="66">
        <v>39407.97456026077</v>
      </c>
      <c r="K385" s="1"/>
      <c r="L385" s="1" t="s">
        <v>266</v>
      </c>
      <c r="M385" s="1" t="str">
        <f>VLOOKUP(B385,Bounties!A:D,3,FALSE)</f>
        <v>Outreach</v>
      </c>
      <c r="N385" s="1" t="str">
        <f>VLOOKUP(B385,Bounties!A:D,4,FALSE)</f>
        <v>Events/Meetups</v>
      </c>
      <c r="O385" s="1" t="str">
        <f t="shared" ref="O385:P385" si="389">IF(ISBLANK(K385),M385,K385)</f>
        <v>Outreach</v>
      </c>
      <c r="P385" s="1" t="str">
        <f t="shared" si="389"/>
        <v>Events/Conference Attendance &amp; Side Events</v>
      </c>
      <c r="Q385" s="108" t="str">
        <f t="shared" si="3"/>
        <v>2023</v>
      </c>
      <c r="R385" s="110">
        <f t="shared" si="4"/>
        <v>9</v>
      </c>
      <c r="S385" s="108" t="str">
        <f t="shared" si="5"/>
        <v>2023-Q3</v>
      </c>
      <c r="T385" s="111" t="str">
        <f t="shared" si="6"/>
        <v>2023-09</v>
      </c>
      <c r="U385" s="112" t="str">
        <f t="shared" si="7"/>
        <v>2023-H2</v>
      </c>
      <c r="V385" s="1" t="str">
        <f>VLOOKUP(B385,Bounties!A:E,2,FALSE)</f>
        <v>Events Bounty</v>
      </c>
    </row>
    <row r="386" hidden="1">
      <c r="A386" s="109">
        <f>HYPERLINK("https://polkadot.subsquare.io/treasury/child-bounties/384", 384)</f>
        <v>384</v>
      </c>
      <c r="B386" s="183">
        <v>17.0</v>
      </c>
      <c r="C386" s="27" t="s">
        <v>3404</v>
      </c>
      <c r="D386" s="27" t="s">
        <v>978</v>
      </c>
      <c r="E386" s="129">
        <v>19024.0</v>
      </c>
      <c r="F386" s="66">
        <v>81222.0203704834</v>
      </c>
      <c r="G386" s="27" t="s">
        <v>3468</v>
      </c>
      <c r="H386" s="167">
        <v>45167.0</v>
      </c>
      <c r="I386" s="167">
        <v>45175.0</v>
      </c>
      <c r="J386" s="66">
        <v>80655.97719573975</v>
      </c>
      <c r="K386" s="1"/>
      <c r="L386" s="1" t="s">
        <v>266</v>
      </c>
      <c r="M386" s="1" t="str">
        <f>VLOOKUP(B386,Bounties!A:D,3,FALSE)</f>
        <v>Outreach</v>
      </c>
      <c r="N386" s="1" t="str">
        <f>VLOOKUP(B386,Bounties!A:D,4,FALSE)</f>
        <v>Events/Meetups</v>
      </c>
      <c r="O386" s="1" t="str">
        <f t="shared" ref="O386:P386" si="390">IF(ISBLANK(K386),M386,K386)</f>
        <v>Outreach</v>
      </c>
      <c r="P386" s="1" t="str">
        <f t="shared" si="390"/>
        <v>Events/Conference Attendance &amp; Side Events</v>
      </c>
      <c r="Q386" s="108" t="str">
        <f t="shared" si="3"/>
        <v>2023</v>
      </c>
      <c r="R386" s="110">
        <f t="shared" si="4"/>
        <v>9</v>
      </c>
      <c r="S386" s="108" t="str">
        <f t="shared" si="5"/>
        <v>2023-Q3</v>
      </c>
      <c r="T386" s="111" t="str">
        <f t="shared" si="6"/>
        <v>2023-09</v>
      </c>
      <c r="U386" s="112" t="str">
        <f t="shared" si="7"/>
        <v>2023-H2</v>
      </c>
      <c r="V386" s="1" t="str">
        <f>VLOOKUP(B386,Bounties!A:E,2,FALSE)</f>
        <v>Events Bounty</v>
      </c>
    </row>
    <row r="387" hidden="1">
      <c r="A387" s="109">
        <f>HYPERLINK("https://polkadot.subsquare.io/treasury/child-bounties/385", 385)</f>
        <v>385</v>
      </c>
      <c r="B387" s="183">
        <v>11.0</v>
      </c>
      <c r="C387" s="27" t="s">
        <v>3404</v>
      </c>
      <c r="D387" s="27" t="s">
        <v>979</v>
      </c>
      <c r="E387" s="129">
        <v>158.4507042254</v>
      </c>
      <c r="F387" s="66">
        <v>668.0015862829588</v>
      </c>
      <c r="G387" s="27" t="s">
        <v>3406</v>
      </c>
      <c r="H387" s="167">
        <v>45167.0</v>
      </c>
      <c r="I387" s="167">
        <v>45177.0</v>
      </c>
      <c r="J387" s="66">
        <v>631.7619580620002</v>
      </c>
      <c r="K387" s="1"/>
      <c r="L387" s="1"/>
      <c r="M387" s="1" t="str">
        <f>VLOOKUP(B387,Bounties!A:D,3,FALSE)</f>
        <v>Research</v>
      </c>
      <c r="N387" s="1" t="str">
        <f>VLOOKUP(B387,Bounties!A:D,4,FALSE)</f>
        <v>Anti-Scam</v>
      </c>
      <c r="O387" s="1" t="str">
        <f t="shared" ref="O387:P387" si="391">IF(ISBLANK(K387),M387,K387)</f>
        <v>Research</v>
      </c>
      <c r="P387" s="1" t="str">
        <f t="shared" si="391"/>
        <v>Anti-Scam</v>
      </c>
      <c r="Q387" s="108" t="str">
        <f t="shared" si="3"/>
        <v>2023</v>
      </c>
      <c r="R387" s="110">
        <f t="shared" si="4"/>
        <v>9</v>
      </c>
      <c r="S387" s="108" t="str">
        <f t="shared" si="5"/>
        <v>2023-Q3</v>
      </c>
      <c r="T387" s="111" t="str">
        <f t="shared" si="6"/>
        <v>2023-09</v>
      </c>
      <c r="U387" s="112" t="str">
        <f t="shared" si="7"/>
        <v>2023-H2</v>
      </c>
      <c r="V387" s="1" t="str">
        <f>VLOOKUP(B387,Bounties!A:E,2,FALSE)</f>
        <v>Anti-Scam Bounty</v>
      </c>
    </row>
    <row r="388" hidden="1">
      <c r="A388" s="109">
        <f>HYPERLINK("https://polkadot.subsquare.io/treasury/child-bounties/386", 386)</f>
        <v>386</v>
      </c>
      <c r="B388" s="183">
        <v>11.0</v>
      </c>
      <c r="C388" s="27" t="s">
        <v>3404</v>
      </c>
      <c r="D388" s="27" t="s">
        <v>980</v>
      </c>
      <c r="E388" s="129">
        <v>184.8591549296</v>
      </c>
      <c r="F388" s="66">
        <v>779.3351839966448</v>
      </c>
      <c r="G388" s="27" t="s">
        <v>3411</v>
      </c>
      <c r="H388" s="167">
        <v>45167.0</v>
      </c>
      <c r="I388" s="167">
        <v>45175.0</v>
      </c>
      <c r="J388" s="66">
        <v>783.7466244967168</v>
      </c>
      <c r="K388" s="1"/>
      <c r="L388" s="1"/>
      <c r="M388" s="1" t="str">
        <f>VLOOKUP(B388,Bounties!A:D,3,FALSE)</f>
        <v>Research</v>
      </c>
      <c r="N388" s="1" t="str">
        <f>VLOOKUP(B388,Bounties!A:D,4,FALSE)</f>
        <v>Anti-Scam</v>
      </c>
      <c r="O388" s="1" t="str">
        <f t="shared" ref="O388:P388" si="392">IF(ISBLANK(K388),M388,K388)</f>
        <v>Research</v>
      </c>
      <c r="P388" s="1" t="str">
        <f t="shared" si="392"/>
        <v>Anti-Scam</v>
      </c>
      <c r="Q388" s="108" t="str">
        <f t="shared" si="3"/>
        <v>2023</v>
      </c>
      <c r="R388" s="110">
        <f t="shared" si="4"/>
        <v>9</v>
      </c>
      <c r="S388" s="108" t="str">
        <f t="shared" si="5"/>
        <v>2023-Q3</v>
      </c>
      <c r="T388" s="111" t="str">
        <f t="shared" si="6"/>
        <v>2023-09</v>
      </c>
      <c r="U388" s="112" t="str">
        <f t="shared" si="7"/>
        <v>2023-H2</v>
      </c>
      <c r="V388" s="1" t="str">
        <f>VLOOKUP(B388,Bounties!A:E,2,FALSE)</f>
        <v>Anti-Scam Bounty</v>
      </c>
    </row>
    <row r="389" hidden="1">
      <c r="A389" s="109">
        <f>HYPERLINK("https://polkadot.subsquare.io/treasury/child-bounties/387", 387)</f>
        <v>387</v>
      </c>
      <c r="B389" s="183">
        <v>11.0</v>
      </c>
      <c r="C389" s="27" t="s">
        <v>3404</v>
      </c>
      <c r="D389" s="27" t="s">
        <v>981</v>
      </c>
      <c r="E389" s="129">
        <v>110.0352112676</v>
      </c>
      <c r="F389" s="66">
        <v>463.88999047411306</v>
      </c>
      <c r="G389" s="27" t="s">
        <v>3486</v>
      </c>
      <c r="H389" s="167">
        <v>45167.0</v>
      </c>
      <c r="I389" s="167">
        <v>45176.0</v>
      </c>
      <c r="J389" s="66">
        <v>456.8607874319353</v>
      </c>
      <c r="K389" s="1"/>
      <c r="L389" s="1"/>
      <c r="M389" s="1" t="str">
        <f>VLOOKUP(B389,Bounties!A:D,3,FALSE)</f>
        <v>Research</v>
      </c>
      <c r="N389" s="1" t="str">
        <f>VLOOKUP(B389,Bounties!A:D,4,FALSE)</f>
        <v>Anti-Scam</v>
      </c>
      <c r="O389" s="1" t="str">
        <f t="shared" ref="O389:P389" si="393">IF(ISBLANK(K389),M389,K389)</f>
        <v>Research</v>
      </c>
      <c r="P389" s="1" t="str">
        <f t="shared" si="393"/>
        <v>Anti-Scam</v>
      </c>
      <c r="Q389" s="108" t="str">
        <f t="shared" si="3"/>
        <v>2023</v>
      </c>
      <c r="R389" s="110">
        <f t="shared" si="4"/>
        <v>9</v>
      </c>
      <c r="S389" s="108" t="str">
        <f t="shared" si="5"/>
        <v>2023-Q3</v>
      </c>
      <c r="T389" s="111" t="str">
        <f t="shared" si="6"/>
        <v>2023-09</v>
      </c>
      <c r="U389" s="112" t="str">
        <f t="shared" si="7"/>
        <v>2023-H2</v>
      </c>
      <c r="V389" s="1" t="str">
        <f>VLOOKUP(B389,Bounties!A:E,2,FALSE)</f>
        <v>Anti-Scam Bounty</v>
      </c>
    </row>
    <row r="390" hidden="1">
      <c r="A390" s="109">
        <f>HYPERLINK("https://polkadot.subsquare.io/treasury/child-bounties/388", 388)</f>
        <v>388</v>
      </c>
      <c r="B390" s="183">
        <v>11.0</v>
      </c>
      <c r="C390" s="27" t="s">
        <v>3404</v>
      </c>
      <c r="D390" s="27" t="s">
        <v>982</v>
      </c>
      <c r="E390" s="129">
        <v>158.4507042254</v>
      </c>
      <c r="F390" s="66">
        <v>668.0015862829588</v>
      </c>
      <c r="G390" s="27" t="s">
        <v>3409</v>
      </c>
      <c r="H390" s="167">
        <v>45167.0</v>
      </c>
      <c r="I390" s="167">
        <v>45175.0</v>
      </c>
      <c r="J390" s="66">
        <v>671.7828209973068</v>
      </c>
      <c r="K390" s="1"/>
      <c r="L390" s="1"/>
      <c r="M390" s="1" t="str">
        <f>VLOOKUP(B390,Bounties!A:D,3,FALSE)</f>
        <v>Research</v>
      </c>
      <c r="N390" s="1" t="str">
        <f>VLOOKUP(B390,Bounties!A:D,4,FALSE)</f>
        <v>Anti-Scam</v>
      </c>
      <c r="O390" s="1" t="str">
        <f t="shared" ref="O390:P390" si="394">IF(ISBLANK(K390),M390,K390)</f>
        <v>Research</v>
      </c>
      <c r="P390" s="1" t="str">
        <f t="shared" si="394"/>
        <v>Anti-Scam</v>
      </c>
      <c r="Q390" s="108" t="str">
        <f t="shared" si="3"/>
        <v>2023</v>
      </c>
      <c r="R390" s="110">
        <f t="shared" si="4"/>
        <v>9</v>
      </c>
      <c r="S390" s="108" t="str">
        <f t="shared" si="5"/>
        <v>2023-Q3</v>
      </c>
      <c r="T390" s="111" t="str">
        <f t="shared" si="6"/>
        <v>2023-09</v>
      </c>
      <c r="U390" s="112" t="str">
        <f t="shared" si="7"/>
        <v>2023-H2</v>
      </c>
      <c r="V390" s="1" t="str">
        <f>VLOOKUP(B390,Bounties!A:E,2,FALSE)</f>
        <v>Anti-Scam Bounty</v>
      </c>
    </row>
    <row r="391" hidden="1">
      <c r="A391" s="109">
        <f>HYPERLINK("https://polkadot.subsquare.io/treasury/child-bounties/389", 389)</f>
        <v>389</v>
      </c>
      <c r="B391" s="183">
        <v>11.0</v>
      </c>
      <c r="C391" s="27" t="s">
        <v>3404</v>
      </c>
      <c r="D391" s="27" t="s">
        <v>983</v>
      </c>
      <c r="E391" s="129">
        <v>158.4507042254</v>
      </c>
      <c r="F391" s="66">
        <v>668.0015862829588</v>
      </c>
      <c r="G391" s="27" t="s">
        <v>3407</v>
      </c>
      <c r="H391" s="167">
        <v>45167.0</v>
      </c>
      <c r="I391" s="167">
        <v>45175.0</v>
      </c>
      <c r="J391" s="66">
        <v>671.7828209973068</v>
      </c>
      <c r="K391" s="1"/>
      <c r="L391" s="1"/>
      <c r="M391" s="1" t="str">
        <f>VLOOKUP(B391,Bounties!A:D,3,FALSE)</f>
        <v>Research</v>
      </c>
      <c r="N391" s="1" t="str">
        <f>VLOOKUP(B391,Bounties!A:D,4,FALSE)</f>
        <v>Anti-Scam</v>
      </c>
      <c r="O391" s="1" t="str">
        <f t="shared" ref="O391:P391" si="395">IF(ISBLANK(K391),M391,K391)</f>
        <v>Research</v>
      </c>
      <c r="P391" s="1" t="str">
        <f t="shared" si="395"/>
        <v>Anti-Scam</v>
      </c>
      <c r="Q391" s="108" t="str">
        <f t="shared" si="3"/>
        <v>2023</v>
      </c>
      <c r="R391" s="110">
        <f t="shared" si="4"/>
        <v>9</v>
      </c>
      <c r="S391" s="108" t="str">
        <f t="shared" si="5"/>
        <v>2023-Q3</v>
      </c>
      <c r="T391" s="111" t="str">
        <f t="shared" si="6"/>
        <v>2023-09</v>
      </c>
      <c r="U391" s="112" t="str">
        <f t="shared" si="7"/>
        <v>2023-H2</v>
      </c>
      <c r="V391" s="1" t="str">
        <f>VLOOKUP(B391,Bounties!A:E,2,FALSE)</f>
        <v>Anti-Scam Bounty</v>
      </c>
    </row>
    <row r="392" hidden="1">
      <c r="A392" s="109">
        <f>HYPERLINK("https://polkadot.subsquare.io/treasury/child-bounties/390", 390)</f>
        <v>390</v>
      </c>
      <c r="B392" s="183">
        <v>11.0</v>
      </c>
      <c r="C392" s="27" t="s">
        <v>3404</v>
      </c>
      <c r="D392" s="27" t="s">
        <v>984</v>
      </c>
      <c r="E392" s="129">
        <v>132.0422535211</v>
      </c>
      <c r="F392" s="66">
        <v>556.6679885688513</v>
      </c>
      <c r="G392" s="27" t="s">
        <v>3470</v>
      </c>
      <c r="H392" s="167">
        <v>45167.0</v>
      </c>
      <c r="I392" s="167">
        <v>45177.0</v>
      </c>
      <c r="J392" s="66">
        <v>526.4682983847343</v>
      </c>
      <c r="K392" s="1"/>
      <c r="L392" s="1"/>
      <c r="M392" s="1" t="str">
        <f>VLOOKUP(B392,Bounties!A:D,3,FALSE)</f>
        <v>Research</v>
      </c>
      <c r="N392" s="1" t="str">
        <f>VLOOKUP(B392,Bounties!A:D,4,FALSE)</f>
        <v>Anti-Scam</v>
      </c>
      <c r="O392" s="1" t="str">
        <f t="shared" ref="O392:P392" si="396">IF(ISBLANK(K392),M392,K392)</f>
        <v>Research</v>
      </c>
      <c r="P392" s="1" t="str">
        <f t="shared" si="396"/>
        <v>Anti-Scam</v>
      </c>
      <c r="Q392" s="108" t="str">
        <f t="shared" si="3"/>
        <v>2023</v>
      </c>
      <c r="R392" s="110">
        <f t="shared" si="4"/>
        <v>9</v>
      </c>
      <c r="S392" s="108" t="str">
        <f t="shared" si="5"/>
        <v>2023-Q3</v>
      </c>
      <c r="T392" s="111" t="str">
        <f t="shared" si="6"/>
        <v>2023-09</v>
      </c>
      <c r="U392" s="112" t="str">
        <f t="shared" si="7"/>
        <v>2023-H2</v>
      </c>
      <c r="V392" s="1" t="str">
        <f>VLOOKUP(B392,Bounties!A:E,2,FALSE)</f>
        <v>Anti-Scam Bounty</v>
      </c>
    </row>
    <row r="393" hidden="1">
      <c r="A393" s="109">
        <f>HYPERLINK("https://polkadot.subsquare.io/treasury/child-bounties/391", 391)</f>
        <v>391</v>
      </c>
      <c r="B393" s="183">
        <v>11.0</v>
      </c>
      <c r="C393" s="27" t="s">
        <v>3404</v>
      </c>
      <c r="D393" s="27" t="s">
        <v>985</v>
      </c>
      <c r="E393" s="129">
        <v>110.0352112676</v>
      </c>
      <c r="F393" s="66">
        <v>463.88999047411306</v>
      </c>
      <c r="G393" s="27" t="s">
        <v>3409</v>
      </c>
      <c r="H393" s="167">
        <v>45167.0</v>
      </c>
      <c r="I393" s="167">
        <v>45175.0</v>
      </c>
      <c r="J393" s="66">
        <v>466.5158479146316</v>
      </c>
      <c r="K393" s="1"/>
      <c r="L393" s="1"/>
      <c r="M393" s="1" t="str">
        <f>VLOOKUP(B393,Bounties!A:D,3,FALSE)</f>
        <v>Research</v>
      </c>
      <c r="N393" s="1" t="str">
        <f>VLOOKUP(B393,Bounties!A:D,4,FALSE)</f>
        <v>Anti-Scam</v>
      </c>
      <c r="O393" s="1" t="str">
        <f t="shared" ref="O393:P393" si="397">IF(ISBLANK(K393),M393,K393)</f>
        <v>Research</v>
      </c>
      <c r="P393" s="1" t="str">
        <f t="shared" si="397"/>
        <v>Anti-Scam</v>
      </c>
      <c r="Q393" s="108" t="str">
        <f t="shared" si="3"/>
        <v>2023</v>
      </c>
      <c r="R393" s="110">
        <f t="shared" si="4"/>
        <v>9</v>
      </c>
      <c r="S393" s="108" t="str">
        <f t="shared" si="5"/>
        <v>2023-Q3</v>
      </c>
      <c r="T393" s="111" t="str">
        <f t="shared" si="6"/>
        <v>2023-09</v>
      </c>
      <c r="U393" s="112" t="str">
        <f t="shared" si="7"/>
        <v>2023-H2</v>
      </c>
      <c r="V393" s="1" t="str">
        <f>VLOOKUP(B393,Bounties!A:E,2,FALSE)</f>
        <v>Anti-Scam Bounty</v>
      </c>
    </row>
    <row r="394" hidden="1">
      <c r="A394" s="109">
        <f>HYPERLINK("https://polkadot.subsquare.io/treasury/child-bounties/392", 392)</f>
        <v>392</v>
      </c>
      <c r="B394" s="183">
        <v>11.0</v>
      </c>
      <c r="C394" s="27" t="s">
        <v>3404</v>
      </c>
      <c r="D394" s="27" t="s">
        <v>986</v>
      </c>
      <c r="E394" s="129">
        <v>110.0352112676</v>
      </c>
      <c r="F394" s="66">
        <v>463.88999047411306</v>
      </c>
      <c r="G394" s="27" t="s">
        <v>3439</v>
      </c>
      <c r="H394" s="167">
        <v>45167.0</v>
      </c>
      <c r="I394" s="167">
        <v>45178.0</v>
      </c>
      <c r="J394" s="66">
        <v>438.7235819873451</v>
      </c>
      <c r="K394" s="1"/>
      <c r="L394" s="1"/>
      <c r="M394" s="1" t="str">
        <f>VLOOKUP(B394,Bounties!A:D,3,FALSE)</f>
        <v>Research</v>
      </c>
      <c r="N394" s="1" t="str">
        <f>VLOOKUP(B394,Bounties!A:D,4,FALSE)</f>
        <v>Anti-Scam</v>
      </c>
      <c r="O394" s="1" t="str">
        <f t="shared" ref="O394:P394" si="398">IF(ISBLANK(K394),M394,K394)</f>
        <v>Research</v>
      </c>
      <c r="P394" s="1" t="str">
        <f t="shared" si="398"/>
        <v>Anti-Scam</v>
      </c>
      <c r="Q394" s="108" t="str">
        <f t="shared" si="3"/>
        <v>2023</v>
      </c>
      <c r="R394" s="110">
        <f t="shared" si="4"/>
        <v>9</v>
      </c>
      <c r="S394" s="108" t="str">
        <f t="shared" si="5"/>
        <v>2023-Q3</v>
      </c>
      <c r="T394" s="111" t="str">
        <f t="shared" si="6"/>
        <v>2023-09</v>
      </c>
      <c r="U394" s="112" t="str">
        <f t="shared" si="7"/>
        <v>2023-H2</v>
      </c>
      <c r="V394" s="1" t="str">
        <f>VLOOKUP(B394,Bounties!A:E,2,FALSE)</f>
        <v>Anti-Scam Bounty</v>
      </c>
    </row>
    <row r="395" hidden="1">
      <c r="A395" s="109">
        <f>HYPERLINK("https://polkadot.subsquare.io/treasury/child-bounties/393", 393)</f>
        <v>393</v>
      </c>
      <c r="B395" s="183">
        <v>11.0</v>
      </c>
      <c r="C395" s="27" t="s">
        <v>3404</v>
      </c>
      <c r="D395" s="27" t="s">
        <v>987</v>
      </c>
      <c r="E395" s="129">
        <v>88.0281690141</v>
      </c>
      <c r="F395" s="66">
        <v>371.1119923793747</v>
      </c>
      <c r="G395" s="27" t="s">
        <v>3411</v>
      </c>
      <c r="H395" s="167">
        <v>45167.0</v>
      </c>
      <c r="I395" s="167">
        <v>45175.0</v>
      </c>
      <c r="J395" s="66">
        <v>373.2126783317901</v>
      </c>
      <c r="K395" s="1"/>
      <c r="L395" s="1"/>
      <c r="M395" s="1" t="str">
        <f>VLOOKUP(B395,Bounties!A:D,3,FALSE)</f>
        <v>Research</v>
      </c>
      <c r="N395" s="1" t="str">
        <f>VLOOKUP(B395,Bounties!A:D,4,FALSE)</f>
        <v>Anti-Scam</v>
      </c>
      <c r="O395" s="1" t="str">
        <f t="shared" ref="O395:P395" si="399">IF(ISBLANK(K395),M395,K395)</f>
        <v>Research</v>
      </c>
      <c r="P395" s="1" t="str">
        <f t="shared" si="399"/>
        <v>Anti-Scam</v>
      </c>
      <c r="Q395" s="108" t="str">
        <f t="shared" si="3"/>
        <v>2023</v>
      </c>
      <c r="R395" s="110">
        <f t="shared" si="4"/>
        <v>9</v>
      </c>
      <c r="S395" s="108" t="str">
        <f t="shared" si="5"/>
        <v>2023-Q3</v>
      </c>
      <c r="T395" s="111" t="str">
        <f t="shared" si="6"/>
        <v>2023-09</v>
      </c>
      <c r="U395" s="112" t="str">
        <f t="shared" si="7"/>
        <v>2023-H2</v>
      </c>
      <c r="V395" s="1" t="str">
        <f>VLOOKUP(B395,Bounties!A:E,2,FALSE)</f>
        <v>Anti-Scam Bounty</v>
      </c>
    </row>
    <row r="396" hidden="1">
      <c r="A396" s="109">
        <f>HYPERLINK("https://polkadot.subsquare.io/treasury/child-bounties/394", 394)</f>
        <v>394</v>
      </c>
      <c r="B396" s="183">
        <v>11.0</v>
      </c>
      <c r="C396" s="27" t="s">
        <v>3404</v>
      </c>
      <c r="D396" s="27" t="s">
        <v>988</v>
      </c>
      <c r="E396" s="129">
        <v>88.0281690141</v>
      </c>
      <c r="F396" s="66">
        <v>371.1119923793747</v>
      </c>
      <c r="G396" s="27" t="s">
        <v>3407</v>
      </c>
      <c r="H396" s="167">
        <v>45167.0</v>
      </c>
      <c r="I396" s="167">
        <v>45175.0</v>
      </c>
      <c r="J396" s="66">
        <v>373.2126783317901</v>
      </c>
      <c r="K396" s="1"/>
      <c r="L396" s="1"/>
      <c r="M396" s="1" t="str">
        <f>VLOOKUP(B396,Bounties!A:D,3,FALSE)</f>
        <v>Research</v>
      </c>
      <c r="N396" s="1" t="str">
        <f>VLOOKUP(B396,Bounties!A:D,4,FALSE)</f>
        <v>Anti-Scam</v>
      </c>
      <c r="O396" s="1" t="str">
        <f t="shared" ref="O396:P396" si="400">IF(ISBLANK(K396),M396,K396)</f>
        <v>Research</v>
      </c>
      <c r="P396" s="1" t="str">
        <f t="shared" si="400"/>
        <v>Anti-Scam</v>
      </c>
      <c r="Q396" s="108" t="str">
        <f t="shared" si="3"/>
        <v>2023</v>
      </c>
      <c r="R396" s="110">
        <f t="shared" si="4"/>
        <v>9</v>
      </c>
      <c r="S396" s="108" t="str">
        <f t="shared" si="5"/>
        <v>2023-Q3</v>
      </c>
      <c r="T396" s="111" t="str">
        <f t="shared" si="6"/>
        <v>2023-09</v>
      </c>
      <c r="U396" s="112" t="str">
        <f t="shared" si="7"/>
        <v>2023-H2</v>
      </c>
      <c r="V396" s="1" t="str">
        <f>VLOOKUP(B396,Bounties!A:E,2,FALSE)</f>
        <v>Anti-Scam Bounty</v>
      </c>
    </row>
    <row r="397" hidden="1">
      <c r="A397" s="109">
        <f>HYPERLINK("https://polkadot.subsquare.io/treasury/child-bounties/395", 395)</f>
        <v>395</v>
      </c>
      <c r="B397" s="183">
        <v>11.0</v>
      </c>
      <c r="C397" s="27" t="s">
        <v>3404</v>
      </c>
      <c r="D397" s="27" t="s">
        <v>989</v>
      </c>
      <c r="E397" s="129">
        <v>88.0281690141</v>
      </c>
      <c r="F397" s="66">
        <v>371.1119923793747</v>
      </c>
      <c r="G397" s="27" t="s">
        <v>3406</v>
      </c>
      <c r="H397" s="167">
        <v>45167.0</v>
      </c>
      <c r="I397" s="167">
        <v>45177.0</v>
      </c>
      <c r="J397" s="66">
        <v>350.97886558995583</v>
      </c>
      <c r="K397" s="1"/>
      <c r="L397" s="1"/>
      <c r="M397" s="1" t="str">
        <f>VLOOKUP(B397,Bounties!A:D,3,FALSE)</f>
        <v>Research</v>
      </c>
      <c r="N397" s="1" t="str">
        <f>VLOOKUP(B397,Bounties!A:D,4,FALSE)</f>
        <v>Anti-Scam</v>
      </c>
      <c r="O397" s="1" t="str">
        <f t="shared" ref="O397:P397" si="401">IF(ISBLANK(K397),M397,K397)</f>
        <v>Research</v>
      </c>
      <c r="P397" s="1" t="str">
        <f t="shared" si="401"/>
        <v>Anti-Scam</v>
      </c>
      <c r="Q397" s="108" t="str">
        <f t="shared" si="3"/>
        <v>2023</v>
      </c>
      <c r="R397" s="110">
        <f t="shared" si="4"/>
        <v>9</v>
      </c>
      <c r="S397" s="108" t="str">
        <f t="shared" si="5"/>
        <v>2023-Q3</v>
      </c>
      <c r="T397" s="111" t="str">
        <f t="shared" si="6"/>
        <v>2023-09</v>
      </c>
      <c r="U397" s="112" t="str">
        <f t="shared" si="7"/>
        <v>2023-H2</v>
      </c>
      <c r="V397" s="1" t="str">
        <f>VLOOKUP(B397,Bounties!A:E,2,FALSE)</f>
        <v>Anti-Scam Bounty</v>
      </c>
    </row>
    <row r="398" hidden="1">
      <c r="A398" s="109">
        <f>HYPERLINK("https://polkadot.subsquare.io/treasury/child-bounties/396", 396)</f>
        <v>396</v>
      </c>
      <c r="B398" s="183">
        <v>11.0</v>
      </c>
      <c r="C398" s="27" t="s">
        <v>3404</v>
      </c>
      <c r="D398" s="27" t="s">
        <v>990</v>
      </c>
      <c r="E398" s="129">
        <v>110.0352112676</v>
      </c>
      <c r="F398" s="66">
        <v>463.88999047411306</v>
      </c>
      <c r="G398" s="27" t="s">
        <v>3457</v>
      </c>
      <c r="H398" s="167">
        <v>45167.0</v>
      </c>
      <c r="I398" s="167">
        <v>45175.0</v>
      </c>
      <c r="J398" s="66">
        <v>466.5158479146316</v>
      </c>
      <c r="K398" s="1"/>
      <c r="L398" s="1"/>
      <c r="M398" s="1" t="str">
        <f>VLOOKUP(B398,Bounties!A:D,3,FALSE)</f>
        <v>Research</v>
      </c>
      <c r="N398" s="1" t="str">
        <f>VLOOKUP(B398,Bounties!A:D,4,FALSE)</f>
        <v>Anti-Scam</v>
      </c>
      <c r="O398" s="1" t="str">
        <f t="shared" ref="O398:P398" si="402">IF(ISBLANK(K398),M398,K398)</f>
        <v>Research</v>
      </c>
      <c r="P398" s="1" t="str">
        <f t="shared" si="402"/>
        <v>Anti-Scam</v>
      </c>
      <c r="Q398" s="108" t="str">
        <f t="shared" si="3"/>
        <v>2023</v>
      </c>
      <c r="R398" s="110">
        <f t="shared" si="4"/>
        <v>9</v>
      </c>
      <c r="S398" s="108" t="str">
        <f t="shared" si="5"/>
        <v>2023-Q3</v>
      </c>
      <c r="T398" s="111" t="str">
        <f t="shared" si="6"/>
        <v>2023-09</v>
      </c>
      <c r="U398" s="112" t="str">
        <f t="shared" si="7"/>
        <v>2023-H2</v>
      </c>
      <c r="V398" s="1" t="str">
        <f>VLOOKUP(B398,Bounties!A:E,2,FALSE)</f>
        <v>Anti-Scam Bounty</v>
      </c>
    </row>
    <row r="399" hidden="1">
      <c r="A399" s="109">
        <f>HYPERLINK("https://polkadot.subsquare.io/treasury/child-bounties/397", 397)</f>
        <v>397</v>
      </c>
      <c r="B399" s="183">
        <v>11.0</v>
      </c>
      <c r="C399" s="27" t="s">
        <v>3404</v>
      </c>
      <c r="D399" s="27" t="s">
        <v>991</v>
      </c>
      <c r="E399" s="129">
        <v>66.47462885</v>
      </c>
      <c r="F399" s="66">
        <v>283.30628369515915</v>
      </c>
      <c r="G399" s="27" t="s">
        <v>3411</v>
      </c>
      <c r="H399" s="167">
        <v>45168.0</v>
      </c>
      <c r="I399" s="167">
        <v>45177.0</v>
      </c>
      <c r="J399" s="66">
        <v>275.9993908386217</v>
      </c>
      <c r="K399" s="1"/>
      <c r="L399" s="1"/>
      <c r="M399" s="1" t="str">
        <f>VLOOKUP(B399,Bounties!A:D,3,FALSE)</f>
        <v>Research</v>
      </c>
      <c r="N399" s="1" t="str">
        <f>VLOOKUP(B399,Bounties!A:D,4,FALSE)</f>
        <v>Anti-Scam</v>
      </c>
      <c r="O399" s="1" t="str">
        <f t="shared" ref="O399:P399" si="403">IF(ISBLANK(K399),M399,K399)</f>
        <v>Research</v>
      </c>
      <c r="P399" s="1" t="str">
        <f t="shared" si="403"/>
        <v>Anti-Scam</v>
      </c>
      <c r="Q399" s="108" t="str">
        <f t="shared" si="3"/>
        <v>2023</v>
      </c>
      <c r="R399" s="110">
        <f t="shared" si="4"/>
        <v>9</v>
      </c>
      <c r="S399" s="108" t="str">
        <f t="shared" si="5"/>
        <v>2023-Q3</v>
      </c>
      <c r="T399" s="111" t="str">
        <f t="shared" si="6"/>
        <v>2023-09</v>
      </c>
      <c r="U399" s="112" t="str">
        <f t="shared" si="7"/>
        <v>2023-H2</v>
      </c>
      <c r="V399" s="1" t="str">
        <f>VLOOKUP(B399,Bounties!A:E,2,FALSE)</f>
        <v>Anti-Scam Bounty</v>
      </c>
    </row>
    <row r="400" hidden="1">
      <c r="A400" s="109">
        <f>HYPERLINK("https://polkadot.subsquare.io/treasury/child-bounties/398", 398)</f>
        <v>398</v>
      </c>
      <c r="B400" s="183">
        <v>11.0</v>
      </c>
      <c r="C400" s="27" t="s">
        <v>3427</v>
      </c>
      <c r="D400" s="27" t="s">
        <v>3534</v>
      </c>
      <c r="E400" s="129">
        <v>2876.2242410813</v>
      </c>
      <c r="F400" s="66">
        <v>12258.096282920014</v>
      </c>
      <c r="H400" s="167">
        <v>45168.0</v>
      </c>
      <c r="I400" s="167">
        <v>45168.0</v>
      </c>
      <c r="J400" s="66">
        <v>12258.096282920014</v>
      </c>
      <c r="K400" s="1"/>
      <c r="L400" s="1"/>
      <c r="M400" s="1" t="str">
        <f>VLOOKUP(B400,Bounties!A:D,3,FALSE)</f>
        <v>Research</v>
      </c>
      <c r="N400" s="1" t="str">
        <f>VLOOKUP(B400,Bounties!A:D,4,FALSE)</f>
        <v>Anti-Scam</v>
      </c>
      <c r="O400" s="1" t="str">
        <f t="shared" ref="O400:P400" si="404">IF(ISBLANK(K400),M400,K400)</f>
        <v>Research</v>
      </c>
      <c r="P400" s="1" t="str">
        <f t="shared" si="404"/>
        <v>Anti-Scam</v>
      </c>
      <c r="Q400" s="108" t="str">
        <f t="shared" si="3"/>
        <v>2023</v>
      </c>
      <c r="R400" s="110">
        <f t="shared" si="4"/>
        <v>8</v>
      </c>
      <c r="S400" s="108" t="str">
        <f t="shared" si="5"/>
        <v>2023-Q3</v>
      </c>
      <c r="T400" s="111" t="str">
        <f t="shared" si="6"/>
        <v>2023-08</v>
      </c>
      <c r="U400" s="112" t="str">
        <f t="shared" si="7"/>
        <v>2023-H2</v>
      </c>
      <c r="V400" s="1" t="str">
        <f>VLOOKUP(B400,Bounties!A:E,2,FALSE)</f>
        <v>Anti-Scam Bounty</v>
      </c>
    </row>
    <row r="401" hidden="1">
      <c r="A401" s="109">
        <f>HYPERLINK("https://polkadot.subsquare.io/treasury/child-bounties/399", 399)</f>
        <v>399</v>
      </c>
      <c r="B401" s="183">
        <v>11.0</v>
      </c>
      <c r="C401" s="27" t="s">
        <v>3427</v>
      </c>
      <c r="D401" s="27" t="s">
        <v>3535</v>
      </c>
      <c r="E401" s="129">
        <v>2876.2242410813</v>
      </c>
      <c r="F401" s="66">
        <v>12258.096282920014</v>
      </c>
      <c r="H401" s="167">
        <v>45168.0</v>
      </c>
      <c r="I401" s="167">
        <v>45168.0</v>
      </c>
      <c r="J401" s="66">
        <v>12258.096282920014</v>
      </c>
      <c r="K401" s="1"/>
      <c r="L401" s="1"/>
      <c r="M401" s="1" t="str">
        <f>VLOOKUP(B401,Bounties!A:D,3,FALSE)</f>
        <v>Research</v>
      </c>
      <c r="N401" s="1" t="str">
        <f>VLOOKUP(B401,Bounties!A:D,4,FALSE)</f>
        <v>Anti-Scam</v>
      </c>
      <c r="O401" s="1" t="str">
        <f t="shared" ref="O401:P401" si="405">IF(ISBLANK(K401),M401,K401)</f>
        <v>Research</v>
      </c>
      <c r="P401" s="1" t="str">
        <f t="shared" si="405"/>
        <v>Anti-Scam</v>
      </c>
      <c r="Q401" s="108" t="str">
        <f t="shared" si="3"/>
        <v>2023</v>
      </c>
      <c r="R401" s="110">
        <f t="shared" si="4"/>
        <v>8</v>
      </c>
      <c r="S401" s="108" t="str">
        <f t="shared" si="5"/>
        <v>2023-Q3</v>
      </c>
      <c r="T401" s="111" t="str">
        <f t="shared" si="6"/>
        <v>2023-08</v>
      </c>
      <c r="U401" s="112" t="str">
        <f t="shared" si="7"/>
        <v>2023-H2</v>
      </c>
      <c r="V401" s="1" t="str">
        <f>VLOOKUP(B401,Bounties!A:E,2,FALSE)</f>
        <v>Anti-Scam Bounty</v>
      </c>
    </row>
    <row r="402" hidden="1">
      <c r="A402" s="109">
        <f>HYPERLINK("https://polkadot.subsquare.io/treasury/child-bounties/400", 400)</f>
        <v>400</v>
      </c>
      <c r="B402" s="183">
        <v>11.0</v>
      </c>
      <c r="C402" s="27" t="s">
        <v>3427</v>
      </c>
      <c r="D402" s="27" t="s">
        <v>994</v>
      </c>
      <c r="E402" s="129">
        <v>2876.2242410813</v>
      </c>
      <c r="F402" s="66">
        <v>12258.096282920014</v>
      </c>
      <c r="H402" s="167">
        <v>45168.0</v>
      </c>
      <c r="I402" s="167">
        <v>45168.0</v>
      </c>
      <c r="J402" s="66">
        <v>12258.096282920014</v>
      </c>
      <c r="K402" s="1"/>
      <c r="L402" s="1"/>
      <c r="M402" s="1" t="str">
        <f>VLOOKUP(B402,Bounties!A:D,3,FALSE)</f>
        <v>Research</v>
      </c>
      <c r="N402" s="1" t="str">
        <f>VLOOKUP(B402,Bounties!A:D,4,FALSE)</f>
        <v>Anti-Scam</v>
      </c>
      <c r="O402" s="1" t="str">
        <f t="shared" ref="O402:P402" si="406">IF(ISBLANK(K402),M402,K402)</f>
        <v>Research</v>
      </c>
      <c r="P402" s="1" t="str">
        <f t="shared" si="406"/>
        <v>Anti-Scam</v>
      </c>
      <c r="Q402" s="108" t="str">
        <f t="shared" si="3"/>
        <v>2023</v>
      </c>
      <c r="R402" s="110">
        <f t="shared" si="4"/>
        <v>8</v>
      </c>
      <c r="S402" s="108" t="str">
        <f t="shared" si="5"/>
        <v>2023-Q3</v>
      </c>
      <c r="T402" s="111" t="str">
        <f t="shared" si="6"/>
        <v>2023-08</v>
      </c>
      <c r="U402" s="112" t="str">
        <f t="shared" si="7"/>
        <v>2023-H2</v>
      </c>
      <c r="V402" s="1" t="str">
        <f>VLOOKUP(B402,Bounties!A:E,2,FALSE)</f>
        <v>Anti-Scam Bounty</v>
      </c>
    </row>
    <row r="403" hidden="1">
      <c r="A403" s="109">
        <f>HYPERLINK("https://polkadot.subsquare.io/treasury/child-bounties/401", 401)</f>
        <v>401</v>
      </c>
      <c r="B403" s="183">
        <v>11.0</v>
      </c>
      <c r="C403" s="27" t="s">
        <v>3404</v>
      </c>
      <c r="D403" s="27" t="s">
        <v>992</v>
      </c>
      <c r="E403" s="129">
        <v>2140.5716818081</v>
      </c>
      <c r="F403" s="66">
        <v>9122.840076694154</v>
      </c>
      <c r="G403" s="27" t="s">
        <v>3407</v>
      </c>
      <c r="H403" s="167">
        <v>45168.0</v>
      </c>
      <c r="I403" s="167">
        <v>45176.0</v>
      </c>
      <c r="J403" s="66">
        <v>8887.548384189882</v>
      </c>
      <c r="K403" s="1"/>
      <c r="L403" s="1"/>
      <c r="M403" s="1" t="str">
        <f>VLOOKUP(B403,Bounties!A:D,3,FALSE)</f>
        <v>Research</v>
      </c>
      <c r="N403" s="1" t="str">
        <f>VLOOKUP(B403,Bounties!A:D,4,FALSE)</f>
        <v>Anti-Scam</v>
      </c>
      <c r="O403" s="1" t="str">
        <f t="shared" ref="O403:P403" si="407">IF(ISBLANK(K403),M403,K403)</f>
        <v>Research</v>
      </c>
      <c r="P403" s="1" t="str">
        <f t="shared" si="407"/>
        <v>Anti-Scam</v>
      </c>
      <c r="Q403" s="108" t="str">
        <f t="shared" si="3"/>
        <v>2023</v>
      </c>
      <c r="R403" s="110">
        <f t="shared" si="4"/>
        <v>9</v>
      </c>
      <c r="S403" s="108" t="str">
        <f t="shared" si="5"/>
        <v>2023-Q3</v>
      </c>
      <c r="T403" s="111" t="str">
        <f t="shared" si="6"/>
        <v>2023-09</v>
      </c>
      <c r="U403" s="112" t="str">
        <f t="shared" si="7"/>
        <v>2023-H2</v>
      </c>
      <c r="V403" s="1" t="str">
        <f>VLOOKUP(B403,Bounties!A:E,2,FALSE)</f>
        <v>Anti-Scam Bounty</v>
      </c>
    </row>
    <row r="404" hidden="1">
      <c r="A404" s="109">
        <f>HYPERLINK("https://polkadot.subsquare.io/treasury/child-bounties/402", 402)</f>
        <v>402</v>
      </c>
      <c r="B404" s="183">
        <v>11.0</v>
      </c>
      <c r="C404" s="27" t="s">
        <v>3404</v>
      </c>
      <c r="D404" s="27" t="s">
        <v>993</v>
      </c>
      <c r="E404" s="129">
        <v>2140.5716818081</v>
      </c>
      <c r="F404" s="66">
        <v>9122.840076694154</v>
      </c>
      <c r="G404" s="27" t="s">
        <v>3406</v>
      </c>
      <c r="H404" s="167">
        <v>45168.0</v>
      </c>
      <c r="I404" s="167">
        <v>45177.0</v>
      </c>
      <c r="J404" s="66">
        <v>8534.715977957594</v>
      </c>
      <c r="K404" s="1"/>
      <c r="L404" s="1"/>
      <c r="M404" s="1" t="str">
        <f>VLOOKUP(B404,Bounties!A:D,3,FALSE)</f>
        <v>Research</v>
      </c>
      <c r="N404" s="1" t="str">
        <f>VLOOKUP(B404,Bounties!A:D,4,FALSE)</f>
        <v>Anti-Scam</v>
      </c>
      <c r="O404" s="1" t="str">
        <f t="shared" ref="O404:P404" si="408">IF(ISBLANK(K404),M404,K404)</f>
        <v>Research</v>
      </c>
      <c r="P404" s="1" t="str">
        <f t="shared" si="408"/>
        <v>Anti-Scam</v>
      </c>
      <c r="Q404" s="108" t="str">
        <f t="shared" si="3"/>
        <v>2023</v>
      </c>
      <c r="R404" s="110">
        <f t="shared" si="4"/>
        <v>9</v>
      </c>
      <c r="S404" s="108" t="str">
        <f t="shared" si="5"/>
        <v>2023-Q3</v>
      </c>
      <c r="T404" s="111" t="str">
        <f t="shared" si="6"/>
        <v>2023-09</v>
      </c>
      <c r="U404" s="112" t="str">
        <f t="shared" si="7"/>
        <v>2023-H2</v>
      </c>
      <c r="V404" s="1" t="str">
        <f>VLOOKUP(B404,Bounties!A:E,2,FALSE)</f>
        <v>Anti-Scam Bounty</v>
      </c>
    </row>
    <row r="405" hidden="1">
      <c r="A405" s="109">
        <f>HYPERLINK("https://polkadot.subsquare.io/treasury/child-bounties/403", 403)</f>
        <v>403</v>
      </c>
      <c r="B405" s="183">
        <v>11.0</v>
      </c>
      <c r="C405" s="27" t="s">
        <v>3404</v>
      </c>
      <c r="D405" s="27" t="s">
        <v>994</v>
      </c>
      <c r="E405" s="129">
        <v>2140.5716818081</v>
      </c>
      <c r="F405" s="66">
        <v>9122.840076694154</v>
      </c>
      <c r="G405" s="27" t="s">
        <v>3411</v>
      </c>
      <c r="H405" s="167">
        <v>45168.0</v>
      </c>
      <c r="I405" s="167">
        <v>45176.0</v>
      </c>
      <c r="J405" s="66">
        <v>8887.548384189882</v>
      </c>
      <c r="K405" s="1"/>
      <c r="L405" s="1"/>
      <c r="M405" s="1" t="str">
        <f>VLOOKUP(B405,Bounties!A:D,3,FALSE)</f>
        <v>Research</v>
      </c>
      <c r="N405" s="1" t="str">
        <f>VLOOKUP(B405,Bounties!A:D,4,FALSE)</f>
        <v>Anti-Scam</v>
      </c>
      <c r="O405" s="1" t="str">
        <f t="shared" ref="O405:P405" si="409">IF(ISBLANK(K405),M405,K405)</f>
        <v>Research</v>
      </c>
      <c r="P405" s="1" t="str">
        <f t="shared" si="409"/>
        <v>Anti-Scam</v>
      </c>
      <c r="Q405" s="108" t="str">
        <f t="shared" si="3"/>
        <v>2023</v>
      </c>
      <c r="R405" s="110">
        <f t="shared" si="4"/>
        <v>9</v>
      </c>
      <c r="S405" s="108" t="str">
        <f t="shared" si="5"/>
        <v>2023-Q3</v>
      </c>
      <c r="T405" s="111" t="str">
        <f t="shared" si="6"/>
        <v>2023-09</v>
      </c>
      <c r="U405" s="112" t="str">
        <f t="shared" si="7"/>
        <v>2023-H2</v>
      </c>
      <c r="V405" s="1" t="str">
        <f>VLOOKUP(B405,Bounties!A:E,2,FALSE)</f>
        <v>Anti-Scam Bounty</v>
      </c>
    </row>
    <row r="406" hidden="1">
      <c r="A406" s="109">
        <f>HYPERLINK("https://polkadot.subsquare.io/treasury/child-bounties/404", 404)</f>
        <v>404</v>
      </c>
      <c r="B406" s="183">
        <v>11.0</v>
      </c>
      <c r="C406" s="27" t="s">
        <v>3404</v>
      </c>
      <c r="D406" s="27" t="s">
        <v>995</v>
      </c>
      <c r="E406" s="129">
        <v>78.6616441392</v>
      </c>
      <c r="F406" s="66">
        <v>335.24576903941374</v>
      </c>
      <c r="G406" s="27" t="s">
        <v>3407</v>
      </c>
      <c r="H406" s="167">
        <v>45168.0</v>
      </c>
      <c r="I406" s="167">
        <v>45177.0</v>
      </c>
      <c r="J406" s="66">
        <v>313.63340774468435</v>
      </c>
      <c r="K406" s="1"/>
      <c r="L406" s="1"/>
      <c r="M406" s="1" t="str">
        <f>VLOOKUP(B406,Bounties!A:D,3,FALSE)</f>
        <v>Research</v>
      </c>
      <c r="N406" s="1" t="str">
        <f>VLOOKUP(B406,Bounties!A:D,4,FALSE)</f>
        <v>Anti-Scam</v>
      </c>
      <c r="O406" s="1" t="str">
        <f t="shared" ref="O406:P406" si="410">IF(ISBLANK(K406),M406,K406)</f>
        <v>Research</v>
      </c>
      <c r="P406" s="1" t="str">
        <f t="shared" si="410"/>
        <v>Anti-Scam</v>
      </c>
      <c r="Q406" s="108" t="str">
        <f t="shared" si="3"/>
        <v>2023</v>
      </c>
      <c r="R406" s="110">
        <f t="shared" si="4"/>
        <v>9</v>
      </c>
      <c r="S406" s="108" t="str">
        <f t="shared" si="5"/>
        <v>2023-Q3</v>
      </c>
      <c r="T406" s="111" t="str">
        <f t="shared" si="6"/>
        <v>2023-09</v>
      </c>
      <c r="U406" s="112" t="str">
        <f t="shared" si="7"/>
        <v>2023-H2</v>
      </c>
      <c r="V406" s="1" t="str">
        <f>VLOOKUP(B406,Bounties!A:E,2,FALSE)</f>
        <v>Anti-Scam Bounty</v>
      </c>
    </row>
    <row r="407" hidden="1">
      <c r="A407" s="109">
        <f>HYPERLINK("https://polkadot.subsquare.io/treasury/child-bounties/405", 405)</f>
        <v>405</v>
      </c>
      <c r="B407" s="183">
        <v>11.0</v>
      </c>
      <c r="C407" s="27" t="s">
        <v>3404</v>
      </c>
      <c r="D407" s="27" t="s">
        <v>996</v>
      </c>
      <c r="E407" s="129">
        <v>114.1147795258</v>
      </c>
      <c r="F407" s="66">
        <v>486.3424536765478</v>
      </c>
      <c r="G407" s="27" t="s">
        <v>3411</v>
      </c>
      <c r="H407" s="167">
        <v>45168.0</v>
      </c>
      <c r="I407" s="167">
        <v>45177.0</v>
      </c>
      <c r="J407" s="66">
        <v>473.7989542728289</v>
      </c>
      <c r="K407" s="1"/>
      <c r="L407" s="1"/>
      <c r="M407" s="1" t="str">
        <f>VLOOKUP(B407,Bounties!A:D,3,FALSE)</f>
        <v>Research</v>
      </c>
      <c r="N407" s="1" t="str">
        <f>VLOOKUP(B407,Bounties!A:D,4,FALSE)</f>
        <v>Anti-Scam</v>
      </c>
      <c r="O407" s="1" t="str">
        <f t="shared" ref="O407:P407" si="411">IF(ISBLANK(K407),M407,K407)</f>
        <v>Research</v>
      </c>
      <c r="P407" s="1" t="str">
        <f t="shared" si="411"/>
        <v>Anti-Scam</v>
      </c>
      <c r="Q407" s="108" t="str">
        <f t="shared" si="3"/>
        <v>2023</v>
      </c>
      <c r="R407" s="110">
        <f t="shared" si="4"/>
        <v>9</v>
      </c>
      <c r="S407" s="108" t="str">
        <f t="shared" si="5"/>
        <v>2023-Q3</v>
      </c>
      <c r="T407" s="111" t="str">
        <f t="shared" si="6"/>
        <v>2023-09</v>
      </c>
      <c r="U407" s="112" t="str">
        <f t="shared" si="7"/>
        <v>2023-H2</v>
      </c>
      <c r="V407" s="1" t="str">
        <f>VLOOKUP(B407,Bounties!A:E,2,FALSE)</f>
        <v>Anti-Scam Bounty</v>
      </c>
    </row>
    <row r="408" hidden="1">
      <c r="A408" s="109">
        <f>HYPERLINK("https://polkadot.subsquare.io/treasury/child-bounties/406", 406)</f>
        <v>406</v>
      </c>
      <c r="B408" s="183">
        <v>17.0</v>
      </c>
      <c r="C408" s="27" t="s">
        <v>3427</v>
      </c>
      <c r="D408" s="27" t="s">
        <v>997</v>
      </c>
      <c r="E408" s="129">
        <v>66.3</v>
      </c>
      <c r="F408" s="66">
        <v>274.61189432144164</v>
      </c>
      <c r="H408" s="167">
        <v>45181.0</v>
      </c>
      <c r="I408" s="167">
        <v>45182.0</v>
      </c>
      <c r="J408" s="66">
        <v>277.50586767196654</v>
      </c>
      <c r="K408" s="1"/>
      <c r="L408" s="1"/>
      <c r="M408" s="1" t="str">
        <f>VLOOKUP(B408,Bounties!A:D,3,FALSE)</f>
        <v>Outreach</v>
      </c>
      <c r="N408" s="1" t="str">
        <f>VLOOKUP(B408,Bounties!A:D,4,FALSE)</f>
        <v>Events/Meetups</v>
      </c>
      <c r="O408" s="1" t="str">
        <f t="shared" ref="O408:P408" si="412">IF(ISBLANK(K408),M408,K408)</f>
        <v>Outreach</v>
      </c>
      <c r="P408" s="1" t="str">
        <f t="shared" si="412"/>
        <v>Events/Meetups</v>
      </c>
      <c r="Q408" s="108" t="str">
        <f t="shared" si="3"/>
        <v>2023</v>
      </c>
      <c r="R408" s="110">
        <f t="shared" si="4"/>
        <v>9</v>
      </c>
      <c r="S408" s="108" t="str">
        <f t="shared" si="5"/>
        <v>2023-Q3</v>
      </c>
      <c r="T408" s="111" t="str">
        <f t="shared" si="6"/>
        <v>2023-09</v>
      </c>
      <c r="U408" s="112" t="str">
        <f t="shared" si="7"/>
        <v>2023-H2</v>
      </c>
      <c r="V408" s="1" t="str">
        <f>VLOOKUP(B408,Bounties!A:E,2,FALSE)</f>
        <v>Events Bounty</v>
      </c>
    </row>
    <row r="409" hidden="1">
      <c r="A409" s="109">
        <f>HYPERLINK("https://polkadot.subsquare.io/treasury/child-bounties/407", 407)</f>
        <v>407</v>
      </c>
      <c r="B409" s="183">
        <v>17.0</v>
      </c>
      <c r="C409" s="27" t="s">
        <v>3427</v>
      </c>
      <c r="D409" s="27" t="s">
        <v>3536</v>
      </c>
      <c r="E409" s="129">
        <v>651.5</v>
      </c>
      <c r="F409" s="66">
        <v>2698.486412525177</v>
      </c>
      <c r="H409" s="167">
        <v>45181.0</v>
      </c>
      <c r="I409" s="167">
        <v>45186.0</v>
      </c>
      <c r="J409" s="66">
        <v>2697.146849155426</v>
      </c>
      <c r="K409" s="1"/>
      <c r="L409" s="1"/>
      <c r="M409" s="1" t="str">
        <f>VLOOKUP(B409,Bounties!A:D,3,FALSE)</f>
        <v>Outreach</v>
      </c>
      <c r="N409" s="1" t="str">
        <f>VLOOKUP(B409,Bounties!A:D,4,FALSE)</f>
        <v>Events/Meetups</v>
      </c>
      <c r="O409" s="1" t="str">
        <f t="shared" ref="O409:P409" si="413">IF(ISBLANK(K409),M409,K409)</f>
        <v>Outreach</v>
      </c>
      <c r="P409" s="1" t="str">
        <f t="shared" si="413"/>
        <v>Events/Meetups</v>
      </c>
      <c r="Q409" s="108" t="str">
        <f t="shared" si="3"/>
        <v>2023</v>
      </c>
      <c r="R409" s="110">
        <f t="shared" si="4"/>
        <v>9</v>
      </c>
      <c r="S409" s="108" t="str">
        <f t="shared" si="5"/>
        <v>2023-Q3</v>
      </c>
      <c r="T409" s="111" t="str">
        <f t="shared" si="6"/>
        <v>2023-09</v>
      </c>
      <c r="U409" s="112" t="str">
        <f t="shared" si="7"/>
        <v>2023-H2</v>
      </c>
      <c r="V409" s="1" t="str">
        <f>VLOOKUP(B409,Bounties!A:E,2,FALSE)</f>
        <v>Events Bounty</v>
      </c>
    </row>
    <row r="410" hidden="1">
      <c r="A410" s="109">
        <f>HYPERLINK("https://polkadot.subsquare.io/treasury/child-bounties/408", 408)</f>
        <v>408</v>
      </c>
      <c r="B410" s="183">
        <v>17.0</v>
      </c>
      <c r="C410" s="27" t="s">
        <v>3427</v>
      </c>
      <c r="D410" s="27" t="s">
        <v>3537</v>
      </c>
      <c r="E410" s="129">
        <v>16.9</v>
      </c>
      <c r="F410" s="66">
        <v>69.99911031723022</v>
      </c>
      <c r="H410" s="167">
        <v>45181.0</v>
      </c>
      <c r="I410" s="167">
        <v>45183.0</v>
      </c>
      <c r="J410" s="66">
        <v>68.86070342063903</v>
      </c>
      <c r="K410" s="1"/>
      <c r="L410" s="1"/>
      <c r="M410" s="1" t="str">
        <f>VLOOKUP(B410,Bounties!A:D,3,FALSE)</f>
        <v>Outreach</v>
      </c>
      <c r="N410" s="1" t="str">
        <f>VLOOKUP(B410,Bounties!A:D,4,FALSE)</f>
        <v>Events/Meetups</v>
      </c>
      <c r="O410" s="1" t="str">
        <f t="shared" ref="O410:P410" si="414">IF(ISBLANK(K410),M410,K410)</f>
        <v>Outreach</v>
      </c>
      <c r="P410" s="1" t="str">
        <f t="shared" si="414"/>
        <v>Events/Meetups</v>
      </c>
      <c r="Q410" s="108" t="str">
        <f t="shared" si="3"/>
        <v>2023</v>
      </c>
      <c r="R410" s="110">
        <f t="shared" si="4"/>
        <v>9</v>
      </c>
      <c r="S410" s="108" t="str">
        <f t="shared" si="5"/>
        <v>2023-Q3</v>
      </c>
      <c r="T410" s="111" t="str">
        <f t="shared" si="6"/>
        <v>2023-09</v>
      </c>
      <c r="U410" s="112" t="str">
        <f t="shared" si="7"/>
        <v>2023-H2</v>
      </c>
      <c r="V410" s="1" t="str">
        <f>VLOOKUP(B410,Bounties!A:E,2,FALSE)</f>
        <v>Events Bounty</v>
      </c>
    </row>
    <row r="411" hidden="1">
      <c r="A411" s="109">
        <f>HYPERLINK("https://polkadot.subsquare.io/treasury/child-bounties/409", 409)</f>
        <v>409</v>
      </c>
      <c r="B411" s="183">
        <v>17.0</v>
      </c>
      <c r="C411" s="27" t="s">
        <v>3427</v>
      </c>
      <c r="D411" s="27" t="s">
        <v>3538</v>
      </c>
      <c r="E411" s="129">
        <v>1205.3</v>
      </c>
      <c r="F411" s="66">
        <v>4992.3034121513365</v>
      </c>
      <c r="H411" s="167">
        <v>45181.0</v>
      </c>
      <c r="I411" s="167">
        <v>45186.0</v>
      </c>
      <c r="J411" s="66">
        <v>4989.825168514251</v>
      </c>
      <c r="K411" s="1"/>
      <c r="L411" s="1"/>
      <c r="M411" s="1" t="str">
        <f>VLOOKUP(B411,Bounties!A:D,3,FALSE)</f>
        <v>Outreach</v>
      </c>
      <c r="N411" s="1" t="str">
        <f>VLOOKUP(B411,Bounties!A:D,4,FALSE)</f>
        <v>Events/Meetups</v>
      </c>
      <c r="O411" s="1" t="str">
        <f t="shared" ref="O411:P411" si="415">IF(ISBLANK(K411),M411,K411)</f>
        <v>Outreach</v>
      </c>
      <c r="P411" s="1" t="str">
        <f t="shared" si="415"/>
        <v>Events/Meetups</v>
      </c>
      <c r="Q411" s="108" t="str">
        <f t="shared" si="3"/>
        <v>2023</v>
      </c>
      <c r="R411" s="110">
        <f t="shared" si="4"/>
        <v>9</v>
      </c>
      <c r="S411" s="108" t="str">
        <f t="shared" si="5"/>
        <v>2023-Q3</v>
      </c>
      <c r="T411" s="111" t="str">
        <f t="shared" si="6"/>
        <v>2023-09</v>
      </c>
      <c r="U411" s="112" t="str">
        <f t="shared" si="7"/>
        <v>2023-H2</v>
      </c>
      <c r="V411" s="1" t="str">
        <f>VLOOKUP(B411,Bounties!A:E,2,FALSE)</f>
        <v>Events Bounty</v>
      </c>
    </row>
    <row r="412" hidden="1">
      <c r="A412" s="109">
        <f>HYPERLINK("https://polkadot.subsquare.io/treasury/child-bounties/410", 410)</f>
        <v>410</v>
      </c>
      <c r="B412" s="183">
        <v>17.0</v>
      </c>
      <c r="C412" s="27" t="s">
        <v>3427</v>
      </c>
      <c r="D412" s="27" t="s">
        <v>999</v>
      </c>
      <c r="E412" s="129">
        <v>867.2</v>
      </c>
      <c r="F412" s="66">
        <v>3591.9070098876955</v>
      </c>
      <c r="H412" s="167">
        <v>45181.0</v>
      </c>
      <c r="I412" s="167">
        <v>45183.0</v>
      </c>
      <c r="J412" s="66">
        <v>3533.4912429809574</v>
      </c>
      <c r="K412" s="1"/>
      <c r="L412" s="1"/>
      <c r="M412" s="1" t="str">
        <f>VLOOKUP(B412,Bounties!A:D,3,FALSE)</f>
        <v>Outreach</v>
      </c>
      <c r="N412" s="1" t="str">
        <f>VLOOKUP(B412,Bounties!A:D,4,FALSE)</f>
        <v>Events/Meetups</v>
      </c>
      <c r="O412" s="1" t="str">
        <f t="shared" ref="O412:P412" si="416">IF(ISBLANK(K412),M412,K412)</f>
        <v>Outreach</v>
      </c>
      <c r="P412" s="1" t="str">
        <f t="shared" si="416"/>
        <v>Events/Meetups</v>
      </c>
      <c r="Q412" s="108" t="str">
        <f t="shared" si="3"/>
        <v>2023</v>
      </c>
      <c r="R412" s="110">
        <f t="shared" si="4"/>
        <v>9</v>
      </c>
      <c r="S412" s="108" t="str">
        <f t="shared" si="5"/>
        <v>2023-Q3</v>
      </c>
      <c r="T412" s="111" t="str">
        <f t="shared" si="6"/>
        <v>2023-09</v>
      </c>
      <c r="U412" s="112" t="str">
        <f t="shared" si="7"/>
        <v>2023-H2</v>
      </c>
      <c r="V412" s="1" t="str">
        <f>VLOOKUP(B412,Bounties!A:E,2,FALSE)</f>
        <v>Events Bounty</v>
      </c>
    </row>
    <row r="413" hidden="1">
      <c r="A413" s="109">
        <f>HYPERLINK("https://polkadot.subsquare.io/treasury/child-bounties/411", 411)</f>
        <v>411</v>
      </c>
      <c r="B413" s="183">
        <v>17.0</v>
      </c>
      <c r="C413" s="27" t="s">
        <v>3404</v>
      </c>
      <c r="D413" s="27" t="s">
        <v>997</v>
      </c>
      <c r="E413" s="129">
        <v>672.0</v>
      </c>
      <c r="F413" s="66">
        <v>2812.7291564941406</v>
      </c>
      <c r="G413" s="27" t="s">
        <v>3524</v>
      </c>
      <c r="H413" s="167">
        <v>45182.0</v>
      </c>
      <c r="I413" s="167">
        <v>45196.0</v>
      </c>
      <c r="J413" s="66">
        <v>2758.975296020508</v>
      </c>
      <c r="K413" s="1"/>
      <c r="L413" s="1" t="s">
        <v>266</v>
      </c>
      <c r="M413" s="1" t="str">
        <f>VLOOKUP(B413,Bounties!A:D,3,FALSE)</f>
        <v>Outreach</v>
      </c>
      <c r="N413" s="1" t="str">
        <f>VLOOKUP(B413,Bounties!A:D,4,FALSE)</f>
        <v>Events/Meetups</v>
      </c>
      <c r="O413" s="1" t="str">
        <f t="shared" ref="O413:P413" si="417">IF(ISBLANK(K413),M413,K413)</f>
        <v>Outreach</v>
      </c>
      <c r="P413" s="1" t="str">
        <f t="shared" si="417"/>
        <v>Events/Conference Attendance &amp; Side Events</v>
      </c>
      <c r="Q413" s="108" t="str">
        <f t="shared" si="3"/>
        <v>2023</v>
      </c>
      <c r="R413" s="110">
        <f t="shared" si="4"/>
        <v>9</v>
      </c>
      <c r="S413" s="108" t="str">
        <f t="shared" si="5"/>
        <v>2023-Q3</v>
      </c>
      <c r="T413" s="111" t="str">
        <f t="shared" si="6"/>
        <v>2023-09</v>
      </c>
      <c r="U413" s="112" t="str">
        <f t="shared" si="7"/>
        <v>2023-H2</v>
      </c>
      <c r="V413" s="1" t="str">
        <f>VLOOKUP(B413,Bounties!A:E,2,FALSE)</f>
        <v>Events Bounty</v>
      </c>
    </row>
    <row r="414" hidden="1">
      <c r="A414" s="109">
        <f>HYPERLINK("https://polkadot.subsquare.io/treasury/child-bounties/412", 412)</f>
        <v>412</v>
      </c>
      <c r="B414" s="183">
        <v>17.0</v>
      </c>
      <c r="C414" s="27" t="s">
        <v>3404</v>
      </c>
      <c r="D414" s="27" t="s">
        <v>998</v>
      </c>
      <c r="E414" s="129">
        <v>169.0</v>
      </c>
      <c r="F414" s="66">
        <v>688.6070342063904</v>
      </c>
      <c r="G414" s="27" t="s">
        <v>3539</v>
      </c>
      <c r="H414" s="167">
        <v>45183.0</v>
      </c>
      <c r="I414" s="167">
        <v>45228.0</v>
      </c>
      <c r="J414" s="66">
        <v>752.2494168281555</v>
      </c>
      <c r="K414" s="1"/>
      <c r="L414" s="1" t="s">
        <v>266</v>
      </c>
      <c r="M414" s="1" t="str">
        <f>VLOOKUP(B414,Bounties!A:D,3,FALSE)</f>
        <v>Outreach</v>
      </c>
      <c r="N414" s="1" t="str">
        <f>VLOOKUP(B414,Bounties!A:D,4,FALSE)</f>
        <v>Events/Meetups</v>
      </c>
      <c r="O414" s="1" t="str">
        <f t="shared" ref="O414:P414" si="418">IF(ISBLANK(K414),M414,K414)</f>
        <v>Outreach</v>
      </c>
      <c r="P414" s="1" t="str">
        <f t="shared" si="418"/>
        <v>Events/Conference Attendance &amp; Side Events</v>
      </c>
      <c r="Q414" s="108" t="str">
        <f t="shared" si="3"/>
        <v>2023</v>
      </c>
      <c r="R414" s="110">
        <f t="shared" si="4"/>
        <v>10</v>
      </c>
      <c r="S414" s="108" t="str">
        <f t="shared" si="5"/>
        <v>2023-Q4</v>
      </c>
      <c r="T414" s="111" t="str">
        <f t="shared" si="6"/>
        <v>2023-10</v>
      </c>
      <c r="U414" s="112" t="str">
        <f t="shared" si="7"/>
        <v>2023-H2</v>
      </c>
      <c r="V414" s="1" t="str">
        <f>VLOOKUP(B414,Bounties!A:E,2,FALSE)</f>
        <v>Events Bounty</v>
      </c>
    </row>
    <row r="415" hidden="1">
      <c r="A415" s="109">
        <f>HYPERLINK("https://polkadot.subsquare.io/treasury/child-bounties/413", 413)</f>
        <v>413</v>
      </c>
      <c r="B415" s="183">
        <v>17.0</v>
      </c>
      <c r="C415" s="27" t="s">
        <v>3404</v>
      </c>
      <c r="D415" s="27" t="s">
        <v>999</v>
      </c>
      <c r="E415" s="129">
        <v>8672.0</v>
      </c>
      <c r="F415" s="66">
        <v>35334.91242980957</v>
      </c>
      <c r="G415" s="27" t="s">
        <v>3468</v>
      </c>
      <c r="H415" s="167">
        <v>45183.0</v>
      </c>
      <c r="I415" s="167">
        <v>45195.0</v>
      </c>
      <c r="J415" s="66">
        <v>35358.01541137695</v>
      </c>
      <c r="K415" s="1"/>
      <c r="L415" s="1" t="s">
        <v>266</v>
      </c>
      <c r="M415" s="1" t="str">
        <f>VLOOKUP(B415,Bounties!A:D,3,FALSE)</f>
        <v>Outreach</v>
      </c>
      <c r="N415" s="1" t="str">
        <f>VLOOKUP(B415,Bounties!A:D,4,FALSE)</f>
        <v>Events/Meetups</v>
      </c>
      <c r="O415" s="1" t="str">
        <f t="shared" ref="O415:P415" si="419">IF(ISBLANK(K415),M415,K415)</f>
        <v>Outreach</v>
      </c>
      <c r="P415" s="1" t="str">
        <f t="shared" si="419"/>
        <v>Events/Conference Attendance &amp; Side Events</v>
      </c>
      <c r="Q415" s="108" t="str">
        <f t="shared" si="3"/>
        <v>2023</v>
      </c>
      <c r="R415" s="110">
        <f t="shared" si="4"/>
        <v>9</v>
      </c>
      <c r="S415" s="108" t="str">
        <f t="shared" si="5"/>
        <v>2023-Q3</v>
      </c>
      <c r="T415" s="111" t="str">
        <f t="shared" si="6"/>
        <v>2023-09</v>
      </c>
      <c r="U415" s="112" t="str">
        <f t="shared" si="7"/>
        <v>2023-H2</v>
      </c>
      <c r="V415" s="1" t="str">
        <f>VLOOKUP(B415,Bounties!A:E,2,FALSE)</f>
        <v>Events Bounty</v>
      </c>
    </row>
    <row r="416" hidden="1">
      <c r="A416" s="109">
        <f>HYPERLINK("https://polkadot.subsquare.io/treasury/child-bounties/414", 414)</f>
        <v>414</v>
      </c>
      <c r="B416" s="183">
        <v>17.0</v>
      </c>
      <c r="C416" s="27" t="s">
        <v>3404</v>
      </c>
      <c r="D416" s="27" t="s">
        <v>1000</v>
      </c>
      <c r="E416" s="129">
        <v>6515.0</v>
      </c>
      <c r="F416" s="66">
        <v>26971.46849155426</v>
      </c>
      <c r="G416" s="27" t="s">
        <v>3540</v>
      </c>
      <c r="H416" s="167">
        <v>45186.0</v>
      </c>
      <c r="I416" s="167">
        <v>45195.0</v>
      </c>
      <c r="J416" s="66">
        <v>26563.361439704895</v>
      </c>
      <c r="K416" s="1"/>
      <c r="L416" s="1" t="s">
        <v>266</v>
      </c>
      <c r="M416" s="1" t="str">
        <f>VLOOKUP(B416,Bounties!A:D,3,FALSE)</f>
        <v>Outreach</v>
      </c>
      <c r="N416" s="1" t="str">
        <f>VLOOKUP(B416,Bounties!A:D,4,FALSE)</f>
        <v>Events/Meetups</v>
      </c>
      <c r="O416" s="1" t="str">
        <f t="shared" ref="O416:P416" si="420">IF(ISBLANK(K416),M416,K416)</f>
        <v>Outreach</v>
      </c>
      <c r="P416" s="1" t="str">
        <f t="shared" si="420"/>
        <v>Events/Conference Attendance &amp; Side Events</v>
      </c>
      <c r="Q416" s="108" t="str">
        <f t="shared" si="3"/>
        <v>2023</v>
      </c>
      <c r="R416" s="110">
        <f t="shared" si="4"/>
        <v>9</v>
      </c>
      <c r="S416" s="108" t="str">
        <f t="shared" si="5"/>
        <v>2023-Q3</v>
      </c>
      <c r="T416" s="111" t="str">
        <f t="shared" si="6"/>
        <v>2023-09</v>
      </c>
      <c r="U416" s="112" t="str">
        <f t="shared" si="7"/>
        <v>2023-H2</v>
      </c>
      <c r="V416" s="1" t="str">
        <f>VLOOKUP(B416,Bounties!A:E,2,FALSE)</f>
        <v>Events Bounty</v>
      </c>
    </row>
    <row r="417" hidden="1">
      <c r="A417" s="109">
        <f>HYPERLINK("https://polkadot.subsquare.io/treasury/child-bounties/415", 415)</f>
        <v>415</v>
      </c>
      <c r="B417" s="183">
        <v>17.0</v>
      </c>
      <c r="C417" s="27" t="s">
        <v>3404</v>
      </c>
      <c r="D417" s="27" t="s">
        <v>1001</v>
      </c>
      <c r="E417" s="129">
        <v>12053.0</v>
      </c>
      <c r="F417" s="66">
        <v>49898.25168514252</v>
      </c>
      <c r="G417" s="27" t="s">
        <v>3541</v>
      </c>
      <c r="H417" s="167">
        <v>45186.0</v>
      </c>
      <c r="I417" s="167">
        <v>45196.0</v>
      </c>
      <c r="J417" s="66">
        <v>49143.23797893524</v>
      </c>
      <c r="K417" s="1"/>
      <c r="L417" s="1" t="s">
        <v>266</v>
      </c>
      <c r="M417" s="1" t="str">
        <f>VLOOKUP(B417,Bounties!A:D,3,FALSE)</f>
        <v>Outreach</v>
      </c>
      <c r="N417" s="1" t="str">
        <f>VLOOKUP(B417,Bounties!A:D,4,FALSE)</f>
        <v>Events/Meetups</v>
      </c>
      <c r="O417" s="1" t="str">
        <f t="shared" ref="O417:P417" si="421">IF(ISBLANK(K417),M417,K417)</f>
        <v>Outreach</v>
      </c>
      <c r="P417" s="1" t="str">
        <f t="shared" si="421"/>
        <v>Events/Conference Attendance &amp; Side Events</v>
      </c>
      <c r="Q417" s="108" t="str">
        <f t="shared" si="3"/>
        <v>2023</v>
      </c>
      <c r="R417" s="110">
        <f t="shared" si="4"/>
        <v>9</v>
      </c>
      <c r="S417" s="108" t="str">
        <f t="shared" si="5"/>
        <v>2023-Q3</v>
      </c>
      <c r="T417" s="111" t="str">
        <f t="shared" si="6"/>
        <v>2023-09</v>
      </c>
      <c r="U417" s="112" t="str">
        <f t="shared" si="7"/>
        <v>2023-H2</v>
      </c>
      <c r="V417" s="1" t="str">
        <f>VLOOKUP(B417,Bounties!A:E,2,FALSE)</f>
        <v>Events Bounty</v>
      </c>
    </row>
    <row r="418" hidden="1">
      <c r="A418" s="109">
        <f>HYPERLINK("https://polkadot.subsquare.io/treasury/child-bounties/416", 416)</f>
        <v>416</v>
      </c>
      <c r="B418" s="183">
        <v>17.0</v>
      </c>
      <c r="C418" s="27" t="s">
        <v>3404</v>
      </c>
      <c r="D418" s="27" t="s">
        <v>1002</v>
      </c>
      <c r="E418" s="129">
        <v>7819.0</v>
      </c>
      <c r="F418" s="66">
        <v>31880.110989570618</v>
      </c>
      <c r="G418" s="27" t="s">
        <v>3468</v>
      </c>
      <c r="H418" s="167">
        <v>45195.0</v>
      </c>
      <c r="I418" s="167">
        <v>45210.0</v>
      </c>
      <c r="J418" s="66">
        <v>29096.04780292511</v>
      </c>
      <c r="K418" s="1"/>
      <c r="L418" s="1" t="s">
        <v>266</v>
      </c>
      <c r="M418" s="1" t="str">
        <f>VLOOKUP(B418,Bounties!A:D,3,FALSE)</f>
        <v>Outreach</v>
      </c>
      <c r="N418" s="1" t="str">
        <f>VLOOKUP(B418,Bounties!A:D,4,FALSE)</f>
        <v>Events/Meetups</v>
      </c>
      <c r="O418" s="1" t="str">
        <f t="shared" ref="O418:P418" si="422">IF(ISBLANK(K418),M418,K418)</f>
        <v>Outreach</v>
      </c>
      <c r="P418" s="1" t="str">
        <f t="shared" si="422"/>
        <v>Events/Conference Attendance &amp; Side Events</v>
      </c>
      <c r="Q418" s="108" t="str">
        <f t="shared" si="3"/>
        <v>2023</v>
      </c>
      <c r="R418" s="110">
        <f t="shared" si="4"/>
        <v>10</v>
      </c>
      <c r="S418" s="108" t="str">
        <f t="shared" si="5"/>
        <v>2023-Q4</v>
      </c>
      <c r="T418" s="111" t="str">
        <f t="shared" si="6"/>
        <v>2023-10</v>
      </c>
      <c r="U418" s="112" t="str">
        <f t="shared" si="7"/>
        <v>2023-H2</v>
      </c>
      <c r="V418" s="1" t="str">
        <f>VLOOKUP(B418,Bounties!A:E,2,FALSE)</f>
        <v>Events Bounty</v>
      </c>
    </row>
    <row r="419" hidden="1">
      <c r="A419" s="109">
        <f>HYPERLINK("https://polkadot.subsquare.io/treasury/child-bounties/417", 417)</f>
        <v>417</v>
      </c>
      <c r="B419" s="183">
        <v>17.0</v>
      </c>
      <c r="C419" s="27" t="s">
        <v>3404</v>
      </c>
      <c r="D419" s="27" t="s">
        <v>1003</v>
      </c>
      <c r="E419" s="129">
        <v>15825.0</v>
      </c>
      <c r="F419" s="66">
        <v>64522.6699590683</v>
      </c>
      <c r="G419" s="27" t="s">
        <v>3542</v>
      </c>
      <c r="H419" s="167">
        <v>45195.0</v>
      </c>
      <c r="I419" s="167">
        <v>45209.0</v>
      </c>
      <c r="J419" s="66">
        <v>58887.95964717865</v>
      </c>
      <c r="K419" s="1"/>
      <c r="L419" s="1"/>
      <c r="M419" s="1" t="str">
        <f>VLOOKUP(B419,Bounties!A:D,3,FALSE)</f>
        <v>Outreach</v>
      </c>
      <c r="N419" s="1" t="str">
        <f>VLOOKUP(B419,Bounties!A:D,4,FALSE)</f>
        <v>Events/Meetups</v>
      </c>
      <c r="O419" s="1" t="str">
        <f t="shared" ref="O419:P419" si="423">IF(ISBLANK(K419),M419,K419)</f>
        <v>Outreach</v>
      </c>
      <c r="P419" s="1" t="str">
        <f t="shared" si="423"/>
        <v>Events/Meetups</v>
      </c>
      <c r="Q419" s="108" t="str">
        <f t="shared" si="3"/>
        <v>2023</v>
      </c>
      <c r="R419" s="110">
        <f t="shared" si="4"/>
        <v>10</v>
      </c>
      <c r="S419" s="108" t="str">
        <f t="shared" si="5"/>
        <v>2023-Q4</v>
      </c>
      <c r="T419" s="111" t="str">
        <f t="shared" si="6"/>
        <v>2023-10</v>
      </c>
      <c r="U419" s="112" t="str">
        <f t="shared" si="7"/>
        <v>2023-H2</v>
      </c>
      <c r="V419" s="1" t="str">
        <f>VLOOKUP(B419,Bounties!A:E,2,FALSE)</f>
        <v>Events Bounty</v>
      </c>
    </row>
    <row r="420" hidden="1">
      <c r="A420" s="109">
        <f>HYPERLINK("https://polkadot.subsquare.io/treasury/child-bounties/418", 418)</f>
        <v>418</v>
      </c>
      <c r="B420" s="183">
        <v>17.0</v>
      </c>
      <c r="C420" s="27" t="s">
        <v>3404</v>
      </c>
      <c r="D420" s="27" t="s">
        <v>1004</v>
      </c>
      <c r="E420" s="129">
        <v>7556.0</v>
      </c>
      <c r="F420" s="66">
        <v>30807.791103363037</v>
      </c>
      <c r="G420" s="27" t="s">
        <v>3484</v>
      </c>
      <c r="H420" s="167">
        <v>45195.0</v>
      </c>
      <c r="I420" s="167">
        <v>45210.0</v>
      </c>
      <c r="J420" s="66">
        <v>28231.30078601837</v>
      </c>
      <c r="K420" s="1"/>
      <c r="L420" s="1" t="s">
        <v>266</v>
      </c>
      <c r="M420" s="1" t="str">
        <f>VLOOKUP(B420,Bounties!A:D,3,FALSE)</f>
        <v>Outreach</v>
      </c>
      <c r="N420" s="1" t="str">
        <f>VLOOKUP(B420,Bounties!A:D,4,FALSE)</f>
        <v>Events/Meetups</v>
      </c>
      <c r="O420" s="1" t="str">
        <f t="shared" ref="O420:P420" si="424">IF(ISBLANK(K420),M420,K420)</f>
        <v>Outreach</v>
      </c>
      <c r="P420" s="1" t="str">
        <f t="shared" si="424"/>
        <v>Events/Conference Attendance &amp; Side Events</v>
      </c>
      <c r="Q420" s="108" t="str">
        <f t="shared" si="3"/>
        <v>2023</v>
      </c>
      <c r="R420" s="110">
        <f t="shared" si="4"/>
        <v>10</v>
      </c>
      <c r="S420" s="108" t="str">
        <f t="shared" si="5"/>
        <v>2023-Q4</v>
      </c>
      <c r="T420" s="111" t="str">
        <f t="shared" si="6"/>
        <v>2023-10</v>
      </c>
      <c r="U420" s="112" t="str">
        <f t="shared" si="7"/>
        <v>2023-H2</v>
      </c>
      <c r="V420" s="1" t="str">
        <f>VLOOKUP(B420,Bounties!A:E,2,FALSE)</f>
        <v>Events Bounty</v>
      </c>
    </row>
    <row r="421" hidden="1">
      <c r="A421" s="109">
        <f>HYPERLINK("https://polkadot.subsquare.io/treasury/child-bounties/419", 419)</f>
        <v>419</v>
      </c>
      <c r="B421" s="183">
        <v>11.0</v>
      </c>
      <c r="C421" s="27" t="s">
        <v>3404</v>
      </c>
      <c r="D421" s="27" t="s">
        <v>1005</v>
      </c>
      <c r="E421" s="129">
        <v>177.3835920177</v>
      </c>
      <c r="F421" s="66">
        <v>731.4877393767473</v>
      </c>
      <c r="G421" s="27" t="s">
        <v>3409</v>
      </c>
      <c r="H421" s="167">
        <v>45198.0</v>
      </c>
      <c r="I421" s="167">
        <v>45206.0</v>
      </c>
      <c r="J421" s="66">
        <v>676.2628914774514</v>
      </c>
      <c r="K421" s="1"/>
      <c r="L421" s="1"/>
      <c r="M421" s="1" t="str">
        <f>VLOOKUP(B421,Bounties!A:D,3,FALSE)</f>
        <v>Research</v>
      </c>
      <c r="N421" s="1" t="str">
        <f>VLOOKUP(B421,Bounties!A:D,4,FALSE)</f>
        <v>Anti-Scam</v>
      </c>
      <c r="O421" s="1" t="str">
        <f t="shared" ref="O421:P421" si="425">IF(ISBLANK(K421),M421,K421)</f>
        <v>Research</v>
      </c>
      <c r="P421" s="1" t="str">
        <f t="shared" si="425"/>
        <v>Anti-Scam</v>
      </c>
      <c r="Q421" s="108" t="str">
        <f t="shared" si="3"/>
        <v>2023</v>
      </c>
      <c r="R421" s="110">
        <f t="shared" si="4"/>
        <v>10</v>
      </c>
      <c r="S421" s="108" t="str">
        <f t="shared" si="5"/>
        <v>2023-Q4</v>
      </c>
      <c r="T421" s="111" t="str">
        <f t="shared" si="6"/>
        <v>2023-10</v>
      </c>
      <c r="U421" s="112" t="str">
        <f t="shared" si="7"/>
        <v>2023-H2</v>
      </c>
      <c r="V421" s="1" t="str">
        <f>VLOOKUP(B421,Bounties!A:E,2,FALSE)</f>
        <v>Anti-Scam Bounty</v>
      </c>
    </row>
    <row r="422" hidden="1">
      <c r="A422" s="109">
        <f>HYPERLINK("https://polkadot.subsquare.io/treasury/child-bounties/420", 420)</f>
        <v>420</v>
      </c>
      <c r="B422" s="183">
        <v>11.0</v>
      </c>
      <c r="C422" s="27" t="s">
        <v>3404</v>
      </c>
      <c r="D422" s="27" t="s">
        <v>1006</v>
      </c>
      <c r="E422" s="129">
        <v>206.9475240207</v>
      </c>
      <c r="F422" s="66">
        <v>853.4023626064114</v>
      </c>
      <c r="G422" s="27" t="s">
        <v>3411</v>
      </c>
      <c r="H422" s="167">
        <v>45198.0</v>
      </c>
      <c r="I422" s="167">
        <v>45206.0</v>
      </c>
      <c r="J422" s="66">
        <v>788.9733733905505</v>
      </c>
      <c r="K422" s="1"/>
      <c r="L422" s="1"/>
      <c r="M422" s="1" t="str">
        <f>VLOOKUP(B422,Bounties!A:D,3,FALSE)</f>
        <v>Research</v>
      </c>
      <c r="N422" s="1" t="str">
        <f>VLOOKUP(B422,Bounties!A:D,4,FALSE)</f>
        <v>Anti-Scam</v>
      </c>
      <c r="O422" s="1" t="str">
        <f t="shared" ref="O422:P422" si="426">IF(ISBLANK(K422),M422,K422)</f>
        <v>Research</v>
      </c>
      <c r="P422" s="1" t="str">
        <f t="shared" si="426"/>
        <v>Anti-Scam</v>
      </c>
      <c r="Q422" s="108" t="str">
        <f t="shared" si="3"/>
        <v>2023</v>
      </c>
      <c r="R422" s="110">
        <f t="shared" si="4"/>
        <v>10</v>
      </c>
      <c r="S422" s="108" t="str">
        <f t="shared" si="5"/>
        <v>2023-Q4</v>
      </c>
      <c r="T422" s="111" t="str">
        <f t="shared" si="6"/>
        <v>2023-10</v>
      </c>
      <c r="U422" s="112" t="str">
        <f t="shared" si="7"/>
        <v>2023-H2</v>
      </c>
      <c r="V422" s="1" t="str">
        <f>VLOOKUP(B422,Bounties!A:E,2,FALSE)</f>
        <v>Anti-Scam Bounty</v>
      </c>
    </row>
    <row r="423" hidden="1">
      <c r="A423" s="109">
        <f>HYPERLINK("https://polkadot.subsquare.io/treasury/child-bounties/421", 421)</f>
        <v>421</v>
      </c>
      <c r="B423" s="183">
        <v>11.0</v>
      </c>
      <c r="C423" s="27" t="s">
        <v>3404</v>
      </c>
      <c r="D423" s="27" t="s">
        <v>1007</v>
      </c>
      <c r="E423" s="129">
        <v>123.1830500123</v>
      </c>
      <c r="F423" s="66">
        <v>507.9775967894422</v>
      </c>
      <c r="G423" s="27" t="s">
        <v>3409</v>
      </c>
      <c r="H423" s="167">
        <v>45198.0</v>
      </c>
      <c r="I423" s="167">
        <v>45206.0</v>
      </c>
      <c r="J423" s="66">
        <v>469.62700797048404</v>
      </c>
      <c r="K423" s="1"/>
      <c r="L423" s="1"/>
      <c r="M423" s="1" t="str">
        <f>VLOOKUP(B423,Bounties!A:D,3,FALSE)</f>
        <v>Research</v>
      </c>
      <c r="N423" s="1" t="str">
        <f>VLOOKUP(B423,Bounties!A:D,4,FALSE)</f>
        <v>Anti-Scam</v>
      </c>
      <c r="O423" s="1" t="str">
        <f t="shared" ref="O423:P423" si="427">IF(ISBLANK(K423),M423,K423)</f>
        <v>Research</v>
      </c>
      <c r="P423" s="1" t="str">
        <f t="shared" si="427"/>
        <v>Anti-Scam</v>
      </c>
      <c r="Q423" s="108" t="str">
        <f t="shared" si="3"/>
        <v>2023</v>
      </c>
      <c r="R423" s="110">
        <f t="shared" si="4"/>
        <v>10</v>
      </c>
      <c r="S423" s="108" t="str">
        <f t="shared" si="5"/>
        <v>2023-Q4</v>
      </c>
      <c r="T423" s="111" t="str">
        <f t="shared" si="6"/>
        <v>2023-10</v>
      </c>
      <c r="U423" s="112" t="str">
        <f t="shared" si="7"/>
        <v>2023-H2</v>
      </c>
      <c r="V423" s="1" t="str">
        <f>VLOOKUP(B423,Bounties!A:E,2,FALSE)</f>
        <v>Anti-Scam Bounty</v>
      </c>
    </row>
    <row r="424" hidden="1">
      <c r="A424" s="109">
        <f>HYPERLINK("https://polkadot.subsquare.io/treasury/child-bounties/422", 422)</f>
        <v>422</v>
      </c>
      <c r="B424" s="183">
        <v>11.0</v>
      </c>
      <c r="C424" s="27" t="s">
        <v>3404</v>
      </c>
      <c r="D424" s="27" t="s">
        <v>1008</v>
      </c>
      <c r="E424" s="129">
        <v>177.3835920177</v>
      </c>
      <c r="F424" s="66">
        <v>731.4877393767473</v>
      </c>
      <c r="G424" s="27" t="s">
        <v>3469</v>
      </c>
      <c r="H424" s="167">
        <v>45198.0</v>
      </c>
      <c r="I424" s="167">
        <v>45213.0</v>
      </c>
      <c r="J424" s="66">
        <v>651.8947998857464</v>
      </c>
      <c r="K424" s="1"/>
      <c r="L424" s="1"/>
      <c r="M424" s="1" t="str">
        <f>VLOOKUP(B424,Bounties!A:D,3,FALSE)</f>
        <v>Research</v>
      </c>
      <c r="N424" s="1" t="str">
        <f>VLOOKUP(B424,Bounties!A:D,4,FALSE)</f>
        <v>Anti-Scam</v>
      </c>
      <c r="O424" s="1" t="str">
        <f t="shared" ref="O424:P424" si="428">IF(ISBLANK(K424),M424,K424)</f>
        <v>Research</v>
      </c>
      <c r="P424" s="1" t="str">
        <f t="shared" si="428"/>
        <v>Anti-Scam</v>
      </c>
      <c r="Q424" s="108" t="str">
        <f t="shared" si="3"/>
        <v>2023</v>
      </c>
      <c r="R424" s="110">
        <f t="shared" si="4"/>
        <v>10</v>
      </c>
      <c r="S424" s="108" t="str">
        <f t="shared" si="5"/>
        <v>2023-Q4</v>
      </c>
      <c r="T424" s="111" t="str">
        <f t="shared" si="6"/>
        <v>2023-10</v>
      </c>
      <c r="U424" s="112" t="str">
        <f t="shared" si="7"/>
        <v>2023-H2</v>
      </c>
      <c r="V424" s="1" t="str">
        <f>VLOOKUP(B424,Bounties!A:E,2,FALSE)</f>
        <v>Anti-Scam Bounty</v>
      </c>
    </row>
    <row r="425" hidden="1">
      <c r="A425" s="109">
        <f>HYPERLINK("https://polkadot.subsquare.io/treasury/child-bounties/423", 423)</f>
        <v>423</v>
      </c>
      <c r="B425" s="183">
        <v>11.0</v>
      </c>
      <c r="C425" s="27" t="s">
        <v>3404</v>
      </c>
      <c r="D425" s="27" t="s">
        <v>1009</v>
      </c>
      <c r="E425" s="129">
        <v>123.1830500123</v>
      </c>
      <c r="F425" s="66">
        <v>507.9775967894422</v>
      </c>
      <c r="G425" s="27" t="s">
        <v>3457</v>
      </c>
      <c r="H425" s="167">
        <v>45198.0</v>
      </c>
      <c r="I425" s="167">
        <v>45206.0</v>
      </c>
      <c r="J425" s="66">
        <v>469.62700797048404</v>
      </c>
      <c r="K425" s="1"/>
      <c r="L425" s="1"/>
      <c r="M425" s="1" t="str">
        <f>VLOOKUP(B425,Bounties!A:D,3,FALSE)</f>
        <v>Research</v>
      </c>
      <c r="N425" s="1" t="str">
        <f>VLOOKUP(B425,Bounties!A:D,4,FALSE)</f>
        <v>Anti-Scam</v>
      </c>
      <c r="O425" s="1" t="str">
        <f t="shared" ref="O425:P425" si="429">IF(ISBLANK(K425),M425,K425)</f>
        <v>Research</v>
      </c>
      <c r="P425" s="1" t="str">
        <f t="shared" si="429"/>
        <v>Anti-Scam</v>
      </c>
      <c r="Q425" s="108" t="str">
        <f t="shared" si="3"/>
        <v>2023</v>
      </c>
      <c r="R425" s="110">
        <f t="shared" si="4"/>
        <v>10</v>
      </c>
      <c r="S425" s="108" t="str">
        <f t="shared" si="5"/>
        <v>2023-Q4</v>
      </c>
      <c r="T425" s="111" t="str">
        <f t="shared" si="6"/>
        <v>2023-10</v>
      </c>
      <c r="U425" s="112" t="str">
        <f t="shared" si="7"/>
        <v>2023-H2</v>
      </c>
      <c r="V425" s="1" t="str">
        <f>VLOOKUP(B425,Bounties!A:E,2,FALSE)</f>
        <v>Anti-Scam Bounty</v>
      </c>
    </row>
    <row r="426" hidden="1">
      <c r="A426" s="109">
        <f>HYPERLINK("https://polkadot.subsquare.io/treasury/child-bounties/424", 424)</f>
        <v>424</v>
      </c>
      <c r="B426" s="183">
        <v>11.0</v>
      </c>
      <c r="C426" s="27" t="s">
        <v>3404</v>
      </c>
      <c r="D426" s="27" t="s">
        <v>1010</v>
      </c>
      <c r="E426" s="129">
        <v>98.5464400099</v>
      </c>
      <c r="F426" s="66">
        <v>406.3820774318012</v>
      </c>
      <c r="G426" s="27" t="s">
        <v>3407</v>
      </c>
      <c r="H426" s="167">
        <v>45198.0</v>
      </c>
      <c r="I426" s="167">
        <v>45209.0</v>
      </c>
      <c r="J426" s="66">
        <v>366.7108235498327</v>
      </c>
      <c r="K426" s="1"/>
      <c r="L426" s="1"/>
      <c r="M426" s="1" t="str">
        <f>VLOOKUP(B426,Bounties!A:D,3,FALSE)</f>
        <v>Research</v>
      </c>
      <c r="N426" s="1" t="str">
        <f>VLOOKUP(B426,Bounties!A:D,4,FALSE)</f>
        <v>Anti-Scam</v>
      </c>
      <c r="O426" s="1" t="str">
        <f t="shared" ref="O426:P426" si="430">IF(ISBLANK(K426),M426,K426)</f>
        <v>Research</v>
      </c>
      <c r="P426" s="1" t="str">
        <f t="shared" si="430"/>
        <v>Anti-Scam</v>
      </c>
      <c r="Q426" s="108" t="str">
        <f t="shared" si="3"/>
        <v>2023</v>
      </c>
      <c r="R426" s="110">
        <f t="shared" si="4"/>
        <v>10</v>
      </c>
      <c r="S426" s="108" t="str">
        <f t="shared" si="5"/>
        <v>2023-Q4</v>
      </c>
      <c r="T426" s="111" t="str">
        <f t="shared" si="6"/>
        <v>2023-10</v>
      </c>
      <c r="U426" s="112" t="str">
        <f t="shared" si="7"/>
        <v>2023-H2</v>
      </c>
      <c r="V426" s="1" t="str">
        <f>VLOOKUP(B426,Bounties!A:E,2,FALSE)</f>
        <v>Anti-Scam Bounty</v>
      </c>
    </row>
    <row r="427" hidden="1">
      <c r="A427" s="109">
        <f>HYPERLINK("https://polkadot.subsquare.io/treasury/child-bounties/425", 425)</f>
        <v>425</v>
      </c>
      <c r="B427" s="183">
        <v>11.0</v>
      </c>
      <c r="C427" s="27" t="s">
        <v>3404</v>
      </c>
      <c r="D427" s="27" t="s">
        <v>1011</v>
      </c>
      <c r="E427" s="129">
        <v>98.5464400099</v>
      </c>
      <c r="F427" s="66">
        <v>406.3820774318012</v>
      </c>
      <c r="G427" s="27" t="s">
        <v>3406</v>
      </c>
      <c r="H427" s="167">
        <v>45198.0</v>
      </c>
      <c r="I427" s="167">
        <v>45214.0</v>
      </c>
      <c r="J427" s="66">
        <v>362.1637777145485</v>
      </c>
      <c r="K427" s="1"/>
      <c r="L427" s="1"/>
      <c r="M427" s="1" t="str">
        <f>VLOOKUP(B427,Bounties!A:D,3,FALSE)</f>
        <v>Research</v>
      </c>
      <c r="N427" s="1" t="str">
        <f>VLOOKUP(B427,Bounties!A:D,4,FALSE)</f>
        <v>Anti-Scam</v>
      </c>
      <c r="O427" s="1" t="str">
        <f t="shared" ref="O427:P427" si="431">IF(ISBLANK(K427),M427,K427)</f>
        <v>Research</v>
      </c>
      <c r="P427" s="1" t="str">
        <f t="shared" si="431"/>
        <v>Anti-Scam</v>
      </c>
      <c r="Q427" s="108" t="str">
        <f t="shared" si="3"/>
        <v>2023</v>
      </c>
      <c r="R427" s="110">
        <f t="shared" si="4"/>
        <v>10</v>
      </c>
      <c r="S427" s="108" t="str">
        <f t="shared" si="5"/>
        <v>2023-Q4</v>
      </c>
      <c r="T427" s="111" t="str">
        <f t="shared" si="6"/>
        <v>2023-10</v>
      </c>
      <c r="U427" s="112" t="str">
        <f t="shared" si="7"/>
        <v>2023-H2</v>
      </c>
      <c r="V427" s="1" t="str">
        <f>VLOOKUP(B427,Bounties!A:E,2,FALSE)</f>
        <v>Anti-Scam Bounty</v>
      </c>
    </row>
    <row r="428" hidden="1">
      <c r="A428" s="109">
        <f>HYPERLINK("https://polkadot.subsquare.io/treasury/child-bounties/426", 426)</f>
        <v>426</v>
      </c>
      <c r="B428" s="183">
        <v>11.0</v>
      </c>
      <c r="C428" s="27" t="s">
        <v>3404</v>
      </c>
      <c r="D428" s="27" t="s">
        <v>1012</v>
      </c>
      <c r="E428" s="129">
        <v>98.5464400099</v>
      </c>
      <c r="F428" s="66">
        <v>406.3820774318012</v>
      </c>
      <c r="G428" s="27" t="s">
        <v>3411</v>
      </c>
      <c r="H428" s="167">
        <v>45198.0</v>
      </c>
      <c r="I428" s="167">
        <v>45206.0</v>
      </c>
      <c r="J428" s="66">
        <v>375.701606376616</v>
      </c>
      <c r="K428" s="1"/>
      <c r="L428" s="1"/>
      <c r="M428" s="1" t="str">
        <f>VLOOKUP(B428,Bounties!A:D,3,FALSE)</f>
        <v>Research</v>
      </c>
      <c r="N428" s="1" t="str">
        <f>VLOOKUP(B428,Bounties!A:D,4,FALSE)</f>
        <v>Anti-Scam</v>
      </c>
      <c r="O428" s="1" t="str">
        <f t="shared" ref="O428:P428" si="432">IF(ISBLANK(K428),M428,K428)</f>
        <v>Research</v>
      </c>
      <c r="P428" s="1" t="str">
        <f t="shared" si="432"/>
        <v>Anti-Scam</v>
      </c>
      <c r="Q428" s="108" t="str">
        <f t="shared" si="3"/>
        <v>2023</v>
      </c>
      <c r="R428" s="110">
        <f t="shared" si="4"/>
        <v>10</v>
      </c>
      <c r="S428" s="108" t="str">
        <f t="shared" si="5"/>
        <v>2023-Q4</v>
      </c>
      <c r="T428" s="111" t="str">
        <f t="shared" si="6"/>
        <v>2023-10</v>
      </c>
      <c r="U428" s="112" t="str">
        <f t="shared" si="7"/>
        <v>2023-H2</v>
      </c>
      <c r="V428" s="1" t="str">
        <f>VLOOKUP(B428,Bounties!A:E,2,FALSE)</f>
        <v>Anti-Scam Bounty</v>
      </c>
    </row>
    <row r="429" hidden="1">
      <c r="A429" s="109">
        <f>HYPERLINK("https://polkadot.subsquare.io/treasury/child-bounties/427", 427)</f>
        <v>427</v>
      </c>
      <c r="B429" s="183">
        <v>11.0</v>
      </c>
      <c r="C429" s="27" t="s">
        <v>3404</v>
      </c>
      <c r="D429" s="27" t="s">
        <v>1013</v>
      </c>
      <c r="E429" s="129">
        <v>177.3835920177</v>
      </c>
      <c r="F429" s="66">
        <v>731.4877393767473</v>
      </c>
      <c r="G429" s="27" t="s">
        <v>3406</v>
      </c>
      <c r="H429" s="167">
        <v>45198.0</v>
      </c>
      <c r="I429" s="167">
        <v>45214.0</v>
      </c>
      <c r="J429" s="66">
        <v>651.8947998857464</v>
      </c>
      <c r="K429" s="1"/>
      <c r="L429" s="1"/>
      <c r="M429" s="1" t="str">
        <f>VLOOKUP(B429,Bounties!A:D,3,FALSE)</f>
        <v>Research</v>
      </c>
      <c r="N429" s="1" t="str">
        <f>VLOOKUP(B429,Bounties!A:D,4,FALSE)</f>
        <v>Anti-Scam</v>
      </c>
      <c r="O429" s="1" t="str">
        <f t="shared" ref="O429:P429" si="433">IF(ISBLANK(K429),M429,K429)</f>
        <v>Research</v>
      </c>
      <c r="P429" s="1" t="str">
        <f t="shared" si="433"/>
        <v>Anti-Scam</v>
      </c>
      <c r="Q429" s="108" t="str">
        <f t="shared" si="3"/>
        <v>2023</v>
      </c>
      <c r="R429" s="110">
        <f t="shared" si="4"/>
        <v>10</v>
      </c>
      <c r="S429" s="108" t="str">
        <f t="shared" si="5"/>
        <v>2023-Q4</v>
      </c>
      <c r="T429" s="111" t="str">
        <f t="shared" si="6"/>
        <v>2023-10</v>
      </c>
      <c r="U429" s="112" t="str">
        <f t="shared" si="7"/>
        <v>2023-H2</v>
      </c>
      <c r="V429" s="1" t="str">
        <f>VLOOKUP(B429,Bounties!A:E,2,FALSE)</f>
        <v>Anti-Scam Bounty</v>
      </c>
    </row>
    <row r="430" hidden="1">
      <c r="A430" s="109">
        <f>HYPERLINK("https://polkadot.subsquare.io/treasury/child-bounties/428", 428)</f>
        <v>428</v>
      </c>
      <c r="B430" s="183">
        <v>11.0</v>
      </c>
      <c r="C430" s="27" t="s">
        <v>3404</v>
      </c>
      <c r="D430" s="27" t="s">
        <v>1014</v>
      </c>
      <c r="E430" s="129">
        <v>177.3835920177</v>
      </c>
      <c r="F430" s="66">
        <v>731.4877393767473</v>
      </c>
      <c r="G430" s="27" t="s">
        <v>3407</v>
      </c>
      <c r="H430" s="167">
        <v>45198.0</v>
      </c>
      <c r="I430" s="167">
        <v>45209.0</v>
      </c>
      <c r="J430" s="66">
        <v>660.0794823892523</v>
      </c>
      <c r="K430" s="1"/>
      <c r="L430" s="1"/>
      <c r="M430" s="1" t="str">
        <f>VLOOKUP(B430,Bounties!A:D,3,FALSE)</f>
        <v>Research</v>
      </c>
      <c r="N430" s="1" t="str">
        <f>VLOOKUP(B430,Bounties!A:D,4,FALSE)</f>
        <v>Anti-Scam</v>
      </c>
      <c r="O430" s="1" t="str">
        <f t="shared" ref="O430:P430" si="434">IF(ISBLANK(K430),M430,K430)</f>
        <v>Research</v>
      </c>
      <c r="P430" s="1" t="str">
        <f t="shared" si="434"/>
        <v>Anti-Scam</v>
      </c>
      <c r="Q430" s="108" t="str">
        <f t="shared" si="3"/>
        <v>2023</v>
      </c>
      <c r="R430" s="110">
        <f t="shared" si="4"/>
        <v>10</v>
      </c>
      <c r="S430" s="108" t="str">
        <f t="shared" si="5"/>
        <v>2023-Q4</v>
      </c>
      <c r="T430" s="111" t="str">
        <f t="shared" si="6"/>
        <v>2023-10</v>
      </c>
      <c r="U430" s="112" t="str">
        <f t="shared" si="7"/>
        <v>2023-H2</v>
      </c>
      <c r="V430" s="1" t="str">
        <f>VLOOKUP(B430,Bounties!A:E,2,FALSE)</f>
        <v>Anti-Scam Bounty</v>
      </c>
    </row>
    <row r="431" hidden="1">
      <c r="A431" s="109">
        <f>HYPERLINK("https://polkadot.subsquare.io/treasury/child-bounties/429", 429)</f>
        <v>429</v>
      </c>
      <c r="B431" s="183">
        <v>11.0</v>
      </c>
      <c r="C431" s="27" t="s">
        <v>3404</v>
      </c>
      <c r="D431" s="27" t="s">
        <v>1015</v>
      </c>
      <c r="E431" s="129">
        <v>123.1830500123</v>
      </c>
      <c r="F431" s="66">
        <v>507.9775967894422</v>
      </c>
      <c r="G431" s="27" t="s">
        <v>3486</v>
      </c>
      <c r="H431" s="167">
        <v>45198.0</v>
      </c>
      <c r="I431" s="167">
        <v>45207.0</v>
      </c>
      <c r="J431" s="66">
        <v>460.46539667521625</v>
      </c>
      <c r="K431" s="1"/>
      <c r="L431" s="1"/>
      <c r="M431" s="1" t="str">
        <f>VLOOKUP(B431,Bounties!A:D,3,FALSE)</f>
        <v>Research</v>
      </c>
      <c r="N431" s="1" t="str">
        <f>VLOOKUP(B431,Bounties!A:D,4,FALSE)</f>
        <v>Anti-Scam</v>
      </c>
      <c r="O431" s="1" t="str">
        <f t="shared" ref="O431:P431" si="435">IF(ISBLANK(K431),M431,K431)</f>
        <v>Research</v>
      </c>
      <c r="P431" s="1" t="str">
        <f t="shared" si="435"/>
        <v>Anti-Scam</v>
      </c>
      <c r="Q431" s="108" t="str">
        <f t="shared" si="3"/>
        <v>2023</v>
      </c>
      <c r="R431" s="110">
        <f t="shared" si="4"/>
        <v>10</v>
      </c>
      <c r="S431" s="108" t="str">
        <f t="shared" si="5"/>
        <v>2023-Q4</v>
      </c>
      <c r="T431" s="111" t="str">
        <f t="shared" si="6"/>
        <v>2023-10</v>
      </c>
      <c r="U431" s="112" t="str">
        <f t="shared" si="7"/>
        <v>2023-H2</v>
      </c>
      <c r="V431" s="1" t="str">
        <f>VLOOKUP(B431,Bounties!A:E,2,FALSE)</f>
        <v>Anti-Scam Bounty</v>
      </c>
    </row>
    <row r="432" hidden="1">
      <c r="A432" s="109">
        <f>HYPERLINK("https://polkadot.subsquare.io/treasury/child-bounties/430", 430)</f>
        <v>430</v>
      </c>
      <c r="B432" s="183">
        <v>11.0</v>
      </c>
      <c r="C432" s="27" t="s">
        <v>3404</v>
      </c>
      <c r="D432" s="27" t="s">
        <v>1016</v>
      </c>
      <c r="E432" s="129">
        <v>147.8196600148</v>
      </c>
      <c r="F432" s="66">
        <v>609.5731161474956</v>
      </c>
      <c r="G432" s="27" t="s">
        <v>3470</v>
      </c>
      <c r="H432" s="167">
        <v>45198.0</v>
      </c>
      <c r="I432" s="167">
        <v>45207.0</v>
      </c>
      <c r="J432" s="66">
        <v>563.5524095647334</v>
      </c>
      <c r="K432" s="1"/>
      <c r="L432" s="1"/>
      <c r="M432" s="1" t="str">
        <f>VLOOKUP(B432,Bounties!A:D,3,FALSE)</f>
        <v>Research</v>
      </c>
      <c r="N432" s="1" t="str">
        <f>VLOOKUP(B432,Bounties!A:D,4,FALSE)</f>
        <v>Anti-Scam</v>
      </c>
      <c r="O432" s="1" t="str">
        <f t="shared" ref="O432:P432" si="436">IF(ISBLANK(K432),M432,K432)</f>
        <v>Research</v>
      </c>
      <c r="P432" s="1" t="str">
        <f t="shared" si="436"/>
        <v>Anti-Scam</v>
      </c>
      <c r="Q432" s="108" t="str">
        <f t="shared" si="3"/>
        <v>2023</v>
      </c>
      <c r="R432" s="110">
        <f t="shared" si="4"/>
        <v>10</v>
      </c>
      <c r="S432" s="108" t="str">
        <f t="shared" si="5"/>
        <v>2023-Q4</v>
      </c>
      <c r="T432" s="111" t="str">
        <f t="shared" si="6"/>
        <v>2023-10</v>
      </c>
      <c r="U432" s="112" t="str">
        <f t="shared" si="7"/>
        <v>2023-H2</v>
      </c>
      <c r="V432" s="1" t="str">
        <f>VLOOKUP(B432,Bounties!A:E,2,FALSE)</f>
        <v>Anti-Scam Bounty</v>
      </c>
    </row>
    <row r="433" hidden="1">
      <c r="A433" s="109">
        <f>HYPERLINK("https://polkadot.subsquare.io/treasury/child-bounties/431", 431)</f>
        <v>431</v>
      </c>
      <c r="B433" s="183">
        <v>11.0</v>
      </c>
      <c r="C433" s="27" t="s">
        <v>3404</v>
      </c>
      <c r="D433" s="27" t="s">
        <v>1017</v>
      </c>
      <c r="E433" s="129">
        <v>123.1830500123</v>
      </c>
      <c r="F433" s="66">
        <v>507.9775967894422</v>
      </c>
      <c r="G433" s="27" t="s">
        <v>3439</v>
      </c>
      <c r="H433" s="167">
        <v>45198.0</v>
      </c>
      <c r="I433" s="167">
        <v>45208.0</v>
      </c>
      <c r="J433" s="66">
        <v>452.52489497367634</v>
      </c>
      <c r="K433" s="1"/>
      <c r="L433" s="1"/>
      <c r="M433" s="1" t="str">
        <f>VLOOKUP(B433,Bounties!A:D,3,FALSE)</f>
        <v>Research</v>
      </c>
      <c r="N433" s="1" t="str">
        <f>VLOOKUP(B433,Bounties!A:D,4,FALSE)</f>
        <v>Anti-Scam</v>
      </c>
      <c r="O433" s="1" t="str">
        <f t="shared" ref="O433:P433" si="437">IF(ISBLANK(K433),M433,K433)</f>
        <v>Research</v>
      </c>
      <c r="P433" s="1" t="str">
        <f t="shared" si="437"/>
        <v>Anti-Scam</v>
      </c>
      <c r="Q433" s="108" t="str">
        <f t="shared" si="3"/>
        <v>2023</v>
      </c>
      <c r="R433" s="110">
        <f t="shared" si="4"/>
        <v>10</v>
      </c>
      <c r="S433" s="108" t="str">
        <f t="shared" si="5"/>
        <v>2023-Q4</v>
      </c>
      <c r="T433" s="111" t="str">
        <f t="shared" si="6"/>
        <v>2023-10</v>
      </c>
      <c r="U433" s="112" t="str">
        <f t="shared" si="7"/>
        <v>2023-H2</v>
      </c>
      <c r="V433" s="1" t="str">
        <f>VLOOKUP(B433,Bounties!A:E,2,FALSE)</f>
        <v>Anti-Scam Bounty</v>
      </c>
    </row>
    <row r="434" hidden="1">
      <c r="A434" s="109">
        <f>HYPERLINK("https://polkadot.subsquare.io/treasury/child-bounties/432", 432)</f>
        <v>432</v>
      </c>
      <c r="B434" s="183">
        <v>11.0</v>
      </c>
      <c r="C434" s="27" t="s">
        <v>3404</v>
      </c>
      <c r="D434" s="27" t="s">
        <v>1018</v>
      </c>
      <c r="E434" s="129">
        <v>110.8647450111</v>
      </c>
      <c r="F434" s="66">
        <v>457.1798371106217</v>
      </c>
      <c r="G434" s="27" t="s">
        <v>3411</v>
      </c>
      <c r="H434" s="167">
        <v>45198.0</v>
      </c>
      <c r="I434" s="167">
        <v>45207.0</v>
      </c>
      <c r="J434" s="66">
        <v>414.41885700780676</v>
      </c>
      <c r="K434" s="1"/>
      <c r="L434" s="1"/>
      <c r="M434" s="1" t="str">
        <f>VLOOKUP(B434,Bounties!A:D,3,FALSE)</f>
        <v>Research</v>
      </c>
      <c r="N434" s="1" t="str">
        <f>VLOOKUP(B434,Bounties!A:D,4,FALSE)</f>
        <v>Anti-Scam</v>
      </c>
      <c r="O434" s="1" t="str">
        <f t="shared" ref="O434:P434" si="438">IF(ISBLANK(K434),M434,K434)</f>
        <v>Research</v>
      </c>
      <c r="P434" s="1" t="str">
        <f t="shared" si="438"/>
        <v>Anti-Scam</v>
      </c>
      <c r="Q434" s="108" t="str">
        <f t="shared" si="3"/>
        <v>2023</v>
      </c>
      <c r="R434" s="110">
        <f t="shared" si="4"/>
        <v>10</v>
      </c>
      <c r="S434" s="108" t="str">
        <f t="shared" si="5"/>
        <v>2023-Q4</v>
      </c>
      <c r="T434" s="111" t="str">
        <f t="shared" si="6"/>
        <v>2023-10</v>
      </c>
      <c r="U434" s="112" t="str">
        <f t="shared" si="7"/>
        <v>2023-H2</v>
      </c>
      <c r="V434" s="1" t="str">
        <f>VLOOKUP(B434,Bounties!A:E,2,FALSE)</f>
        <v>Anti-Scam Bounty</v>
      </c>
    </row>
    <row r="435" hidden="1">
      <c r="A435" s="109">
        <f>HYPERLINK("https://polkadot.subsquare.io/treasury/child-bounties/433", 433)</f>
        <v>433</v>
      </c>
      <c r="B435" s="183">
        <v>11.0</v>
      </c>
      <c r="C435" s="27" t="s">
        <v>3404</v>
      </c>
      <c r="D435" s="27" t="s">
        <v>1019</v>
      </c>
      <c r="E435" s="129">
        <v>1707.3330070957</v>
      </c>
      <c r="F435" s="66">
        <v>6956.096183072517</v>
      </c>
      <c r="G435" s="27" t="s">
        <v>3406</v>
      </c>
      <c r="H435" s="167">
        <v>45199.0</v>
      </c>
      <c r="I435" s="167">
        <v>45214.0</v>
      </c>
      <c r="J435" s="66">
        <v>6274.546006983111</v>
      </c>
      <c r="K435" s="1"/>
      <c r="L435" s="1"/>
      <c r="M435" s="1" t="str">
        <f>VLOOKUP(B435,Bounties!A:D,3,FALSE)</f>
        <v>Research</v>
      </c>
      <c r="N435" s="1" t="str">
        <f>VLOOKUP(B435,Bounties!A:D,4,FALSE)</f>
        <v>Anti-Scam</v>
      </c>
      <c r="O435" s="1" t="str">
        <f t="shared" ref="O435:P435" si="439">IF(ISBLANK(K435),M435,K435)</f>
        <v>Research</v>
      </c>
      <c r="P435" s="1" t="str">
        <f t="shared" si="439"/>
        <v>Anti-Scam</v>
      </c>
      <c r="Q435" s="108" t="str">
        <f t="shared" si="3"/>
        <v>2023</v>
      </c>
      <c r="R435" s="110">
        <f t="shared" si="4"/>
        <v>10</v>
      </c>
      <c r="S435" s="108" t="str">
        <f t="shared" si="5"/>
        <v>2023-Q4</v>
      </c>
      <c r="T435" s="111" t="str">
        <f t="shared" si="6"/>
        <v>2023-10</v>
      </c>
      <c r="U435" s="112" t="str">
        <f t="shared" si="7"/>
        <v>2023-H2</v>
      </c>
      <c r="V435" s="1" t="str">
        <f>VLOOKUP(B435,Bounties!A:E,2,FALSE)</f>
        <v>Anti-Scam Bounty</v>
      </c>
    </row>
    <row r="436" hidden="1">
      <c r="A436" s="109">
        <f>HYPERLINK("https://polkadot.subsquare.io/treasury/child-bounties/434", 434)</f>
        <v>434</v>
      </c>
      <c r="B436" s="183">
        <v>11.0</v>
      </c>
      <c r="C436" s="27" t="s">
        <v>3404</v>
      </c>
      <c r="D436" s="27" t="s">
        <v>1020</v>
      </c>
      <c r="E436" s="129">
        <v>1707.4798140445</v>
      </c>
      <c r="F436" s="66">
        <v>6956.694310826126</v>
      </c>
      <c r="G436" s="27" t="s">
        <v>3407</v>
      </c>
      <c r="H436" s="167">
        <v>45199.0</v>
      </c>
      <c r="I436" s="167">
        <v>45212.0</v>
      </c>
      <c r="J436" s="66">
        <v>6411.549037315922</v>
      </c>
      <c r="K436" s="1"/>
      <c r="L436" s="1"/>
      <c r="M436" s="1" t="str">
        <f>VLOOKUP(B436,Bounties!A:D,3,FALSE)</f>
        <v>Research</v>
      </c>
      <c r="N436" s="1" t="str">
        <f>VLOOKUP(B436,Bounties!A:D,4,FALSE)</f>
        <v>Anti-Scam</v>
      </c>
      <c r="O436" s="1" t="str">
        <f t="shared" ref="O436:P436" si="440">IF(ISBLANK(K436),M436,K436)</f>
        <v>Research</v>
      </c>
      <c r="P436" s="1" t="str">
        <f t="shared" si="440"/>
        <v>Anti-Scam</v>
      </c>
      <c r="Q436" s="108" t="str">
        <f t="shared" si="3"/>
        <v>2023</v>
      </c>
      <c r="R436" s="110">
        <f t="shared" si="4"/>
        <v>10</v>
      </c>
      <c r="S436" s="108" t="str">
        <f t="shared" si="5"/>
        <v>2023-Q4</v>
      </c>
      <c r="T436" s="111" t="str">
        <f t="shared" si="6"/>
        <v>2023-10</v>
      </c>
      <c r="U436" s="112" t="str">
        <f t="shared" si="7"/>
        <v>2023-H2</v>
      </c>
      <c r="V436" s="1" t="str">
        <f>VLOOKUP(B436,Bounties!A:E,2,FALSE)</f>
        <v>Anti-Scam Bounty</v>
      </c>
    </row>
    <row r="437" hidden="1">
      <c r="A437" s="109">
        <f>HYPERLINK("https://polkadot.subsquare.io/treasury/child-bounties/435", 435)</f>
        <v>435</v>
      </c>
      <c r="B437" s="183">
        <v>11.0</v>
      </c>
      <c r="C437" s="27" t="s">
        <v>3404</v>
      </c>
      <c r="D437" s="27" t="s">
        <v>1021</v>
      </c>
      <c r="E437" s="129">
        <v>1466.129190115</v>
      </c>
      <c r="F437" s="66">
        <v>5973.372283476566</v>
      </c>
      <c r="G437" s="27" t="s">
        <v>3411</v>
      </c>
      <c r="H437" s="167">
        <v>45199.0</v>
      </c>
      <c r="I437" s="167">
        <v>45210.0</v>
      </c>
      <c r="J437" s="66">
        <v>5455.757130176483</v>
      </c>
      <c r="K437" s="1"/>
      <c r="L437" s="1"/>
      <c r="M437" s="1" t="str">
        <f>VLOOKUP(B437,Bounties!A:D,3,FALSE)</f>
        <v>Research</v>
      </c>
      <c r="N437" s="1" t="str">
        <f>VLOOKUP(B437,Bounties!A:D,4,FALSE)</f>
        <v>Anti-Scam</v>
      </c>
      <c r="O437" s="1" t="str">
        <f t="shared" ref="O437:P437" si="441">IF(ISBLANK(K437),M437,K437)</f>
        <v>Research</v>
      </c>
      <c r="P437" s="1" t="str">
        <f t="shared" si="441"/>
        <v>Anti-Scam</v>
      </c>
      <c r="Q437" s="108" t="str">
        <f t="shared" si="3"/>
        <v>2023</v>
      </c>
      <c r="R437" s="110">
        <f t="shared" si="4"/>
        <v>10</v>
      </c>
      <c r="S437" s="108" t="str">
        <f t="shared" si="5"/>
        <v>2023-Q4</v>
      </c>
      <c r="T437" s="111" t="str">
        <f t="shared" si="6"/>
        <v>2023-10</v>
      </c>
      <c r="U437" s="112" t="str">
        <f t="shared" si="7"/>
        <v>2023-H2</v>
      </c>
      <c r="V437" s="1" t="str">
        <f>VLOOKUP(B437,Bounties!A:E,2,FALSE)</f>
        <v>Anti-Scam Bounty</v>
      </c>
    </row>
    <row r="438" hidden="1">
      <c r="A438" s="109">
        <f>HYPERLINK("https://polkadot.subsquare.io/treasury/child-bounties/436", 436)</f>
        <v>436</v>
      </c>
      <c r="B438" s="183">
        <v>19.0</v>
      </c>
      <c r="C438" s="27" t="s">
        <v>3404</v>
      </c>
      <c r="D438" s="27" t="s">
        <v>1022</v>
      </c>
      <c r="E438" s="129">
        <v>1.0</v>
      </c>
      <c r="F438" s="66">
        <v>4.047316074371338</v>
      </c>
      <c r="G438" s="27" t="s">
        <v>3543</v>
      </c>
      <c r="H438" s="167">
        <v>45200.0</v>
      </c>
      <c r="I438" s="167">
        <v>45210.0</v>
      </c>
      <c r="J438" s="66">
        <v>3.721198081970215</v>
      </c>
      <c r="K438" s="1"/>
      <c r="L438" s="1"/>
      <c r="M438" s="1" t="str">
        <f>VLOOKUP(B438,Bounties!A:D,3,FALSE)</f>
        <v>Development</v>
      </c>
      <c r="N438" s="1" t="str">
        <f>VLOOKUP(B438,Bounties!A:D,4,FALSE)</f>
        <v>Smart Contracts</v>
      </c>
      <c r="O438" s="1" t="str">
        <f t="shared" ref="O438:P438" si="442">IF(ISBLANK(K438),M438,K438)</f>
        <v>Development</v>
      </c>
      <c r="P438" s="1" t="str">
        <f t="shared" si="442"/>
        <v>Smart Contracts</v>
      </c>
      <c r="Q438" s="108" t="str">
        <f t="shared" si="3"/>
        <v>2023</v>
      </c>
      <c r="R438" s="110">
        <f t="shared" si="4"/>
        <v>10</v>
      </c>
      <c r="S438" s="108" t="str">
        <f t="shared" si="5"/>
        <v>2023-Q4</v>
      </c>
      <c r="T438" s="111" t="str">
        <f t="shared" si="6"/>
        <v>2023-10</v>
      </c>
      <c r="U438" s="112" t="str">
        <f t="shared" si="7"/>
        <v>2023-H2</v>
      </c>
      <c r="V438" s="1" t="str">
        <f>VLOOKUP(B438,Bounties!A:E,2,FALSE)</f>
        <v>Wasm Smart Contracts Bounty</v>
      </c>
    </row>
    <row r="439" hidden="1">
      <c r="A439" s="109">
        <f>HYPERLINK("https://polkadot.subsquare.io/treasury/child-bounties/437", 437)</f>
        <v>437</v>
      </c>
      <c r="B439" s="183">
        <v>11.0</v>
      </c>
      <c r="C439" s="27" t="s">
        <v>3404</v>
      </c>
      <c r="D439" s="27" t="s">
        <v>1023</v>
      </c>
      <c r="E439" s="129">
        <v>160.1941747573</v>
      </c>
      <c r="F439" s="66">
        <v>648.3564585158715</v>
      </c>
      <c r="G439" s="27" t="s">
        <v>3411</v>
      </c>
      <c r="H439" s="167">
        <v>45200.0</v>
      </c>
      <c r="I439" s="167">
        <v>45209.0</v>
      </c>
      <c r="J439" s="66">
        <v>596.1142558496662</v>
      </c>
      <c r="K439" s="1"/>
      <c r="L439" s="1"/>
      <c r="M439" s="1" t="str">
        <f>VLOOKUP(B439,Bounties!A:D,3,FALSE)</f>
        <v>Research</v>
      </c>
      <c r="N439" s="1" t="str">
        <f>VLOOKUP(B439,Bounties!A:D,4,FALSE)</f>
        <v>Anti-Scam</v>
      </c>
      <c r="O439" s="1" t="str">
        <f t="shared" ref="O439:P439" si="443">IF(ISBLANK(K439),M439,K439)</f>
        <v>Research</v>
      </c>
      <c r="P439" s="1" t="str">
        <f t="shared" si="443"/>
        <v>Anti-Scam</v>
      </c>
      <c r="Q439" s="108" t="str">
        <f t="shared" si="3"/>
        <v>2023</v>
      </c>
      <c r="R439" s="110">
        <f t="shared" si="4"/>
        <v>10</v>
      </c>
      <c r="S439" s="108" t="str">
        <f t="shared" si="5"/>
        <v>2023-Q4</v>
      </c>
      <c r="T439" s="111" t="str">
        <f t="shared" si="6"/>
        <v>2023-10</v>
      </c>
      <c r="U439" s="112" t="str">
        <f t="shared" si="7"/>
        <v>2023-H2</v>
      </c>
      <c r="V439" s="1" t="str">
        <f>VLOOKUP(B439,Bounties!A:E,2,FALSE)</f>
        <v>Anti-Scam Bounty</v>
      </c>
    </row>
    <row r="440" hidden="1">
      <c r="A440" s="109">
        <f>HYPERLINK("https://polkadot.subsquare.io/treasury/child-bounties/438", 438)</f>
        <v>438</v>
      </c>
      <c r="B440" s="183">
        <v>11.0</v>
      </c>
      <c r="C440" s="27" t="s">
        <v>3404</v>
      </c>
      <c r="D440" s="27" t="s">
        <v>1024</v>
      </c>
      <c r="E440" s="129">
        <v>82.5242718447</v>
      </c>
      <c r="F440" s="66">
        <v>334.00181196284433</v>
      </c>
      <c r="G440" s="27" t="s">
        <v>3407</v>
      </c>
      <c r="H440" s="167">
        <v>45200.0</v>
      </c>
      <c r="I440" s="167">
        <v>45209.0</v>
      </c>
      <c r="J440" s="66">
        <v>307.0891621044862</v>
      </c>
      <c r="K440" s="1"/>
      <c r="L440" s="1"/>
      <c r="M440" s="1" t="str">
        <f>VLOOKUP(B440,Bounties!A:D,3,FALSE)</f>
        <v>Research</v>
      </c>
      <c r="N440" s="1" t="str">
        <f>VLOOKUP(B440,Bounties!A:D,4,FALSE)</f>
        <v>Anti-Scam</v>
      </c>
      <c r="O440" s="1" t="str">
        <f t="shared" ref="O440:P440" si="444">IF(ISBLANK(K440),M440,K440)</f>
        <v>Research</v>
      </c>
      <c r="P440" s="1" t="str">
        <f t="shared" si="444"/>
        <v>Anti-Scam</v>
      </c>
      <c r="Q440" s="108" t="str">
        <f t="shared" si="3"/>
        <v>2023</v>
      </c>
      <c r="R440" s="110">
        <f t="shared" si="4"/>
        <v>10</v>
      </c>
      <c r="S440" s="108" t="str">
        <f t="shared" si="5"/>
        <v>2023-Q4</v>
      </c>
      <c r="T440" s="111" t="str">
        <f t="shared" si="6"/>
        <v>2023-10</v>
      </c>
      <c r="U440" s="112" t="str">
        <f t="shared" si="7"/>
        <v>2023-H2</v>
      </c>
      <c r="V440" s="1" t="str">
        <f>VLOOKUP(B440,Bounties!A:E,2,FALSE)</f>
        <v>Anti-Scam Bounty</v>
      </c>
    </row>
    <row r="441" hidden="1">
      <c r="A441" s="109">
        <f>HYPERLINK("https://polkadot.subsquare.io/treasury/child-bounties/439", 439)</f>
        <v>439</v>
      </c>
      <c r="B441" s="183">
        <v>19.0</v>
      </c>
      <c r="C441" s="27" t="s">
        <v>3404</v>
      </c>
      <c r="D441" s="27" t="s">
        <v>1025</v>
      </c>
      <c r="E441" s="129">
        <v>9630.0</v>
      </c>
      <c r="F441" s="66">
        <v>36713.72064828873</v>
      </c>
      <c r="G441" s="27" t="s">
        <v>3544</v>
      </c>
      <c r="H441" s="167">
        <v>45206.0</v>
      </c>
      <c r="I441" s="167">
        <v>45214.0</v>
      </c>
      <c r="J441" s="66">
        <v>35212.5666475296</v>
      </c>
      <c r="K441" s="1"/>
      <c r="L441" s="1"/>
      <c r="M441" s="1" t="str">
        <f>VLOOKUP(B441,Bounties!A:D,3,FALSE)</f>
        <v>Development</v>
      </c>
      <c r="N441" s="1" t="str">
        <f>VLOOKUP(B441,Bounties!A:D,4,FALSE)</f>
        <v>Smart Contracts</v>
      </c>
      <c r="O441" s="1" t="str">
        <f t="shared" ref="O441:P441" si="445">IF(ISBLANK(K441),M441,K441)</f>
        <v>Development</v>
      </c>
      <c r="P441" s="1" t="str">
        <f t="shared" si="445"/>
        <v>Smart Contracts</v>
      </c>
      <c r="Q441" s="108" t="str">
        <f t="shared" si="3"/>
        <v>2023</v>
      </c>
      <c r="R441" s="110">
        <f t="shared" si="4"/>
        <v>10</v>
      </c>
      <c r="S441" s="108" t="str">
        <f t="shared" si="5"/>
        <v>2023-Q4</v>
      </c>
      <c r="T441" s="111" t="str">
        <f t="shared" si="6"/>
        <v>2023-10</v>
      </c>
      <c r="U441" s="112" t="str">
        <f t="shared" si="7"/>
        <v>2023-H2</v>
      </c>
      <c r="V441" s="1" t="str">
        <f>VLOOKUP(B441,Bounties!A:E,2,FALSE)</f>
        <v>Wasm Smart Contracts Bounty</v>
      </c>
    </row>
    <row r="442" hidden="1">
      <c r="A442" s="109">
        <f>HYPERLINK("https://polkadot.subsquare.io/treasury/child-bounties/440", 440)</f>
        <v>440</v>
      </c>
      <c r="B442" s="183">
        <v>19.0</v>
      </c>
      <c r="C442" s="27" t="s">
        <v>3404</v>
      </c>
      <c r="D442" s="27" t="s">
        <v>1026</v>
      </c>
      <c r="E442" s="129">
        <v>74145.0</v>
      </c>
      <c r="F442" s="66">
        <v>277158.31709861755</v>
      </c>
      <c r="G442" s="27" t="s">
        <v>3545</v>
      </c>
      <c r="H442" s="167">
        <v>45207.0</v>
      </c>
      <c r="I442" s="167">
        <v>45215.0</v>
      </c>
      <c r="J442" s="66">
        <v>270546.06654167175</v>
      </c>
      <c r="K442" s="1"/>
      <c r="L442" s="1"/>
      <c r="M442" s="1" t="str">
        <f>VLOOKUP(B442,Bounties!A:D,3,FALSE)</f>
        <v>Development</v>
      </c>
      <c r="N442" s="1" t="str">
        <f>VLOOKUP(B442,Bounties!A:D,4,FALSE)</f>
        <v>Smart Contracts</v>
      </c>
      <c r="O442" s="1" t="str">
        <f t="shared" ref="O442:P442" si="446">IF(ISBLANK(K442),M442,K442)</f>
        <v>Development</v>
      </c>
      <c r="P442" s="1" t="str">
        <f t="shared" si="446"/>
        <v>Smart Contracts</v>
      </c>
      <c r="Q442" s="108" t="str">
        <f t="shared" si="3"/>
        <v>2023</v>
      </c>
      <c r="R442" s="110">
        <f t="shared" si="4"/>
        <v>10</v>
      </c>
      <c r="S442" s="108" t="str">
        <f t="shared" si="5"/>
        <v>2023-Q4</v>
      </c>
      <c r="T442" s="111" t="str">
        <f t="shared" si="6"/>
        <v>2023-10</v>
      </c>
      <c r="U442" s="112" t="str">
        <f t="shared" si="7"/>
        <v>2023-H2</v>
      </c>
      <c r="V442" s="1" t="str">
        <f>VLOOKUP(B442,Bounties!A:E,2,FALSE)</f>
        <v>Wasm Smart Contracts Bounty</v>
      </c>
    </row>
    <row r="443" hidden="1">
      <c r="A443" s="109">
        <f>HYPERLINK("https://polkadot.subsquare.io/treasury/child-bounties/441", 441)</f>
        <v>441</v>
      </c>
      <c r="B443" s="183">
        <v>17.0</v>
      </c>
      <c r="C443" s="27" t="s">
        <v>3404</v>
      </c>
      <c r="D443" s="27" t="s">
        <v>1027</v>
      </c>
      <c r="E443" s="129">
        <v>9180.0</v>
      </c>
      <c r="F443" s="66">
        <v>33723.62135410309</v>
      </c>
      <c r="G443" s="27" t="s">
        <v>3475</v>
      </c>
      <c r="H443" s="167">
        <v>45208.0</v>
      </c>
      <c r="I443" s="167">
        <v>45222.0</v>
      </c>
      <c r="J443" s="66">
        <v>38890.205698013306</v>
      </c>
      <c r="K443" s="1"/>
      <c r="L443" s="1"/>
      <c r="M443" s="1" t="str">
        <f>VLOOKUP(B443,Bounties!A:D,3,FALSE)</f>
        <v>Outreach</v>
      </c>
      <c r="N443" s="1" t="str">
        <f>VLOOKUP(B443,Bounties!A:D,4,FALSE)</f>
        <v>Events/Meetups</v>
      </c>
      <c r="O443" s="1" t="str">
        <f t="shared" ref="O443:P443" si="447">IF(ISBLANK(K443),M443,K443)</f>
        <v>Outreach</v>
      </c>
      <c r="P443" s="1" t="str">
        <f t="shared" si="447"/>
        <v>Events/Meetups</v>
      </c>
      <c r="Q443" s="108" t="str">
        <f t="shared" si="3"/>
        <v>2023</v>
      </c>
      <c r="R443" s="110">
        <f t="shared" si="4"/>
        <v>10</v>
      </c>
      <c r="S443" s="108" t="str">
        <f t="shared" si="5"/>
        <v>2023-Q4</v>
      </c>
      <c r="T443" s="111" t="str">
        <f t="shared" si="6"/>
        <v>2023-10</v>
      </c>
      <c r="U443" s="112" t="str">
        <f t="shared" si="7"/>
        <v>2023-H2</v>
      </c>
      <c r="V443" s="1" t="str">
        <f>VLOOKUP(B443,Bounties!A:E,2,FALSE)</f>
        <v>Events Bounty</v>
      </c>
    </row>
    <row r="444" hidden="1">
      <c r="A444" s="109">
        <f>HYPERLINK("https://polkadot.subsquare.io/treasury/child-bounties/442", 442)</f>
        <v>442</v>
      </c>
      <c r="B444" s="183">
        <v>17.0</v>
      </c>
      <c r="C444" s="27" t="s">
        <v>3404</v>
      </c>
      <c r="D444" s="27" t="s">
        <v>1028</v>
      </c>
      <c r="E444" s="129">
        <v>34498.0</v>
      </c>
      <c r="F444" s="66">
        <v>126731.75266599655</v>
      </c>
      <c r="G444" s="27" t="s">
        <v>3546</v>
      </c>
      <c r="H444" s="167">
        <v>45208.0</v>
      </c>
      <c r="I444" s="167">
        <v>45217.0</v>
      </c>
      <c r="J444" s="66">
        <v>134694.1677274704</v>
      </c>
      <c r="K444" s="1"/>
      <c r="L444" s="1"/>
      <c r="M444" s="1" t="str">
        <f>VLOOKUP(B444,Bounties!A:D,3,FALSE)</f>
        <v>Outreach</v>
      </c>
      <c r="N444" s="1" t="str">
        <f>VLOOKUP(B444,Bounties!A:D,4,FALSE)</f>
        <v>Events/Meetups</v>
      </c>
      <c r="O444" s="1" t="str">
        <f t="shared" ref="O444:P444" si="448">IF(ISBLANK(K444),M444,K444)</f>
        <v>Outreach</v>
      </c>
      <c r="P444" s="1" t="str">
        <f t="shared" si="448"/>
        <v>Events/Meetups</v>
      </c>
      <c r="Q444" s="108" t="str">
        <f t="shared" si="3"/>
        <v>2023</v>
      </c>
      <c r="R444" s="110">
        <f t="shared" si="4"/>
        <v>10</v>
      </c>
      <c r="S444" s="108" t="str">
        <f t="shared" si="5"/>
        <v>2023-Q4</v>
      </c>
      <c r="T444" s="111" t="str">
        <f t="shared" si="6"/>
        <v>2023-10</v>
      </c>
      <c r="U444" s="112" t="str">
        <f t="shared" si="7"/>
        <v>2023-H2</v>
      </c>
      <c r="V444" s="1" t="str">
        <f>VLOOKUP(B444,Bounties!A:E,2,FALSE)</f>
        <v>Events Bounty</v>
      </c>
    </row>
    <row r="445" hidden="1">
      <c r="A445" s="109">
        <f>HYPERLINK("https://polkadot.subsquare.io/treasury/child-bounties/443", 443)</f>
        <v>443</v>
      </c>
      <c r="B445" s="183">
        <v>17.0</v>
      </c>
      <c r="C445" s="27" t="s">
        <v>3404</v>
      </c>
      <c r="D445" s="27" t="s">
        <v>1029</v>
      </c>
      <c r="E445" s="129">
        <v>5109.0</v>
      </c>
      <c r="F445" s="66">
        <v>19011.601000785828</v>
      </c>
      <c r="G445" s="27" t="s">
        <v>3464</v>
      </c>
      <c r="H445" s="167">
        <v>45210.0</v>
      </c>
      <c r="I445" s="167">
        <v>45221.0</v>
      </c>
      <c r="J445" s="66">
        <v>21892.34194278717</v>
      </c>
      <c r="K445" s="1"/>
      <c r="L445" s="1" t="s">
        <v>266</v>
      </c>
      <c r="M445" s="1" t="str">
        <f>VLOOKUP(B445,Bounties!A:D,3,FALSE)</f>
        <v>Outreach</v>
      </c>
      <c r="N445" s="1" t="str">
        <f>VLOOKUP(B445,Bounties!A:D,4,FALSE)</f>
        <v>Events/Meetups</v>
      </c>
      <c r="O445" s="1" t="str">
        <f t="shared" ref="O445:P445" si="449">IF(ISBLANK(K445),M445,K445)</f>
        <v>Outreach</v>
      </c>
      <c r="P445" s="1" t="str">
        <f t="shared" si="449"/>
        <v>Events/Conference Attendance &amp; Side Events</v>
      </c>
      <c r="Q445" s="108" t="str">
        <f t="shared" si="3"/>
        <v>2023</v>
      </c>
      <c r="R445" s="110">
        <f t="shared" si="4"/>
        <v>10</v>
      </c>
      <c r="S445" s="108" t="str">
        <f t="shared" si="5"/>
        <v>2023-Q4</v>
      </c>
      <c r="T445" s="111" t="str">
        <f t="shared" si="6"/>
        <v>2023-10</v>
      </c>
      <c r="U445" s="112" t="str">
        <f t="shared" si="7"/>
        <v>2023-H2</v>
      </c>
      <c r="V445" s="1" t="str">
        <f>VLOOKUP(B445,Bounties!A:E,2,FALSE)</f>
        <v>Events Bounty</v>
      </c>
    </row>
    <row r="446" hidden="1">
      <c r="A446" s="109">
        <f>HYPERLINK("https://polkadot.subsquare.io/treasury/child-bounties/444", 444)</f>
        <v>444</v>
      </c>
      <c r="B446" s="183">
        <v>17.0</v>
      </c>
      <c r="C446" s="27" t="s">
        <v>3404</v>
      </c>
      <c r="D446" s="27" t="s">
        <v>1030</v>
      </c>
      <c r="E446" s="129">
        <v>446.0</v>
      </c>
      <c r="F446" s="66">
        <v>1659.6543445587158</v>
      </c>
      <c r="G446" s="27" t="s">
        <v>3547</v>
      </c>
      <c r="H446" s="167">
        <v>45210.0</v>
      </c>
      <c r="I446" s="167">
        <v>45285.0</v>
      </c>
      <c r="J446" s="66">
        <v>3768.750955581665</v>
      </c>
      <c r="K446" s="1"/>
      <c r="L446" s="1" t="s">
        <v>266</v>
      </c>
      <c r="M446" s="1" t="str">
        <f>VLOOKUP(B446,Bounties!A:D,3,FALSE)</f>
        <v>Outreach</v>
      </c>
      <c r="N446" s="1" t="str">
        <f>VLOOKUP(B446,Bounties!A:D,4,FALSE)</f>
        <v>Events/Meetups</v>
      </c>
      <c r="O446" s="1" t="str">
        <f t="shared" ref="O446:P446" si="450">IF(ISBLANK(K446),M446,K446)</f>
        <v>Outreach</v>
      </c>
      <c r="P446" s="1" t="str">
        <f t="shared" si="450"/>
        <v>Events/Conference Attendance &amp; Side Events</v>
      </c>
      <c r="Q446" s="108" t="str">
        <f t="shared" si="3"/>
        <v>2023</v>
      </c>
      <c r="R446" s="110">
        <f t="shared" si="4"/>
        <v>12</v>
      </c>
      <c r="S446" s="108" t="str">
        <f t="shared" si="5"/>
        <v>2023-Q4</v>
      </c>
      <c r="T446" s="111" t="str">
        <f t="shared" si="6"/>
        <v>2023-12</v>
      </c>
      <c r="U446" s="112" t="str">
        <f t="shared" si="7"/>
        <v>2023-H2</v>
      </c>
      <c r="V446" s="1" t="str">
        <f>VLOOKUP(B446,Bounties!A:E,2,FALSE)</f>
        <v>Events Bounty</v>
      </c>
    </row>
    <row r="447" hidden="1">
      <c r="A447" s="109">
        <f>HYPERLINK("https://polkadot.subsquare.io/treasury/child-bounties/445", 445)</f>
        <v>445</v>
      </c>
      <c r="B447" s="183">
        <v>24.0</v>
      </c>
      <c r="C447" s="27" t="s">
        <v>3404</v>
      </c>
      <c r="D447" s="27" t="s">
        <v>1031</v>
      </c>
      <c r="E447" s="129">
        <v>610.3038309115</v>
      </c>
      <c r="F447" s="66">
        <v>2242.9013258557607</v>
      </c>
      <c r="G447" s="27" t="s">
        <v>3407</v>
      </c>
      <c r="H447" s="167">
        <v>45213.0</v>
      </c>
      <c r="I447" s="167">
        <v>45221.0</v>
      </c>
      <c r="J447" s="66">
        <v>2615.1849981028618</v>
      </c>
      <c r="K447" s="1"/>
      <c r="L447" s="1"/>
      <c r="M447" s="1" t="str">
        <f>VLOOKUP(B447,Bounties!A:D,3,FALSE)</f>
        <v>Outreach</v>
      </c>
      <c r="N447" s="1" t="str">
        <f>VLOOKUP(B447,Bounties!A:D,4,FALSE)</f>
        <v>Community Building</v>
      </c>
      <c r="O447" s="1" t="str">
        <f t="shared" ref="O447:P447" si="451">IF(ISBLANK(K447),M447,K447)</f>
        <v>Outreach</v>
      </c>
      <c r="P447" s="1" t="str">
        <f t="shared" si="451"/>
        <v>Community Building</v>
      </c>
      <c r="Q447" s="108" t="str">
        <f t="shared" si="3"/>
        <v>2023</v>
      </c>
      <c r="R447" s="110">
        <f t="shared" si="4"/>
        <v>10</v>
      </c>
      <c r="S447" s="108" t="str">
        <f t="shared" si="5"/>
        <v>2023-Q4</v>
      </c>
      <c r="T447" s="111" t="str">
        <f t="shared" si="6"/>
        <v>2023-10</v>
      </c>
      <c r="U447" s="112" t="str">
        <f t="shared" si="7"/>
        <v>2023-H2</v>
      </c>
      <c r="V447" s="1" t="str">
        <f>VLOOKUP(B447,Bounties!A:E,2,FALSE)</f>
        <v>Moderation Team Bounty</v>
      </c>
    </row>
    <row r="448" hidden="1">
      <c r="A448" s="109">
        <f>HYPERLINK("https://polkadot.subsquare.io/treasury/child-bounties/446", 446)</f>
        <v>446</v>
      </c>
      <c r="B448" s="183">
        <v>24.0</v>
      </c>
      <c r="C448" s="27" t="s">
        <v>3404</v>
      </c>
      <c r="D448" s="27" t="s">
        <v>1032</v>
      </c>
      <c r="E448" s="129">
        <v>610.3038309115</v>
      </c>
      <c r="F448" s="66">
        <v>2242.9013258557607</v>
      </c>
      <c r="G448" s="27" t="s">
        <v>3526</v>
      </c>
      <c r="H448" s="167">
        <v>45213.0</v>
      </c>
      <c r="I448" s="167">
        <v>45222.0</v>
      </c>
      <c r="J448" s="66">
        <v>2615.1849981028618</v>
      </c>
      <c r="K448" s="1"/>
      <c r="L448" s="1"/>
      <c r="M448" s="1" t="str">
        <f>VLOOKUP(B448,Bounties!A:D,3,FALSE)</f>
        <v>Outreach</v>
      </c>
      <c r="N448" s="1" t="str">
        <f>VLOOKUP(B448,Bounties!A:D,4,FALSE)</f>
        <v>Community Building</v>
      </c>
      <c r="O448" s="1" t="str">
        <f t="shared" ref="O448:P448" si="452">IF(ISBLANK(K448),M448,K448)</f>
        <v>Outreach</v>
      </c>
      <c r="P448" s="1" t="str">
        <f t="shared" si="452"/>
        <v>Community Building</v>
      </c>
      <c r="Q448" s="108" t="str">
        <f t="shared" si="3"/>
        <v>2023</v>
      </c>
      <c r="R448" s="110">
        <f t="shared" si="4"/>
        <v>10</v>
      </c>
      <c r="S448" s="108" t="str">
        <f t="shared" si="5"/>
        <v>2023-Q4</v>
      </c>
      <c r="T448" s="111" t="str">
        <f t="shared" si="6"/>
        <v>2023-10</v>
      </c>
      <c r="U448" s="112" t="str">
        <f t="shared" si="7"/>
        <v>2023-H2</v>
      </c>
      <c r="V448" s="1" t="str">
        <f>VLOOKUP(B448,Bounties!A:E,2,FALSE)</f>
        <v>Moderation Team Bounty</v>
      </c>
    </row>
    <row r="449" hidden="1">
      <c r="A449" s="109">
        <f>HYPERLINK("https://polkadot.subsquare.io/treasury/child-bounties/447", 447)</f>
        <v>447</v>
      </c>
      <c r="B449" s="183">
        <v>24.0</v>
      </c>
      <c r="C449" s="27" t="s">
        <v>3404</v>
      </c>
      <c r="D449" s="27" t="s">
        <v>1033</v>
      </c>
      <c r="E449" s="129">
        <v>610.3038309115</v>
      </c>
      <c r="F449" s="66">
        <v>2242.9013258557607</v>
      </c>
      <c r="G449" s="27" t="s">
        <v>3408</v>
      </c>
      <c r="H449" s="167">
        <v>45213.0</v>
      </c>
      <c r="I449" s="167">
        <v>45221.0</v>
      </c>
      <c r="J449" s="66">
        <v>2615.1849981028618</v>
      </c>
      <c r="K449" s="1"/>
      <c r="L449" s="1"/>
      <c r="M449" s="1" t="str">
        <f>VLOOKUP(B449,Bounties!A:D,3,FALSE)</f>
        <v>Outreach</v>
      </c>
      <c r="N449" s="1" t="str">
        <f>VLOOKUP(B449,Bounties!A:D,4,FALSE)</f>
        <v>Community Building</v>
      </c>
      <c r="O449" s="1" t="str">
        <f t="shared" ref="O449:P449" si="453">IF(ISBLANK(K449),M449,K449)</f>
        <v>Outreach</v>
      </c>
      <c r="P449" s="1" t="str">
        <f t="shared" si="453"/>
        <v>Community Building</v>
      </c>
      <c r="Q449" s="108" t="str">
        <f t="shared" si="3"/>
        <v>2023</v>
      </c>
      <c r="R449" s="110">
        <f t="shared" si="4"/>
        <v>10</v>
      </c>
      <c r="S449" s="108" t="str">
        <f t="shared" si="5"/>
        <v>2023-Q4</v>
      </c>
      <c r="T449" s="111" t="str">
        <f t="shared" si="6"/>
        <v>2023-10</v>
      </c>
      <c r="U449" s="112" t="str">
        <f t="shared" si="7"/>
        <v>2023-H2</v>
      </c>
      <c r="V449" s="1" t="str">
        <f>VLOOKUP(B449,Bounties!A:E,2,FALSE)</f>
        <v>Moderation Team Bounty</v>
      </c>
    </row>
    <row r="450" hidden="1">
      <c r="A450" s="109">
        <f>HYPERLINK("https://polkadot.subsquare.io/treasury/child-bounties/448", 448)</f>
        <v>448</v>
      </c>
      <c r="B450" s="183">
        <v>24.0</v>
      </c>
      <c r="C450" s="27" t="s">
        <v>3404</v>
      </c>
      <c r="D450" s="27" t="s">
        <v>1034</v>
      </c>
      <c r="E450" s="129">
        <v>610.3038309115</v>
      </c>
      <c r="F450" s="66">
        <v>2242.9013258557607</v>
      </c>
      <c r="G450" s="27" t="s">
        <v>3548</v>
      </c>
      <c r="H450" s="167">
        <v>45213.0</v>
      </c>
      <c r="I450" s="167">
        <v>45221.0</v>
      </c>
      <c r="J450" s="66">
        <v>2615.1849981028618</v>
      </c>
      <c r="K450" s="1"/>
      <c r="L450" s="1"/>
      <c r="M450" s="1" t="str">
        <f>VLOOKUP(B450,Bounties!A:D,3,FALSE)</f>
        <v>Outreach</v>
      </c>
      <c r="N450" s="1" t="str">
        <f>VLOOKUP(B450,Bounties!A:D,4,FALSE)</f>
        <v>Community Building</v>
      </c>
      <c r="O450" s="1" t="str">
        <f t="shared" ref="O450:P450" si="454">IF(ISBLANK(K450),M450,K450)</f>
        <v>Outreach</v>
      </c>
      <c r="P450" s="1" t="str">
        <f t="shared" si="454"/>
        <v>Community Building</v>
      </c>
      <c r="Q450" s="108" t="str">
        <f t="shared" si="3"/>
        <v>2023</v>
      </c>
      <c r="R450" s="110">
        <f t="shared" si="4"/>
        <v>10</v>
      </c>
      <c r="S450" s="108" t="str">
        <f t="shared" si="5"/>
        <v>2023-Q4</v>
      </c>
      <c r="T450" s="111" t="str">
        <f t="shared" si="6"/>
        <v>2023-10</v>
      </c>
      <c r="U450" s="112" t="str">
        <f t="shared" si="7"/>
        <v>2023-H2</v>
      </c>
      <c r="V450" s="1" t="str">
        <f>VLOOKUP(B450,Bounties!A:E,2,FALSE)</f>
        <v>Moderation Team Bounty</v>
      </c>
    </row>
    <row r="451" hidden="1">
      <c r="A451" s="109">
        <f>HYPERLINK("https://polkadot.subsquare.io/treasury/child-bounties/449", 449)</f>
        <v>449</v>
      </c>
      <c r="B451" s="183">
        <v>24.0</v>
      </c>
      <c r="C451" s="27" t="s">
        <v>3404</v>
      </c>
      <c r="D451" s="27" t="s">
        <v>1035</v>
      </c>
      <c r="E451" s="129">
        <v>610.3038309115</v>
      </c>
      <c r="F451" s="66">
        <v>2242.9013258557607</v>
      </c>
      <c r="G451" s="27" t="s">
        <v>3406</v>
      </c>
      <c r="H451" s="167">
        <v>45213.0</v>
      </c>
      <c r="I451" s="167">
        <v>45222.0</v>
      </c>
      <c r="J451" s="66">
        <v>2615.1849981028618</v>
      </c>
      <c r="K451" s="1"/>
      <c r="L451" s="1"/>
      <c r="M451" s="1" t="str">
        <f>VLOOKUP(B451,Bounties!A:D,3,FALSE)</f>
        <v>Outreach</v>
      </c>
      <c r="N451" s="1" t="str">
        <f>VLOOKUP(B451,Bounties!A:D,4,FALSE)</f>
        <v>Community Building</v>
      </c>
      <c r="O451" s="1" t="str">
        <f t="shared" ref="O451:P451" si="455">IF(ISBLANK(K451),M451,K451)</f>
        <v>Outreach</v>
      </c>
      <c r="P451" s="1" t="str">
        <f t="shared" si="455"/>
        <v>Community Building</v>
      </c>
      <c r="Q451" s="108" t="str">
        <f t="shared" si="3"/>
        <v>2023</v>
      </c>
      <c r="R451" s="110">
        <f t="shared" si="4"/>
        <v>10</v>
      </c>
      <c r="S451" s="108" t="str">
        <f t="shared" si="5"/>
        <v>2023-Q4</v>
      </c>
      <c r="T451" s="111" t="str">
        <f t="shared" si="6"/>
        <v>2023-10</v>
      </c>
      <c r="U451" s="112" t="str">
        <f t="shared" si="7"/>
        <v>2023-H2</v>
      </c>
      <c r="V451" s="1" t="str">
        <f>VLOOKUP(B451,Bounties!A:E,2,FALSE)</f>
        <v>Moderation Team Bounty</v>
      </c>
    </row>
    <row r="452" hidden="1">
      <c r="A452" s="109">
        <f>HYPERLINK("https://polkadot.subsquare.io/treasury/child-bounties/450", 450)</f>
        <v>450</v>
      </c>
      <c r="B452" s="183">
        <v>24.0</v>
      </c>
      <c r="C452" s="27" t="s">
        <v>3404</v>
      </c>
      <c r="D452" s="27" t="s">
        <v>1036</v>
      </c>
      <c r="E452" s="129">
        <v>681.6380449141</v>
      </c>
      <c r="F452" s="66">
        <v>2505.0586236828995</v>
      </c>
      <c r="G452" s="27" t="s">
        <v>3409</v>
      </c>
      <c r="H452" s="167">
        <v>45213.0</v>
      </c>
      <c r="I452" s="167">
        <v>45221.0</v>
      </c>
      <c r="J452" s="66">
        <v>2920.8559719069085</v>
      </c>
      <c r="K452" s="1"/>
      <c r="L452" s="1"/>
      <c r="M452" s="1" t="str">
        <f>VLOOKUP(B452,Bounties!A:D,3,FALSE)</f>
        <v>Outreach</v>
      </c>
      <c r="N452" s="1" t="str">
        <f>VLOOKUP(B452,Bounties!A:D,4,FALSE)</f>
        <v>Community Building</v>
      </c>
      <c r="O452" s="1" t="str">
        <f t="shared" ref="O452:P452" si="456">IF(ISBLANK(K452),M452,K452)</f>
        <v>Outreach</v>
      </c>
      <c r="P452" s="1" t="str">
        <f t="shared" si="456"/>
        <v>Community Building</v>
      </c>
      <c r="Q452" s="108" t="str">
        <f t="shared" si="3"/>
        <v>2023</v>
      </c>
      <c r="R452" s="110">
        <f t="shared" si="4"/>
        <v>10</v>
      </c>
      <c r="S452" s="108" t="str">
        <f t="shared" si="5"/>
        <v>2023-Q4</v>
      </c>
      <c r="T452" s="111" t="str">
        <f t="shared" si="6"/>
        <v>2023-10</v>
      </c>
      <c r="U452" s="112" t="str">
        <f t="shared" si="7"/>
        <v>2023-H2</v>
      </c>
      <c r="V452" s="1" t="str">
        <f>VLOOKUP(B452,Bounties!A:E,2,FALSE)</f>
        <v>Moderation Team Bounty</v>
      </c>
    </row>
    <row r="453" hidden="1">
      <c r="A453" s="109">
        <f>HYPERLINK("https://polkadot.subsquare.io/treasury/child-bounties/451", 451)</f>
        <v>451</v>
      </c>
      <c r="B453" s="183">
        <v>24.0</v>
      </c>
      <c r="C453" s="27" t="s">
        <v>3404</v>
      </c>
      <c r="D453" s="27" t="s">
        <v>1037</v>
      </c>
      <c r="E453" s="129">
        <v>681.6380449141</v>
      </c>
      <c r="F453" s="66">
        <v>2505.0586236828995</v>
      </c>
      <c r="G453" s="27" t="s">
        <v>3486</v>
      </c>
      <c r="H453" s="167">
        <v>45213.0</v>
      </c>
      <c r="I453" s="167">
        <v>45221.0</v>
      </c>
      <c r="J453" s="66">
        <v>2920.8559719069085</v>
      </c>
      <c r="K453" s="1"/>
      <c r="L453" s="1"/>
      <c r="M453" s="1" t="str">
        <f>VLOOKUP(B453,Bounties!A:D,3,FALSE)</f>
        <v>Outreach</v>
      </c>
      <c r="N453" s="1" t="str">
        <f>VLOOKUP(B453,Bounties!A:D,4,FALSE)</f>
        <v>Community Building</v>
      </c>
      <c r="O453" s="1" t="str">
        <f t="shared" ref="O453:P453" si="457">IF(ISBLANK(K453),M453,K453)</f>
        <v>Outreach</v>
      </c>
      <c r="P453" s="1" t="str">
        <f t="shared" si="457"/>
        <v>Community Building</v>
      </c>
      <c r="Q453" s="108" t="str">
        <f t="shared" si="3"/>
        <v>2023</v>
      </c>
      <c r="R453" s="110">
        <f t="shared" si="4"/>
        <v>10</v>
      </c>
      <c r="S453" s="108" t="str">
        <f t="shared" si="5"/>
        <v>2023-Q4</v>
      </c>
      <c r="T453" s="111" t="str">
        <f t="shared" si="6"/>
        <v>2023-10</v>
      </c>
      <c r="U453" s="112" t="str">
        <f t="shared" si="7"/>
        <v>2023-H2</v>
      </c>
      <c r="V453" s="1" t="str">
        <f>VLOOKUP(B453,Bounties!A:E,2,FALSE)</f>
        <v>Moderation Team Bounty</v>
      </c>
    </row>
    <row r="454" hidden="1">
      <c r="A454" s="109">
        <f>HYPERLINK("https://polkadot.subsquare.io/treasury/child-bounties/452", 452)</f>
        <v>452</v>
      </c>
      <c r="B454" s="183">
        <v>24.0</v>
      </c>
      <c r="C454" s="27" t="s">
        <v>3404</v>
      </c>
      <c r="D454" s="27" t="s">
        <v>1038</v>
      </c>
      <c r="E454" s="129">
        <v>610.3038309115</v>
      </c>
      <c r="F454" s="66">
        <v>2242.9013258557607</v>
      </c>
      <c r="G454" s="27" t="s">
        <v>3457</v>
      </c>
      <c r="H454" s="167">
        <v>45213.0</v>
      </c>
      <c r="I454" s="167">
        <v>45221.0</v>
      </c>
      <c r="J454" s="66">
        <v>2615.1849981028618</v>
      </c>
      <c r="K454" s="1"/>
      <c r="L454" s="1"/>
      <c r="M454" s="1" t="str">
        <f>VLOOKUP(B454,Bounties!A:D,3,FALSE)</f>
        <v>Outreach</v>
      </c>
      <c r="N454" s="1" t="str">
        <f>VLOOKUP(B454,Bounties!A:D,4,FALSE)</f>
        <v>Community Building</v>
      </c>
      <c r="O454" s="1" t="str">
        <f t="shared" ref="O454:P454" si="458">IF(ISBLANK(K454),M454,K454)</f>
        <v>Outreach</v>
      </c>
      <c r="P454" s="1" t="str">
        <f t="shared" si="458"/>
        <v>Community Building</v>
      </c>
      <c r="Q454" s="108" t="str">
        <f t="shared" si="3"/>
        <v>2023</v>
      </c>
      <c r="R454" s="110">
        <f t="shared" si="4"/>
        <v>10</v>
      </c>
      <c r="S454" s="108" t="str">
        <f t="shared" si="5"/>
        <v>2023-Q4</v>
      </c>
      <c r="T454" s="111" t="str">
        <f t="shared" si="6"/>
        <v>2023-10</v>
      </c>
      <c r="U454" s="112" t="str">
        <f t="shared" si="7"/>
        <v>2023-H2</v>
      </c>
      <c r="V454" s="1" t="str">
        <f>VLOOKUP(B454,Bounties!A:E,2,FALSE)</f>
        <v>Moderation Team Bounty</v>
      </c>
    </row>
    <row r="455" hidden="1">
      <c r="A455" s="109">
        <f>HYPERLINK("https://polkadot.subsquare.io/treasury/child-bounties/453", 453)</f>
        <v>453</v>
      </c>
      <c r="B455" s="183">
        <v>24.0</v>
      </c>
      <c r="C455" s="27" t="s">
        <v>3404</v>
      </c>
      <c r="D455" s="27" t="s">
        <v>1039</v>
      </c>
      <c r="E455" s="129">
        <v>610.3038309115</v>
      </c>
      <c r="F455" s="66">
        <v>2242.9013258557607</v>
      </c>
      <c r="G455" s="27" t="s">
        <v>3549</v>
      </c>
      <c r="H455" s="167">
        <v>45213.0</v>
      </c>
      <c r="I455" s="167">
        <v>45221.0</v>
      </c>
      <c r="J455" s="66">
        <v>2615.1849981028618</v>
      </c>
      <c r="K455" s="1"/>
      <c r="L455" s="1"/>
      <c r="M455" s="1" t="str">
        <f>VLOOKUP(B455,Bounties!A:D,3,FALSE)</f>
        <v>Outreach</v>
      </c>
      <c r="N455" s="1" t="str">
        <f>VLOOKUP(B455,Bounties!A:D,4,FALSE)</f>
        <v>Community Building</v>
      </c>
      <c r="O455" s="1" t="str">
        <f t="shared" ref="O455:P455" si="459">IF(ISBLANK(K455),M455,K455)</f>
        <v>Outreach</v>
      </c>
      <c r="P455" s="1" t="str">
        <f t="shared" si="459"/>
        <v>Community Building</v>
      </c>
      <c r="Q455" s="108" t="str">
        <f t="shared" si="3"/>
        <v>2023</v>
      </c>
      <c r="R455" s="110">
        <f t="shared" si="4"/>
        <v>10</v>
      </c>
      <c r="S455" s="108" t="str">
        <f t="shared" si="5"/>
        <v>2023-Q4</v>
      </c>
      <c r="T455" s="111" t="str">
        <f t="shared" si="6"/>
        <v>2023-10</v>
      </c>
      <c r="U455" s="112" t="str">
        <f t="shared" si="7"/>
        <v>2023-H2</v>
      </c>
      <c r="V455" s="1" t="str">
        <f>VLOOKUP(B455,Bounties!A:E,2,FALSE)</f>
        <v>Moderation Team Bounty</v>
      </c>
    </row>
    <row r="456" hidden="1">
      <c r="A456" s="109">
        <f>HYPERLINK("https://polkadot.subsquare.io/treasury/child-bounties/454", 454)</f>
        <v>454</v>
      </c>
      <c r="B456" s="183">
        <v>24.0</v>
      </c>
      <c r="C456" s="27" t="s">
        <v>3404</v>
      </c>
      <c r="D456" s="27" t="s">
        <v>1040</v>
      </c>
      <c r="E456" s="129">
        <v>610.3038309115</v>
      </c>
      <c r="F456" s="66">
        <v>2242.9013258557607</v>
      </c>
      <c r="G456" s="27" t="s">
        <v>3424</v>
      </c>
      <c r="H456" s="167">
        <v>45213.0</v>
      </c>
      <c r="I456" s="167">
        <v>45221.0</v>
      </c>
      <c r="J456" s="66">
        <v>2615.1849981028618</v>
      </c>
      <c r="K456" s="1"/>
      <c r="L456" s="1"/>
      <c r="M456" s="1" t="str">
        <f>VLOOKUP(B456,Bounties!A:D,3,FALSE)</f>
        <v>Outreach</v>
      </c>
      <c r="N456" s="1" t="str">
        <f>VLOOKUP(B456,Bounties!A:D,4,FALSE)</f>
        <v>Community Building</v>
      </c>
      <c r="O456" s="1" t="str">
        <f t="shared" ref="O456:P456" si="460">IF(ISBLANK(K456),M456,K456)</f>
        <v>Outreach</v>
      </c>
      <c r="P456" s="1" t="str">
        <f t="shared" si="460"/>
        <v>Community Building</v>
      </c>
      <c r="Q456" s="108" t="str">
        <f t="shared" si="3"/>
        <v>2023</v>
      </c>
      <c r="R456" s="110">
        <f t="shared" si="4"/>
        <v>10</v>
      </c>
      <c r="S456" s="108" t="str">
        <f t="shared" si="5"/>
        <v>2023-Q4</v>
      </c>
      <c r="T456" s="111" t="str">
        <f t="shared" si="6"/>
        <v>2023-10</v>
      </c>
      <c r="U456" s="112" t="str">
        <f t="shared" si="7"/>
        <v>2023-H2</v>
      </c>
      <c r="V456" s="1" t="str">
        <f>VLOOKUP(B456,Bounties!A:E,2,FALSE)</f>
        <v>Moderation Team Bounty</v>
      </c>
    </row>
    <row r="457" hidden="1">
      <c r="A457" s="109">
        <f>HYPERLINK("https://polkadot.subsquare.io/treasury/child-bounties/455", 455)</f>
        <v>455</v>
      </c>
      <c r="B457" s="183">
        <v>24.0</v>
      </c>
      <c r="C457" s="27" t="s">
        <v>3404</v>
      </c>
      <c r="D457" s="27" t="s">
        <v>1041</v>
      </c>
      <c r="E457" s="129">
        <v>742.4042272127</v>
      </c>
      <c r="F457" s="66">
        <v>2728.3778033137523</v>
      </c>
      <c r="G457" s="27" t="s">
        <v>3550</v>
      </c>
      <c r="H457" s="167">
        <v>45213.0</v>
      </c>
      <c r="I457" s="167">
        <v>45221.0</v>
      </c>
      <c r="J457" s="66">
        <v>3181.242356999626</v>
      </c>
      <c r="K457" s="1"/>
      <c r="L457" s="1"/>
      <c r="M457" s="1" t="str">
        <f>VLOOKUP(B457,Bounties!A:D,3,FALSE)</f>
        <v>Outreach</v>
      </c>
      <c r="N457" s="1" t="str">
        <f>VLOOKUP(B457,Bounties!A:D,4,FALSE)</f>
        <v>Community Building</v>
      </c>
      <c r="O457" s="1" t="str">
        <f t="shared" ref="O457:P457" si="461">IF(ISBLANK(K457),M457,K457)</f>
        <v>Outreach</v>
      </c>
      <c r="P457" s="1" t="str">
        <f t="shared" si="461"/>
        <v>Community Building</v>
      </c>
      <c r="Q457" s="108" t="str">
        <f t="shared" si="3"/>
        <v>2023</v>
      </c>
      <c r="R457" s="110">
        <f t="shared" si="4"/>
        <v>10</v>
      </c>
      <c r="S457" s="108" t="str">
        <f t="shared" si="5"/>
        <v>2023-Q4</v>
      </c>
      <c r="T457" s="111" t="str">
        <f t="shared" si="6"/>
        <v>2023-10</v>
      </c>
      <c r="U457" s="112" t="str">
        <f t="shared" si="7"/>
        <v>2023-H2</v>
      </c>
      <c r="V457" s="1" t="str">
        <f>VLOOKUP(B457,Bounties!A:E,2,FALSE)</f>
        <v>Moderation Team Bounty</v>
      </c>
    </row>
    <row r="458" hidden="1">
      <c r="A458" s="109">
        <f>HYPERLINK("https://polkadot.subsquare.io/treasury/child-bounties/456", 456)</f>
        <v>456</v>
      </c>
      <c r="B458" s="183">
        <v>24.0</v>
      </c>
      <c r="C458" s="27" t="s">
        <v>3404</v>
      </c>
      <c r="D458" s="27" t="s">
        <v>1042</v>
      </c>
      <c r="E458" s="129">
        <v>610.3038309115</v>
      </c>
      <c r="F458" s="66">
        <v>2242.9013258557607</v>
      </c>
      <c r="G458" s="27" t="s">
        <v>3469</v>
      </c>
      <c r="H458" s="167">
        <v>45213.0</v>
      </c>
      <c r="I458" s="167">
        <v>45222.0</v>
      </c>
      <c r="J458" s="66">
        <v>2615.1849981028618</v>
      </c>
      <c r="K458" s="1"/>
      <c r="L458" s="1"/>
      <c r="M458" s="1" t="str">
        <f>VLOOKUP(B458,Bounties!A:D,3,FALSE)</f>
        <v>Outreach</v>
      </c>
      <c r="N458" s="1" t="str">
        <f>VLOOKUP(B458,Bounties!A:D,4,FALSE)</f>
        <v>Community Building</v>
      </c>
      <c r="O458" s="1" t="str">
        <f t="shared" ref="O458:P458" si="462">IF(ISBLANK(K458),M458,K458)</f>
        <v>Outreach</v>
      </c>
      <c r="P458" s="1" t="str">
        <f t="shared" si="462"/>
        <v>Community Building</v>
      </c>
      <c r="Q458" s="108" t="str">
        <f t="shared" si="3"/>
        <v>2023</v>
      </c>
      <c r="R458" s="110">
        <f t="shared" si="4"/>
        <v>10</v>
      </c>
      <c r="S458" s="108" t="str">
        <f t="shared" si="5"/>
        <v>2023-Q4</v>
      </c>
      <c r="T458" s="111" t="str">
        <f t="shared" si="6"/>
        <v>2023-10</v>
      </c>
      <c r="U458" s="112" t="str">
        <f t="shared" si="7"/>
        <v>2023-H2</v>
      </c>
      <c r="V458" s="1" t="str">
        <f>VLOOKUP(B458,Bounties!A:E,2,FALSE)</f>
        <v>Moderation Team Bounty</v>
      </c>
    </row>
    <row r="459" hidden="1">
      <c r="A459" s="109">
        <f>HYPERLINK("https://polkadot.subsquare.io/treasury/child-bounties/457", 457)</f>
        <v>457</v>
      </c>
      <c r="B459" s="183">
        <v>24.0</v>
      </c>
      <c r="C459" s="27" t="s">
        <v>3404</v>
      </c>
      <c r="D459" s="27" t="s">
        <v>1043</v>
      </c>
      <c r="E459" s="129">
        <v>610.3038309115</v>
      </c>
      <c r="F459" s="66">
        <v>2242.9013258557607</v>
      </c>
      <c r="G459" s="27" t="s">
        <v>3411</v>
      </c>
      <c r="H459" s="167">
        <v>45213.0</v>
      </c>
      <c r="I459" s="167">
        <v>45221.0</v>
      </c>
      <c r="J459" s="66">
        <v>2615.1849981028618</v>
      </c>
      <c r="K459" s="1"/>
      <c r="L459" s="1"/>
      <c r="M459" s="1" t="str">
        <f>VLOOKUP(B459,Bounties!A:D,3,FALSE)</f>
        <v>Outreach</v>
      </c>
      <c r="N459" s="1" t="str">
        <f>VLOOKUP(B459,Bounties!A:D,4,FALSE)</f>
        <v>Community Building</v>
      </c>
      <c r="O459" s="1" t="str">
        <f t="shared" ref="O459:P459" si="463">IF(ISBLANK(K459),M459,K459)</f>
        <v>Outreach</v>
      </c>
      <c r="P459" s="1" t="str">
        <f t="shared" si="463"/>
        <v>Community Building</v>
      </c>
      <c r="Q459" s="108" t="str">
        <f t="shared" si="3"/>
        <v>2023</v>
      </c>
      <c r="R459" s="110">
        <f t="shared" si="4"/>
        <v>10</v>
      </c>
      <c r="S459" s="108" t="str">
        <f t="shared" si="5"/>
        <v>2023-Q4</v>
      </c>
      <c r="T459" s="111" t="str">
        <f t="shared" si="6"/>
        <v>2023-10</v>
      </c>
      <c r="U459" s="112" t="str">
        <f t="shared" si="7"/>
        <v>2023-H2</v>
      </c>
      <c r="V459" s="1" t="str">
        <f>VLOOKUP(B459,Bounties!A:E,2,FALSE)</f>
        <v>Moderation Team Bounty</v>
      </c>
    </row>
    <row r="460" hidden="1">
      <c r="A460" s="109">
        <f>HYPERLINK("https://polkadot.subsquare.io/treasury/child-bounties/458", 458)</f>
        <v>458</v>
      </c>
      <c r="B460" s="183">
        <v>10.0</v>
      </c>
      <c r="C460" s="27" t="s">
        <v>3404</v>
      </c>
      <c r="D460" s="27" t="s">
        <v>1044</v>
      </c>
      <c r="E460" s="129">
        <v>29427.0</v>
      </c>
      <c r="F460" s="66">
        <v>108145.9004073143</v>
      </c>
      <c r="G460" s="27" t="s">
        <v>3479</v>
      </c>
      <c r="H460" s="167">
        <v>45214.0</v>
      </c>
      <c r="I460" s="167">
        <v>45228.0</v>
      </c>
      <c r="J460" s="66">
        <v>139216.48340177536</v>
      </c>
      <c r="K460" s="1"/>
      <c r="L460" s="1"/>
      <c r="M460" s="1" t="str">
        <f>VLOOKUP(B460,Bounties!A:D,3,FALSE)</f>
        <v/>
      </c>
      <c r="N460" s="1" t="str">
        <f>VLOOKUP(B460,Bounties!A:D,4,FALSE)</f>
        <v/>
      </c>
      <c r="O460" s="1" t="str">
        <f t="shared" ref="O460:P460" si="464">IF(ISBLANK(K460),M460,K460)</f>
        <v/>
      </c>
      <c r="P460" s="1" t="str">
        <f t="shared" si="464"/>
        <v/>
      </c>
      <c r="Q460" s="108" t="str">
        <f t="shared" si="3"/>
        <v>2023</v>
      </c>
      <c r="R460" s="110">
        <f t="shared" si="4"/>
        <v>10</v>
      </c>
      <c r="S460" s="108" t="str">
        <f t="shared" si="5"/>
        <v>2023-Q4</v>
      </c>
      <c r="T460" s="111" t="str">
        <f t="shared" si="6"/>
        <v>2023-10</v>
      </c>
      <c r="U460" s="112" t="str">
        <f t="shared" si="7"/>
        <v>2023-H2</v>
      </c>
      <c r="V460" s="1" t="str">
        <f>VLOOKUP(B460,Bounties!A:E,2,FALSE)</f>
        <v>Polkadot Pioneers Bounty</v>
      </c>
    </row>
    <row r="461" hidden="1">
      <c r="A461" s="109">
        <f>HYPERLINK("https://polkadot.subsquare.io/treasury/child-bounties/459", 459)</f>
        <v>459</v>
      </c>
      <c r="B461" s="183">
        <v>19.0</v>
      </c>
      <c r="C461" s="27" t="s">
        <v>3404</v>
      </c>
      <c r="D461" s="27" t="s">
        <v>1045</v>
      </c>
      <c r="E461" s="129">
        <v>2437.0</v>
      </c>
      <c r="F461" s="66">
        <v>8911.009856700897</v>
      </c>
      <c r="G461" s="27" t="s">
        <v>3551</v>
      </c>
      <c r="H461" s="167">
        <v>45214.0</v>
      </c>
      <c r="I461" s="167">
        <v>45223.0</v>
      </c>
      <c r="J461" s="66">
        <v>10324.12105512619</v>
      </c>
      <c r="K461" s="1"/>
      <c r="L461" s="1"/>
      <c r="M461" s="1" t="str">
        <f>VLOOKUP(B461,Bounties!A:D,3,FALSE)</f>
        <v>Development</v>
      </c>
      <c r="N461" s="1" t="str">
        <f>VLOOKUP(B461,Bounties!A:D,4,FALSE)</f>
        <v>Smart Contracts</v>
      </c>
      <c r="O461" s="1" t="str">
        <f t="shared" ref="O461:P461" si="465">IF(ISBLANK(K461),M461,K461)</f>
        <v>Development</v>
      </c>
      <c r="P461" s="1" t="str">
        <f t="shared" si="465"/>
        <v>Smart Contracts</v>
      </c>
      <c r="Q461" s="108" t="str">
        <f t="shared" si="3"/>
        <v>2023</v>
      </c>
      <c r="R461" s="110">
        <f t="shared" si="4"/>
        <v>10</v>
      </c>
      <c r="S461" s="108" t="str">
        <f t="shared" si="5"/>
        <v>2023-Q4</v>
      </c>
      <c r="T461" s="111" t="str">
        <f t="shared" si="6"/>
        <v>2023-10</v>
      </c>
      <c r="U461" s="112" t="str">
        <f t="shared" si="7"/>
        <v>2023-H2</v>
      </c>
      <c r="V461" s="1" t="str">
        <f>VLOOKUP(B461,Bounties!A:E,2,FALSE)</f>
        <v>Wasm Smart Contracts Bounty</v>
      </c>
    </row>
    <row r="462" hidden="1">
      <c r="A462" s="109">
        <f>HYPERLINK("https://polkadot.subsquare.io/treasury/child-bounties/460", 460)</f>
        <v>460</v>
      </c>
      <c r="B462" s="183">
        <v>19.0</v>
      </c>
      <c r="C462" s="27" t="s">
        <v>3404</v>
      </c>
      <c r="D462" s="27" t="s">
        <v>1046</v>
      </c>
      <c r="E462" s="129">
        <v>8068.0</v>
      </c>
      <c r="F462" s="66">
        <v>29501.037145614624</v>
      </c>
      <c r="G462" s="27" t="s">
        <v>3552</v>
      </c>
      <c r="H462" s="167">
        <v>45214.0</v>
      </c>
      <c r="I462" s="167">
        <v>45222.0</v>
      </c>
      <c r="J462" s="66">
        <v>34179.32239341736</v>
      </c>
      <c r="K462" s="1"/>
      <c r="L462" s="1"/>
      <c r="M462" s="1" t="str">
        <f>VLOOKUP(B462,Bounties!A:D,3,FALSE)</f>
        <v>Development</v>
      </c>
      <c r="N462" s="1" t="str">
        <f>VLOOKUP(B462,Bounties!A:D,4,FALSE)</f>
        <v>Smart Contracts</v>
      </c>
      <c r="O462" s="1" t="str">
        <f t="shared" ref="O462:P462" si="466">IF(ISBLANK(K462),M462,K462)</f>
        <v>Development</v>
      </c>
      <c r="P462" s="1" t="str">
        <f t="shared" si="466"/>
        <v>Smart Contracts</v>
      </c>
      <c r="Q462" s="108" t="str">
        <f t="shared" si="3"/>
        <v>2023</v>
      </c>
      <c r="R462" s="110">
        <f t="shared" si="4"/>
        <v>10</v>
      </c>
      <c r="S462" s="108" t="str">
        <f t="shared" si="5"/>
        <v>2023-Q4</v>
      </c>
      <c r="T462" s="111" t="str">
        <f t="shared" si="6"/>
        <v>2023-10</v>
      </c>
      <c r="U462" s="112" t="str">
        <f t="shared" si="7"/>
        <v>2023-H2</v>
      </c>
      <c r="V462" s="1" t="str">
        <f>VLOOKUP(B462,Bounties!A:E,2,FALSE)</f>
        <v>Wasm Smart Contracts Bounty</v>
      </c>
    </row>
    <row r="463" hidden="1">
      <c r="A463" s="109">
        <f>HYPERLINK("https://polkadot.subsquare.io/treasury/child-bounties/461", 461)</f>
        <v>461</v>
      </c>
      <c r="B463" s="183">
        <v>19.0</v>
      </c>
      <c r="C463" s="27" t="s">
        <v>3404</v>
      </c>
      <c r="D463" s="27" t="s">
        <v>1047</v>
      </c>
      <c r="E463" s="129">
        <v>12690.0</v>
      </c>
      <c r="F463" s="66">
        <v>53759.99022960663</v>
      </c>
      <c r="G463" s="27" t="s">
        <v>3553</v>
      </c>
      <c r="H463" s="167">
        <v>45222.0</v>
      </c>
      <c r="I463" s="167">
        <v>45249.0</v>
      </c>
      <c r="J463" s="66">
        <v>65643.65575790405</v>
      </c>
      <c r="K463" s="1"/>
      <c r="L463" s="1"/>
      <c r="M463" s="1" t="str">
        <f>VLOOKUP(B463,Bounties!A:D,3,FALSE)</f>
        <v>Development</v>
      </c>
      <c r="N463" s="1" t="str">
        <f>VLOOKUP(B463,Bounties!A:D,4,FALSE)</f>
        <v>Smart Contracts</v>
      </c>
      <c r="O463" s="1" t="str">
        <f t="shared" ref="O463:P463" si="467">IF(ISBLANK(K463),M463,K463)</f>
        <v>Development</v>
      </c>
      <c r="P463" s="1" t="str">
        <f t="shared" si="467"/>
        <v>Smart Contracts</v>
      </c>
      <c r="Q463" s="108" t="str">
        <f t="shared" si="3"/>
        <v>2023</v>
      </c>
      <c r="R463" s="110">
        <f t="shared" si="4"/>
        <v>11</v>
      </c>
      <c r="S463" s="108" t="str">
        <f t="shared" si="5"/>
        <v>2023-Q4</v>
      </c>
      <c r="T463" s="111" t="str">
        <f t="shared" si="6"/>
        <v>2023-11</v>
      </c>
      <c r="U463" s="112" t="str">
        <f t="shared" si="7"/>
        <v>2023-H2</v>
      </c>
      <c r="V463" s="1" t="str">
        <f>VLOOKUP(B463,Bounties!A:E,2,FALSE)</f>
        <v>Wasm Smart Contracts Bounty</v>
      </c>
    </row>
    <row r="464" hidden="1">
      <c r="A464" s="109">
        <f>HYPERLINK("https://polkadot.subsquare.io/treasury/child-bounties/462", 462)</f>
        <v>462</v>
      </c>
      <c r="B464" s="183">
        <v>19.0</v>
      </c>
      <c r="C464" s="27" t="s">
        <v>3404</v>
      </c>
      <c r="D464" s="27" t="s">
        <v>1048</v>
      </c>
      <c r="E464" s="129">
        <v>30150.0</v>
      </c>
      <c r="F464" s="66">
        <v>124801.7025232315</v>
      </c>
      <c r="G464" s="27" t="s">
        <v>3554</v>
      </c>
      <c r="H464" s="167">
        <v>45223.0</v>
      </c>
      <c r="I464" s="167">
        <v>45231.0</v>
      </c>
      <c r="J464" s="66">
        <v>141434.4402551651</v>
      </c>
      <c r="K464" s="1"/>
      <c r="L464" s="1"/>
      <c r="M464" s="1" t="str">
        <f>VLOOKUP(B464,Bounties!A:D,3,FALSE)</f>
        <v>Development</v>
      </c>
      <c r="N464" s="1" t="str">
        <f>VLOOKUP(B464,Bounties!A:D,4,FALSE)</f>
        <v>Smart Contracts</v>
      </c>
      <c r="O464" s="1" t="str">
        <f t="shared" ref="O464:P464" si="468">IF(ISBLANK(K464),M464,K464)</f>
        <v>Development</v>
      </c>
      <c r="P464" s="1" t="str">
        <f t="shared" si="468"/>
        <v>Smart Contracts</v>
      </c>
      <c r="Q464" s="108" t="str">
        <f t="shared" si="3"/>
        <v>2023</v>
      </c>
      <c r="R464" s="110">
        <f t="shared" si="4"/>
        <v>11</v>
      </c>
      <c r="S464" s="108" t="str">
        <f t="shared" si="5"/>
        <v>2023-Q4</v>
      </c>
      <c r="T464" s="111" t="str">
        <f t="shared" si="6"/>
        <v>2023-11</v>
      </c>
      <c r="U464" s="112" t="str">
        <f t="shared" si="7"/>
        <v>2023-H2</v>
      </c>
      <c r="V464" s="1" t="str">
        <f>VLOOKUP(B464,Bounties!A:E,2,FALSE)</f>
        <v>Wasm Smart Contracts Bounty</v>
      </c>
    </row>
    <row r="465" hidden="1">
      <c r="A465" s="109">
        <f>HYPERLINK("https://polkadot.subsquare.io/treasury/child-bounties/463", 463)</f>
        <v>463</v>
      </c>
      <c r="B465" s="183">
        <v>24.0</v>
      </c>
      <c r="C465" s="27" t="s">
        <v>3404</v>
      </c>
      <c r="D465" s="27" t="s">
        <v>1049</v>
      </c>
      <c r="E465" s="129">
        <v>347.6533399553</v>
      </c>
      <c r="F465" s="66">
        <v>1439.0623122490622</v>
      </c>
      <c r="G465" s="27" t="s">
        <v>3549</v>
      </c>
      <c r="H465" s="167">
        <v>45223.0</v>
      </c>
      <c r="I465" s="167">
        <v>45231.0</v>
      </c>
      <c r="J465" s="66">
        <v>1630.8509299972297</v>
      </c>
      <c r="K465" s="1"/>
      <c r="L465" s="1"/>
      <c r="M465" s="1" t="str">
        <f>VLOOKUP(B465,Bounties!A:D,3,FALSE)</f>
        <v>Outreach</v>
      </c>
      <c r="N465" s="1" t="str">
        <f>VLOOKUP(B465,Bounties!A:D,4,FALSE)</f>
        <v>Community Building</v>
      </c>
      <c r="O465" s="1" t="str">
        <f t="shared" ref="O465:P465" si="469">IF(ISBLANK(K465),M465,K465)</f>
        <v>Outreach</v>
      </c>
      <c r="P465" s="1" t="str">
        <f t="shared" si="469"/>
        <v>Community Building</v>
      </c>
      <c r="Q465" s="108" t="str">
        <f t="shared" si="3"/>
        <v>2023</v>
      </c>
      <c r="R465" s="110">
        <f t="shared" si="4"/>
        <v>11</v>
      </c>
      <c r="S465" s="108" t="str">
        <f t="shared" si="5"/>
        <v>2023-Q4</v>
      </c>
      <c r="T465" s="111" t="str">
        <f t="shared" si="6"/>
        <v>2023-11</v>
      </c>
      <c r="U465" s="112" t="str">
        <f t="shared" si="7"/>
        <v>2023-H2</v>
      </c>
      <c r="V465" s="1" t="str">
        <f>VLOOKUP(B465,Bounties!A:E,2,FALSE)</f>
        <v>Moderation Team Bounty</v>
      </c>
    </row>
    <row r="466" hidden="1">
      <c r="A466" s="109">
        <f>HYPERLINK("https://polkadot.subsquare.io/treasury/child-bounties/464", 464)</f>
        <v>464</v>
      </c>
      <c r="B466" s="183">
        <v>24.0</v>
      </c>
      <c r="C466" s="27" t="s">
        <v>3404</v>
      </c>
      <c r="D466" s="27" t="s">
        <v>1050</v>
      </c>
      <c r="E466" s="129">
        <v>347.6533399553</v>
      </c>
      <c r="F466" s="66">
        <v>1439.0623122490622</v>
      </c>
      <c r="G466" s="27" t="s">
        <v>3424</v>
      </c>
      <c r="H466" s="167">
        <v>45223.0</v>
      </c>
      <c r="I466" s="167">
        <v>45231.0</v>
      </c>
      <c r="J466" s="66">
        <v>1630.8509299972297</v>
      </c>
      <c r="K466" s="1"/>
      <c r="L466" s="1"/>
      <c r="M466" s="1" t="str">
        <f>VLOOKUP(B466,Bounties!A:D,3,FALSE)</f>
        <v>Outreach</v>
      </c>
      <c r="N466" s="1" t="str">
        <f>VLOOKUP(B466,Bounties!A:D,4,FALSE)</f>
        <v>Community Building</v>
      </c>
      <c r="O466" s="1" t="str">
        <f t="shared" ref="O466:P466" si="470">IF(ISBLANK(K466),M466,K466)</f>
        <v>Outreach</v>
      </c>
      <c r="P466" s="1" t="str">
        <f t="shared" si="470"/>
        <v>Community Building</v>
      </c>
      <c r="Q466" s="108" t="str">
        <f t="shared" si="3"/>
        <v>2023</v>
      </c>
      <c r="R466" s="110">
        <f t="shared" si="4"/>
        <v>11</v>
      </c>
      <c r="S466" s="108" t="str">
        <f t="shared" si="5"/>
        <v>2023-Q4</v>
      </c>
      <c r="T466" s="111" t="str">
        <f t="shared" si="6"/>
        <v>2023-11</v>
      </c>
      <c r="U466" s="112" t="str">
        <f t="shared" si="7"/>
        <v>2023-H2</v>
      </c>
      <c r="V466" s="1" t="str">
        <f>VLOOKUP(B466,Bounties!A:E,2,FALSE)</f>
        <v>Moderation Team Bounty</v>
      </c>
    </row>
    <row r="467" hidden="1">
      <c r="A467" s="109">
        <f>HYPERLINK("https://polkadot.subsquare.io/treasury/child-bounties/465", 465)</f>
        <v>465</v>
      </c>
      <c r="B467" s="183">
        <v>24.0</v>
      </c>
      <c r="C467" s="27" t="s">
        <v>3404</v>
      </c>
      <c r="D467" s="27" t="s">
        <v>1051</v>
      </c>
      <c r="E467" s="129">
        <v>347.6533399553</v>
      </c>
      <c r="F467" s="66">
        <v>1439.0623122490622</v>
      </c>
      <c r="G467" s="27" t="s">
        <v>3408</v>
      </c>
      <c r="H467" s="167">
        <v>45223.0</v>
      </c>
      <c r="I467" s="167">
        <v>45231.0</v>
      </c>
      <c r="J467" s="66">
        <v>1630.8509299972297</v>
      </c>
      <c r="K467" s="1"/>
      <c r="L467" s="1"/>
      <c r="M467" s="1" t="str">
        <f>VLOOKUP(B467,Bounties!A:D,3,FALSE)</f>
        <v>Outreach</v>
      </c>
      <c r="N467" s="1" t="str">
        <f>VLOOKUP(B467,Bounties!A:D,4,FALSE)</f>
        <v>Community Building</v>
      </c>
      <c r="O467" s="1" t="str">
        <f t="shared" ref="O467:P467" si="471">IF(ISBLANK(K467),M467,K467)</f>
        <v>Outreach</v>
      </c>
      <c r="P467" s="1" t="str">
        <f t="shared" si="471"/>
        <v>Community Building</v>
      </c>
      <c r="Q467" s="108" t="str">
        <f t="shared" si="3"/>
        <v>2023</v>
      </c>
      <c r="R467" s="110">
        <f t="shared" si="4"/>
        <v>11</v>
      </c>
      <c r="S467" s="108" t="str">
        <f t="shared" si="5"/>
        <v>2023-Q4</v>
      </c>
      <c r="T467" s="111" t="str">
        <f t="shared" si="6"/>
        <v>2023-11</v>
      </c>
      <c r="U467" s="112" t="str">
        <f t="shared" si="7"/>
        <v>2023-H2</v>
      </c>
      <c r="V467" s="1" t="str">
        <f>VLOOKUP(B467,Bounties!A:E,2,FALSE)</f>
        <v>Moderation Team Bounty</v>
      </c>
    </row>
    <row r="468" hidden="1">
      <c r="A468" s="109">
        <f>HYPERLINK("https://polkadot.subsquare.io/treasury/child-bounties/466", 466)</f>
        <v>466</v>
      </c>
      <c r="B468" s="183">
        <v>24.0</v>
      </c>
      <c r="C468" s="27" t="s">
        <v>3404</v>
      </c>
      <c r="D468" s="27" t="s">
        <v>1052</v>
      </c>
      <c r="E468" s="129">
        <v>347.6533399553</v>
      </c>
      <c r="F468" s="66">
        <v>1439.0623122490622</v>
      </c>
      <c r="G468" s="27" t="s">
        <v>3548</v>
      </c>
      <c r="H468" s="167">
        <v>45223.0</v>
      </c>
      <c r="I468" s="167">
        <v>45231.0</v>
      </c>
      <c r="J468" s="66">
        <v>1630.8509299972297</v>
      </c>
      <c r="K468" s="1"/>
      <c r="L468" s="1"/>
      <c r="M468" s="1" t="str">
        <f>VLOOKUP(B468,Bounties!A:D,3,FALSE)</f>
        <v>Outreach</v>
      </c>
      <c r="N468" s="1" t="str">
        <f>VLOOKUP(B468,Bounties!A:D,4,FALSE)</f>
        <v>Community Building</v>
      </c>
      <c r="O468" s="1" t="str">
        <f t="shared" ref="O468:P468" si="472">IF(ISBLANK(K468),M468,K468)</f>
        <v>Outreach</v>
      </c>
      <c r="P468" s="1" t="str">
        <f t="shared" si="472"/>
        <v>Community Building</v>
      </c>
      <c r="Q468" s="108" t="str">
        <f t="shared" si="3"/>
        <v>2023</v>
      </c>
      <c r="R468" s="110">
        <f t="shared" si="4"/>
        <v>11</v>
      </c>
      <c r="S468" s="108" t="str">
        <f t="shared" si="5"/>
        <v>2023-Q4</v>
      </c>
      <c r="T468" s="111" t="str">
        <f t="shared" si="6"/>
        <v>2023-11</v>
      </c>
      <c r="U468" s="112" t="str">
        <f t="shared" si="7"/>
        <v>2023-H2</v>
      </c>
      <c r="V468" s="1" t="str">
        <f>VLOOKUP(B468,Bounties!A:E,2,FALSE)</f>
        <v>Moderation Team Bounty</v>
      </c>
    </row>
    <row r="469" hidden="1">
      <c r="A469" s="109">
        <f>HYPERLINK("https://polkadot.subsquare.io/treasury/child-bounties/467", 467)</f>
        <v>467</v>
      </c>
      <c r="B469" s="183">
        <v>24.0</v>
      </c>
      <c r="C469" s="27" t="s">
        <v>3404</v>
      </c>
      <c r="D469" s="27" t="s">
        <v>1053</v>
      </c>
      <c r="E469" s="129">
        <v>347.6533399553</v>
      </c>
      <c r="F469" s="66">
        <v>1439.0623122490622</v>
      </c>
      <c r="G469" s="27" t="s">
        <v>3469</v>
      </c>
      <c r="H469" s="167">
        <v>45223.0</v>
      </c>
      <c r="I469" s="167">
        <v>45234.0</v>
      </c>
      <c r="J469" s="66">
        <v>1714.4482870506806</v>
      </c>
      <c r="K469" s="1"/>
      <c r="L469" s="1"/>
      <c r="M469" s="1" t="str">
        <f>VLOOKUP(B469,Bounties!A:D,3,FALSE)</f>
        <v>Outreach</v>
      </c>
      <c r="N469" s="1" t="str">
        <f>VLOOKUP(B469,Bounties!A:D,4,FALSE)</f>
        <v>Community Building</v>
      </c>
      <c r="O469" s="1" t="str">
        <f t="shared" ref="O469:P469" si="473">IF(ISBLANK(K469),M469,K469)</f>
        <v>Outreach</v>
      </c>
      <c r="P469" s="1" t="str">
        <f t="shared" si="473"/>
        <v>Community Building</v>
      </c>
      <c r="Q469" s="108" t="str">
        <f t="shared" si="3"/>
        <v>2023</v>
      </c>
      <c r="R469" s="110">
        <f t="shared" si="4"/>
        <v>11</v>
      </c>
      <c r="S469" s="108" t="str">
        <f t="shared" si="5"/>
        <v>2023-Q4</v>
      </c>
      <c r="T469" s="111" t="str">
        <f t="shared" si="6"/>
        <v>2023-11</v>
      </c>
      <c r="U469" s="112" t="str">
        <f t="shared" si="7"/>
        <v>2023-H2</v>
      </c>
      <c r="V469" s="1" t="str">
        <f>VLOOKUP(B469,Bounties!A:E,2,FALSE)</f>
        <v>Moderation Team Bounty</v>
      </c>
    </row>
    <row r="470" hidden="1">
      <c r="A470" s="109">
        <f>HYPERLINK("https://polkadot.subsquare.io/treasury/child-bounties/468", 468)</f>
        <v>468</v>
      </c>
      <c r="B470" s="183">
        <v>24.0</v>
      </c>
      <c r="C470" s="27" t="s">
        <v>3404</v>
      </c>
      <c r="D470" s="27" t="s">
        <v>1054</v>
      </c>
      <c r="E470" s="129">
        <v>381.1770548796</v>
      </c>
      <c r="F470" s="66">
        <v>1577.8290352160973</v>
      </c>
      <c r="G470" s="27" t="s">
        <v>3409</v>
      </c>
      <c r="H470" s="167">
        <v>45223.0</v>
      </c>
      <c r="I470" s="167">
        <v>45231.0</v>
      </c>
      <c r="J470" s="66">
        <v>1788.1115553900024</v>
      </c>
      <c r="K470" s="1"/>
      <c r="L470" s="1"/>
      <c r="M470" s="1" t="str">
        <f>VLOOKUP(B470,Bounties!A:D,3,FALSE)</f>
        <v>Outreach</v>
      </c>
      <c r="N470" s="1" t="str">
        <f>VLOOKUP(B470,Bounties!A:D,4,FALSE)</f>
        <v>Community Building</v>
      </c>
      <c r="O470" s="1" t="str">
        <f t="shared" ref="O470:P470" si="474">IF(ISBLANK(K470),M470,K470)</f>
        <v>Outreach</v>
      </c>
      <c r="P470" s="1" t="str">
        <f t="shared" si="474"/>
        <v>Community Building</v>
      </c>
      <c r="Q470" s="108" t="str">
        <f t="shared" si="3"/>
        <v>2023</v>
      </c>
      <c r="R470" s="110">
        <f t="shared" si="4"/>
        <v>11</v>
      </c>
      <c r="S470" s="108" t="str">
        <f t="shared" si="5"/>
        <v>2023-Q4</v>
      </c>
      <c r="T470" s="111" t="str">
        <f t="shared" si="6"/>
        <v>2023-11</v>
      </c>
      <c r="U470" s="112" t="str">
        <f t="shared" si="7"/>
        <v>2023-H2</v>
      </c>
      <c r="V470" s="1" t="str">
        <f>VLOOKUP(B470,Bounties!A:E,2,FALSE)</f>
        <v>Moderation Team Bounty</v>
      </c>
    </row>
    <row r="471" hidden="1">
      <c r="A471" s="109">
        <f>HYPERLINK("https://polkadot.subsquare.io/treasury/child-bounties/469", 469)</f>
        <v>469</v>
      </c>
      <c r="B471" s="183">
        <v>24.0</v>
      </c>
      <c r="C471" s="27" t="s">
        <v>3404</v>
      </c>
      <c r="D471" s="27" t="s">
        <v>1055</v>
      </c>
      <c r="E471" s="129">
        <v>381.1770548796</v>
      </c>
      <c r="F471" s="66">
        <v>1577.8290352160973</v>
      </c>
      <c r="G471" s="27" t="s">
        <v>3486</v>
      </c>
      <c r="H471" s="167">
        <v>45223.0</v>
      </c>
      <c r="I471" s="167">
        <v>45231.0</v>
      </c>
      <c r="J471" s="66">
        <v>1788.1115553900024</v>
      </c>
      <c r="K471" s="1"/>
      <c r="L471" s="1"/>
      <c r="M471" s="1" t="str">
        <f>VLOOKUP(B471,Bounties!A:D,3,FALSE)</f>
        <v>Outreach</v>
      </c>
      <c r="N471" s="1" t="str">
        <f>VLOOKUP(B471,Bounties!A:D,4,FALSE)</f>
        <v>Community Building</v>
      </c>
      <c r="O471" s="1" t="str">
        <f t="shared" ref="O471:P471" si="475">IF(ISBLANK(K471),M471,K471)</f>
        <v>Outreach</v>
      </c>
      <c r="P471" s="1" t="str">
        <f t="shared" si="475"/>
        <v>Community Building</v>
      </c>
      <c r="Q471" s="108" t="str">
        <f t="shared" si="3"/>
        <v>2023</v>
      </c>
      <c r="R471" s="110">
        <f t="shared" si="4"/>
        <v>11</v>
      </c>
      <c r="S471" s="108" t="str">
        <f t="shared" si="5"/>
        <v>2023-Q4</v>
      </c>
      <c r="T471" s="111" t="str">
        <f t="shared" si="6"/>
        <v>2023-11</v>
      </c>
      <c r="U471" s="112" t="str">
        <f t="shared" si="7"/>
        <v>2023-H2</v>
      </c>
      <c r="V471" s="1" t="str">
        <f>VLOOKUP(B471,Bounties!A:E,2,FALSE)</f>
        <v>Moderation Team Bounty</v>
      </c>
    </row>
    <row r="472" hidden="1">
      <c r="A472" s="109">
        <f>HYPERLINK("https://polkadot.subsquare.io/treasury/child-bounties/470", 470)</f>
        <v>470</v>
      </c>
      <c r="B472" s="183">
        <v>24.0</v>
      </c>
      <c r="C472" s="27" t="s">
        <v>3404</v>
      </c>
      <c r="D472" s="27" t="s">
        <v>1056</v>
      </c>
      <c r="E472" s="129">
        <v>347.6533399553</v>
      </c>
      <c r="F472" s="66">
        <v>1439.0623122490622</v>
      </c>
      <c r="G472" s="27" t="s">
        <v>3457</v>
      </c>
      <c r="H472" s="167">
        <v>45223.0</v>
      </c>
      <c r="I472" s="167">
        <v>45232.0</v>
      </c>
      <c r="J472" s="66">
        <v>1630.8509299972297</v>
      </c>
      <c r="K472" s="1"/>
      <c r="L472" s="1"/>
      <c r="M472" s="1" t="str">
        <f>VLOOKUP(B472,Bounties!A:D,3,FALSE)</f>
        <v>Outreach</v>
      </c>
      <c r="N472" s="1" t="str">
        <f>VLOOKUP(B472,Bounties!A:D,4,FALSE)</f>
        <v>Community Building</v>
      </c>
      <c r="O472" s="1" t="str">
        <f t="shared" ref="O472:P472" si="476">IF(ISBLANK(K472),M472,K472)</f>
        <v>Outreach</v>
      </c>
      <c r="P472" s="1" t="str">
        <f t="shared" si="476"/>
        <v>Community Building</v>
      </c>
      <c r="Q472" s="108" t="str">
        <f t="shared" si="3"/>
        <v>2023</v>
      </c>
      <c r="R472" s="110">
        <f t="shared" si="4"/>
        <v>11</v>
      </c>
      <c r="S472" s="108" t="str">
        <f t="shared" si="5"/>
        <v>2023-Q4</v>
      </c>
      <c r="T472" s="111" t="str">
        <f t="shared" si="6"/>
        <v>2023-11</v>
      </c>
      <c r="U472" s="112" t="str">
        <f t="shared" si="7"/>
        <v>2023-H2</v>
      </c>
      <c r="V472" s="1" t="str">
        <f>VLOOKUP(B472,Bounties!A:E,2,FALSE)</f>
        <v>Moderation Team Bounty</v>
      </c>
    </row>
    <row r="473" hidden="1">
      <c r="A473" s="109">
        <f>HYPERLINK("https://polkadot.subsquare.io/treasury/child-bounties/471", 471)</f>
        <v>471</v>
      </c>
      <c r="B473" s="183">
        <v>24.0</v>
      </c>
      <c r="C473" s="27" t="s">
        <v>3404</v>
      </c>
      <c r="D473" s="27" t="s">
        <v>1057</v>
      </c>
      <c r="E473" s="129">
        <v>347.6533399553</v>
      </c>
      <c r="F473" s="66">
        <v>1439.0623122490622</v>
      </c>
      <c r="G473" s="27" t="s">
        <v>3407</v>
      </c>
      <c r="H473" s="167">
        <v>45223.0</v>
      </c>
      <c r="I473" s="167">
        <v>45232.0</v>
      </c>
      <c r="J473" s="66">
        <v>1659.4258969848945</v>
      </c>
      <c r="K473" s="1"/>
      <c r="L473" s="1"/>
      <c r="M473" s="1" t="str">
        <f>VLOOKUP(B473,Bounties!A:D,3,FALSE)</f>
        <v>Outreach</v>
      </c>
      <c r="N473" s="1" t="str">
        <f>VLOOKUP(B473,Bounties!A:D,4,FALSE)</f>
        <v>Community Building</v>
      </c>
      <c r="O473" s="1" t="str">
        <f t="shared" ref="O473:P473" si="477">IF(ISBLANK(K473),M473,K473)</f>
        <v>Outreach</v>
      </c>
      <c r="P473" s="1" t="str">
        <f t="shared" si="477"/>
        <v>Community Building</v>
      </c>
      <c r="Q473" s="108" t="str">
        <f t="shared" si="3"/>
        <v>2023</v>
      </c>
      <c r="R473" s="110">
        <f t="shared" si="4"/>
        <v>11</v>
      </c>
      <c r="S473" s="108" t="str">
        <f t="shared" si="5"/>
        <v>2023-Q4</v>
      </c>
      <c r="T473" s="111" t="str">
        <f t="shared" si="6"/>
        <v>2023-11</v>
      </c>
      <c r="U473" s="112" t="str">
        <f t="shared" si="7"/>
        <v>2023-H2</v>
      </c>
      <c r="V473" s="1" t="str">
        <f>VLOOKUP(B473,Bounties!A:E,2,FALSE)</f>
        <v>Moderation Team Bounty</v>
      </c>
    </row>
    <row r="474" hidden="1">
      <c r="A474" s="109">
        <f>HYPERLINK("https://polkadot.subsquare.io/treasury/child-bounties/472", 472)</f>
        <v>472</v>
      </c>
      <c r="B474" s="183">
        <v>24.0</v>
      </c>
      <c r="C474" s="27" t="s">
        <v>3404</v>
      </c>
      <c r="D474" s="27" t="s">
        <v>1058</v>
      </c>
      <c r="E474" s="129">
        <v>347.6533399553</v>
      </c>
      <c r="F474" s="66">
        <v>1439.0623122490622</v>
      </c>
      <c r="G474" s="27" t="s">
        <v>3526</v>
      </c>
      <c r="H474" s="167">
        <v>45223.0</v>
      </c>
      <c r="I474" s="167">
        <v>45232.0</v>
      </c>
      <c r="J474" s="66">
        <v>1630.8509299972297</v>
      </c>
      <c r="K474" s="1"/>
      <c r="L474" s="1"/>
      <c r="M474" s="1" t="str">
        <f>VLOOKUP(B474,Bounties!A:D,3,FALSE)</f>
        <v>Outreach</v>
      </c>
      <c r="N474" s="1" t="str">
        <f>VLOOKUP(B474,Bounties!A:D,4,FALSE)</f>
        <v>Community Building</v>
      </c>
      <c r="O474" s="1" t="str">
        <f t="shared" ref="O474:P474" si="478">IF(ISBLANK(K474),M474,K474)</f>
        <v>Outreach</v>
      </c>
      <c r="P474" s="1" t="str">
        <f t="shared" si="478"/>
        <v>Community Building</v>
      </c>
      <c r="Q474" s="108" t="str">
        <f t="shared" si="3"/>
        <v>2023</v>
      </c>
      <c r="R474" s="110">
        <f t="shared" si="4"/>
        <v>11</v>
      </c>
      <c r="S474" s="108" t="str">
        <f t="shared" si="5"/>
        <v>2023-Q4</v>
      </c>
      <c r="T474" s="111" t="str">
        <f t="shared" si="6"/>
        <v>2023-11</v>
      </c>
      <c r="U474" s="112" t="str">
        <f t="shared" si="7"/>
        <v>2023-H2</v>
      </c>
      <c r="V474" s="1" t="str">
        <f>VLOOKUP(B474,Bounties!A:E,2,FALSE)</f>
        <v>Moderation Team Bounty</v>
      </c>
    </row>
    <row r="475" hidden="1">
      <c r="A475" s="109">
        <f>HYPERLINK("https://polkadot.subsquare.io/treasury/child-bounties/473", 473)</f>
        <v>473</v>
      </c>
      <c r="B475" s="183">
        <v>24.0</v>
      </c>
      <c r="C475" s="27" t="s">
        <v>3404</v>
      </c>
      <c r="D475" s="27" t="s">
        <v>1059</v>
      </c>
      <c r="E475" s="129">
        <v>409.7342935187</v>
      </c>
      <c r="F475" s="66">
        <v>1696.037725150488</v>
      </c>
      <c r="G475" s="27" t="s">
        <v>3550</v>
      </c>
      <c r="H475" s="167">
        <v>45223.0</v>
      </c>
      <c r="I475" s="167">
        <v>45231.0</v>
      </c>
      <c r="J475" s="66">
        <v>1922.0743103536602</v>
      </c>
      <c r="K475" s="1"/>
      <c r="L475" s="1"/>
      <c r="M475" s="1" t="str">
        <f>VLOOKUP(B475,Bounties!A:D,3,FALSE)</f>
        <v>Outreach</v>
      </c>
      <c r="N475" s="1" t="str">
        <f>VLOOKUP(B475,Bounties!A:D,4,FALSE)</f>
        <v>Community Building</v>
      </c>
      <c r="O475" s="1" t="str">
        <f t="shared" ref="O475:P475" si="479">IF(ISBLANK(K475),M475,K475)</f>
        <v>Outreach</v>
      </c>
      <c r="P475" s="1" t="str">
        <f t="shared" si="479"/>
        <v>Community Building</v>
      </c>
      <c r="Q475" s="108" t="str">
        <f t="shared" si="3"/>
        <v>2023</v>
      </c>
      <c r="R475" s="110">
        <f t="shared" si="4"/>
        <v>11</v>
      </c>
      <c r="S475" s="108" t="str">
        <f t="shared" si="5"/>
        <v>2023-Q4</v>
      </c>
      <c r="T475" s="111" t="str">
        <f t="shared" si="6"/>
        <v>2023-11</v>
      </c>
      <c r="U475" s="112" t="str">
        <f t="shared" si="7"/>
        <v>2023-H2</v>
      </c>
      <c r="V475" s="1" t="str">
        <f>VLOOKUP(B475,Bounties!A:E,2,FALSE)</f>
        <v>Moderation Team Bounty</v>
      </c>
    </row>
    <row r="476" hidden="1">
      <c r="A476" s="109">
        <f>HYPERLINK("https://polkadot.subsquare.io/treasury/child-bounties/474", 474)</f>
        <v>474</v>
      </c>
      <c r="B476" s="183">
        <v>24.0</v>
      </c>
      <c r="C476" s="27" t="s">
        <v>3404</v>
      </c>
      <c r="D476" s="27" t="s">
        <v>1060</v>
      </c>
      <c r="E476" s="129">
        <v>347.6533399553</v>
      </c>
      <c r="F476" s="66">
        <v>1439.0623122490622</v>
      </c>
      <c r="G476" s="27" t="s">
        <v>3406</v>
      </c>
      <c r="H476" s="167">
        <v>45223.0</v>
      </c>
      <c r="I476" s="167">
        <v>45236.0</v>
      </c>
      <c r="J476" s="66">
        <v>1756.89572224641</v>
      </c>
      <c r="K476" s="1"/>
      <c r="L476" s="1"/>
      <c r="M476" s="1" t="str">
        <f>VLOOKUP(B476,Bounties!A:D,3,FALSE)</f>
        <v>Outreach</v>
      </c>
      <c r="N476" s="1" t="str">
        <f>VLOOKUP(B476,Bounties!A:D,4,FALSE)</f>
        <v>Community Building</v>
      </c>
      <c r="O476" s="1" t="str">
        <f t="shared" ref="O476:P476" si="480">IF(ISBLANK(K476),M476,K476)</f>
        <v>Outreach</v>
      </c>
      <c r="P476" s="1" t="str">
        <f t="shared" si="480"/>
        <v>Community Building</v>
      </c>
      <c r="Q476" s="108" t="str">
        <f t="shared" si="3"/>
        <v>2023</v>
      </c>
      <c r="R476" s="110">
        <f t="shared" si="4"/>
        <v>11</v>
      </c>
      <c r="S476" s="108" t="str">
        <f t="shared" si="5"/>
        <v>2023-Q4</v>
      </c>
      <c r="T476" s="111" t="str">
        <f t="shared" si="6"/>
        <v>2023-11</v>
      </c>
      <c r="U476" s="112" t="str">
        <f t="shared" si="7"/>
        <v>2023-H2</v>
      </c>
      <c r="V476" s="1" t="str">
        <f>VLOOKUP(B476,Bounties!A:E,2,FALSE)</f>
        <v>Moderation Team Bounty</v>
      </c>
    </row>
    <row r="477" hidden="1">
      <c r="A477" s="109">
        <f>HYPERLINK("https://polkadot.subsquare.io/treasury/child-bounties/475", 475)</f>
        <v>475</v>
      </c>
      <c r="B477" s="183">
        <v>24.0</v>
      </c>
      <c r="C477" s="27" t="s">
        <v>3404</v>
      </c>
      <c r="D477" s="27" t="s">
        <v>1061</v>
      </c>
      <c r="E477" s="129">
        <v>347.6533399553</v>
      </c>
      <c r="F477" s="66">
        <v>1439.0623122490622</v>
      </c>
      <c r="G477" s="27" t="s">
        <v>3411</v>
      </c>
      <c r="H477" s="167">
        <v>45223.0</v>
      </c>
      <c r="I477" s="167">
        <v>45231.0</v>
      </c>
      <c r="J477" s="66">
        <v>1630.8509299972297</v>
      </c>
      <c r="K477" s="1"/>
      <c r="L477" s="1"/>
      <c r="M477" s="1" t="str">
        <f>VLOOKUP(B477,Bounties!A:D,3,FALSE)</f>
        <v>Outreach</v>
      </c>
      <c r="N477" s="1" t="str">
        <f>VLOOKUP(B477,Bounties!A:D,4,FALSE)</f>
        <v>Community Building</v>
      </c>
      <c r="O477" s="1" t="str">
        <f t="shared" ref="O477:P477" si="481">IF(ISBLANK(K477),M477,K477)</f>
        <v>Outreach</v>
      </c>
      <c r="P477" s="1" t="str">
        <f t="shared" si="481"/>
        <v>Community Building</v>
      </c>
      <c r="Q477" s="108" t="str">
        <f t="shared" si="3"/>
        <v>2023</v>
      </c>
      <c r="R477" s="110">
        <f t="shared" si="4"/>
        <v>11</v>
      </c>
      <c r="S477" s="108" t="str">
        <f t="shared" si="5"/>
        <v>2023-Q4</v>
      </c>
      <c r="T477" s="111" t="str">
        <f t="shared" si="6"/>
        <v>2023-11</v>
      </c>
      <c r="U477" s="112" t="str">
        <f t="shared" si="7"/>
        <v>2023-H2</v>
      </c>
      <c r="V477" s="1" t="str">
        <f>VLOOKUP(B477,Bounties!A:E,2,FALSE)</f>
        <v>Moderation Team Bounty</v>
      </c>
    </row>
    <row r="478" hidden="1">
      <c r="A478" s="109">
        <f>HYPERLINK("https://polkadot.subsquare.io/treasury/child-bounties/476", 476)</f>
        <v>476</v>
      </c>
      <c r="B478" s="183">
        <v>11.0</v>
      </c>
      <c r="C478" s="27" t="s">
        <v>3404</v>
      </c>
      <c r="D478" s="27" t="s">
        <v>1062</v>
      </c>
      <c r="E478" s="129">
        <v>117.2882946282</v>
      </c>
      <c r="F478" s="66">
        <v>543.6692471630788</v>
      </c>
      <c r="G478" s="27" t="s">
        <v>3457</v>
      </c>
      <c r="H478" s="167">
        <v>45229.0</v>
      </c>
      <c r="I478" s="167">
        <v>45238.0</v>
      </c>
      <c r="J478" s="66">
        <v>651.3212478247763</v>
      </c>
      <c r="K478" s="1"/>
      <c r="L478" s="1"/>
      <c r="M478" s="1" t="str">
        <f>VLOOKUP(B478,Bounties!A:D,3,FALSE)</f>
        <v>Research</v>
      </c>
      <c r="N478" s="1" t="str">
        <f>VLOOKUP(B478,Bounties!A:D,4,FALSE)</f>
        <v>Anti-Scam</v>
      </c>
      <c r="O478" s="1" t="str">
        <f t="shared" ref="O478:P478" si="482">IF(ISBLANK(K478),M478,K478)</f>
        <v>Research</v>
      </c>
      <c r="P478" s="1" t="str">
        <f t="shared" si="482"/>
        <v>Anti-Scam</v>
      </c>
      <c r="Q478" s="108" t="str">
        <f t="shared" si="3"/>
        <v>2023</v>
      </c>
      <c r="R478" s="110">
        <f t="shared" si="4"/>
        <v>11</v>
      </c>
      <c r="S478" s="108" t="str">
        <f t="shared" si="5"/>
        <v>2023-Q4</v>
      </c>
      <c r="T478" s="111" t="str">
        <f t="shared" si="6"/>
        <v>2023-11</v>
      </c>
      <c r="U478" s="112" t="str">
        <f t="shared" si="7"/>
        <v>2023-H2</v>
      </c>
      <c r="V478" s="1" t="str">
        <f>VLOOKUP(B478,Bounties!A:E,2,FALSE)</f>
        <v>Anti-Scam Bounty</v>
      </c>
    </row>
    <row r="479" hidden="1">
      <c r="A479" s="109">
        <f>HYPERLINK("https://polkadot.subsquare.io/treasury/child-bounties/477", 477)</f>
        <v>477</v>
      </c>
      <c r="B479" s="183">
        <v>11.0</v>
      </c>
      <c r="C479" s="27" t="s">
        <v>3404</v>
      </c>
      <c r="D479" s="27" t="s">
        <v>1063</v>
      </c>
      <c r="E479" s="129">
        <v>562.9838214154</v>
      </c>
      <c r="F479" s="66">
        <v>2609.6124197572967</v>
      </c>
      <c r="G479" s="27" t="s">
        <v>3424</v>
      </c>
      <c r="H479" s="167">
        <v>45229.0</v>
      </c>
      <c r="I479" s="167">
        <v>45238.0</v>
      </c>
      <c r="J479" s="66">
        <v>3126.3420295419355</v>
      </c>
      <c r="K479" s="1"/>
      <c r="L479" s="1"/>
      <c r="M479" s="1" t="str">
        <f>VLOOKUP(B479,Bounties!A:D,3,FALSE)</f>
        <v>Research</v>
      </c>
      <c r="N479" s="1" t="str">
        <f>VLOOKUP(B479,Bounties!A:D,4,FALSE)</f>
        <v>Anti-Scam</v>
      </c>
      <c r="O479" s="1" t="str">
        <f t="shared" ref="O479:P479" si="483">IF(ISBLANK(K479),M479,K479)</f>
        <v>Research</v>
      </c>
      <c r="P479" s="1" t="str">
        <f t="shared" si="483"/>
        <v>Anti-Scam</v>
      </c>
      <c r="Q479" s="108" t="str">
        <f t="shared" si="3"/>
        <v>2023</v>
      </c>
      <c r="R479" s="110">
        <f t="shared" si="4"/>
        <v>11</v>
      </c>
      <c r="S479" s="108" t="str">
        <f t="shared" si="5"/>
        <v>2023-Q4</v>
      </c>
      <c r="T479" s="111" t="str">
        <f t="shared" si="6"/>
        <v>2023-11</v>
      </c>
      <c r="U479" s="112" t="str">
        <f t="shared" si="7"/>
        <v>2023-H2</v>
      </c>
      <c r="V479" s="1" t="str">
        <f>VLOOKUP(B479,Bounties!A:E,2,FALSE)</f>
        <v>Anti-Scam Bounty</v>
      </c>
    </row>
    <row r="480" hidden="1">
      <c r="A480" s="109">
        <f>HYPERLINK("https://polkadot.subsquare.io/treasury/child-bounties/478", 478)</f>
        <v>478</v>
      </c>
      <c r="B480" s="183">
        <v>19.0</v>
      </c>
      <c r="C480" s="27" t="s">
        <v>3404</v>
      </c>
      <c r="D480" s="27" t="s">
        <v>1064</v>
      </c>
      <c r="E480" s="129">
        <v>5870.0</v>
      </c>
      <c r="F480" s="66">
        <v>27092.948455810547</v>
      </c>
      <c r="G480" s="27" t="s">
        <v>3555</v>
      </c>
      <c r="H480" s="167">
        <v>45230.0</v>
      </c>
      <c r="I480" s="167">
        <v>45238.0</v>
      </c>
      <c r="J480" s="66">
        <v>32597.078309059143</v>
      </c>
      <c r="K480" s="1"/>
      <c r="L480" s="1"/>
      <c r="M480" s="1" t="str">
        <f>VLOOKUP(B480,Bounties!A:D,3,FALSE)</f>
        <v>Development</v>
      </c>
      <c r="N480" s="1" t="str">
        <f>VLOOKUP(B480,Bounties!A:D,4,FALSE)</f>
        <v>Smart Contracts</v>
      </c>
      <c r="O480" s="1" t="str">
        <f t="shared" ref="O480:P480" si="484">IF(ISBLANK(K480),M480,K480)</f>
        <v>Development</v>
      </c>
      <c r="P480" s="1" t="str">
        <f t="shared" si="484"/>
        <v>Smart Contracts</v>
      </c>
      <c r="Q480" s="108" t="str">
        <f t="shared" si="3"/>
        <v>2023</v>
      </c>
      <c r="R480" s="110">
        <f t="shared" si="4"/>
        <v>11</v>
      </c>
      <c r="S480" s="108" t="str">
        <f t="shared" si="5"/>
        <v>2023-Q4</v>
      </c>
      <c r="T480" s="111" t="str">
        <f t="shared" si="6"/>
        <v>2023-11</v>
      </c>
      <c r="U480" s="112" t="str">
        <f t="shared" si="7"/>
        <v>2023-H2</v>
      </c>
      <c r="V480" s="1" t="str">
        <f>VLOOKUP(B480,Bounties!A:E,2,FALSE)</f>
        <v>Wasm Smart Contracts Bounty</v>
      </c>
    </row>
    <row r="481" hidden="1">
      <c r="A481" s="109">
        <f>HYPERLINK("https://polkadot.subsquare.io/treasury/child-bounties/479", 479)</f>
        <v>479</v>
      </c>
      <c r="B481" s="183">
        <v>11.0</v>
      </c>
      <c r="C481" s="27" t="s">
        <v>3404</v>
      </c>
      <c r="D481" s="27" t="s">
        <v>1065</v>
      </c>
      <c r="E481" s="129">
        <v>337.7902885292</v>
      </c>
      <c r="F481" s="66">
        <v>1559.0689737640525</v>
      </c>
      <c r="G481" s="27" t="s">
        <v>3409</v>
      </c>
      <c r="H481" s="167">
        <v>45230.0</v>
      </c>
      <c r="I481" s="167">
        <v>45238.0</v>
      </c>
      <c r="J481" s="66">
        <v>1875.8051937352666</v>
      </c>
      <c r="K481" s="1"/>
      <c r="L481" s="1"/>
      <c r="M481" s="1" t="str">
        <f>VLOOKUP(B481,Bounties!A:D,3,FALSE)</f>
        <v>Research</v>
      </c>
      <c r="N481" s="1" t="str">
        <f>VLOOKUP(B481,Bounties!A:D,4,FALSE)</f>
        <v>Anti-Scam</v>
      </c>
      <c r="O481" s="1" t="str">
        <f t="shared" ref="O481:P481" si="485">IF(ISBLANK(K481),M481,K481)</f>
        <v>Research</v>
      </c>
      <c r="P481" s="1" t="str">
        <f t="shared" si="485"/>
        <v>Anti-Scam</v>
      </c>
      <c r="Q481" s="108" t="str">
        <f t="shared" si="3"/>
        <v>2023</v>
      </c>
      <c r="R481" s="110">
        <f t="shared" si="4"/>
        <v>11</v>
      </c>
      <c r="S481" s="108" t="str">
        <f t="shared" si="5"/>
        <v>2023-Q4</v>
      </c>
      <c r="T481" s="111" t="str">
        <f t="shared" si="6"/>
        <v>2023-11</v>
      </c>
      <c r="U481" s="112" t="str">
        <f t="shared" si="7"/>
        <v>2023-H2</v>
      </c>
      <c r="V481" s="1" t="str">
        <f>VLOOKUP(B481,Bounties!A:E,2,FALSE)</f>
        <v>Anti-Scam Bounty</v>
      </c>
    </row>
    <row r="482" hidden="1">
      <c r="A482" s="109">
        <f>HYPERLINK("https://polkadot.subsquare.io/treasury/child-bounties/480", 480)</f>
        <v>480</v>
      </c>
      <c r="B482" s="183">
        <v>11.0</v>
      </c>
      <c r="C482" s="27" t="s">
        <v>3404</v>
      </c>
      <c r="D482" s="27" t="s">
        <v>1066</v>
      </c>
      <c r="E482" s="129">
        <v>394.0886699507</v>
      </c>
      <c r="F482" s="66">
        <v>1818.9138027245742</v>
      </c>
      <c r="G482" s="27" t="s">
        <v>3411</v>
      </c>
      <c r="H482" s="167">
        <v>45230.0</v>
      </c>
      <c r="I482" s="167">
        <v>45238.0</v>
      </c>
      <c r="J482" s="66">
        <v>2188.4393926909593</v>
      </c>
      <c r="K482" s="1"/>
      <c r="L482" s="1"/>
      <c r="M482" s="1" t="str">
        <f>VLOOKUP(B482,Bounties!A:D,3,FALSE)</f>
        <v>Research</v>
      </c>
      <c r="N482" s="1" t="str">
        <f>VLOOKUP(B482,Bounties!A:D,4,FALSE)</f>
        <v>Anti-Scam</v>
      </c>
      <c r="O482" s="1" t="str">
        <f t="shared" ref="O482:P482" si="486">IF(ISBLANK(K482),M482,K482)</f>
        <v>Research</v>
      </c>
      <c r="P482" s="1" t="str">
        <f t="shared" si="486"/>
        <v>Anti-Scam</v>
      </c>
      <c r="Q482" s="108" t="str">
        <f t="shared" si="3"/>
        <v>2023</v>
      </c>
      <c r="R482" s="110">
        <f t="shared" si="4"/>
        <v>11</v>
      </c>
      <c r="S482" s="108" t="str">
        <f t="shared" si="5"/>
        <v>2023-Q4</v>
      </c>
      <c r="T482" s="111" t="str">
        <f t="shared" si="6"/>
        <v>2023-11</v>
      </c>
      <c r="U482" s="112" t="str">
        <f t="shared" si="7"/>
        <v>2023-H2</v>
      </c>
      <c r="V482" s="1" t="str">
        <f>VLOOKUP(B482,Bounties!A:E,2,FALSE)</f>
        <v>Anti-Scam Bounty</v>
      </c>
    </row>
    <row r="483" hidden="1">
      <c r="A483" s="109">
        <f>HYPERLINK("https://polkadot.subsquare.io/treasury/child-bounties/481", 481)</f>
        <v>481</v>
      </c>
      <c r="B483" s="183">
        <v>11.0</v>
      </c>
      <c r="C483" s="27" t="s">
        <v>3404</v>
      </c>
      <c r="D483" s="27" t="s">
        <v>1067</v>
      </c>
      <c r="E483" s="129">
        <v>117.2882946282</v>
      </c>
      <c r="F483" s="66">
        <v>541.3433936680995</v>
      </c>
      <c r="G483" s="27" t="s">
        <v>3409</v>
      </c>
      <c r="H483" s="167">
        <v>45230.0</v>
      </c>
      <c r="I483" s="167">
        <v>45238.0</v>
      </c>
      <c r="J483" s="66">
        <v>651.3212478247763</v>
      </c>
      <c r="K483" s="1"/>
      <c r="L483" s="1"/>
      <c r="M483" s="1" t="str">
        <f>VLOOKUP(B483,Bounties!A:D,3,FALSE)</f>
        <v>Research</v>
      </c>
      <c r="N483" s="1" t="str">
        <f>VLOOKUP(B483,Bounties!A:D,4,FALSE)</f>
        <v>Anti-Scam</v>
      </c>
      <c r="O483" s="1" t="str">
        <f t="shared" ref="O483:P483" si="487">IF(ISBLANK(K483),M483,K483)</f>
        <v>Research</v>
      </c>
      <c r="P483" s="1" t="str">
        <f t="shared" si="487"/>
        <v>Anti-Scam</v>
      </c>
      <c r="Q483" s="108" t="str">
        <f t="shared" si="3"/>
        <v>2023</v>
      </c>
      <c r="R483" s="110">
        <f t="shared" si="4"/>
        <v>11</v>
      </c>
      <c r="S483" s="108" t="str">
        <f t="shared" si="5"/>
        <v>2023-Q4</v>
      </c>
      <c r="T483" s="111" t="str">
        <f t="shared" si="6"/>
        <v>2023-11</v>
      </c>
      <c r="U483" s="112" t="str">
        <f t="shared" si="7"/>
        <v>2023-H2</v>
      </c>
      <c r="V483" s="1" t="str">
        <f>VLOOKUP(B483,Bounties!A:E,2,FALSE)</f>
        <v>Anti-Scam Bounty</v>
      </c>
    </row>
    <row r="484" hidden="1">
      <c r="A484" s="109">
        <f>HYPERLINK("https://polkadot.subsquare.io/treasury/child-bounties/482", 482)</f>
        <v>482</v>
      </c>
      <c r="B484" s="183">
        <v>11.0</v>
      </c>
      <c r="C484" s="27" t="s">
        <v>3404</v>
      </c>
      <c r="D484" s="27" t="s">
        <v>1068</v>
      </c>
      <c r="E484" s="129">
        <v>10.0117288295</v>
      </c>
      <c r="F484" s="66">
        <v>46.20907208367904</v>
      </c>
      <c r="G484" s="27" t="s">
        <v>3407</v>
      </c>
      <c r="H484" s="167">
        <v>45230.0</v>
      </c>
      <c r="I484" s="167">
        <v>45240.0</v>
      </c>
      <c r="J484" s="66">
        <v>53.746646162747666</v>
      </c>
      <c r="K484" s="1"/>
      <c r="L484" s="1"/>
      <c r="M484" s="1" t="str">
        <f>VLOOKUP(B484,Bounties!A:D,3,FALSE)</f>
        <v>Research</v>
      </c>
      <c r="N484" s="1" t="str">
        <f>VLOOKUP(B484,Bounties!A:D,4,FALSE)</f>
        <v>Anti-Scam</v>
      </c>
      <c r="O484" s="1" t="str">
        <f t="shared" ref="O484:P484" si="488">IF(ISBLANK(K484),M484,K484)</f>
        <v>Research</v>
      </c>
      <c r="P484" s="1" t="str">
        <f t="shared" si="488"/>
        <v>Anti-Scam</v>
      </c>
      <c r="Q484" s="108" t="str">
        <f t="shared" si="3"/>
        <v>2023</v>
      </c>
      <c r="R484" s="110">
        <f t="shared" si="4"/>
        <v>11</v>
      </c>
      <c r="S484" s="108" t="str">
        <f t="shared" si="5"/>
        <v>2023-Q4</v>
      </c>
      <c r="T484" s="111" t="str">
        <f t="shared" si="6"/>
        <v>2023-11</v>
      </c>
      <c r="U484" s="112" t="str">
        <f t="shared" si="7"/>
        <v>2023-H2</v>
      </c>
      <c r="V484" s="1" t="str">
        <f>VLOOKUP(B484,Bounties!A:E,2,FALSE)</f>
        <v>Anti-Scam Bounty</v>
      </c>
    </row>
    <row r="485" hidden="1">
      <c r="A485" s="109">
        <f>HYPERLINK("https://polkadot.subsquare.io/treasury/child-bounties/483", 483)</f>
        <v>483</v>
      </c>
      <c r="B485" s="183">
        <v>19.0</v>
      </c>
      <c r="C485" s="27" t="s">
        <v>3404</v>
      </c>
      <c r="D485" s="27" t="s">
        <v>1069</v>
      </c>
      <c r="E485" s="129">
        <v>20581.0</v>
      </c>
      <c r="F485" s="66">
        <v>94991.47737121582</v>
      </c>
      <c r="G485" s="27" t="s">
        <v>3556</v>
      </c>
      <c r="H485" s="167">
        <v>45230.0</v>
      </c>
      <c r="I485" s="167">
        <v>45238.0</v>
      </c>
      <c r="J485" s="66">
        <v>114289.68802022934</v>
      </c>
      <c r="K485" s="1"/>
      <c r="L485" s="1"/>
      <c r="M485" s="1" t="str">
        <f>VLOOKUP(B485,Bounties!A:D,3,FALSE)</f>
        <v>Development</v>
      </c>
      <c r="N485" s="1" t="str">
        <f>VLOOKUP(B485,Bounties!A:D,4,FALSE)</f>
        <v>Smart Contracts</v>
      </c>
      <c r="O485" s="1" t="str">
        <f t="shared" ref="O485:P485" si="489">IF(ISBLANK(K485),M485,K485)</f>
        <v>Development</v>
      </c>
      <c r="P485" s="1" t="str">
        <f t="shared" si="489"/>
        <v>Smart Contracts</v>
      </c>
      <c r="Q485" s="108" t="str">
        <f t="shared" si="3"/>
        <v>2023</v>
      </c>
      <c r="R485" s="110">
        <f t="shared" si="4"/>
        <v>11</v>
      </c>
      <c r="S485" s="108" t="str">
        <f t="shared" si="5"/>
        <v>2023-Q4</v>
      </c>
      <c r="T485" s="111" t="str">
        <f t="shared" si="6"/>
        <v>2023-11</v>
      </c>
      <c r="U485" s="112" t="str">
        <f t="shared" si="7"/>
        <v>2023-H2</v>
      </c>
      <c r="V485" s="1" t="str">
        <f>VLOOKUP(B485,Bounties!A:E,2,FALSE)</f>
        <v>Wasm Smart Contracts Bounty</v>
      </c>
    </row>
    <row r="486" hidden="1">
      <c r="A486" s="109">
        <f>HYPERLINK("https://polkadot.subsquare.io/treasury/child-bounties/484", 484)</f>
        <v>484</v>
      </c>
      <c r="B486" s="183">
        <v>11.0</v>
      </c>
      <c r="C486" s="27" t="s">
        <v>3404</v>
      </c>
      <c r="D486" s="27" t="s">
        <v>1070</v>
      </c>
      <c r="E486" s="129">
        <v>168.8951442646</v>
      </c>
      <c r="F486" s="66">
        <v>779.5344868820263</v>
      </c>
      <c r="G486" s="27" t="s">
        <v>3406</v>
      </c>
      <c r="H486" s="167">
        <v>45230.0</v>
      </c>
      <c r="I486" s="167">
        <v>45242.0</v>
      </c>
      <c r="J486" s="66">
        <v>878.7153003754246</v>
      </c>
      <c r="K486" s="1"/>
      <c r="L486" s="1"/>
      <c r="M486" s="1" t="str">
        <f>VLOOKUP(B486,Bounties!A:D,3,FALSE)</f>
        <v>Research</v>
      </c>
      <c r="N486" s="1" t="str">
        <f>VLOOKUP(B486,Bounties!A:D,4,FALSE)</f>
        <v>Anti-Scam</v>
      </c>
      <c r="O486" s="1" t="str">
        <f t="shared" ref="O486:P486" si="490">IF(ISBLANK(K486),M486,K486)</f>
        <v>Research</v>
      </c>
      <c r="P486" s="1" t="str">
        <f t="shared" si="490"/>
        <v>Anti-Scam</v>
      </c>
      <c r="Q486" s="108" t="str">
        <f t="shared" si="3"/>
        <v>2023</v>
      </c>
      <c r="R486" s="110">
        <f t="shared" si="4"/>
        <v>11</v>
      </c>
      <c r="S486" s="108" t="str">
        <f t="shared" si="5"/>
        <v>2023-Q4</v>
      </c>
      <c r="T486" s="111" t="str">
        <f t="shared" si="6"/>
        <v>2023-11</v>
      </c>
      <c r="U486" s="112" t="str">
        <f t="shared" si="7"/>
        <v>2023-H2</v>
      </c>
      <c r="V486" s="1" t="str">
        <f>VLOOKUP(B486,Bounties!A:E,2,FALSE)</f>
        <v>Anti-Scam Bounty</v>
      </c>
    </row>
    <row r="487" hidden="1">
      <c r="A487" s="109">
        <f>HYPERLINK("https://polkadot.subsquare.io/treasury/child-bounties/485", 485)</f>
        <v>485</v>
      </c>
      <c r="B487" s="183">
        <v>11.0</v>
      </c>
      <c r="C487" s="27" t="s">
        <v>3404</v>
      </c>
      <c r="D487" s="27" t="s">
        <v>1071</v>
      </c>
      <c r="E487" s="129">
        <v>337.7902885292</v>
      </c>
      <c r="F487" s="66">
        <v>1559.0689737640525</v>
      </c>
      <c r="G487" s="27" t="s">
        <v>3407</v>
      </c>
      <c r="H487" s="167">
        <v>45230.0</v>
      </c>
      <c r="I487" s="167">
        <v>45240.0</v>
      </c>
      <c r="J487" s="66">
        <v>1813.3826259153727</v>
      </c>
      <c r="K487" s="1"/>
      <c r="L487" s="1"/>
      <c r="M487" s="1" t="str">
        <f>VLOOKUP(B487,Bounties!A:D,3,FALSE)</f>
        <v>Research</v>
      </c>
      <c r="N487" s="1" t="str">
        <f>VLOOKUP(B487,Bounties!A:D,4,FALSE)</f>
        <v>Anti-Scam</v>
      </c>
      <c r="O487" s="1" t="str">
        <f t="shared" ref="O487:P487" si="491">IF(ISBLANK(K487),M487,K487)</f>
        <v>Research</v>
      </c>
      <c r="P487" s="1" t="str">
        <f t="shared" si="491"/>
        <v>Anti-Scam</v>
      </c>
      <c r="Q487" s="108" t="str">
        <f t="shared" si="3"/>
        <v>2023</v>
      </c>
      <c r="R487" s="110">
        <f t="shared" si="4"/>
        <v>11</v>
      </c>
      <c r="S487" s="108" t="str">
        <f t="shared" si="5"/>
        <v>2023-Q4</v>
      </c>
      <c r="T487" s="111" t="str">
        <f t="shared" si="6"/>
        <v>2023-11</v>
      </c>
      <c r="U487" s="112" t="str">
        <f t="shared" si="7"/>
        <v>2023-H2</v>
      </c>
      <c r="V487" s="1" t="str">
        <f>VLOOKUP(B487,Bounties!A:E,2,FALSE)</f>
        <v>Anti-Scam Bounty</v>
      </c>
    </row>
    <row r="488" hidden="1">
      <c r="A488" s="109">
        <f>HYPERLINK("https://polkadot.subsquare.io/treasury/child-bounties/486", 486)</f>
        <v>486</v>
      </c>
      <c r="B488" s="183">
        <v>11.0</v>
      </c>
      <c r="C488" s="27" t="s">
        <v>3404</v>
      </c>
      <c r="D488" s="27" t="s">
        <v>1072</v>
      </c>
      <c r="E488" s="129">
        <v>117.2882946282</v>
      </c>
      <c r="F488" s="66">
        <v>541.3433936680995</v>
      </c>
      <c r="G488" s="27" t="s">
        <v>3486</v>
      </c>
      <c r="H488" s="167">
        <v>45230.0</v>
      </c>
      <c r="I488" s="167">
        <v>45239.0</v>
      </c>
      <c r="J488" s="66">
        <v>669.4686879805435</v>
      </c>
      <c r="K488" s="1"/>
      <c r="L488" s="1"/>
      <c r="M488" s="1" t="str">
        <f>VLOOKUP(B488,Bounties!A:D,3,FALSE)</f>
        <v>Research</v>
      </c>
      <c r="N488" s="1" t="str">
        <f>VLOOKUP(B488,Bounties!A:D,4,FALSE)</f>
        <v>Anti-Scam</v>
      </c>
      <c r="O488" s="1" t="str">
        <f t="shared" ref="O488:P488" si="492">IF(ISBLANK(K488),M488,K488)</f>
        <v>Research</v>
      </c>
      <c r="P488" s="1" t="str">
        <f t="shared" si="492"/>
        <v>Anti-Scam</v>
      </c>
      <c r="Q488" s="108" t="str">
        <f t="shared" si="3"/>
        <v>2023</v>
      </c>
      <c r="R488" s="110">
        <f t="shared" si="4"/>
        <v>11</v>
      </c>
      <c r="S488" s="108" t="str">
        <f t="shared" si="5"/>
        <v>2023-Q4</v>
      </c>
      <c r="T488" s="111" t="str">
        <f t="shared" si="6"/>
        <v>2023-11</v>
      </c>
      <c r="U488" s="112" t="str">
        <f t="shared" si="7"/>
        <v>2023-H2</v>
      </c>
      <c r="V488" s="1" t="str">
        <f>VLOOKUP(B488,Bounties!A:E,2,FALSE)</f>
        <v>Anti-Scam Bounty</v>
      </c>
    </row>
    <row r="489" hidden="1">
      <c r="A489" s="109">
        <f>HYPERLINK("https://polkadot.subsquare.io/treasury/child-bounties/487", 487)</f>
        <v>487</v>
      </c>
      <c r="B489" s="183">
        <v>11.0</v>
      </c>
      <c r="C489" s="27" t="s">
        <v>3404</v>
      </c>
      <c r="D489" s="27" t="s">
        <v>1073</v>
      </c>
      <c r="E489" s="129">
        <v>8.4400656814</v>
      </c>
      <c r="F489" s="66">
        <v>38.95507060814748</v>
      </c>
      <c r="G489" s="27" t="s">
        <v>3424</v>
      </c>
      <c r="H489" s="167">
        <v>45230.0</v>
      </c>
      <c r="I489" s="167">
        <v>45242.0</v>
      </c>
      <c r="J489" s="66">
        <v>43.91135626019401</v>
      </c>
      <c r="K489" s="1"/>
      <c r="L489" s="1"/>
      <c r="M489" s="1" t="str">
        <f>VLOOKUP(B489,Bounties!A:D,3,FALSE)</f>
        <v>Research</v>
      </c>
      <c r="N489" s="1" t="str">
        <f>VLOOKUP(B489,Bounties!A:D,4,FALSE)</f>
        <v>Anti-Scam</v>
      </c>
      <c r="O489" s="1" t="str">
        <f t="shared" ref="O489:P489" si="493">IF(ISBLANK(K489),M489,K489)</f>
        <v>Research</v>
      </c>
      <c r="P489" s="1" t="str">
        <f t="shared" si="493"/>
        <v>Anti-Scam</v>
      </c>
      <c r="Q489" s="108" t="str">
        <f t="shared" si="3"/>
        <v>2023</v>
      </c>
      <c r="R489" s="110">
        <f t="shared" si="4"/>
        <v>11</v>
      </c>
      <c r="S489" s="108" t="str">
        <f t="shared" si="5"/>
        <v>2023-Q4</v>
      </c>
      <c r="T489" s="111" t="str">
        <f t="shared" si="6"/>
        <v>2023-11</v>
      </c>
      <c r="U489" s="112" t="str">
        <f t="shared" si="7"/>
        <v>2023-H2</v>
      </c>
      <c r="V489" s="1" t="str">
        <f>VLOOKUP(B489,Bounties!A:E,2,FALSE)</f>
        <v>Anti-Scam Bounty</v>
      </c>
    </row>
    <row r="490" hidden="1">
      <c r="A490" s="109">
        <f>HYPERLINK("https://polkadot.subsquare.io/treasury/child-bounties/488", 488)</f>
        <v>488</v>
      </c>
      <c r="B490" s="183">
        <v>11.0</v>
      </c>
      <c r="C490" s="27" t="s">
        <v>3404</v>
      </c>
      <c r="D490" s="27" t="s">
        <v>1074</v>
      </c>
      <c r="E490" s="129">
        <v>140.7459535538</v>
      </c>
      <c r="F490" s="66">
        <v>649.6120724015348</v>
      </c>
      <c r="G490" s="27" t="s">
        <v>3470</v>
      </c>
      <c r="H490" s="167">
        <v>45230.0</v>
      </c>
      <c r="I490" s="167">
        <v>45241.0</v>
      </c>
      <c r="J490" s="66">
        <v>755.5760941312265</v>
      </c>
      <c r="K490" s="1"/>
      <c r="L490" s="1"/>
      <c r="M490" s="1" t="str">
        <f>VLOOKUP(B490,Bounties!A:D,3,FALSE)</f>
        <v>Research</v>
      </c>
      <c r="N490" s="1" t="str">
        <f>VLOOKUP(B490,Bounties!A:D,4,FALSE)</f>
        <v>Anti-Scam</v>
      </c>
      <c r="O490" s="1" t="str">
        <f t="shared" ref="O490:P490" si="494">IF(ISBLANK(K490),M490,K490)</f>
        <v>Research</v>
      </c>
      <c r="P490" s="1" t="str">
        <f t="shared" si="494"/>
        <v>Anti-Scam</v>
      </c>
      <c r="Q490" s="108" t="str">
        <f t="shared" si="3"/>
        <v>2023</v>
      </c>
      <c r="R490" s="110">
        <f t="shared" si="4"/>
        <v>11</v>
      </c>
      <c r="S490" s="108" t="str">
        <f t="shared" si="5"/>
        <v>2023-Q4</v>
      </c>
      <c r="T490" s="111" t="str">
        <f t="shared" si="6"/>
        <v>2023-11</v>
      </c>
      <c r="U490" s="112" t="str">
        <f t="shared" si="7"/>
        <v>2023-H2</v>
      </c>
      <c r="V490" s="1" t="str">
        <f>VLOOKUP(B490,Bounties!A:E,2,FALSE)</f>
        <v>Anti-Scam Bounty</v>
      </c>
    </row>
    <row r="491" hidden="1">
      <c r="A491" s="109">
        <f>HYPERLINK("https://polkadot.subsquare.io/treasury/child-bounties/489", 489)</f>
        <v>489</v>
      </c>
      <c r="B491" s="183">
        <v>11.0</v>
      </c>
      <c r="C491" s="27" t="s">
        <v>3404</v>
      </c>
      <c r="D491" s="27" t="s">
        <v>1075</v>
      </c>
      <c r="E491" s="129">
        <v>117.2882946282</v>
      </c>
      <c r="F491" s="66">
        <v>541.3433936680995</v>
      </c>
      <c r="G491" s="27" t="s">
        <v>3439</v>
      </c>
      <c r="H491" s="167">
        <v>45230.0</v>
      </c>
      <c r="I491" s="167">
        <v>45242.0</v>
      </c>
      <c r="J491" s="66">
        <v>610.2189585940738</v>
      </c>
      <c r="K491" s="1"/>
      <c r="L491" s="1"/>
      <c r="M491" s="1" t="str">
        <f>VLOOKUP(B491,Bounties!A:D,3,FALSE)</f>
        <v>Research</v>
      </c>
      <c r="N491" s="1" t="str">
        <f>VLOOKUP(B491,Bounties!A:D,4,FALSE)</f>
        <v>Anti-Scam</v>
      </c>
      <c r="O491" s="1" t="str">
        <f t="shared" ref="O491:P491" si="495">IF(ISBLANK(K491),M491,K491)</f>
        <v>Research</v>
      </c>
      <c r="P491" s="1" t="str">
        <f t="shared" si="495"/>
        <v>Anti-Scam</v>
      </c>
      <c r="Q491" s="108" t="str">
        <f t="shared" si="3"/>
        <v>2023</v>
      </c>
      <c r="R491" s="110">
        <f t="shared" si="4"/>
        <v>11</v>
      </c>
      <c r="S491" s="108" t="str">
        <f t="shared" si="5"/>
        <v>2023-Q4</v>
      </c>
      <c r="T491" s="111" t="str">
        <f t="shared" si="6"/>
        <v>2023-11</v>
      </c>
      <c r="U491" s="112" t="str">
        <f t="shared" si="7"/>
        <v>2023-H2</v>
      </c>
      <c r="V491" s="1" t="str">
        <f>VLOOKUP(B491,Bounties!A:E,2,FALSE)</f>
        <v>Anti-Scam Bounty</v>
      </c>
    </row>
    <row r="492" hidden="1">
      <c r="A492" s="109">
        <f>HYPERLINK("https://polkadot.subsquare.io/treasury/child-bounties/490", 490)</f>
        <v>490</v>
      </c>
      <c r="B492" s="183">
        <v>11.0</v>
      </c>
      <c r="C492" s="27" t="s">
        <v>3404</v>
      </c>
      <c r="D492" s="27" t="s">
        <v>1076</v>
      </c>
      <c r="E492" s="129">
        <v>465.8831808586</v>
      </c>
      <c r="F492" s="66">
        <v>2150.280920857089</v>
      </c>
      <c r="G492" s="27" t="s">
        <v>3406</v>
      </c>
      <c r="H492" s="167">
        <v>45231.0</v>
      </c>
      <c r="I492" s="167">
        <v>45242.0</v>
      </c>
      <c r="J492" s="66">
        <v>2423.8629298108704</v>
      </c>
      <c r="K492" s="1"/>
      <c r="L492" s="1"/>
      <c r="M492" s="1" t="str">
        <f>VLOOKUP(B492,Bounties!A:D,3,FALSE)</f>
        <v>Research</v>
      </c>
      <c r="N492" s="1" t="str">
        <f>VLOOKUP(B492,Bounties!A:D,4,FALSE)</f>
        <v>Anti-Scam</v>
      </c>
      <c r="O492" s="1" t="str">
        <f t="shared" ref="O492:P492" si="496">IF(ISBLANK(K492),M492,K492)</f>
        <v>Research</v>
      </c>
      <c r="P492" s="1" t="str">
        <f t="shared" si="496"/>
        <v>Anti-Scam</v>
      </c>
      <c r="Q492" s="108" t="str">
        <f t="shared" si="3"/>
        <v>2023</v>
      </c>
      <c r="R492" s="110">
        <f t="shared" si="4"/>
        <v>11</v>
      </c>
      <c r="S492" s="108" t="str">
        <f t="shared" si="5"/>
        <v>2023-Q4</v>
      </c>
      <c r="T492" s="111" t="str">
        <f t="shared" si="6"/>
        <v>2023-11</v>
      </c>
      <c r="U492" s="112" t="str">
        <f t="shared" si="7"/>
        <v>2023-H2</v>
      </c>
      <c r="V492" s="1" t="str">
        <f>VLOOKUP(B492,Bounties!A:E,2,FALSE)</f>
        <v>Anti-Scam Bounty</v>
      </c>
    </row>
    <row r="493" hidden="1">
      <c r="A493" s="109">
        <f>HYPERLINK("https://polkadot.subsquare.io/treasury/child-bounties/491", 491)</f>
        <v>491</v>
      </c>
      <c r="B493" s="183">
        <v>11.0</v>
      </c>
      <c r="C493" s="27" t="s">
        <v>3404</v>
      </c>
      <c r="D493" s="27" t="s">
        <v>1077</v>
      </c>
      <c r="E493" s="129">
        <v>996.8707482993</v>
      </c>
      <c r="F493" s="66">
        <v>4601.050732670907</v>
      </c>
      <c r="G493" s="27" t="s">
        <v>3411</v>
      </c>
      <c r="H493" s="167">
        <v>45231.0</v>
      </c>
      <c r="I493" s="167">
        <v>45239.0</v>
      </c>
      <c r="J493" s="66">
        <v>5690.028609126491</v>
      </c>
      <c r="K493" s="1"/>
      <c r="L493" s="1"/>
      <c r="M493" s="1" t="str">
        <f>VLOOKUP(B493,Bounties!A:D,3,FALSE)</f>
        <v>Research</v>
      </c>
      <c r="N493" s="1" t="str">
        <f>VLOOKUP(B493,Bounties!A:D,4,FALSE)</f>
        <v>Anti-Scam</v>
      </c>
      <c r="O493" s="1" t="str">
        <f t="shared" ref="O493:P493" si="497">IF(ISBLANK(K493),M493,K493)</f>
        <v>Research</v>
      </c>
      <c r="P493" s="1" t="str">
        <f t="shared" si="497"/>
        <v>Anti-Scam</v>
      </c>
      <c r="Q493" s="108" t="str">
        <f t="shared" si="3"/>
        <v>2023</v>
      </c>
      <c r="R493" s="110">
        <f t="shared" si="4"/>
        <v>11</v>
      </c>
      <c r="S493" s="108" t="str">
        <f t="shared" si="5"/>
        <v>2023-Q4</v>
      </c>
      <c r="T493" s="111" t="str">
        <f t="shared" si="6"/>
        <v>2023-11</v>
      </c>
      <c r="U493" s="112" t="str">
        <f t="shared" si="7"/>
        <v>2023-H2</v>
      </c>
      <c r="V493" s="1" t="str">
        <f>VLOOKUP(B493,Bounties!A:E,2,FALSE)</f>
        <v>Anti-Scam Bounty</v>
      </c>
    </row>
    <row r="494" hidden="1">
      <c r="A494" s="109">
        <f>HYPERLINK("https://polkadot.subsquare.io/treasury/child-bounties/492", 492)</f>
        <v>492</v>
      </c>
      <c r="B494" s="183">
        <v>11.0</v>
      </c>
      <c r="C494" s="27" t="s">
        <v>3404</v>
      </c>
      <c r="D494" s="27" t="s">
        <v>1078</v>
      </c>
      <c r="E494" s="129">
        <v>1636.5611072015</v>
      </c>
      <c r="F494" s="66">
        <v>7553.537601736708</v>
      </c>
      <c r="G494" s="27" t="s">
        <v>3407</v>
      </c>
      <c r="H494" s="167">
        <v>45231.0</v>
      </c>
      <c r="I494" s="167">
        <v>45240.0</v>
      </c>
      <c r="J494" s="66">
        <v>8785.662521471468</v>
      </c>
      <c r="K494" s="1"/>
      <c r="L494" s="1"/>
      <c r="M494" s="1" t="str">
        <f>VLOOKUP(B494,Bounties!A:D,3,FALSE)</f>
        <v>Research</v>
      </c>
      <c r="N494" s="1" t="str">
        <f>VLOOKUP(B494,Bounties!A:D,4,FALSE)</f>
        <v>Anti-Scam</v>
      </c>
      <c r="O494" s="1" t="str">
        <f t="shared" ref="O494:P494" si="498">IF(ISBLANK(K494),M494,K494)</f>
        <v>Research</v>
      </c>
      <c r="P494" s="1" t="str">
        <f t="shared" si="498"/>
        <v>Anti-Scam</v>
      </c>
      <c r="Q494" s="108" t="str">
        <f t="shared" si="3"/>
        <v>2023</v>
      </c>
      <c r="R494" s="110">
        <f t="shared" si="4"/>
        <v>11</v>
      </c>
      <c r="S494" s="108" t="str">
        <f t="shared" si="5"/>
        <v>2023-Q4</v>
      </c>
      <c r="T494" s="111" t="str">
        <f t="shared" si="6"/>
        <v>2023-11</v>
      </c>
      <c r="U494" s="112" t="str">
        <f t="shared" si="7"/>
        <v>2023-H2</v>
      </c>
      <c r="V494" s="1" t="str">
        <f>VLOOKUP(B494,Bounties!A:E,2,FALSE)</f>
        <v>Anti-Scam Bounty</v>
      </c>
    </row>
    <row r="495" hidden="1">
      <c r="A495" s="109">
        <f>HYPERLINK("https://polkadot.subsquare.io/treasury/child-bounties/493", 493)</f>
        <v>493</v>
      </c>
      <c r="B495" s="183">
        <v>11.0</v>
      </c>
      <c r="C495" s="27" t="s">
        <v>3404</v>
      </c>
      <c r="D495" s="27" t="s">
        <v>1079</v>
      </c>
      <c r="E495" s="129">
        <v>174.8410535876</v>
      </c>
      <c r="F495" s="66">
        <v>806.9777943455632</v>
      </c>
      <c r="G495" s="27" t="s">
        <v>3411</v>
      </c>
      <c r="H495" s="167">
        <v>45231.0</v>
      </c>
      <c r="I495" s="167">
        <v>45239.0</v>
      </c>
      <c r="J495" s="66">
        <v>997.9735072581028</v>
      </c>
      <c r="K495" s="1"/>
      <c r="L495" s="1"/>
      <c r="M495" s="1" t="str">
        <f>VLOOKUP(B495,Bounties!A:D,3,FALSE)</f>
        <v>Research</v>
      </c>
      <c r="N495" s="1" t="str">
        <f>VLOOKUP(B495,Bounties!A:D,4,FALSE)</f>
        <v>Anti-Scam</v>
      </c>
      <c r="O495" s="1" t="str">
        <f t="shared" ref="O495:P495" si="499">IF(ISBLANK(K495),M495,K495)</f>
        <v>Research</v>
      </c>
      <c r="P495" s="1" t="str">
        <f t="shared" si="499"/>
        <v>Anti-Scam</v>
      </c>
      <c r="Q495" s="108" t="str">
        <f t="shared" si="3"/>
        <v>2023</v>
      </c>
      <c r="R495" s="110">
        <f t="shared" si="4"/>
        <v>11</v>
      </c>
      <c r="S495" s="108" t="str">
        <f t="shared" si="5"/>
        <v>2023-Q4</v>
      </c>
      <c r="T495" s="111" t="str">
        <f t="shared" si="6"/>
        <v>2023-11</v>
      </c>
      <c r="U495" s="112" t="str">
        <f t="shared" si="7"/>
        <v>2023-H2</v>
      </c>
      <c r="V495" s="1" t="str">
        <f>VLOOKUP(B495,Bounties!A:E,2,FALSE)</f>
        <v>Anti-Scam Bounty</v>
      </c>
    </row>
    <row r="496" hidden="1">
      <c r="A496" s="109">
        <f>HYPERLINK("https://polkadot.subsquare.io/treasury/child-bounties/494", 494)</f>
        <v>494</v>
      </c>
      <c r="B496" s="183">
        <v>11.0</v>
      </c>
      <c r="C496" s="27" t="s">
        <v>3404</v>
      </c>
      <c r="D496" s="27" t="s">
        <v>1080</v>
      </c>
      <c r="E496" s="129">
        <v>108.991825613</v>
      </c>
      <c r="F496" s="66">
        <v>511.2835107118813</v>
      </c>
      <c r="G496" s="27" t="s">
        <v>3411</v>
      </c>
      <c r="H496" s="167">
        <v>45232.0</v>
      </c>
      <c r="I496" s="167">
        <v>45240.0</v>
      </c>
      <c r="J496" s="66">
        <v>585.1082451007977</v>
      </c>
      <c r="K496" s="1"/>
      <c r="L496" s="1"/>
      <c r="M496" s="1" t="str">
        <f>VLOOKUP(B496,Bounties!A:D,3,FALSE)</f>
        <v>Research</v>
      </c>
      <c r="N496" s="1" t="str">
        <f>VLOOKUP(B496,Bounties!A:D,4,FALSE)</f>
        <v>Anti-Scam</v>
      </c>
      <c r="O496" s="1" t="str">
        <f t="shared" ref="O496:P496" si="500">IF(ISBLANK(K496),M496,K496)</f>
        <v>Research</v>
      </c>
      <c r="P496" s="1" t="str">
        <f t="shared" si="500"/>
        <v>Anti-Scam</v>
      </c>
      <c r="Q496" s="108" t="str">
        <f t="shared" si="3"/>
        <v>2023</v>
      </c>
      <c r="R496" s="110">
        <f t="shared" si="4"/>
        <v>11</v>
      </c>
      <c r="S496" s="108" t="str">
        <f t="shared" si="5"/>
        <v>2023-Q4</v>
      </c>
      <c r="T496" s="111" t="str">
        <f t="shared" si="6"/>
        <v>2023-11</v>
      </c>
      <c r="U496" s="112" t="str">
        <f t="shared" si="7"/>
        <v>2023-H2</v>
      </c>
      <c r="V496" s="1" t="str">
        <f>VLOOKUP(B496,Bounties!A:E,2,FALSE)</f>
        <v>Anti-Scam Bounty</v>
      </c>
    </row>
    <row r="497" hidden="1">
      <c r="A497" s="109">
        <f>HYPERLINK("https://polkadot.subsquare.io/treasury/child-bounties/495", 495)</f>
        <v>495</v>
      </c>
      <c r="B497" s="183">
        <v>11.0</v>
      </c>
      <c r="C497" s="27" t="s">
        <v>3404</v>
      </c>
      <c r="D497" s="27" t="s">
        <v>1081</v>
      </c>
      <c r="E497" s="129">
        <v>89.0868597</v>
      </c>
      <c r="F497" s="66">
        <v>425.23118600341303</v>
      </c>
      <c r="G497" s="27" t="s">
        <v>3406</v>
      </c>
      <c r="H497" s="167">
        <v>45233.0</v>
      </c>
      <c r="I497" s="167">
        <v>45242.0</v>
      </c>
      <c r="J497" s="66">
        <v>463.494596139177</v>
      </c>
      <c r="K497" s="1"/>
      <c r="L497" s="1"/>
      <c r="M497" s="1" t="str">
        <f>VLOOKUP(B497,Bounties!A:D,3,FALSE)</f>
        <v>Research</v>
      </c>
      <c r="N497" s="1" t="str">
        <f>VLOOKUP(B497,Bounties!A:D,4,FALSE)</f>
        <v>Anti-Scam</v>
      </c>
      <c r="O497" s="1" t="str">
        <f t="shared" ref="O497:P497" si="501">IF(ISBLANK(K497),M497,K497)</f>
        <v>Research</v>
      </c>
      <c r="P497" s="1" t="str">
        <f t="shared" si="501"/>
        <v>Anti-Scam</v>
      </c>
      <c r="Q497" s="108" t="str">
        <f t="shared" si="3"/>
        <v>2023</v>
      </c>
      <c r="R497" s="110">
        <f t="shared" si="4"/>
        <v>11</v>
      </c>
      <c r="S497" s="108" t="str">
        <f t="shared" si="5"/>
        <v>2023-Q4</v>
      </c>
      <c r="T497" s="111" t="str">
        <f t="shared" si="6"/>
        <v>2023-11</v>
      </c>
      <c r="U497" s="112" t="str">
        <f t="shared" si="7"/>
        <v>2023-H2</v>
      </c>
      <c r="V497" s="1" t="str">
        <f>VLOOKUP(B497,Bounties!A:E,2,FALSE)</f>
        <v>Anti-Scam Bounty</v>
      </c>
    </row>
    <row r="498" hidden="1">
      <c r="A498" s="109">
        <f>HYPERLINK("https://polkadot.subsquare.io/treasury/child-bounties/496", 496)</f>
        <v>496</v>
      </c>
      <c r="B498" s="183">
        <v>11.0</v>
      </c>
      <c r="C498" s="27" t="s">
        <v>3404</v>
      </c>
      <c r="D498" s="27" t="s">
        <v>1082</v>
      </c>
      <c r="E498" s="129">
        <v>89.0868597</v>
      </c>
      <c r="F498" s="66">
        <v>425.23118600341303</v>
      </c>
      <c r="G498" s="27" t="s">
        <v>3407</v>
      </c>
      <c r="H498" s="167">
        <v>45233.0</v>
      </c>
      <c r="I498" s="167">
        <v>45242.0</v>
      </c>
      <c r="J498" s="66">
        <v>495.86255732184395</v>
      </c>
      <c r="K498" s="1"/>
      <c r="L498" s="1"/>
      <c r="M498" s="1" t="str">
        <f>VLOOKUP(B498,Bounties!A:D,3,FALSE)</f>
        <v>Research</v>
      </c>
      <c r="N498" s="1" t="str">
        <f>VLOOKUP(B498,Bounties!A:D,4,FALSE)</f>
        <v>Anti-Scam</v>
      </c>
      <c r="O498" s="1" t="str">
        <f t="shared" ref="O498:P498" si="502">IF(ISBLANK(K498),M498,K498)</f>
        <v>Research</v>
      </c>
      <c r="P498" s="1" t="str">
        <f t="shared" si="502"/>
        <v>Anti-Scam</v>
      </c>
      <c r="Q498" s="108" t="str">
        <f t="shared" si="3"/>
        <v>2023</v>
      </c>
      <c r="R498" s="110">
        <f t="shared" si="4"/>
        <v>11</v>
      </c>
      <c r="S498" s="108" t="str">
        <f t="shared" si="5"/>
        <v>2023-Q4</v>
      </c>
      <c r="T498" s="111" t="str">
        <f t="shared" si="6"/>
        <v>2023-11</v>
      </c>
      <c r="U498" s="112" t="str">
        <f t="shared" si="7"/>
        <v>2023-H2</v>
      </c>
      <c r="V498" s="1" t="str">
        <f>VLOOKUP(B498,Bounties!A:E,2,FALSE)</f>
        <v>Anti-Scam Bounty</v>
      </c>
    </row>
    <row r="499" hidden="1">
      <c r="A499" s="109">
        <f>HYPERLINK("https://polkadot.subsquare.io/treasury/child-bounties/497", 497)</f>
        <v>497</v>
      </c>
      <c r="B499" s="183">
        <v>11.0</v>
      </c>
      <c r="C499" s="27" t="s">
        <v>3404</v>
      </c>
      <c r="D499" s="27" t="s">
        <v>1083</v>
      </c>
      <c r="E499" s="129">
        <v>89.0868597</v>
      </c>
      <c r="F499" s="66">
        <v>425.23118600341303</v>
      </c>
      <c r="G499" s="27" t="s">
        <v>3411</v>
      </c>
      <c r="H499" s="167">
        <v>45233.0</v>
      </c>
      <c r="I499" s="167">
        <v>45241.0</v>
      </c>
      <c r="J499" s="66">
        <v>463.494596139177</v>
      </c>
      <c r="K499" s="1"/>
      <c r="L499" s="1"/>
      <c r="M499" s="1" t="str">
        <f>VLOOKUP(B499,Bounties!A:D,3,FALSE)</f>
        <v>Research</v>
      </c>
      <c r="N499" s="1" t="str">
        <f>VLOOKUP(B499,Bounties!A:D,4,FALSE)</f>
        <v>Anti-Scam</v>
      </c>
      <c r="O499" s="1" t="str">
        <f t="shared" ref="O499:P499" si="503">IF(ISBLANK(K499),M499,K499)</f>
        <v>Research</v>
      </c>
      <c r="P499" s="1" t="str">
        <f t="shared" si="503"/>
        <v>Anti-Scam</v>
      </c>
      <c r="Q499" s="108" t="str">
        <f t="shared" si="3"/>
        <v>2023</v>
      </c>
      <c r="R499" s="110">
        <f t="shared" si="4"/>
        <v>11</v>
      </c>
      <c r="S499" s="108" t="str">
        <f t="shared" si="5"/>
        <v>2023-Q4</v>
      </c>
      <c r="T499" s="111" t="str">
        <f t="shared" si="6"/>
        <v>2023-11</v>
      </c>
      <c r="U499" s="112" t="str">
        <f t="shared" si="7"/>
        <v>2023-H2</v>
      </c>
      <c r="V499" s="1" t="str">
        <f>VLOOKUP(B499,Bounties!A:E,2,FALSE)</f>
        <v>Anti-Scam Bounty</v>
      </c>
    </row>
    <row r="500" hidden="1">
      <c r="A500" s="109">
        <f>HYPERLINK("https://polkadot.subsquare.io/treasury/child-bounties/498", 498)</f>
        <v>498</v>
      </c>
      <c r="B500" s="183">
        <v>19.0</v>
      </c>
      <c r="C500" s="27" t="s">
        <v>3404</v>
      </c>
      <c r="D500" s="27" t="s">
        <v>1084</v>
      </c>
      <c r="E500" s="129">
        <v>1706.0</v>
      </c>
      <c r="F500" s="66">
        <v>9495.693592071533</v>
      </c>
      <c r="G500" s="27" t="s">
        <v>3557</v>
      </c>
      <c r="H500" s="167">
        <v>45242.0</v>
      </c>
      <c r="I500" s="167">
        <v>45250.0</v>
      </c>
      <c r="J500" s="66">
        <v>8757.98626613617</v>
      </c>
      <c r="K500" s="1"/>
      <c r="L500" s="1"/>
      <c r="M500" s="1" t="str">
        <f>VLOOKUP(B500,Bounties!A:D,3,FALSE)</f>
        <v>Development</v>
      </c>
      <c r="N500" s="1" t="str">
        <f>VLOOKUP(B500,Bounties!A:D,4,FALSE)</f>
        <v>Smart Contracts</v>
      </c>
      <c r="O500" s="1" t="str">
        <f t="shared" ref="O500:P500" si="504">IF(ISBLANK(K500),M500,K500)</f>
        <v>Development</v>
      </c>
      <c r="P500" s="1" t="str">
        <f t="shared" si="504"/>
        <v>Smart Contracts</v>
      </c>
      <c r="Q500" s="108" t="str">
        <f t="shared" si="3"/>
        <v>2023</v>
      </c>
      <c r="R500" s="110">
        <f t="shared" si="4"/>
        <v>11</v>
      </c>
      <c r="S500" s="108" t="str">
        <f t="shared" si="5"/>
        <v>2023-Q4</v>
      </c>
      <c r="T500" s="111" t="str">
        <f t="shared" si="6"/>
        <v>2023-11</v>
      </c>
      <c r="U500" s="112" t="str">
        <f t="shared" si="7"/>
        <v>2023-H2</v>
      </c>
      <c r="V500" s="1" t="str">
        <f>VLOOKUP(B500,Bounties!A:E,2,FALSE)</f>
        <v>Wasm Smart Contracts Bounty</v>
      </c>
    </row>
    <row r="501" hidden="1">
      <c r="A501" s="109">
        <f>HYPERLINK("https://polkadot.subsquare.io/treasury/child-bounties/499", 499)</f>
        <v>499</v>
      </c>
      <c r="B501" s="183">
        <v>19.0</v>
      </c>
      <c r="C501" s="27" t="s">
        <v>3404</v>
      </c>
      <c r="D501" s="27" t="s">
        <v>1085</v>
      </c>
      <c r="E501" s="129">
        <v>4174.0</v>
      </c>
      <c r="F501" s="66">
        <v>20408.309844970703</v>
      </c>
      <c r="G501" s="27" t="s">
        <v>3553</v>
      </c>
      <c r="H501" s="167">
        <v>45248.0</v>
      </c>
      <c r="I501" s="167">
        <v>45280.0</v>
      </c>
      <c r="J501" s="66">
        <v>33263.15674495697</v>
      </c>
      <c r="K501" s="1"/>
      <c r="L501" s="1"/>
      <c r="M501" s="1" t="str">
        <f>VLOOKUP(B501,Bounties!A:D,3,FALSE)</f>
        <v>Development</v>
      </c>
      <c r="N501" s="1" t="str">
        <f>VLOOKUP(B501,Bounties!A:D,4,FALSE)</f>
        <v>Smart Contracts</v>
      </c>
      <c r="O501" s="1" t="str">
        <f t="shared" ref="O501:P501" si="505">IF(ISBLANK(K501),M501,K501)</f>
        <v>Development</v>
      </c>
      <c r="P501" s="1" t="str">
        <f t="shared" si="505"/>
        <v>Smart Contracts</v>
      </c>
      <c r="Q501" s="108" t="str">
        <f t="shared" si="3"/>
        <v>2023</v>
      </c>
      <c r="R501" s="110">
        <f t="shared" si="4"/>
        <v>12</v>
      </c>
      <c r="S501" s="108" t="str">
        <f t="shared" si="5"/>
        <v>2023-Q4</v>
      </c>
      <c r="T501" s="111" t="str">
        <f t="shared" si="6"/>
        <v>2023-12</v>
      </c>
      <c r="U501" s="112" t="str">
        <f t="shared" si="7"/>
        <v>2023-H2</v>
      </c>
      <c r="V501" s="1" t="str">
        <f>VLOOKUP(B501,Bounties!A:E,2,FALSE)</f>
        <v>Wasm Smart Contracts Bounty</v>
      </c>
    </row>
    <row r="502" hidden="1">
      <c r="A502" s="109">
        <f>HYPERLINK("https://polkadot.subsquare.io/treasury/child-bounties/500", 500)</f>
        <v>500</v>
      </c>
      <c r="B502" s="183">
        <v>24.0</v>
      </c>
      <c r="C502" s="27" t="s">
        <v>3404</v>
      </c>
      <c r="D502" s="27" t="s">
        <v>1086</v>
      </c>
      <c r="E502" s="129">
        <v>291.6587497625</v>
      </c>
      <c r="F502" s="66">
        <v>1537.2393685286352</v>
      </c>
      <c r="G502" s="27" t="s">
        <v>3409</v>
      </c>
      <c r="H502" s="167">
        <v>45255.0</v>
      </c>
      <c r="I502" s="167">
        <v>45263.0</v>
      </c>
      <c r="J502" s="66">
        <v>1762.5888767021795</v>
      </c>
      <c r="K502" s="1"/>
      <c r="L502" s="1"/>
      <c r="M502" s="1" t="str">
        <f>VLOOKUP(B502,Bounties!A:D,3,FALSE)</f>
        <v>Outreach</v>
      </c>
      <c r="N502" s="1" t="str">
        <f>VLOOKUP(B502,Bounties!A:D,4,FALSE)</f>
        <v>Community Building</v>
      </c>
      <c r="O502" s="1" t="str">
        <f t="shared" ref="O502:P502" si="506">IF(ISBLANK(K502),M502,K502)</f>
        <v>Outreach</v>
      </c>
      <c r="P502" s="1" t="str">
        <f t="shared" si="506"/>
        <v>Community Building</v>
      </c>
      <c r="Q502" s="108" t="str">
        <f t="shared" si="3"/>
        <v>2023</v>
      </c>
      <c r="R502" s="110">
        <f t="shared" si="4"/>
        <v>12</v>
      </c>
      <c r="S502" s="108" t="str">
        <f t="shared" si="5"/>
        <v>2023-Q4</v>
      </c>
      <c r="T502" s="111" t="str">
        <f t="shared" si="6"/>
        <v>2023-12</v>
      </c>
      <c r="U502" s="112" t="str">
        <f t="shared" si="7"/>
        <v>2023-H2</v>
      </c>
      <c r="V502" s="1" t="str">
        <f>VLOOKUP(B502,Bounties!A:E,2,FALSE)</f>
        <v>Moderation Team Bounty</v>
      </c>
    </row>
    <row r="503" hidden="1">
      <c r="A503" s="109">
        <f>HYPERLINK("https://polkadot.subsquare.io/treasury/child-bounties/501", 501)</f>
        <v>501</v>
      </c>
      <c r="B503" s="183">
        <v>24.0</v>
      </c>
      <c r="C503" s="27" t="s">
        <v>3404</v>
      </c>
      <c r="D503" s="27" t="s">
        <v>1087</v>
      </c>
      <c r="E503" s="129">
        <v>291.6587497625</v>
      </c>
      <c r="F503" s="66">
        <v>1537.2393685286352</v>
      </c>
      <c r="G503" s="27" t="s">
        <v>3486</v>
      </c>
      <c r="H503" s="167">
        <v>45255.0</v>
      </c>
      <c r="I503" s="167">
        <v>45263.0</v>
      </c>
      <c r="J503" s="66">
        <v>1762.5888767021795</v>
      </c>
      <c r="K503" s="1"/>
      <c r="L503" s="1"/>
      <c r="M503" s="1" t="str">
        <f>VLOOKUP(B503,Bounties!A:D,3,FALSE)</f>
        <v>Outreach</v>
      </c>
      <c r="N503" s="1" t="str">
        <f>VLOOKUP(B503,Bounties!A:D,4,FALSE)</f>
        <v>Community Building</v>
      </c>
      <c r="O503" s="1" t="str">
        <f t="shared" ref="O503:P503" si="507">IF(ISBLANK(K503),M503,K503)</f>
        <v>Outreach</v>
      </c>
      <c r="P503" s="1" t="str">
        <f t="shared" si="507"/>
        <v>Community Building</v>
      </c>
      <c r="Q503" s="108" t="str">
        <f t="shared" si="3"/>
        <v>2023</v>
      </c>
      <c r="R503" s="110">
        <f t="shared" si="4"/>
        <v>12</v>
      </c>
      <c r="S503" s="108" t="str">
        <f t="shared" si="5"/>
        <v>2023-Q4</v>
      </c>
      <c r="T503" s="111" t="str">
        <f t="shared" si="6"/>
        <v>2023-12</v>
      </c>
      <c r="U503" s="112" t="str">
        <f t="shared" si="7"/>
        <v>2023-H2</v>
      </c>
      <c r="V503" s="1" t="str">
        <f>VLOOKUP(B503,Bounties!A:E,2,FALSE)</f>
        <v>Moderation Team Bounty</v>
      </c>
    </row>
    <row r="504" hidden="1">
      <c r="A504" s="109">
        <f>HYPERLINK("https://polkadot.subsquare.io/treasury/child-bounties/502", 502)</f>
        <v>502</v>
      </c>
      <c r="B504" s="183">
        <v>24.0</v>
      </c>
      <c r="C504" s="27" t="s">
        <v>3404</v>
      </c>
      <c r="D504" s="27" t="s">
        <v>1088</v>
      </c>
      <c r="E504" s="129">
        <v>266.0079802394</v>
      </c>
      <c r="F504" s="66">
        <v>1402.0424208078036</v>
      </c>
      <c r="G504" s="27" t="s">
        <v>3549</v>
      </c>
      <c r="H504" s="167">
        <v>45255.0</v>
      </c>
      <c r="I504" s="167">
        <v>45263.0</v>
      </c>
      <c r="J504" s="66">
        <v>1607.57291686184</v>
      </c>
      <c r="K504" s="1"/>
      <c r="L504" s="1"/>
      <c r="M504" s="1" t="str">
        <f>VLOOKUP(B504,Bounties!A:D,3,FALSE)</f>
        <v>Outreach</v>
      </c>
      <c r="N504" s="1" t="str">
        <f>VLOOKUP(B504,Bounties!A:D,4,FALSE)</f>
        <v>Community Building</v>
      </c>
      <c r="O504" s="1" t="str">
        <f t="shared" ref="O504:P504" si="508">IF(ISBLANK(K504),M504,K504)</f>
        <v>Outreach</v>
      </c>
      <c r="P504" s="1" t="str">
        <f t="shared" si="508"/>
        <v>Community Building</v>
      </c>
      <c r="Q504" s="108" t="str">
        <f t="shared" si="3"/>
        <v>2023</v>
      </c>
      <c r="R504" s="110">
        <f t="shared" si="4"/>
        <v>12</v>
      </c>
      <c r="S504" s="108" t="str">
        <f t="shared" si="5"/>
        <v>2023-Q4</v>
      </c>
      <c r="T504" s="111" t="str">
        <f t="shared" si="6"/>
        <v>2023-12</v>
      </c>
      <c r="U504" s="112" t="str">
        <f t="shared" si="7"/>
        <v>2023-H2</v>
      </c>
      <c r="V504" s="1" t="str">
        <f>VLOOKUP(B504,Bounties!A:E,2,FALSE)</f>
        <v>Moderation Team Bounty</v>
      </c>
    </row>
    <row r="505" hidden="1">
      <c r="A505" s="109">
        <f>HYPERLINK("https://polkadot.subsquare.io/treasury/child-bounties/503", 503)</f>
        <v>503</v>
      </c>
      <c r="B505" s="183">
        <v>24.0</v>
      </c>
      <c r="C505" s="27" t="s">
        <v>3404</v>
      </c>
      <c r="D505" s="27" t="s">
        <v>1089</v>
      </c>
      <c r="E505" s="129">
        <v>266.1596958175</v>
      </c>
      <c r="F505" s="66">
        <v>1402.8420647741318</v>
      </c>
      <c r="G505" s="27" t="s">
        <v>3424</v>
      </c>
      <c r="H505" s="167">
        <v>45255.0</v>
      </c>
      <c r="I505" s="167">
        <v>45263.0</v>
      </c>
      <c r="J505" s="66">
        <v>1608.4897835445615</v>
      </c>
      <c r="K505" s="1"/>
      <c r="L505" s="1"/>
      <c r="M505" s="1" t="str">
        <f>VLOOKUP(B505,Bounties!A:D,3,FALSE)</f>
        <v>Outreach</v>
      </c>
      <c r="N505" s="1" t="str">
        <f>VLOOKUP(B505,Bounties!A:D,4,FALSE)</f>
        <v>Community Building</v>
      </c>
      <c r="O505" s="1" t="str">
        <f t="shared" ref="O505:P505" si="509">IF(ISBLANK(K505),M505,K505)</f>
        <v>Outreach</v>
      </c>
      <c r="P505" s="1" t="str">
        <f t="shared" si="509"/>
        <v>Community Building</v>
      </c>
      <c r="Q505" s="108" t="str">
        <f t="shared" si="3"/>
        <v>2023</v>
      </c>
      <c r="R505" s="110">
        <f t="shared" si="4"/>
        <v>12</v>
      </c>
      <c r="S505" s="108" t="str">
        <f t="shared" si="5"/>
        <v>2023-Q4</v>
      </c>
      <c r="T505" s="111" t="str">
        <f t="shared" si="6"/>
        <v>2023-12</v>
      </c>
      <c r="U505" s="112" t="str">
        <f t="shared" si="7"/>
        <v>2023-H2</v>
      </c>
      <c r="V505" s="1" t="str">
        <f>VLOOKUP(B505,Bounties!A:E,2,FALSE)</f>
        <v>Moderation Team Bounty</v>
      </c>
    </row>
    <row r="506" hidden="1">
      <c r="A506" s="109">
        <f>HYPERLINK("https://polkadot.subsquare.io/treasury/child-bounties/504", 504)</f>
        <v>504</v>
      </c>
      <c r="B506" s="183">
        <v>24.0</v>
      </c>
      <c r="C506" s="27" t="s">
        <v>3404</v>
      </c>
      <c r="D506" s="27" t="s">
        <v>1090</v>
      </c>
      <c r="E506" s="129">
        <v>266.0079802394</v>
      </c>
      <c r="F506" s="66">
        <v>1402.0424208078036</v>
      </c>
      <c r="G506" s="27" t="s">
        <v>3408</v>
      </c>
      <c r="H506" s="167">
        <v>45255.0</v>
      </c>
      <c r="I506" s="167">
        <v>45263.0</v>
      </c>
      <c r="J506" s="66">
        <v>1607.57291686184</v>
      </c>
      <c r="K506" s="1"/>
      <c r="L506" s="1"/>
      <c r="M506" s="1" t="str">
        <f>VLOOKUP(B506,Bounties!A:D,3,FALSE)</f>
        <v>Outreach</v>
      </c>
      <c r="N506" s="1" t="str">
        <f>VLOOKUP(B506,Bounties!A:D,4,FALSE)</f>
        <v>Community Building</v>
      </c>
      <c r="O506" s="1" t="str">
        <f t="shared" ref="O506:P506" si="510">IF(ISBLANK(K506),M506,K506)</f>
        <v>Outreach</v>
      </c>
      <c r="P506" s="1" t="str">
        <f t="shared" si="510"/>
        <v>Community Building</v>
      </c>
      <c r="Q506" s="108" t="str">
        <f t="shared" si="3"/>
        <v>2023</v>
      </c>
      <c r="R506" s="110">
        <f t="shared" si="4"/>
        <v>12</v>
      </c>
      <c r="S506" s="108" t="str">
        <f t="shared" si="5"/>
        <v>2023-Q4</v>
      </c>
      <c r="T506" s="111" t="str">
        <f t="shared" si="6"/>
        <v>2023-12</v>
      </c>
      <c r="U506" s="112" t="str">
        <f t="shared" si="7"/>
        <v>2023-H2</v>
      </c>
      <c r="V506" s="1" t="str">
        <f>VLOOKUP(B506,Bounties!A:E,2,FALSE)</f>
        <v>Moderation Team Bounty</v>
      </c>
    </row>
    <row r="507" hidden="1">
      <c r="A507" s="109">
        <f>HYPERLINK("https://polkadot.subsquare.io/treasury/child-bounties/505", 505)</f>
        <v>505</v>
      </c>
      <c r="B507" s="183">
        <v>24.0</v>
      </c>
      <c r="C507" s="27" t="s">
        <v>3404</v>
      </c>
      <c r="D507" s="27" t="s">
        <v>1091</v>
      </c>
      <c r="E507" s="129">
        <v>266.0079802394</v>
      </c>
      <c r="F507" s="66">
        <v>1402.0424208078036</v>
      </c>
      <c r="G507" s="27" t="s">
        <v>3548</v>
      </c>
      <c r="H507" s="167">
        <v>45255.0</v>
      </c>
      <c r="I507" s="167">
        <v>45263.0</v>
      </c>
      <c r="J507" s="66">
        <v>1607.57291686184</v>
      </c>
      <c r="K507" s="1"/>
      <c r="L507" s="1"/>
      <c r="M507" s="1" t="str">
        <f>VLOOKUP(B507,Bounties!A:D,3,FALSE)</f>
        <v>Outreach</v>
      </c>
      <c r="N507" s="1" t="str">
        <f>VLOOKUP(B507,Bounties!A:D,4,FALSE)</f>
        <v>Community Building</v>
      </c>
      <c r="O507" s="1" t="str">
        <f t="shared" ref="O507:P507" si="511">IF(ISBLANK(K507),M507,K507)</f>
        <v>Outreach</v>
      </c>
      <c r="P507" s="1" t="str">
        <f t="shared" si="511"/>
        <v>Community Building</v>
      </c>
      <c r="Q507" s="108" t="str">
        <f t="shared" si="3"/>
        <v>2023</v>
      </c>
      <c r="R507" s="110">
        <f t="shared" si="4"/>
        <v>12</v>
      </c>
      <c r="S507" s="108" t="str">
        <f t="shared" si="5"/>
        <v>2023-Q4</v>
      </c>
      <c r="T507" s="111" t="str">
        <f t="shared" si="6"/>
        <v>2023-12</v>
      </c>
      <c r="U507" s="112" t="str">
        <f t="shared" si="7"/>
        <v>2023-H2</v>
      </c>
      <c r="V507" s="1" t="str">
        <f>VLOOKUP(B507,Bounties!A:E,2,FALSE)</f>
        <v>Moderation Team Bounty</v>
      </c>
    </row>
    <row r="508" hidden="1">
      <c r="A508" s="109">
        <f>HYPERLINK("https://polkadot.subsquare.io/treasury/child-bounties/506", 506)</f>
        <v>506</v>
      </c>
      <c r="B508" s="183">
        <v>24.0</v>
      </c>
      <c r="C508" s="27" t="s">
        <v>3404</v>
      </c>
      <c r="D508" s="27" t="s">
        <v>1092</v>
      </c>
      <c r="E508" s="129">
        <v>266.0079802394</v>
      </c>
      <c r="F508" s="66">
        <v>1402.0424208078036</v>
      </c>
      <c r="G508" s="27" t="s">
        <v>3469</v>
      </c>
      <c r="H508" s="167">
        <v>45255.0</v>
      </c>
      <c r="I508" s="167">
        <v>45263.0</v>
      </c>
      <c r="J508" s="66">
        <v>1607.57291686184</v>
      </c>
      <c r="K508" s="1"/>
      <c r="L508" s="1"/>
      <c r="M508" s="1" t="str">
        <f>VLOOKUP(B508,Bounties!A:D,3,FALSE)</f>
        <v>Outreach</v>
      </c>
      <c r="N508" s="1" t="str">
        <f>VLOOKUP(B508,Bounties!A:D,4,FALSE)</f>
        <v>Community Building</v>
      </c>
      <c r="O508" s="1" t="str">
        <f t="shared" ref="O508:P508" si="512">IF(ISBLANK(K508),M508,K508)</f>
        <v>Outreach</v>
      </c>
      <c r="P508" s="1" t="str">
        <f t="shared" si="512"/>
        <v>Community Building</v>
      </c>
      <c r="Q508" s="108" t="str">
        <f t="shared" si="3"/>
        <v>2023</v>
      </c>
      <c r="R508" s="110">
        <f t="shared" si="4"/>
        <v>12</v>
      </c>
      <c r="S508" s="108" t="str">
        <f t="shared" si="5"/>
        <v>2023-Q4</v>
      </c>
      <c r="T508" s="111" t="str">
        <f t="shared" si="6"/>
        <v>2023-12</v>
      </c>
      <c r="U508" s="112" t="str">
        <f t="shared" si="7"/>
        <v>2023-H2</v>
      </c>
      <c r="V508" s="1" t="str">
        <f>VLOOKUP(B508,Bounties!A:E,2,FALSE)</f>
        <v>Moderation Team Bounty</v>
      </c>
    </row>
    <row r="509" hidden="1">
      <c r="A509" s="109">
        <f>HYPERLINK("https://polkadot.subsquare.io/treasury/child-bounties/507", 507)</f>
        <v>507</v>
      </c>
      <c r="B509" s="183">
        <v>24.0</v>
      </c>
      <c r="C509" s="27" t="s">
        <v>3404</v>
      </c>
      <c r="D509" s="27" t="s">
        <v>1093</v>
      </c>
      <c r="E509" s="129">
        <v>266.0079802394</v>
      </c>
      <c r="F509" s="66">
        <v>1402.0424208078036</v>
      </c>
      <c r="G509" s="27" t="s">
        <v>3457</v>
      </c>
      <c r="H509" s="167">
        <v>45255.0</v>
      </c>
      <c r="I509" s="167">
        <v>45263.0</v>
      </c>
      <c r="J509" s="66">
        <v>1607.57291686184</v>
      </c>
      <c r="K509" s="1"/>
      <c r="L509" s="1"/>
      <c r="M509" s="1" t="str">
        <f>VLOOKUP(B509,Bounties!A:D,3,FALSE)</f>
        <v>Outreach</v>
      </c>
      <c r="N509" s="1" t="str">
        <f>VLOOKUP(B509,Bounties!A:D,4,FALSE)</f>
        <v>Community Building</v>
      </c>
      <c r="O509" s="1" t="str">
        <f t="shared" ref="O509:P509" si="513">IF(ISBLANK(K509),M509,K509)</f>
        <v>Outreach</v>
      </c>
      <c r="P509" s="1" t="str">
        <f t="shared" si="513"/>
        <v>Community Building</v>
      </c>
      <c r="Q509" s="108" t="str">
        <f t="shared" si="3"/>
        <v>2023</v>
      </c>
      <c r="R509" s="110">
        <f t="shared" si="4"/>
        <v>12</v>
      </c>
      <c r="S509" s="108" t="str">
        <f t="shared" si="5"/>
        <v>2023-Q4</v>
      </c>
      <c r="T509" s="111" t="str">
        <f t="shared" si="6"/>
        <v>2023-12</v>
      </c>
      <c r="U509" s="112" t="str">
        <f t="shared" si="7"/>
        <v>2023-H2</v>
      </c>
      <c r="V509" s="1" t="str">
        <f>VLOOKUP(B509,Bounties!A:E,2,FALSE)</f>
        <v>Moderation Team Bounty</v>
      </c>
    </row>
    <row r="510" hidden="1">
      <c r="A510" s="109">
        <f>HYPERLINK("https://polkadot.subsquare.io/treasury/child-bounties/508", 508)</f>
        <v>508</v>
      </c>
      <c r="B510" s="183">
        <v>24.0</v>
      </c>
      <c r="C510" s="27" t="s">
        <v>3404</v>
      </c>
      <c r="D510" s="27" t="s">
        <v>1094</v>
      </c>
      <c r="E510" s="129">
        <v>266.0079802394</v>
      </c>
      <c r="F510" s="66">
        <v>1402.0424208078036</v>
      </c>
      <c r="G510" s="27" t="s">
        <v>3526</v>
      </c>
      <c r="H510" s="167">
        <v>45255.0</v>
      </c>
      <c r="I510" s="167">
        <v>45263.0</v>
      </c>
      <c r="J510" s="66">
        <v>1607.57291686184</v>
      </c>
      <c r="K510" s="1"/>
      <c r="L510" s="1"/>
      <c r="M510" s="1" t="str">
        <f>VLOOKUP(B510,Bounties!A:D,3,FALSE)</f>
        <v>Outreach</v>
      </c>
      <c r="N510" s="1" t="str">
        <f>VLOOKUP(B510,Bounties!A:D,4,FALSE)</f>
        <v>Community Building</v>
      </c>
      <c r="O510" s="1" t="str">
        <f t="shared" ref="O510:P510" si="514">IF(ISBLANK(K510),M510,K510)</f>
        <v>Outreach</v>
      </c>
      <c r="P510" s="1" t="str">
        <f t="shared" si="514"/>
        <v>Community Building</v>
      </c>
      <c r="Q510" s="108" t="str">
        <f t="shared" si="3"/>
        <v>2023</v>
      </c>
      <c r="R510" s="110">
        <f t="shared" si="4"/>
        <v>12</v>
      </c>
      <c r="S510" s="108" t="str">
        <f t="shared" si="5"/>
        <v>2023-Q4</v>
      </c>
      <c r="T510" s="111" t="str">
        <f t="shared" si="6"/>
        <v>2023-12</v>
      </c>
      <c r="U510" s="112" t="str">
        <f t="shared" si="7"/>
        <v>2023-H2</v>
      </c>
      <c r="V510" s="1" t="str">
        <f>VLOOKUP(B510,Bounties!A:E,2,FALSE)</f>
        <v>Moderation Team Bounty</v>
      </c>
    </row>
    <row r="511" hidden="1">
      <c r="A511" s="109">
        <f>HYPERLINK("https://polkadot.subsquare.io/treasury/child-bounties/509", 509)</f>
        <v>509</v>
      </c>
      <c r="B511" s="183">
        <v>24.0</v>
      </c>
      <c r="C511" s="27" t="s">
        <v>3404</v>
      </c>
      <c r="D511" s="27" t="s">
        <v>1095</v>
      </c>
      <c r="E511" s="129">
        <v>313.5094052822</v>
      </c>
      <c r="F511" s="66">
        <v>1652.4071388094608</v>
      </c>
      <c r="G511" s="27" t="s">
        <v>3550</v>
      </c>
      <c r="H511" s="167">
        <v>45255.0</v>
      </c>
      <c r="I511" s="167">
        <v>45264.0</v>
      </c>
      <c r="J511" s="66">
        <v>1894.6395091588993</v>
      </c>
      <c r="K511" s="1"/>
      <c r="L511" s="1"/>
      <c r="M511" s="1" t="str">
        <f>VLOOKUP(B511,Bounties!A:D,3,FALSE)</f>
        <v>Outreach</v>
      </c>
      <c r="N511" s="1" t="str">
        <f>VLOOKUP(B511,Bounties!A:D,4,FALSE)</f>
        <v>Community Building</v>
      </c>
      <c r="O511" s="1" t="str">
        <f t="shared" ref="O511:P511" si="515">IF(ISBLANK(K511),M511,K511)</f>
        <v>Outreach</v>
      </c>
      <c r="P511" s="1" t="str">
        <f t="shared" si="515"/>
        <v>Community Building</v>
      </c>
      <c r="Q511" s="108" t="str">
        <f t="shared" si="3"/>
        <v>2023</v>
      </c>
      <c r="R511" s="110">
        <f t="shared" si="4"/>
        <v>12</v>
      </c>
      <c r="S511" s="108" t="str">
        <f t="shared" si="5"/>
        <v>2023-Q4</v>
      </c>
      <c r="T511" s="111" t="str">
        <f t="shared" si="6"/>
        <v>2023-12</v>
      </c>
      <c r="U511" s="112" t="str">
        <f t="shared" si="7"/>
        <v>2023-H2</v>
      </c>
      <c r="V511" s="1" t="str">
        <f>VLOOKUP(B511,Bounties!A:E,2,FALSE)</f>
        <v>Moderation Team Bounty</v>
      </c>
    </row>
    <row r="512" hidden="1">
      <c r="A512" s="109">
        <f>HYPERLINK("https://polkadot.subsquare.io/treasury/child-bounties/510", 510)</f>
        <v>510</v>
      </c>
      <c r="B512" s="183">
        <v>24.0</v>
      </c>
      <c r="C512" s="27" t="s">
        <v>3404</v>
      </c>
      <c r="D512" s="27" t="s">
        <v>1096</v>
      </c>
      <c r="E512" s="129">
        <v>266.0079802394</v>
      </c>
      <c r="F512" s="66">
        <v>1402.0424208078036</v>
      </c>
      <c r="G512" s="27" t="s">
        <v>3406</v>
      </c>
      <c r="H512" s="167">
        <v>45255.0</v>
      </c>
      <c r="I512" s="167">
        <v>45265.0</v>
      </c>
      <c r="J512" s="66">
        <v>1661.662993810668</v>
      </c>
      <c r="K512" s="1"/>
      <c r="L512" s="1"/>
      <c r="M512" s="1" t="str">
        <f>VLOOKUP(B512,Bounties!A:D,3,FALSE)</f>
        <v>Outreach</v>
      </c>
      <c r="N512" s="1" t="str">
        <f>VLOOKUP(B512,Bounties!A:D,4,FALSE)</f>
        <v>Community Building</v>
      </c>
      <c r="O512" s="1" t="str">
        <f t="shared" ref="O512:P512" si="516">IF(ISBLANK(K512),M512,K512)</f>
        <v>Outreach</v>
      </c>
      <c r="P512" s="1" t="str">
        <f t="shared" si="516"/>
        <v>Community Building</v>
      </c>
      <c r="Q512" s="108" t="str">
        <f t="shared" si="3"/>
        <v>2023</v>
      </c>
      <c r="R512" s="110">
        <f t="shared" si="4"/>
        <v>12</v>
      </c>
      <c r="S512" s="108" t="str">
        <f t="shared" si="5"/>
        <v>2023-Q4</v>
      </c>
      <c r="T512" s="111" t="str">
        <f t="shared" si="6"/>
        <v>2023-12</v>
      </c>
      <c r="U512" s="112" t="str">
        <f t="shared" si="7"/>
        <v>2023-H2</v>
      </c>
      <c r="V512" s="1" t="str">
        <f>VLOOKUP(B512,Bounties!A:E,2,FALSE)</f>
        <v>Moderation Team Bounty</v>
      </c>
    </row>
    <row r="513" hidden="1">
      <c r="A513" s="109">
        <f>HYPERLINK("https://polkadot.subsquare.io/treasury/child-bounties/511", 511)</f>
        <v>511</v>
      </c>
      <c r="B513" s="183">
        <v>24.0</v>
      </c>
      <c r="C513" s="27" t="s">
        <v>3404</v>
      </c>
      <c r="D513" s="27" t="s">
        <v>1097</v>
      </c>
      <c r="E513" s="129">
        <v>266.0079802394</v>
      </c>
      <c r="F513" s="66">
        <v>1402.0424208078036</v>
      </c>
      <c r="G513" s="27" t="s">
        <v>3407</v>
      </c>
      <c r="H513" s="167">
        <v>45255.0</v>
      </c>
      <c r="I513" s="167">
        <v>45265.0</v>
      </c>
      <c r="J513" s="66">
        <v>1819.4091335892663</v>
      </c>
      <c r="K513" s="1"/>
      <c r="L513" s="1"/>
      <c r="M513" s="1" t="str">
        <f>VLOOKUP(B513,Bounties!A:D,3,FALSE)</f>
        <v>Outreach</v>
      </c>
      <c r="N513" s="1" t="str">
        <f>VLOOKUP(B513,Bounties!A:D,4,FALSE)</f>
        <v>Community Building</v>
      </c>
      <c r="O513" s="1" t="str">
        <f t="shared" ref="O513:P513" si="517">IF(ISBLANK(K513),M513,K513)</f>
        <v>Outreach</v>
      </c>
      <c r="P513" s="1" t="str">
        <f t="shared" si="517"/>
        <v>Community Building</v>
      </c>
      <c r="Q513" s="108" t="str">
        <f t="shared" si="3"/>
        <v>2023</v>
      </c>
      <c r="R513" s="110">
        <f t="shared" si="4"/>
        <v>12</v>
      </c>
      <c r="S513" s="108" t="str">
        <f t="shared" si="5"/>
        <v>2023-Q4</v>
      </c>
      <c r="T513" s="111" t="str">
        <f t="shared" si="6"/>
        <v>2023-12</v>
      </c>
      <c r="U513" s="112" t="str">
        <f t="shared" si="7"/>
        <v>2023-H2</v>
      </c>
      <c r="V513" s="1" t="str">
        <f>VLOOKUP(B513,Bounties!A:E,2,FALSE)</f>
        <v>Moderation Team Bounty</v>
      </c>
    </row>
    <row r="514" hidden="1">
      <c r="A514" s="109">
        <f>HYPERLINK("https://polkadot.subsquare.io/treasury/child-bounties/512", 512)</f>
        <v>512</v>
      </c>
      <c r="B514" s="183">
        <v>24.0</v>
      </c>
      <c r="C514" s="27" t="s">
        <v>3404</v>
      </c>
      <c r="D514" s="27" t="s">
        <v>1098</v>
      </c>
      <c r="E514" s="129">
        <v>266.0079802394</v>
      </c>
      <c r="F514" s="66">
        <v>1402.0424208078036</v>
      </c>
      <c r="G514" s="27" t="s">
        <v>3411</v>
      </c>
      <c r="H514" s="167">
        <v>45255.0</v>
      </c>
      <c r="I514" s="167">
        <v>45264.0</v>
      </c>
      <c r="J514" s="66">
        <v>1607.57291686184</v>
      </c>
      <c r="K514" s="1"/>
      <c r="L514" s="1"/>
      <c r="M514" s="1" t="str">
        <f>VLOOKUP(B514,Bounties!A:D,3,FALSE)</f>
        <v>Outreach</v>
      </c>
      <c r="N514" s="1" t="str">
        <f>VLOOKUP(B514,Bounties!A:D,4,FALSE)</f>
        <v>Community Building</v>
      </c>
      <c r="O514" s="1" t="str">
        <f t="shared" ref="O514:P514" si="518">IF(ISBLANK(K514),M514,K514)</f>
        <v>Outreach</v>
      </c>
      <c r="P514" s="1" t="str">
        <f t="shared" si="518"/>
        <v>Community Building</v>
      </c>
      <c r="Q514" s="108" t="str">
        <f t="shared" si="3"/>
        <v>2023</v>
      </c>
      <c r="R514" s="110">
        <f t="shared" si="4"/>
        <v>12</v>
      </c>
      <c r="S514" s="108" t="str">
        <f t="shared" si="5"/>
        <v>2023-Q4</v>
      </c>
      <c r="T514" s="111" t="str">
        <f t="shared" si="6"/>
        <v>2023-12</v>
      </c>
      <c r="U514" s="112" t="str">
        <f t="shared" si="7"/>
        <v>2023-H2</v>
      </c>
      <c r="V514" s="1" t="str">
        <f>VLOOKUP(B514,Bounties!A:E,2,FALSE)</f>
        <v>Moderation Team Bounty</v>
      </c>
    </row>
    <row r="515" hidden="1">
      <c r="A515" s="109">
        <f>HYPERLINK("https://polkadot.subsquare.io/treasury/child-bounties/513", 513)</f>
        <v>513</v>
      </c>
      <c r="B515" s="183">
        <v>10.0</v>
      </c>
      <c r="C515" s="27" t="s">
        <v>3404</v>
      </c>
      <c r="D515" s="27" t="s">
        <v>1099</v>
      </c>
      <c r="E515" s="129">
        <v>33106.0</v>
      </c>
      <c r="F515" s="66">
        <v>181256.6728811264</v>
      </c>
      <c r="G515" s="27" t="s">
        <v>3479</v>
      </c>
      <c r="H515" s="167">
        <v>45259.0</v>
      </c>
      <c r="I515" s="167">
        <v>45277.0</v>
      </c>
      <c r="J515" s="66">
        <v>229844.86533260345</v>
      </c>
      <c r="K515" s="1"/>
      <c r="L515" s="1"/>
      <c r="M515" s="1" t="str">
        <f>VLOOKUP(B515,Bounties!A:D,3,FALSE)</f>
        <v/>
      </c>
      <c r="N515" s="1" t="str">
        <f>VLOOKUP(B515,Bounties!A:D,4,FALSE)</f>
        <v/>
      </c>
      <c r="O515" s="1" t="str">
        <f t="shared" ref="O515:P515" si="519">IF(ISBLANK(K515),M515,K515)</f>
        <v/>
      </c>
      <c r="P515" s="1" t="str">
        <f t="shared" si="519"/>
        <v/>
      </c>
      <c r="Q515" s="108" t="str">
        <f t="shared" si="3"/>
        <v>2023</v>
      </c>
      <c r="R515" s="110">
        <f t="shared" si="4"/>
        <v>12</v>
      </c>
      <c r="S515" s="108" t="str">
        <f t="shared" si="5"/>
        <v>2023-Q4</v>
      </c>
      <c r="T515" s="111" t="str">
        <f t="shared" si="6"/>
        <v>2023-12</v>
      </c>
      <c r="U515" s="112" t="str">
        <f t="shared" si="7"/>
        <v>2023-H2</v>
      </c>
      <c r="V515" s="1" t="str">
        <f>VLOOKUP(B515,Bounties!A:E,2,FALSE)</f>
        <v>Polkadot Pioneers Bounty</v>
      </c>
    </row>
    <row r="516" hidden="1">
      <c r="A516" s="109">
        <f>HYPERLINK("https://polkadot.subsquare.io/treasury/child-bounties/514", 514)</f>
        <v>514</v>
      </c>
      <c r="B516" s="183">
        <v>11.0</v>
      </c>
      <c r="C516" s="27" t="s">
        <v>3404</v>
      </c>
      <c r="D516" s="27" t="s">
        <v>1100</v>
      </c>
      <c r="E516" s="129">
        <v>137.1689845685</v>
      </c>
      <c r="F516" s="66">
        <v>764.5636173538863</v>
      </c>
      <c r="G516" s="27" t="s">
        <v>3469</v>
      </c>
      <c r="H516" s="167">
        <v>45259.0</v>
      </c>
      <c r="I516" s="167">
        <v>45268.0</v>
      </c>
      <c r="J516" s="66">
        <v>919.9508155362719</v>
      </c>
      <c r="K516" s="1"/>
      <c r="L516" s="1"/>
      <c r="M516" s="1" t="str">
        <f>VLOOKUP(B516,Bounties!A:D,3,FALSE)</f>
        <v>Research</v>
      </c>
      <c r="N516" s="1" t="str">
        <f>VLOOKUP(B516,Bounties!A:D,4,FALSE)</f>
        <v>Anti-Scam</v>
      </c>
      <c r="O516" s="1" t="str">
        <f t="shared" ref="O516:P516" si="520">IF(ISBLANK(K516),M516,K516)</f>
        <v>Research</v>
      </c>
      <c r="P516" s="1" t="str">
        <f t="shared" si="520"/>
        <v>Anti-Scam</v>
      </c>
      <c r="Q516" s="108" t="str">
        <f t="shared" si="3"/>
        <v>2023</v>
      </c>
      <c r="R516" s="110">
        <f t="shared" si="4"/>
        <v>12</v>
      </c>
      <c r="S516" s="108" t="str">
        <f t="shared" si="5"/>
        <v>2023-Q4</v>
      </c>
      <c r="T516" s="111" t="str">
        <f t="shared" si="6"/>
        <v>2023-12</v>
      </c>
      <c r="U516" s="112" t="str">
        <f t="shared" si="7"/>
        <v>2023-H2</v>
      </c>
      <c r="V516" s="1" t="str">
        <f>VLOOKUP(B516,Bounties!A:E,2,FALSE)</f>
        <v>Anti-Scam Bounty</v>
      </c>
    </row>
    <row r="517" hidden="1">
      <c r="A517" s="109">
        <f>HYPERLINK("https://polkadot.subsquare.io/treasury/child-bounties/515", 515)</f>
        <v>515</v>
      </c>
      <c r="B517" s="183">
        <v>11.0</v>
      </c>
      <c r="C517" s="27" t="s">
        <v>3404</v>
      </c>
      <c r="D517" s="27" t="s">
        <v>1101</v>
      </c>
      <c r="E517" s="129">
        <v>95.2562392837</v>
      </c>
      <c r="F517" s="66">
        <v>530.9469564958628</v>
      </c>
      <c r="G517" s="27" t="s">
        <v>3457</v>
      </c>
      <c r="H517" s="167">
        <v>45259.0</v>
      </c>
      <c r="I517" s="167">
        <v>45268.0</v>
      </c>
      <c r="J517" s="66">
        <v>699.3308388001058</v>
      </c>
      <c r="K517" s="1"/>
      <c r="L517" s="1"/>
      <c r="M517" s="1" t="str">
        <f>VLOOKUP(B517,Bounties!A:D,3,FALSE)</f>
        <v>Research</v>
      </c>
      <c r="N517" s="1" t="str">
        <f>VLOOKUP(B517,Bounties!A:D,4,FALSE)</f>
        <v>Anti-Scam</v>
      </c>
      <c r="O517" s="1" t="str">
        <f t="shared" ref="O517:P517" si="521">IF(ISBLANK(K517),M517,K517)</f>
        <v>Research</v>
      </c>
      <c r="P517" s="1" t="str">
        <f t="shared" si="521"/>
        <v>Anti-Scam</v>
      </c>
      <c r="Q517" s="108" t="str">
        <f t="shared" si="3"/>
        <v>2023</v>
      </c>
      <c r="R517" s="110">
        <f t="shared" si="4"/>
        <v>12</v>
      </c>
      <c r="S517" s="108" t="str">
        <f t="shared" si="5"/>
        <v>2023-Q4</v>
      </c>
      <c r="T517" s="111" t="str">
        <f t="shared" si="6"/>
        <v>2023-12</v>
      </c>
      <c r="U517" s="112" t="str">
        <f t="shared" si="7"/>
        <v>2023-H2</v>
      </c>
      <c r="V517" s="1" t="str">
        <f>VLOOKUP(B517,Bounties!A:E,2,FALSE)</f>
        <v>Anti-Scam Bounty</v>
      </c>
    </row>
    <row r="518" hidden="1">
      <c r="A518" s="109">
        <f>HYPERLINK("https://polkadot.subsquare.io/treasury/child-bounties/516", 516)</f>
        <v>516</v>
      </c>
      <c r="B518" s="183">
        <v>11.0</v>
      </c>
      <c r="C518" s="27" t="s">
        <v>3404</v>
      </c>
      <c r="D518" s="27" t="s">
        <v>1102</v>
      </c>
      <c r="E518" s="129">
        <v>137.1689845685</v>
      </c>
      <c r="F518" s="66">
        <v>764.5636173538863</v>
      </c>
      <c r="G518" s="27" t="s">
        <v>3406</v>
      </c>
      <c r="H518" s="167">
        <v>45259.0</v>
      </c>
      <c r="I518" s="167">
        <v>45269.0</v>
      </c>
      <c r="J518" s="66">
        <v>919.9508155362719</v>
      </c>
      <c r="K518" s="1"/>
      <c r="L518" s="1"/>
      <c r="M518" s="1" t="str">
        <f>VLOOKUP(B518,Bounties!A:D,3,FALSE)</f>
        <v>Research</v>
      </c>
      <c r="N518" s="1" t="str">
        <f>VLOOKUP(B518,Bounties!A:D,4,FALSE)</f>
        <v>Anti-Scam</v>
      </c>
      <c r="O518" s="1" t="str">
        <f t="shared" ref="O518:P518" si="522">IF(ISBLANK(K518),M518,K518)</f>
        <v>Research</v>
      </c>
      <c r="P518" s="1" t="str">
        <f t="shared" si="522"/>
        <v>Anti-Scam</v>
      </c>
      <c r="Q518" s="108" t="str">
        <f t="shared" si="3"/>
        <v>2023</v>
      </c>
      <c r="R518" s="110">
        <f t="shared" si="4"/>
        <v>12</v>
      </c>
      <c r="S518" s="108" t="str">
        <f t="shared" si="5"/>
        <v>2023-Q4</v>
      </c>
      <c r="T518" s="111" t="str">
        <f t="shared" si="6"/>
        <v>2023-12</v>
      </c>
      <c r="U518" s="112" t="str">
        <f t="shared" si="7"/>
        <v>2023-H2</v>
      </c>
      <c r="V518" s="1" t="str">
        <f>VLOOKUP(B518,Bounties!A:E,2,FALSE)</f>
        <v>Anti-Scam Bounty</v>
      </c>
    </row>
    <row r="519" hidden="1">
      <c r="A519" s="109">
        <f>HYPERLINK("https://polkadot.subsquare.io/treasury/child-bounties/517", 517)</f>
        <v>517</v>
      </c>
      <c r="B519" s="183">
        <v>11.0</v>
      </c>
      <c r="C519" s="27" t="s">
        <v>3404</v>
      </c>
      <c r="D519" s="27" t="s">
        <v>1103</v>
      </c>
      <c r="E519" s="129">
        <v>114.3074871404</v>
      </c>
      <c r="F519" s="66">
        <v>637.1363477948123</v>
      </c>
      <c r="G519" s="27" t="s">
        <v>3470</v>
      </c>
      <c r="H519" s="167">
        <v>45259.0</v>
      </c>
      <c r="I519" s="167">
        <v>45268.0</v>
      </c>
      <c r="J519" s="66">
        <v>766.625679613448</v>
      </c>
      <c r="K519" s="1"/>
      <c r="L519" s="1"/>
      <c r="M519" s="1" t="str">
        <f>VLOOKUP(B519,Bounties!A:D,3,FALSE)</f>
        <v>Research</v>
      </c>
      <c r="N519" s="1" t="str">
        <f>VLOOKUP(B519,Bounties!A:D,4,FALSE)</f>
        <v>Anti-Scam</v>
      </c>
      <c r="O519" s="1" t="str">
        <f t="shared" ref="O519:P519" si="523">IF(ISBLANK(K519),M519,K519)</f>
        <v>Research</v>
      </c>
      <c r="P519" s="1" t="str">
        <f t="shared" si="523"/>
        <v>Anti-Scam</v>
      </c>
      <c r="Q519" s="108" t="str">
        <f t="shared" si="3"/>
        <v>2023</v>
      </c>
      <c r="R519" s="110">
        <f t="shared" si="4"/>
        <v>12</v>
      </c>
      <c r="S519" s="108" t="str">
        <f t="shared" si="5"/>
        <v>2023-Q4</v>
      </c>
      <c r="T519" s="111" t="str">
        <f t="shared" si="6"/>
        <v>2023-12</v>
      </c>
      <c r="U519" s="112" t="str">
        <f t="shared" si="7"/>
        <v>2023-H2</v>
      </c>
      <c r="V519" s="1" t="str">
        <f>VLOOKUP(B519,Bounties!A:E,2,FALSE)</f>
        <v>Anti-Scam Bounty</v>
      </c>
    </row>
    <row r="520" hidden="1">
      <c r="A520" s="109">
        <f>HYPERLINK("https://polkadot.subsquare.io/treasury/child-bounties/518", 518)</f>
        <v>518</v>
      </c>
      <c r="B520" s="183">
        <v>11.0</v>
      </c>
      <c r="C520" s="27" t="s">
        <v>3404</v>
      </c>
      <c r="D520" s="27" t="s">
        <v>1104</v>
      </c>
      <c r="E520" s="129">
        <v>95.2562392837</v>
      </c>
      <c r="F520" s="66">
        <v>530.9469564958628</v>
      </c>
      <c r="G520" s="27" t="s">
        <v>3486</v>
      </c>
      <c r="H520" s="167">
        <v>45259.0</v>
      </c>
      <c r="I520" s="167">
        <v>45268.0</v>
      </c>
      <c r="J520" s="66">
        <v>638.8547330114302</v>
      </c>
      <c r="K520" s="1"/>
      <c r="L520" s="1"/>
      <c r="M520" s="1" t="str">
        <f>VLOOKUP(B520,Bounties!A:D,3,FALSE)</f>
        <v>Research</v>
      </c>
      <c r="N520" s="1" t="str">
        <f>VLOOKUP(B520,Bounties!A:D,4,FALSE)</f>
        <v>Anti-Scam</v>
      </c>
      <c r="O520" s="1" t="str">
        <f t="shared" ref="O520:P520" si="524">IF(ISBLANK(K520),M520,K520)</f>
        <v>Research</v>
      </c>
      <c r="P520" s="1" t="str">
        <f t="shared" si="524"/>
        <v>Anti-Scam</v>
      </c>
      <c r="Q520" s="108" t="str">
        <f t="shared" si="3"/>
        <v>2023</v>
      </c>
      <c r="R520" s="110">
        <f t="shared" si="4"/>
        <v>12</v>
      </c>
      <c r="S520" s="108" t="str">
        <f t="shared" si="5"/>
        <v>2023-Q4</v>
      </c>
      <c r="T520" s="111" t="str">
        <f t="shared" si="6"/>
        <v>2023-12</v>
      </c>
      <c r="U520" s="112" t="str">
        <f t="shared" si="7"/>
        <v>2023-H2</v>
      </c>
      <c r="V520" s="1" t="str">
        <f>VLOOKUP(B520,Bounties!A:E,2,FALSE)</f>
        <v>Anti-Scam Bounty</v>
      </c>
    </row>
    <row r="521" hidden="1">
      <c r="A521" s="109">
        <f>HYPERLINK("https://polkadot.subsquare.io/treasury/child-bounties/519", 519)</f>
        <v>519</v>
      </c>
      <c r="B521" s="183">
        <v>11.0</v>
      </c>
      <c r="C521" s="27" t="s">
        <v>3404</v>
      </c>
      <c r="D521" s="27" t="s">
        <v>1105</v>
      </c>
      <c r="E521" s="129">
        <v>76.2049914269</v>
      </c>
      <c r="F521" s="66">
        <v>424.75756519635576</v>
      </c>
      <c r="G521" s="27" t="s">
        <v>3411</v>
      </c>
      <c r="H521" s="167">
        <v>45259.0</v>
      </c>
      <c r="I521" s="167">
        <v>45268.0</v>
      </c>
      <c r="J521" s="66">
        <v>559.464671039644</v>
      </c>
      <c r="K521" s="1"/>
      <c r="L521" s="1"/>
      <c r="M521" s="1" t="str">
        <f>VLOOKUP(B521,Bounties!A:D,3,FALSE)</f>
        <v>Research</v>
      </c>
      <c r="N521" s="1" t="str">
        <f>VLOOKUP(B521,Bounties!A:D,4,FALSE)</f>
        <v>Anti-Scam</v>
      </c>
      <c r="O521" s="1" t="str">
        <f t="shared" ref="O521:P521" si="525">IF(ISBLANK(K521),M521,K521)</f>
        <v>Research</v>
      </c>
      <c r="P521" s="1" t="str">
        <f t="shared" si="525"/>
        <v>Anti-Scam</v>
      </c>
      <c r="Q521" s="108" t="str">
        <f t="shared" si="3"/>
        <v>2023</v>
      </c>
      <c r="R521" s="110">
        <f t="shared" si="4"/>
        <v>12</v>
      </c>
      <c r="S521" s="108" t="str">
        <f t="shared" si="5"/>
        <v>2023-Q4</v>
      </c>
      <c r="T521" s="111" t="str">
        <f t="shared" si="6"/>
        <v>2023-12</v>
      </c>
      <c r="U521" s="112" t="str">
        <f t="shared" si="7"/>
        <v>2023-H2</v>
      </c>
      <c r="V521" s="1" t="str">
        <f>VLOOKUP(B521,Bounties!A:E,2,FALSE)</f>
        <v>Anti-Scam Bounty</v>
      </c>
    </row>
    <row r="522" hidden="1">
      <c r="A522" s="109">
        <f>HYPERLINK("https://polkadot.subsquare.io/treasury/child-bounties/520", 520)</f>
        <v>520</v>
      </c>
      <c r="B522" s="183">
        <v>11.0</v>
      </c>
      <c r="C522" s="27" t="s">
        <v>3404</v>
      </c>
      <c r="D522" s="27" t="s">
        <v>1106</v>
      </c>
      <c r="E522" s="129">
        <v>76.2049914269</v>
      </c>
      <c r="F522" s="66">
        <v>424.75756519635576</v>
      </c>
      <c r="G522" s="27" t="s">
        <v>3407</v>
      </c>
      <c r="H522" s="167">
        <v>45259.0</v>
      </c>
      <c r="I522" s="167">
        <v>45268.0</v>
      </c>
      <c r="J522" s="66">
        <v>511.0837864087418</v>
      </c>
      <c r="K522" s="1"/>
      <c r="L522" s="1"/>
      <c r="M522" s="1" t="str">
        <f>VLOOKUP(B522,Bounties!A:D,3,FALSE)</f>
        <v>Research</v>
      </c>
      <c r="N522" s="1" t="str">
        <f>VLOOKUP(B522,Bounties!A:D,4,FALSE)</f>
        <v>Anti-Scam</v>
      </c>
      <c r="O522" s="1" t="str">
        <f t="shared" ref="O522:P522" si="526">IF(ISBLANK(K522),M522,K522)</f>
        <v>Research</v>
      </c>
      <c r="P522" s="1" t="str">
        <f t="shared" si="526"/>
        <v>Anti-Scam</v>
      </c>
      <c r="Q522" s="108" t="str">
        <f t="shared" si="3"/>
        <v>2023</v>
      </c>
      <c r="R522" s="110">
        <f t="shared" si="4"/>
        <v>12</v>
      </c>
      <c r="S522" s="108" t="str">
        <f t="shared" si="5"/>
        <v>2023-Q4</v>
      </c>
      <c r="T522" s="111" t="str">
        <f t="shared" si="6"/>
        <v>2023-12</v>
      </c>
      <c r="U522" s="112" t="str">
        <f t="shared" si="7"/>
        <v>2023-H2</v>
      </c>
      <c r="V522" s="1" t="str">
        <f>VLOOKUP(B522,Bounties!A:E,2,FALSE)</f>
        <v>Anti-Scam Bounty</v>
      </c>
    </row>
    <row r="523" hidden="1">
      <c r="A523" s="109">
        <f>HYPERLINK("https://polkadot.subsquare.io/treasury/child-bounties/521", 521)</f>
        <v>521</v>
      </c>
      <c r="B523" s="183">
        <v>11.0</v>
      </c>
      <c r="C523" s="27" t="s">
        <v>3404</v>
      </c>
      <c r="D523" s="27" t="s">
        <v>1107</v>
      </c>
      <c r="E523" s="129">
        <v>76.2049914269</v>
      </c>
      <c r="F523" s="66">
        <v>424.75756519635576</v>
      </c>
      <c r="G523" s="27" t="s">
        <v>3406</v>
      </c>
      <c r="H523" s="167">
        <v>45259.0</v>
      </c>
      <c r="I523" s="167">
        <v>45269.0</v>
      </c>
      <c r="J523" s="66">
        <v>511.0837864087418</v>
      </c>
      <c r="K523" s="1"/>
      <c r="L523" s="1"/>
      <c r="M523" s="1" t="str">
        <f>VLOOKUP(B523,Bounties!A:D,3,FALSE)</f>
        <v>Research</v>
      </c>
      <c r="N523" s="1" t="str">
        <f>VLOOKUP(B523,Bounties!A:D,4,FALSE)</f>
        <v>Anti-Scam</v>
      </c>
      <c r="O523" s="1" t="str">
        <f t="shared" ref="O523:P523" si="527">IF(ISBLANK(K523),M523,K523)</f>
        <v>Research</v>
      </c>
      <c r="P523" s="1" t="str">
        <f t="shared" si="527"/>
        <v>Anti-Scam</v>
      </c>
      <c r="Q523" s="108" t="str">
        <f t="shared" si="3"/>
        <v>2023</v>
      </c>
      <c r="R523" s="110">
        <f t="shared" si="4"/>
        <v>12</v>
      </c>
      <c r="S523" s="108" t="str">
        <f t="shared" si="5"/>
        <v>2023-Q4</v>
      </c>
      <c r="T523" s="111" t="str">
        <f t="shared" si="6"/>
        <v>2023-12</v>
      </c>
      <c r="U523" s="112" t="str">
        <f t="shared" si="7"/>
        <v>2023-H2</v>
      </c>
      <c r="V523" s="1" t="str">
        <f>VLOOKUP(B523,Bounties!A:E,2,FALSE)</f>
        <v>Anti-Scam Bounty</v>
      </c>
    </row>
    <row r="524" hidden="1">
      <c r="A524" s="109">
        <f>HYPERLINK("https://polkadot.subsquare.io/treasury/child-bounties/522", 522)</f>
        <v>522</v>
      </c>
      <c r="B524" s="183">
        <v>11.0</v>
      </c>
      <c r="C524" s="27" t="s">
        <v>3404</v>
      </c>
      <c r="D524" s="27" t="s">
        <v>1108</v>
      </c>
      <c r="E524" s="129">
        <v>95.2562392837</v>
      </c>
      <c r="F524" s="66">
        <v>530.9469564958628</v>
      </c>
      <c r="G524" s="27" t="s">
        <v>3409</v>
      </c>
      <c r="H524" s="167">
        <v>45259.0</v>
      </c>
      <c r="I524" s="167">
        <v>45268.0</v>
      </c>
      <c r="J524" s="66">
        <v>638.8547330114302</v>
      </c>
      <c r="K524" s="1"/>
      <c r="L524" s="1"/>
      <c r="M524" s="1" t="str">
        <f>VLOOKUP(B524,Bounties!A:D,3,FALSE)</f>
        <v>Research</v>
      </c>
      <c r="N524" s="1" t="str">
        <f>VLOOKUP(B524,Bounties!A:D,4,FALSE)</f>
        <v>Anti-Scam</v>
      </c>
      <c r="O524" s="1" t="str">
        <f t="shared" ref="O524:P524" si="528">IF(ISBLANK(K524),M524,K524)</f>
        <v>Research</v>
      </c>
      <c r="P524" s="1" t="str">
        <f t="shared" si="528"/>
        <v>Anti-Scam</v>
      </c>
      <c r="Q524" s="108" t="str">
        <f t="shared" si="3"/>
        <v>2023</v>
      </c>
      <c r="R524" s="110">
        <f t="shared" si="4"/>
        <v>12</v>
      </c>
      <c r="S524" s="108" t="str">
        <f t="shared" si="5"/>
        <v>2023-Q4</v>
      </c>
      <c r="T524" s="111" t="str">
        <f t="shared" si="6"/>
        <v>2023-12</v>
      </c>
      <c r="U524" s="112" t="str">
        <f t="shared" si="7"/>
        <v>2023-H2</v>
      </c>
      <c r="V524" s="1" t="str">
        <f>VLOOKUP(B524,Bounties!A:E,2,FALSE)</f>
        <v>Anti-Scam Bounty</v>
      </c>
    </row>
    <row r="525" hidden="1">
      <c r="A525" s="109">
        <f>HYPERLINK("https://polkadot.subsquare.io/treasury/child-bounties/523", 523)</f>
        <v>523</v>
      </c>
      <c r="B525" s="183">
        <v>11.0</v>
      </c>
      <c r="C525" s="27" t="s">
        <v>3404</v>
      </c>
      <c r="D525" s="27" t="s">
        <v>1109</v>
      </c>
      <c r="E525" s="129">
        <v>274.337969137</v>
      </c>
      <c r="F525" s="66">
        <v>1529.1272347077727</v>
      </c>
      <c r="G525" s="27" t="s">
        <v>3409</v>
      </c>
      <c r="H525" s="167">
        <v>45259.0</v>
      </c>
      <c r="I525" s="167">
        <v>45268.0</v>
      </c>
      <c r="J525" s="66">
        <v>1839.9016310725438</v>
      </c>
      <c r="K525" s="1"/>
      <c r="L525" s="1"/>
      <c r="M525" s="1" t="str">
        <f>VLOOKUP(B525,Bounties!A:D,3,FALSE)</f>
        <v>Research</v>
      </c>
      <c r="N525" s="1" t="str">
        <f>VLOOKUP(B525,Bounties!A:D,4,FALSE)</f>
        <v>Anti-Scam</v>
      </c>
      <c r="O525" s="1" t="str">
        <f t="shared" ref="O525:P525" si="529">IF(ISBLANK(K525),M525,K525)</f>
        <v>Research</v>
      </c>
      <c r="P525" s="1" t="str">
        <f t="shared" si="529"/>
        <v>Anti-Scam</v>
      </c>
      <c r="Q525" s="108" t="str">
        <f t="shared" si="3"/>
        <v>2023</v>
      </c>
      <c r="R525" s="110">
        <f t="shared" si="4"/>
        <v>12</v>
      </c>
      <c r="S525" s="108" t="str">
        <f t="shared" si="5"/>
        <v>2023-Q4</v>
      </c>
      <c r="T525" s="111" t="str">
        <f t="shared" si="6"/>
        <v>2023-12</v>
      </c>
      <c r="U525" s="112" t="str">
        <f t="shared" si="7"/>
        <v>2023-H2</v>
      </c>
      <c r="V525" s="1" t="str">
        <f>VLOOKUP(B525,Bounties!A:E,2,FALSE)</f>
        <v>Anti-Scam Bounty</v>
      </c>
    </row>
    <row r="526" hidden="1">
      <c r="A526" s="109">
        <f>HYPERLINK("https://polkadot.subsquare.io/treasury/child-bounties/524", 524)</f>
        <v>524</v>
      </c>
      <c r="B526" s="183">
        <v>11.0</v>
      </c>
      <c r="C526" s="27" t="s">
        <v>3404</v>
      </c>
      <c r="D526" s="27" t="s">
        <v>1110</v>
      </c>
      <c r="E526" s="129">
        <v>228.6149742808</v>
      </c>
      <c r="F526" s="66">
        <v>1274.2726955896246</v>
      </c>
      <c r="G526" s="27" t="s">
        <v>3424</v>
      </c>
      <c r="H526" s="167">
        <v>45259.0</v>
      </c>
      <c r="I526" s="167">
        <v>45268.0</v>
      </c>
      <c r="J526" s="66">
        <v>1533.251359226896</v>
      </c>
      <c r="K526" s="1"/>
      <c r="L526" s="1"/>
      <c r="M526" s="1" t="str">
        <f>VLOOKUP(B526,Bounties!A:D,3,FALSE)</f>
        <v>Research</v>
      </c>
      <c r="N526" s="1" t="str">
        <f>VLOOKUP(B526,Bounties!A:D,4,FALSE)</f>
        <v>Anti-Scam</v>
      </c>
      <c r="O526" s="1" t="str">
        <f t="shared" ref="O526:P526" si="530">IF(ISBLANK(K526),M526,K526)</f>
        <v>Research</v>
      </c>
      <c r="P526" s="1" t="str">
        <f t="shared" si="530"/>
        <v>Anti-Scam</v>
      </c>
      <c r="Q526" s="108" t="str">
        <f t="shared" si="3"/>
        <v>2023</v>
      </c>
      <c r="R526" s="110">
        <f t="shared" si="4"/>
        <v>12</v>
      </c>
      <c r="S526" s="108" t="str">
        <f t="shared" si="5"/>
        <v>2023-Q4</v>
      </c>
      <c r="T526" s="111" t="str">
        <f t="shared" si="6"/>
        <v>2023-12</v>
      </c>
      <c r="U526" s="112" t="str">
        <f t="shared" si="7"/>
        <v>2023-H2</v>
      </c>
      <c r="V526" s="1" t="str">
        <f>VLOOKUP(B526,Bounties!A:E,2,FALSE)</f>
        <v>Anti-Scam Bounty</v>
      </c>
    </row>
    <row r="527" hidden="1">
      <c r="A527" s="109">
        <f>HYPERLINK("https://polkadot.subsquare.io/treasury/child-bounties/525", 525)</f>
        <v>525</v>
      </c>
      <c r="B527" s="183">
        <v>11.0</v>
      </c>
      <c r="C527" s="27" t="s">
        <v>3404</v>
      </c>
      <c r="D527" s="27" t="s">
        <v>1111</v>
      </c>
      <c r="E527" s="129">
        <v>228.6149742808</v>
      </c>
      <c r="F527" s="66">
        <v>1274.2726955896246</v>
      </c>
      <c r="G527" s="27" t="s">
        <v>3486</v>
      </c>
      <c r="H527" s="167">
        <v>45259.0</v>
      </c>
      <c r="I527" s="167">
        <v>45268.0</v>
      </c>
      <c r="J527" s="66">
        <v>1533.251359226896</v>
      </c>
      <c r="K527" s="1"/>
      <c r="L527" s="1"/>
      <c r="M527" s="1" t="str">
        <f>VLOOKUP(B527,Bounties!A:D,3,FALSE)</f>
        <v>Research</v>
      </c>
      <c r="N527" s="1" t="str">
        <f>VLOOKUP(B527,Bounties!A:D,4,FALSE)</f>
        <v>Anti-Scam</v>
      </c>
      <c r="O527" s="1" t="str">
        <f t="shared" ref="O527:P527" si="531">IF(ISBLANK(K527),M527,K527)</f>
        <v>Research</v>
      </c>
      <c r="P527" s="1" t="str">
        <f t="shared" si="531"/>
        <v>Anti-Scam</v>
      </c>
      <c r="Q527" s="108" t="str">
        <f t="shared" si="3"/>
        <v>2023</v>
      </c>
      <c r="R527" s="110">
        <f t="shared" si="4"/>
        <v>12</v>
      </c>
      <c r="S527" s="108" t="str">
        <f t="shared" si="5"/>
        <v>2023-Q4</v>
      </c>
      <c r="T527" s="111" t="str">
        <f t="shared" si="6"/>
        <v>2023-12</v>
      </c>
      <c r="U527" s="112" t="str">
        <f t="shared" si="7"/>
        <v>2023-H2</v>
      </c>
      <c r="V527" s="1" t="str">
        <f>VLOOKUP(B527,Bounties!A:E,2,FALSE)</f>
        <v>Anti-Scam Bounty</v>
      </c>
    </row>
    <row r="528" hidden="1">
      <c r="A528" s="109">
        <f>HYPERLINK("https://polkadot.subsquare.io/treasury/child-bounties/526", 526)</f>
        <v>526</v>
      </c>
      <c r="B528" s="183">
        <v>11.0</v>
      </c>
      <c r="C528" s="27" t="s">
        <v>3404</v>
      </c>
      <c r="D528" s="27" t="s">
        <v>1112</v>
      </c>
      <c r="E528" s="129">
        <v>95.2562392837</v>
      </c>
      <c r="F528" s="66">
        <v>530.9469564958628</v>
      </c>
      <c r="G528" s="27" t="s">
        <v>3439</v>
      </c>
      <c r="H528" s="167">
        <v>45259.0</v>
      </c>
      <c r="I528" s="167">
        <v>45272.0</v>
      </c>
      <c r="J528" s="66">
        <v>662.6731533169416</v>
      </c>
      <c r="K528" s="1"/>
      <c r="L528" s="1"/>
      <c r="M528" s="1" t="str">
        <f>VLOOKUP(B528,Bounties!A:D,3,FALSE)</f>
        <v>Research</v>
      </c>
      <c r="N528" s="1" t="str">
        <f>VLOOKUP(B528,Bounties!A:D,4,FALSE)</f>
        <v>Anti-Scam</v>
      </c>
      <c r="O528" s="1" t="str">
        <f t="shared" ref="O528:P528" si="532">IF(ISBLANK(K528),M528,K528)</f>
        <v>Research</v>
      </c>
      <c r="P528" s="1" t="str">
        <f t="shared" si="532"/>
        <v>Anti-Scam</v>
      </c>
      <c r="Q528" s="108" t="str">
        <f t="shared" si="3"/>
        <v>2023</v>
      </c>
      <c r="R528" s="110">
        <f t="shared" si="4"/>
        <v>12</v>
      </c>
      <c r="S528" s="108" t="str">
        <f t="shared" si="5"/>
        <v>2023-Q4</v>
      </c>
      <c r="T528" s="111" t="str">
        <f t="shared" si="6"/>
        <v>2023-12</v>
      </c>
      <c r="U528" s="112" t="str">
        <f t="shared" si="7"/>
        <v>2023-H2</v>
      </c>
      <c r="V528" s="1" t="str">
        <f>VLOOKUP(B528,Bounties!A:E,2,FALSE)</f>
        <v>Anti-Scam Bounty</v>
      </c>
    </row>
    <row r="529" hidden="1">
      <c r="A529" s="109">
        <f>HYPERLINK("https://polkadot.subsquare.io/treasury/child-bounties/527", 527)</f>
        <v>527</v>
      </c>
      <c r="B529" s="183">
        <v>11.0</v>
      </c>
      <c r="C529" s="27" t="s">
        <v>3404</v>
      </c>
      <c r="D529" s="27" t="s">
        <v>1113</v>
      </c>
      <c r="E529" s="129">
        <v>274.337969137</v>
      </c>
      <c r="F529" s="66">
        <v>1529.1272347077727</v>
      </c>
      <c r="G529" s="27" t="s">
        <v>3407</v>
      </c>
      <c r="H529" s="167">
        <v>45259.0</v>
      </c>
      <c r="I529" s="167">
        <v>45268.0</v>
      </c>
      <c r="J529" s="66">
        <v>1839.9016310725438</v>
      </c>
      <c r="K529" s="1"/>
      <c r="L529" s="1"/>
      <c r="M529" s="1" t="str">
        <f>VLOOKUP(B529,Bounties!A:D,3,FALSE)</f>
        <v>Research</v>
      </c>
      <c r="N529" s="1" t="str">
        <f>VLOOKUP(B529,Bounties!A:D,4,FALSE)</f>
        <v>Anti-Scam</v>
      </c>
      <c r="O529" s="1" t="str">
        <f t="shared" ref="O529:P529" si="533">IF(ISBLANK(K529),M529,K529)</f>
        <v>Research</v>
      </c>
      <c r="P529" s="1" t="str">
        <f t="shared" si="533"/>
        <v>Anti-Scam</v>
      </c>
      <c r="Q529" s="108" t="str">
        <f t="shared" si="3"/>
        <v>2023</v>
      </c>
      <c r="R529" s="110">
        <f t="shared" si="4"/>
        <v>12</v>
      </c>
      <c r="S529" s="108" t="str">
        <f t="shared" si="5"/>
        <v>2023-Q4</v>
      </c>
      <c r="T529" s="111" t="str">
        <f t="shared" si="6"/>
        <v>2023-12</v>
      </c>
      <c r="U529" s="112" t="str">
        <f t="shared" si="7"/>
        <v>2023-H2</v>
      </c>
      <c r="V529" s="1" t="str">
        <f>VLOOKUP(B529,Bounties!A:E,2,FALSE)</f>
        <v>Anti-Scam Bounty</v>
      </c>
    </row>
    <row r="530" hidden="1">
      <c r="A530" s="109">
        <f>HYPERLINK("https://polkadot.subsquare.io/treasury/child-bounties/528", 528)</f>
        <v>528</v>
      </c>
      <c r="B530" s="183">
        <v>11.0</v>
      </c>
      <c r="C530" s="27" t="s">
        <v>3404</v>
      </c>
      <c r="D530" s="27" t="s">
        <v>1114</v>
      </c>
      <c r="E530" s="129">
        <v>320.0609639931</v>
      </c>
      <c r="F530" s="66">
        <v>1783.9817738253632</v>
      </c>
      <c r="G530" s="27" t="s">
        <v>3411</v>
      </c>
      <c r="H530" s="167">
        <v>45259.0</v>
      </c>
      <c r="I530" s="167">
        <v>45268.0</v>
      </c>
      <c r="J530" s="66">
        <v>2349.7516183673865</v>
      </c>
      <c r="K530" s="1"/>
      <c r="L530" s="1"/>
      <c r="M530" s="1" t="str">
        <f>VLOOKUP(B530,Bounties!A:D,3,FALSE)</f>
        <v>Research</v>
      </c>
      <c r="N530" s="1" t="str">
        <f>VLOOKUP(B530,Bounties!A:D,4,FALSE)</f>
        <v>Anti-Scam</v>
      </c>
      <c r="O530" s="1" t="str">
        <f t="shared" ref="O530:P530" si="534">IF(ISBLANK(K530),M530,K530)</f>
        <v>Research</v>
      </c>
      <c r="P530" s="1" t="str">
        <f t="shared" si="534"/>
        <v>Anti-Scam</v>
      </c>
      <c r="Q530" s="108" t="str">
        <f t="shared" si="3"/>
        <v>2023</v>
      </c>
      <c r="R530" s="110">
        <f t="shared" si="4"/>
        <v>12</v>
      </c>
      <c r="S530" s="108" t="str">
        <f t="shared" si="5"/>
        <v>2023-Q4</v>
      </c>
      <c r="T530" s="111" t="str">
        <f t="shared" si="6"/>
        <v>2023-12</v>
      </c>
      <c r="U530" s="112" t="str">
        <f t="shared" si="7"/>
        <v>2023-H2</v>
      </c>
      <c r="V530" s="1" t="str">
        <f>VLOOKUP(B530,Bounties!A:E,2,FALSE)</f>
        <v>Anti-Scam Bounty</v>
      </c>
    </row>
    <row r="531" hidden="1">
      <c r="A531" s="109">
        <f>HYPERLINK("https://polkadot.subsquare.io/treasury/child-bounties/529", 529)</f>
        <v>529</v>
      </c>
      <c r="B531" s="183">
        <v>11.0</v>
      </c>
      <c r="C531" s="27" t="s">
        <v>3404</v>
      </c>
      <c r="D531" s="27" t="s">
        <v>1115</v>
      </c>
      <c r="E531" s="129">
        <v>1294.9697194414</v>
      </c>
      <c r="F531" s="66">
        <v>7655.306707780159</v>
      </c>
      <c r="G531" s="27" t="s">
        <v>3407</v>
      </c>
      <c r="H531" s="167">
        <v>45262.0</v>
      </c>
      <c r="I531" s="167">
        <v>45273.0</v>
      </c>
      <c r="J531" s="66">
        <v>9176.034977014713</v>
      </c>
      <c r="K531" s="1"/>
      <c r="L531" s="1"/>
      <c r="M531" s="1" t="str">
        <f>VLOOKUP(B531,Bounties!A:D,3,FALSE)</f>
        <v>Research</v>
      </c>
      <c r="N531" s="1" t="str">
        <f>VLOOKUP(B531,Bounties!A:D,4,FALSE)</f>
        <v>Anti-Scam</v>
      </c>
      <c r="O531" s="1" t="str">
        <f t="shared" ref="O531:P531" si="535">IF(ISBLANK(K531),M531,K531)</f>
        <v>Research</v>
      </c>
      <c r="P531" s="1" t="str">
        <f t="shared" si="535"/>
        <v>Anti-Scam</v>
      </c>
      <c r="Q531" s="108" t="str">
        <f t="shared" si="3"/>
        <v>2023</v>
      </c>
      <c r="R531" s="110">
        <f t="shared" si="4"/>
        <v>12</v>
      </c>
      <c r="S531" s="108" t="str">
        <f t="shared" si="5"/>
        <v>2023-Q4</v>
      </c>
      <c r="T531" s="111" t="str">
        <f t="shared" si="6"/>
        <v>2023-12</v>
      </c>
      <c r="U531" s="112" t="str">
        <f t="shared" si="7"/>
        <v>2023-H2</v>
      </c>
      <c r="V531" s="1" t="str">
        <f>VLOOKUP(B531,Bounties!A:E,2,FALSE)</f>
        <v>Anti-Scam Bounty</v>
      </c>
    </row>
    <row r="532" hidden="1">
      <c r="A532" s="109">
        <f>HYPERLINK("https://polkadot.subsquare.io/treasury/child-bounties/530", 530)</f>
        <v>530</v>
      </c>
      <c r="B532" s="183">
        <v>11.0</v>
      </c>
      <c r="C532" s="27" t="s">
        <v>3404</v>
      </c>
      <c r="D532" s="27" t="s">
        <v>1116</v>
      </c>
      <c r="E532" s="129">
        <v>761.6734643431</v>
      </c>
      <c r="F532" s="66">
        <v>4502.687509356656</v>
      </c>
      <c r="G532" s="27" t="s">
        <v>3406</v>
      </c>
      <c r="H532" s="167">
        <v>45262.0</v>
      </c>
      <c r="I532" s="167">
        <v>45279.0</v>
      </c>
      <c r="J532" s="66">
        <v>6368.738320501188</v>
      </c>
      <c r="K532" s="1"/>
      <c r="L532" s="1"/>
      <c r="M532" s="1" t="str">
        <f>VLOOKUP(B532,Bounties!A:D,3,FALSE)</f>
        <v>Research</v>
      </c>
      <c r="N532" s="1" t="str">
        <f>VLOOKUP(B532,Bounties!A:D,4,FALSE)</f>
        <v>Anti-Scam</v>
      </c>
      <c r="O532" s="1" t="str">
        <f t="shared" ref="O532:P532" si="536">IF(ISBLANK(K532),M532,K532)</f>
        <v>Research</v>
      </c>
      <c r="P532" s="1" t="str">
        <f t="shared" si="536"/>
        <v>Anti-Scam</v>
      </c>
      <c r="Q532" s="108" t="str">
        <f t="shared" si="3"/>
        <v>2023</v>
      </c>
      <c r="R532" s="110">
        <f t="shared" si="4"/>
        <v>12</v>
      </c>
      <c r="S532" s="108" t="str">
        <f t="shared" si="5"/>
        <v>2023-Q4</v>
      </c>
      <c r="T532" s="111" t="str">
        <f t="shared" si="6"/>
        <v>2023-12</v>
      </c>
      <c r="U532" s="112" t="str">
        <f t="shared" si="7"/>
        <v>2023-H2</v>
      </c>
      <c r="V532" s="1" t="str">
        <f>VLOOKUP(B532,Bounties!A:E,2,FALSE)</f>
        <v>Anti-Scam Bounty</v>
      </c>
    </row>
    <row r="533" hidden="1">
      <c r="A533" s="109">
        <f>HYPERLINK("https://polkadot.subsquare.io/treasury/child-bounties/531", 531)</f>
        <v>531</v>
      </c>
      <c r="B533" s="183">
        <v>11.0</v>
      </c>
      <c r="C533" s="27" t="s">
        <v>3404</v>
      </c>
      <c r="D533" s="27" t="s">
        <v>1117</v>
      </c>
      <c r="E533" s="129">
        <v>622.7783957484</v>
      </c>
      <c r="F533" s="66">
        <v>3681.5993137583437</v>
      </c>
      <c r="G533" s="27" t="s">
        <v>3411</v>
      </c>
      <c r="H533" s="167">
        <v>45262.0</v>
      </c>
      <c r="I533" s="167">
        <v>45273.0</v>
      </c>
      <c r="J533" s="66">
        <v>4412.949782935081</v>
      </c>
      <c r="K533" s="1"/>
      <c r="L533" s="1"/>
      <c r="M533" s="1" t="str">
        <f>VLOOKUP(B533,Bounties!A:D,3,FALSE)</f>
        <v>Research</v>
      </c>
      <c r="N533" s="1" t="str">
        <f>VLOOKUP(B533,Bounties!A:D,4,FALSE)</f>
        <v>Anti-Scam</v>
      </c>
      <c r="O533" s="1" t="str">
        <f t="shared" ref="O533:P533" si="537">IF(ISBLANK(K533),M533,K533)</f>
        <v>Research</v>
      </c>
      <c r="P533" s="1" t="str">
        <f t="shared" si="537"/>
        <v>Anti-Scam</v>
      </c>
      <c r="Q533" s="108" t="str">
        <f t="shared" si="3"/>
        <v>2023</v>
      </c>
      <c r="R533" s="110">
        <f t="shared" si="4"/>
        <v>12</v>
      </c>
      <c r="S533" s="108" t="str">
        <f t="shared" si="5"/>
        <v>2023-Q4</v>
      </c>
      <c r="T533" s="111" t="str">
        <f t="shared" si="6"/>
        <v>2023-12</v>
      </c>
      <c r="U533" s="112" t="str">
        <f t="shared" si="7"/>
        <v>2023-H2</v>
      </c>
      <c r="V533" s="1" t="str">
        <f>VLOOKUP(B533,Bounties!A:E,2,FALSE)</f>
        <v>Anti-Scam Bounty</v>
      </c>
    </row>
    <row r="534" hidden="1">
      <c r="A534" s="109">
        <f>HYPERLINK("https://polkadot.subsquare.io/treasury/child-bounties/532", 532)</f>
        <v>532</v>
      </c>
      <c r="B534" s="183">
        <v>22.0</v>
      </c>
      <c r="C534" s="27" t="s">
        <v>3404</v>
      </c>
      <c r="D534" s="27" t="s">
        <v>1118</v>
      </c>
      <c r="E534" s="129">
        <v>3000.0</v>
      </c>
      <c r="F534" s="66">
        <v>18739.99786376953</v>
      </c>
      <c r="G534" s="27" t="s">
        <v>3558</v>
      </c>
      <c r="H534" s="167">
        <v>45265.0</v>
      </c>
      <c r="I534" s="167">
        <v>45306.0</v>
      </c>
      <c r="J534" s="66">
        <v>21998.88038635254</v>
      </c>
      <c r="K534" s="1"/>
      <c r="L534" s="1"/>
      <c r="M534" s="1" t="str">
        <f>VLOOKUP(B534,Bounties!A:D,3,FALSE)</f>
        <v>Development</v>
      </c>
      <c r="N534" s="1" t="str">
        <f>VLOOKUP(B534,Bounties!A:D,4,FALSE)</f>
        <v>Ecosystem Services</v>
      </c>
      <c r="O534" s="1" t="str">
        <f t="shared" ref="O534:P534" si="538">IF(ISBLANK(K534),M534,K534)</f>
        <v>Development</v>
      </c>
      <c r="P534" s="1" t="str">
        <f t="shared" si="538"/>
        <v>Ecosystem Services</v>
      </c>
      <c r="Q534" s="108" t="str">
        <f t="shared" si="3"/>
        <v>2024</v>
      </c>
      <c r="R534" s="110">
        <f t="shared" si="4"/>
        <v>1</v>
      </c>
      <c r="S534" s="108" t="str">
        <f t="shared" si="5"/>
        <v>2024-Q1</v>
      </c>
      <c r="T534" s="111" t="str">
        <f t="shared" si="6"/>
        <v>2024-01</v>
      </c>
      <c r="U534" s="112" t="str">
        <f t="shared" si="7"/>
        <v>2024-H1</v>
      </c>
      <c r="V534" s="1" t="str">
        <f>VLOOKUP(B534,Bounties!A:E,2,FALSE)</f>
        <v>Polkadot Assurance Legion Bounty</v>
      </c>
    </row>
    <row r="535" hidden="1">
      <c r="A535" s="109">
        <f>HYPERLINK("https://polkadot.subsquare.io/treasury/child-bounties/533", 533)</f>
        <v>533</v>
      </c>
      <c r="B535" s="183">
        <v>11.0</v>
      </c>
      <c r="C535" s="27" t="s">
        <v>3404</v>
      </c>
      <c r="D535" s="27" t="s">
        <v>1119</v>
      </c>
      <c r="E535" s="129">
        <v>143.106457</v>
      </c>
      <c r="F535" s="66">
        <v>978.8021949833021</v>
      </c>
      <c r="G535" s="27" t="s">
        <v>3411</v>
      </c>
      <c r="H535" s="167">
        <v>45265.0</v>
      </c>
      <c r="I535" s="167">
        <v>45277.0</v>
      </c>
      <c r="J535" s="66">
        <v>960.9912020519233</v>
      </c>
      <c r="K535" s="1"/>
      <c r="L535" s="1"/>
      <c r="M535" s="1" t="str">
        <f>VLOOKUP(B535,Bounties!A:D,3,FALSE)</f>
        <v>Research</v>
      </c>
      <c r="N535" s="1" t="str">
        <f>VLOOKUP(B535,Bounties!A:D,4,FALSE)</f>
        <v>Anti-Scam</v>
      </c>
      <c r="O535" s="1" t="str">
        <f t="shared" ref="O535:P535" si="539">IF(ISBLANK(K535),M535,K535)</f>
        <v>Research</v>
      </c>
      <c r="P535" s="1" t="str">
        <f t="shared" si="539"/>
        <v>Anti-Scam</v>
      </c>
      <c r="Q535" s="108" t="str">
        <f t="shared" si="3"/>
        <v>2023</v>
      </c>
      <c r="R535" s="110">
        <f t="shared" si="4"/>
        <v>12</v>
      </c>
      <c r="S535" s="108" t="str">
        <f t="shared" si="5"/>
        <v>2023-Q4</v>
      </c>
      <c r="T535" s="111" t="str">
        <f t="shared" si="6"/>
        <v>2023-12</v>
      </c>
      <c r="U535" s="112" t="str">
        <f t="shared" si="7"/>
        <v>2023-H2</v>
      </c>
      <c r="V535" s="1" t="str">
        <f>VLOOKUP(B535,Bounties!A:E,2,FALSE)</f>
        <v>Anti-Scam Bounty</v>
      </c>
    </row>
    <row r="536" hidden="1">
      <c r="A536" s="109">
        <f>HYPERLINK("https://polkadot.subsquare.io/treasury/child-bounties/534", 534)</f>
        <v>534</v>
      </c>
      <c r="B536" s="183">
        <v>17.0</v>
      </c>
      <c r="C536" s="27" t="s">
        <v>3404</v>
      </c>
      <c r="D536" s="27" t="s">
        <v>1120</v>
      </c>
      <c r="E536" s="129">
        <v>433.5</v>
      </c>
      <c r="F536" s="66">
        <v>3009.658343553543</v>
      </c>
      <c r="G536" s="27" t="s">
        <v>3531</v>
      </c>
      <c r="H536" s="167">
        <v>45277.0</v>
      </c>
      <c r="I536" s="167">
        <v>45309.0</v>
      </c>
      <c r="J536" s="66">
        <v>2950.972444295883</v>
      </c>
      <c r="K536" s="1"/>
      <c r="L536" s="1" t="s">
        <v>266</v>
      </c>
      <c r="M536" s="1" t="str">
        <f>VLOOKUP(B536,Bounties!A:D,3,FALSE)</f>
        <v>Outreach</v>
      </c>
      <c r="N536" s="1" t="str">
        <f>VLOOKUP(B536,Bounties!A:D,4,FALSE)</f>
        <v>Events/Meetups</v>
      </c>
      <c r="O536" s="1" t="str">
        <f t="shared" ref="O536:P536" si="540">IF(ISBLANK(K536),M536,K536)</f>
        <v>Outreach</v>
      </c>
      <c r="P536" s="1" t="str">
        <f t="shared" si="540"/>
        <v>Events/Conference Attendance &amp; Side Events</v>
      </c>
      <c r="Q536" s="108" t="str">
        <f t="shared" si="3"/>
        <v>2024</v>
      </c>
      <c r="R536" s="110">
        <f t="shared" si="4"/>
        <v>1</v>
      </c>
      <c r="S536" s="108" t="str">
        <f t="shared" si="5"/>
        <v>2024-Q1</v>
      </c>
      <c r="T536" s="111" t="str">
        <f t="shared" si="6"/>
        <v>2024-01</v>
      </c>
      <c r="U536" s="112" t="str">
        <f t="shared" si="7"/>
        <v>2024-H1</v>
      </c>
      <c r="V536" s="1" t="str">
        <f>VLOOKUP(B536,Bounties!A:E,2,FALSE)</f>
        <v>Events Bounty</v>
      </c>
    </row>
    <row r="537" hidden="1">
      <c r="A537" s="109">
        <f>HYPERLINK("https://polkadot.subsquare.io/treasury/child-bounties/535", 535)</f>
        <v>535</v>
      </c>
      <c r="B537" s="183">
        <v>17.0</v>
      </c>
      <c r="C537" s="27" t="s">
        <v>3404</v>
      </c>
      <c r="D537" s="27" t="s">
        <v>1121</v>
      </c>
      <c r="E537" s="129">
        <v>7056.2</v>
      </c>
      <c r="F537" s="66">
        <v>48989.04545278549</v>
      </c>
      <c r="G537" s="27" t="s">
        <v>3506</v>
      </c>
      <c r="H537" s="167">
        <v>45277.0</v>
      </c>
      <c r="I537" s="167">
        <v>45290.0</v>
      </c>
      <c r="J537" s="66">
        <v>59361.664701652524</v>
      </c>
      <c r="K537" s="1"/>
      <c r="L537" s="1"/>
      <c r="M537" s="1" t="str">
        <f>VLOOKUP(B537,Bounties!A:D,3,FALSE)</f>
        <v>Outreach</v>
      </c>
      <c r="N537" s="1" t="str">
        <f>VLOOKUP(B537,Bounties!A:D,4,FALSE)</f>
        <v>Events/Meetups</v>
      </c>
      <c r="O537" s="1" t="str">
        <f t="shared" ref="O537:P537" si="541">IF(ISBLANK(K537),M537,K537)</f>
        <v>Outreach</v>
      </c>
      <c r="P537" s="1" t="str">
        <f t="shared" si="541"/>
        <v>Events/Meetups</v>
      </c>
      <c r="Q537" s="108" t="str">
        <f t="shared" si="3"/>
        <v>2023</v>
      </c>
      <c r="R537" s="110">
        <f t="shared" si="4"/>
        <v>12</v>
      </c>
      <c r="S537" s="108" t="str">
        <f t="shared" si="5"/>
        <v>2023-Q4</v>
      </c>
      <c r="T537" s="111" t="str">
        <f t="shared" si="6"/>
        <v>2023-12</v>
      </c>
      <c r="U537" s="112" t="str">
        <f t="shared" si="7"/>
        <v>2023-H2</v>
      </c>
      <c r="V537" s="1" t="str">
        <f>VLOOKUP(B537,Bounties!A:E,2,FALSE)</f>
        <v>Events Bounty</v>
      </c>
    </row>
    <row r="538" hidden="1">
      <c r="A538" s="109">
        <f>HYPERLINK("https://polkadot.subsquare.io/treasury/child-bounties/536", 536)</f>
        <v>536</v>
      </c>
      <c r="B538" s="183">
        <v>17.0</v>
      </c>
      <c r="C538" s="27" t="s">
        <v>3404</v>
      </c>
      <c r="D538" s="27" t="s">
        <v>1122</v>
      </c>
      <c r="E538" s="129">
        <v>1987.0</v>
      </c>
      <c r="F538" s="66">
        <v>13795.135244846344</v>
      </c>
      <c r="G538" s="27" t="s">
        <v>3413</v>
      </c>
      <c r="H538" s="167">
        <v>45277.0</v>
      </c>
      <c r="I538" s="167">
        <v>45287.0</v>
      </c>
      <c r="J538" s="66">
        <v>16632.90470314026</v>
      </c>
      <c r="K538" s="1"/>
      <c r="L538" s="1"/>
      <c r="M538" s="1" t="str">
        <f>VLOOKUP(B538,Bounties!A:D,3,FALSE)</f>
        <v>Outreach</v>
      </c>
      <c r="N538" s="1" t="str">
        <f>VLOOKUP(B538,Bounties!A:D,4,FALSE)</f>
        <v>Events/Meetups</v>
      </c>
      <c r="O538" s="1" t="str">
        <f t="shared" ref="O538:P538" si="542">IF(ISBLANK(K538),M538,K538)</f>
        <v>Outreach</v>
      </c>
      <c r="P538" s="1" t="str">
        <f t="shared" si="542"/>
        <v>Events/Meetups</v>
      </c>
      <c r="Q538" s="108" t="str">
        <f t="shared" si="3"/>
        <v>2023</v>
      </c>
      <c r="R538" s="110">
        <f t="shared" si="4"/>
        <v>12</v>
      </c>
      <c r="S538" s="108" t="str">
        <f t="shared" si="5"/>
        <v>2023-Q4</v>
      </c>
      <c r="T538" s="111" t="str">
        <f t="shared" si="6"/>
        <v>2023-12</v>
      </c>
      <c r="U538" s="112" t="str">
        <f t="shared" si="7"/>
        <v>2023-H2</v>
      </c>
      <c r="V538" s="1" t="str">
        <f>VLOOKUP(B538,Bounties!A:E,2,FALSE)</f>
        <v>Events Bounty</v>
      </c>
    </row>
    <row r="539" hidden="1">
      <c r="A539" s="109">
        <f>HYPERLINK("https://polkadot.subsquare.io/treasury/child-bounties/537", 537)</f>
        <v>537</v>
      </c>
      <c r="B539" s="183">
        <v>17.0</v>
      </c>
      <c r="C539" s="27" t="s">
        <v>3404</v>
      </c>
      <c r="D539" s="27" t="s">
        <v>1123</v>
      </c>
      <c r="E539" s="129">
        <v>1987.0</v>
      </c>
      <c r="F539" s="66">
        <v>13795.135244846344</v>
      </c>
      <c r="G539" s="27" t="s">
        <v>3559</v>
      </c>
      <c r="H539" s="167">
        <v>45277.0</v>
      </c>
      <c r="I539" s="167">
        <v>45293.0</v>
      </c>
      <c r="J539" s="66">
        <v>15660.492663860321</v>
      </c>
      <c r="K539" s="1"/>
      <c r="L539" s="1"/>
      <c r="M539" s="1" t="str">
        <f>VLOOKUP(B539,Bounties!A:D,3,FALSE)</f>
        <v>Outreach</v>
      </c>
      <c r="N539" s="1" t="str">
        <f>VLOOKUP(B539,Bounties!A:D,4,FALSE)</f>
        <v>Events/Meetups</v>
      </c>
      <c r="O539" s="1" t="str">
        <f t="shared" ref="O539:P539" si="543">IF(ISBLANK(K539),M539,K539)</f>
        <v>Outreach</v>
      </c>
      <c r="P539" s="1" t="str">
        <f t="shared" si="543"/>
        <v>Events/Meetups</v>
      </c>
      <c r="Q539" s="108" t="str">
        <f t="shared" si="3"/>
        <v>2024</v>
      </c>
      <c r="R539" s="110">
        <f t="shared" si="4"/>
        <v>1</v>
      </c>
      <c r="S539" s="108" t="str">
        <f t="shared" si="5"/>
        <v>2024-Q1</v>
      </c>
      <c r="T539" s="111" t="str">
        <f t="shared" si="6"/>
        <v>2024-01</v>
      </c>
      <c r="U539" s="112" t="str">
        <f t="shared" si="7"/>
        <v>2024-H1</v>
      </c>
      <c r="V539" s="1" t="str">
        <f>VLOOKUP(B539,Bounties!A:E,2,FALSE)</f>
        <v>Events Bounty</v>
      </c>
    </row>
    <row r="540" hidden="1">
      <c r="A540" s="109">
        <f>HYPERLINK("https://polkadot.subsquare.io/treasury/child-bounties/538", 538)</f>
        <v>538</v>
      </c>
      <c r="B540" s="183">
        <v>17.0</v>
      </c>
      <c r="C540" s="27" t="s">
        <v>3404</v>
      </c>
      <c r="D540" s="27" t="s">
        <v>1124</v>
      </c>
      <c r="E540" s="129">
        <v>277.0</v>
      </c>
      <c r="F540" s="66">
        <v>1923.1265540122986</v>
      </c>
      <c r="G540" s="27" t="s">
        <v>3459</v>
      </c>
      <c r="H540" s="167">
        <v>45277.0</v>
      </c>
      <c r="I540" s="167">
        <v>45297.0</v>
      </c>
      <c r="J540" s="66">
        <v>2071.3916482925415</v>
      </c>
      <c r="K540" s="1"/>
      <c r="L540" s="1"/>
      <c r="M540" s="1" t="str">
        <f>VLOOKUP(B540,Bounties!A:D,3,FALSE)</f>
        <v>Outreach</v>
      </c>
      <c r="N540" s="1" t="str">
        <f>VLOOKUP(B540,Bounties!A:D,4,FALSE)</f>
        <v>Events/Meetups</v>
      </c>
      <c r="O540" s="1" t="str">
        <f t="shared" ref="O540:P540" si="544">IF(ISBLANK(K540),M540,K540)</f>
        <v>Outreach</v>
      </c>
      <c r="P540" s="1" t="str">
        <f t="shared" si="544"/>
        <v>Events/Meetups</v>
      </c>
      <c r="Q540" s="108" t="str">
        <f t="shared" si="3"/>
        <v>2024</v>
      </c>
      <c r="R540" s="110">
        <f t="shared" si="4"/>
        <v>1</v>
      </c>
      <c r="S540" s="108" t="str">
        <f t="shared" si="5"/>
        <v>2024-Q1</v>
      </c>
      <c r="T540" s="111" t="str">
        <f t="shared" si="6"/>
        <v>2024-01</v>
      </c>
      <c r="U540" s="112" t="str">
        <f t="shared" si="7"/>
        <v>2024-H1</v>
      </c>
      <c r="V540" s="1" t="str">
        <f>VLOOKUP(B540,Bounties!A:E,2,FALSE)</f>
        <v>Events Bounty</v>
      </c>
    </row>
    <row r="541" hidden="1">
      <c r="A541" s="109">
        <f>HYPERLINK("https://polkadot.subsquare.io/treasury/child-bounties/539", 539)</f>
        <v>539</v>
      </c>
      <c r="B541" s="183">
        <v>17.0</v>
      </c>
      <c r="C541" s="27" t="s">
        <v>3404</v>
      </c>
      <c r="D541" s="27" t="s">
        <v>1125</v>
      </c>
      <c r="E541" s="129">
        <v>744.5</v>
      </c>
      <c r="F541" s="66">
        <v>5168.836532354355</v>
      </c>
      <c r="G541" s="27" t="s">
        <v>3459</v>
      </c>
      <c r="H541" s="167">
        <v>45277.0</v>
      </c>
      <c r="I541" s="167">
        <v>45297.0</v>
      </c>
      <c r="J541" s="66">
        <v>5567.332426548004</v>
      </c>
      <c r="K541" s="1"/>
      <c r="L541" s="1"/>
      <c r="M541" s="1" t="str">
        <f>VLOOKUP(B541,Bounties!A:D,3,FALSE)</f>
        <v>Outreach</v>
      </c>
      <c r="N541" s="1" t="str">
        <f>VLOOKUP(B541,Bounties!A:D,4,FALSE)</f>
        <v>Events/Meetups</v>
      </c>
      <c r="O541" s="1" t="str">
        <f t="shared" ref="O541:P541" si="545">IF(ISBLANK(K541),M541,K541)</f>
        <v>Outreach</v>
      </c>
      <c r="P541" s="1" t="str">
        <f t="shared" si="545"/>
        <v>Events/Meetups</v>
      </c>
      <c r="Q541" s="108" t="str">
        <f t="shared" si="3"/>
        <v>2024</v>
      </c>
      <c r="R541" s="110">
        <f t="shared" si="4"/>
        <v>1</v>
      </c>
      <c r="S541" s="108" t="str">
        <f t="shared" si="5"/>
        <v>2024-Q1</v>
      </c>
      <c r="T541" s="111" t="str">
        <f t="shared" si="6"/>
        <v>2024-01</v>
      </c>
      <c r="U541" s="112" t="str">
        <f t="shared" si="7"/>
        <v>2024-H1</v>
      </c>
      <c r="V541" s="1" t="str">
        <f>VLOOKUP(B541,Bounties!A:E,2,FALSE)</f>
        <v>Events Bounty</v>
      </c>
    </row>
    <row r="542" hidden="1">
      <c r="A542" s="109">
        <f>HYPERLINK("https://polkadot.subsquare.io/treasury/child-bounties/540", 540)</f>
        <v>540</v>
      </c>
      <c r="B542" s="183">
        <v>17.0</v>
      </c>
      <c r="C542" s="27" t="s">
        <v>3404</v>
      </c>
      <c r="D542" s="27" t="s">
        <v>1126</v>
      </c>
      <c r="E542" s="129">
        <v>288.0</v>
      </c>
      <c r="F542" s="66">
        <v>1999.4962005615234</v>
      </c>
      <c r="G542" s="27" t="s">
        <v>3459</v>
      </c>
      <c r="H542" s="167">
        <v>45277.0</v>
      </c>
      <c r="I542" s="167">
        <v>45297.0</v>
      </c>
      <c r="J542" s="66">
        <v>2153.6490783691406</v>
      </c>
      <c r="K542" s="1"/>
      <c r="L542" s="1" t="s">
        <v>266</v>
      </c>
      <c r="M542" s="1" t="str">
        <f>VLOOKUP(B542,Bounties!A:D,3,FALSE)</f>
        <v>Outreach</v>
      </c>
      <c r="N542" s="1" t="str">
        <f>VLOOKUP(B542,Bounties!A:D,4,FALSE)</f>
        <v>Events/Meetups</v>
      </c>
      <c r="O542" s="1" t="str">
        <f t="shared" ref="O542:P542" si="546">IF(ISBLANK(K542),M542,K542)</f>
        <v>Outreach</v>
      </c>
      <c r="P542" s="1" t="str">
        <f t="shared" si="546"/>
        <v>Events/Conference Attendance &amp; Side Events</v>
      </c>
      <c r="Q542" s="108" t="str">
        <f t="shared" si="3"/>
        <v>2024</v>
      </c>
      <c r="R542" s="110">
        <f t="shared" si="4"/>
        <v>1</v>
      </c>
      <c r="S542" s="108" t="str">
        <f t="shared" si="5"/>
        <v>2024-Q1</v>
      </c>
      <c r="T542" s="111" t="str">
        <f t="shared" si="6"/>
        <v>2024-01</v>
      </c>
      <c r="U542" s="112" t="str">
        <f t="shared" si="7"/>
        <v>2024-H1</v>
      </c>
      <c r="V542" s="1" t="str">
        <f>VLOOKUP(B542,Bounties!A:E,2,FALSE)</f>
        <v>Events Bounty</v>
      </c>
    </row>
    <row r="543" hidden="1">
      <c r="A543" s="109">
        <f>HYPERLINK("https://polkadot.subsquare.io/treasury/child-bounties/541", 541)</f>
        <v>541</v>
      </c>
      <c r="B543" s="183">
        <v>17.0</v>
      </c>
      <c r="C543" s="27" t="s">
        <v>3404</v>
      </c>
      <c r="D543" s="27" t="s">
        <v>1127</v>
      </c>
      <c r="E543" s="129">
        <v>1172.3</v>
      </c>
      <c r="F543" s="66">
        <v>8138.921513605117</v>
      </c>
      <c r="G543" s="27" t="s">
        <v>3459</v>
      </c>
      <c r="H543" s="167">
        <v>45277.0</v>
      </c>
      <c r="I543" s="167">
        <v>45297.0</v>
      </c>
      <c r="J543" s="66">
        <v>8766.398661708832</v>
      </c>
      <c r="K543" s="1"/>
      <c r="L543" s="1" t="s">
        <v>266</v>
      </c>
      <c r="M543" s="1" t="str">
        <f>VLOOKUP(B543,Bounties!A:D,3,FALSE)</f>
        <v>Outreach</v>
      </c>
      <c r="N543" s="1" t="str">
        <f>VLOOKUP(B543,Bounties!A:D,4,FALSE)</f>
        <v>Events/Meetups</v>
      </c>
      <c r="O543" s="1" t="str">
        <f t="shared" ref="O543:P543" si="547">IF(ISBLANK(K543),M543,K543)</f>
        <v>Outreach</v>
      </c>
      <c r="P543" s="1" t="str">
        <f t="shared" si="547"/>
        <v>Events/Conference Attendance &amp; Side Events</v>
      </c>
      <c r="Q543" s="108" t="str">
        <f t="shared" si="3"/>
        <v>2024</v>
      </c>
      <c r="R543" s="110">
        <f t="shared" si="4"/>
        <v>1</v>
      </c>
      <c r="S543" s="108" t="str">
        <f t="shared" si="5"/>
        <v>2024-Q1</v>
      </c>
      <c r="T543" s="111" t="str">
        <f t="shared" si="6"/>
        <v>2024-01</v>
      </c>
      <c r="U543" s="112" t="str">
        <f t="shared" si="7"/>
        <v>2024-H1</v>
      </c>
      <c r="V543" s="1" t="str">
        <f>VLOOKUP(B543,Bounties!A:E,2,FALSE)</f>
        <v>Events Bounty</v>
      </c>
    </row>
    <row r="544" hidden="1">
      <c r="A544" s="109">
        <f>HYPERLINK("https://polkadot.subsquare.io/treasury/child-bounties/542", 542)</f>
        <v>542</v>
      </c>
      <c r="B544" s="183">
        <v>17.0</v>
      </c>
      <c r="C544" s="27" t="s">
        <v>3404</v>
      </c>
      <c r="D544" s="27" t="s">
        <v>1128</v>
      </c>
      <c r="E544" s="129">
        <v>935.5</v>
      </c>
      <c r="F544" s="66">
        <v>6494.891304254532</v>
      </c>
      <c r="G544" s="27" t="s">
        <v>3468</v>
      </c>
      <c r="H544" s="167">
        <v>45277.0</v>
      </c>
      <c r="I544" s="167">
        <v>45294.0</v>
      </c>
      <c r="J544" s="66">
        <v>6678.376530170441</v>
      </c>
      <c r="K544" s="1"/>
      <c r="L544" s="1" t="s">
        <v>266</v>
      </c>
      <c r="M544" s="1" t="str">
        <f>VLOOKUP(B544,Bounties!A:D,3,FALSE)</f>
        <v>Outreach</v>
      </c>
      <c r="N544" s="1" t="str">
        <f>VLOOKUP(B544,Bounties!A:D,4,FALSE)</f>
        <v>Events/Meetups</v>
      </c>
      <c r="O544" s="1" t="str">
        <f t="shared" ref="O544:P544" si="548">IF(ISBLANK(K544),M544,K544)</f>
        <v>Outreach</v>
      </c>
      <c r="P544" s="1" t="str">
        <f t="shared" si="548"/>
        <v>Events/Conference Attendance &amp; Side Events</v>
      </c>
      <c r="Q544" s="108" t="str">
        <f t="shared" si="3"/>
        <v>2024</v>
      </c>
      <c r="R544" s="110">
        <f t="shared" si="4"/>
        <v>1</v>
      </c>
      <c r="S544" s="108" t="str">
        <f t="shared" si="5"/>
        <v>2024-Q1</v>
      </c>
      <c r="T544" s="111" t="str">
        <f t="shared" si="6"/>
        <v>2024-01</v>
      </c>
      <c r="U544" s="112" t="str">
        <f t="shared" si="7"/>
        <v>2024-H1</v>
      </c>
      <c r="V544" s="1" t="str">
        <f>VLOOKUP(B544,Bounties!A:E,2,FALSE)</f>
        <v>Events Bounty</v>
      </c>
    </row>
    <row r="545" hidden="1">
      <c r="A545" s="109">
        <f>HYPERLINK("https://polkadot.subsquare.io/treasury/child-bounties/543", 543)</f>
        <v>543</v>
      </c>
      <c r="B545" s="183">
        <v>17.0</v>
      </c>
      <c r="C545" s="27" t="s">
        <v>3404</v>
      </c>
      <c r="D545" s="27" t="s">
        <v>1129</v>
      </c>
      <c r="E545" s="129">
        <v>11074.0</v>
      </c>
      <c r="F545" s="66">
        <v>76883.40598964691</v>
      </c>
      <c r="G545" s="27" t="s">
        <v>3468</v>
      </c>
      <c r="H545" s="167">
        <v>45277.0</v>
      </c>
      <c r="I545" s="167">
        <v>45294.0</v>
      </c>
      <c r="J545" s="66">
        <v>79055.41602897644</v>
      </c>
      <c r="K545" s="1"/>
      <c r="L545" s="1" t="s">
        <v>266</v>
      </c>
      <c r="M545" s="1" t="str">
        <f>VLOOKUP(B545,Bounties!A:D,3,FALSE)</f>
        <v>Outreach</v>
      </c>
      <c r="N545" s="1" t="str">
        <f>VLOOKUP(B545,Bounties!A:D,4,FALSE)</f>
        <v>Events/Meetups</v>
      </c>
      <c r="O545" s="1" t="str">
        <f t="shared" ref="O545:P545" si="549">IF(ISBLANK(K545),M545,K545)</f>
        <v>Outreach</v>
      </c>
      <c r="P545" s="1" t="str">
        <f t="shared" si="549"/>
        <v>Events/Conference Attendance &amp; Side Events</v>
      </c>
      <c r="Q545" s="108" t="str">
        <f t="shared" si="3"/>
        <v>2024</v>
      </c>
      <c r="R545" s="110">
        <f t="shared" si="4"/>
        <v>1</v>
      </c>
      <c r="S545" s="108" t="str">
        <f t="shared" si="5"/>
        <v>2024-Q1</v>
      </c>
      <c r="T545" s="111" t="str">
        <f t="shared" si="6"/>
        <v>2024-01</v>
      </c>
      <c r="U545" s="112" t="str">
        <f t="shared" si="7"/>
        <v>2024-H1</v>
      </c>
      <c r="V545" s="1" t="str">
        <f>VLOOKUP(B545,Bounties!A:E,2,FALSE)</f>
        <v>Events Bounty</v>
      </c>
    </row>
    <row r="546" hidden="1">
      <c r="A546" s="109">
        <f>HYPERLINK("https://polkadot.subsquare.io/treasury/child-bounties/544", 544)</f>
        <v>544</v>
      </c>
      <c r="B546" s="183">
        <v>17.0</v>
      </c>
      <c r="C546" s="27" t="s">
        <v>3404</v>
      </c>
      <c r="D546" s="27" t="s">
        <v>1130</v>
      </c>
      <c r="E546" s="129">
        <v>146.1</v>
      </c>
      <c r="F546" s="66">
        <v>1014.3277600765227</v>
      </c>
      <c r="G546" s="27" t="s">
        <v>3424</v>
      </c>
      <c r="H546" s="167">
        <v>45277.0</v>
      </c>
      <c r="I546" s="167">
        <v>45287.0</v>
      </c>
      <c r="J546" s="66">
        <v>1211.5525749206543</v>
      </c>
      <c r="K546" s="1"/>
      <c r="L546" s="1" t="s">
        <v>266</v>
      </c>
      <c r="M546" s="1" t="str">
        <f>VLOOKUP(B546,Bounties!A:D,3,FALSE)</f>
        <v>Outreach</v>
      </c>
      <c r="N546" s="1" t="str">
        <f>VLOOKUP(B546,Bounties!A:D,4,FALSE)</f>
        <v>Events/Meetups</v>
      </c>
      <c r="O546" s="1" t="str">
        <f t="shared" ref="O546:P546" si="550">IF(ISBLANK(K546),M546,K546)</f>
        <v>Outreach</v>
      </c>
      <c r="P546" s="1" t="str">
        <f t="shared" si="550"/>
        <v>Events/Conference Attendance &amp; Side Events</v>
      </c>
      <c r="Q546" s="108" t="str">
        <f t="shared" si="3"/>
        <v>2023</v>
      </c>
      <c r="R546" s="110">
        <f t="shared" si="4"/>
        <v>12</v>
      </c>
      <c r="S546" s="108" t="str">
        <f t="shared" si="5"/>
        <v>2023-Q4</v>
      </c>
      <c r="T546" s="111" t="str">
        <f t="shared" si="6"/>
        <v>2023-12</v>
      </c>
      <c r="U546" s="112" t="str">
        <f t="shared" si="7"/>
        <v>2023-H2</v>
      </c>
      <c r="V546" s="1" t="str">
        <f>VLOOKUP(B546,Bounties!A:E,2,FALSE)</f>
        <v>Events Bounty</v>
      </c>
    </row>
    <row r="547" hidden="1">
      <c r="A547" s="109">
        <f>HYPERLINK("https://polkadot.subsquare.io/treasury/child-bounties/545", 545)</f>
        <v>545</v>
      </c>
      <c r="B547" s="183">
        <v>17.0</v>
      </c>
      <c r="C547" s="27" t="s">
        <v>3404</v>
      </c>
      <c r="D547" s="27" t="s">
        <v>1131</v>
      </c>
      <c r="E547" s="129">
        <v>317.0</v>
      </c>
      <c r="F547" s="66">
        <v>2200.8343596458435</v>
      </c>
      <c r="G547" s="27" t="s">
        <v>3424</v>
      </c>
      <c r="H547" s="167">
        <v>45277.0</v>
      </c>
      <c r="I547" s="167">
        <v>45287.0</v>
      </c>
      <c r="J547" s="66">
        <v>2628.7622604370117</v>
      </c>
      <c r="K547" s="1"/>
      <c r="L547" s="1" t="s">
        <v>266</v>
      </c>
      <c r="M547" s="1" t="str">
        <f>VLOOKUP(B547,Bounties!A:D,3,FALSE)</f>
        <v>Outreach</v>
      </c>
      <c r="N547" s="1" t="str">
        <f>VLOOKUP(B547,Bounties!A:D,4,FALSE)</f>
        <v>Events/Meetups</v>
      </c>
      <c r="O547" s="1" t="str">
        <f t="shared" ref="O547:P547" si="551">IF(ISBLANK(K547),M547,K547)</f>
        <v>Outreach</v>
      </c>
      <c r="P547" s="1" t="str">
        <f t="shared" si="551"/>
        <v>Events/Conference Attendance &amp; Side Events</v>
      </c>
      <c r="Q547" s="108" t="str">
        <f t="shared" si="3"/>
        <v>2023</v>
      </c>
      <c r="R547" s="110">
        <f t="shared" si="4"/>
        <v>12</v>
      </c>
      <c r="S547" s="108" t="str">
        <f t="shared" si="5"/>
        <v>2023-Q4</v>
      </c>
      <c r="T547" s="111" t="str">
        <f t="shared" si="6"/>
        <v>2023-12</v>
      </c>
      <c r="U547" s="112" t="str">
        <f t="shared" si="7"/>
        <v>2023-H2</v>
      </c>
      <c r="V547" s="1" t="str">
        <f>VLOOKUP(B547,Bounties!A:E,2,FALSE)</f>
        <v>Events Bounty</v>
      </c>
    </row>
    <row r="548" hidden="1">
      <c r="A548" s="109">
        <f>HYPERLINK("https://polkadot.subsquare.io/treasury/child-bounties/546", 546)</f>
        <v>546</v>
      </c>
      <c r="B548" s="183">
        <v>19.0</v>
      </c>
      <c r="C548" s="27" t="s">
        <v>3404</v>
      </c>
      <c r="D548" s="27" t="s">
        <v>1132</v>
      </c>
      <c r="E548" s="129">
        <v>2385.0</v>
      </c>
      <c r="F548" s="66">
        <v>19942.19518661499</v>
      </c>
      <c r="G548" s="27" t="s">
        <v>3551</v>
      </c>
      <c r="H548" s="167">
        <v>45279.0</v>
      </c>
      <c r="I548" s="167">
        <v>45287.0</v>
      </c>
      <c r="J548" s="66">
        <v>19777.911643981934</v>
      </c>
      <c r="K548" s="1"/>
      <c r="L548" s="1"/>
      <c r="M548" s="1" t="str">
        <f>VLOOKUP(B548,Bounties!A:D,3,FALSE)</f>
        <v>Development</v>
      </c>
      <c r="N548" s="1" t="str">
        <f>VLOOKUP(B548,Bounties!A:D,4,FALSE)</f>
        <v>Smart Contracts</v>
      </c>
      <c r="O548" s="1" t="str">
        <f t="shared" ref="O548:P548" si="552">IF(ISBLANK(K548),M548,K548)</f>
        <v>Development</v>
      </c>
      <c r="P548" s="1" t="str">
        <f t="shared" si="552"/>
        <v>Smart Contracts</v>
      </c>
      <c r="Q548" s="108" t="str">
        <f t="shared" si="3"/>
        <v>2023</v>
      </c>
      <c r="R548" s="110">
        <f t="shared" si="4"/>
        <v>12</v>
      </c>
      <c r="S548" s="108" t="str">
        <f t="shared" si="5"/>
        <v>2023-Q4</v>
      </c>
      <c r="T548" s="111" t="str">
        <f t="shared" si="6"/>
        <v>2023-12</v>
      </c>
      <c r="U548" s="112" t="str">
        <f t="shared" si="7"/>
        <v>2023-H2</v>
      </c>
      <c r="V548" s="1" t="str">
        <f>VLOOKUP(B548,Bounties!A:E,2,FALSE)</f>
        <v>Wasm Smart Contracts Bounty</v>
      </c>
    </row>
    <row r="549" hidden="1">
      <c r="A549" s="109">
        <f>HYPERLINK("https://polkadot.subsquare.io/treasury/child-bounties/547", 547)</f>
        <v>547</v>
      </c>
      <c r="B549" s="183">
        <v>24.0</v>
      </c>
      <c r="C549" s="27" t="s">
        <v>3404</v>
      </c>
      <c r="D549" s="27" t="s">
        <v>1133</v>
      </c>
      <c r="E549" s="129">
        <v>203.6031589339</v>
      </c>
      <c r="F549" s="66">
        <v>1795.6285403726852</v>
      </c>
      <c r="G549" s="27" t="s">
        <v>3550</v>
      </c>
      <c r="H549" s="167">
        <v>45284.0</v>
      </c>
      <c r="I549" s="167">
        <v>45294.0</v>
      </c>
      <c r="J549" s="66">
        <v>1453.4885709168573</v>
      </c>
      <c r="K549" s="1"/>
      <c r="L549" s="1"/>
      <c r="M549" s="1" t="str">
        <f>VLOOKUP(B549,Bounties!A:D,3,FALSE)</f>
        <v>Outreach</v>
      </c>
      <c r="N549" s="1" t="str">
        <f>VLOOKUP(B549,Bounties!A:D,4,FALSE)</f>
        <v>Community Building</v>
      </c>
      <c r="O549" s="1" t="str">
        <f t="shared" ref="O549:P549" si="553">IF(ISBLANK(K549),M549,K549)</f>
        <v>Outreach</v>
      </c>
      <c r="P549" s="1" t="str">
        <f t="shared" si="553"/>
        <v>Community Building</v>
      </c>
      <c r="Q549" s="108" t="str">
        <f t="shared" si="3"/>
        <v>2024</v>
      </c>
      <c r="R549" s="110">
        <f t="shared" si="4"/>
        <v>1</v>
      </c>
      <c r="S549" s="108" t="str">
        <f t="shared" si="5"/>
        <v>2024-Q1</v>
      </c>
      <c r="T549" s="111" t="str">
        <f t="shared" si="6"/>
        <v>2024-01</v>
      </c>
      <c r="U549" s="112" t="str">
        <f t="shared" si="7"/>
        <v>2024-H1</v>
      </c>
      <c r="V549" s="1" t="str">
        <f>VLOOKUP(B549,Bounties!A:E,2,FALSE)</f>
        <v>Moderation Team Bounty</v>
      </c>
    </row>
    <row r="550" hidden="1">
      <c r="A550" s="109">
        <f>HYPERLINK("https://polkadot.subsquare.io/treasury/child-bounties/548", 548)</f>
        <v>548</v>
      </c>
      <c r="B550" s="183">
        <v>24.0</v>
      </c>
      <c r="C550" s="27" t="s">
        <v>3404</v>
      </c>
      <c r="D550" s="27" t="s">
        <v>1134</v>
      </c>
      <c r="E550" s="129">
        <v>172.754195459</v>
      </c>
      <c r="F550" s="66">
        <v>1523.5636100125992</v>
      </c>
      <c r="G550" s="27" t="s">
        <v>3469</v>
      </c>
      <c r="H550" s="167">
        <v>45284.0</v>
      </c>
      <c r="I550" s="167">
        <v>45294.0</v>
      </c>
      <c r="J550" s="66">
        <v>1286.2520533274026</v>
      </c>
      <c r="K550" s="1"/>
      <c r="L550" s="1"/>
      <c r="M550" s="1" t="str">
        <f>VLOOKUP(B550,Bounties!A:D,3,FALSE)</f>
        <v>Outreach</v>
      </c>
      <c r="N550" s="1" t="str">
        <f>VLOOKUP(B550,Bounties!A:D,4,FALSE)</f>
        <v>Community Building</v>
      </c>
      <c r="O550" s="1" t="str">
        <f t="shared" ref="O550:P550" si="554">IF(ISBLANK(K550),M550,K550)</f>
        <v>Outreach</v>
      </c>
      <c r="P550" s="1" t="str">
        <f t="shared" si="554"/>
        <v>Community Building</v>
      </c>
      <c r="Q550" s="108" t="str">
        <f t="shared" si="3"/>
        <v>2024</v>
      </c>
      <c r="R550" s="110">
        <f t="shared" si="4"/>
        <v>1</v>
      </c>
      <c r="S550" s="108" t="str">
        <f t="shared" si="5"/>
        <v>2024-Q1</v>
      </c>
      <c r="T550" s="111" t="str">
        <f t="shared" si="6"/>
        <v>2024-01</v>
      </c>
      <c r="U550" s="112" t="str">
        <f t="shared" si="7"/>
        <v>2024-H1</v>
      </c>
      <c r="V550" s="1" t="str">
        <f>VLOOKUP(B550,Bounties!A:E,2,FALSE)</f>
        <v>Moderation Team Bounty</v>
      </c>
    </row>
    <row r="551" hidden="1">
      <c r="A551" s="109">
        <f>HYPERLINK("https://polkadot.subsquare.io/treasury/child-bounties/549", 549)</f>
        <v>549</v>
      </c>
      <c r="B551" s="183">
        <v>24.0</v>
      </c>
      <c r="C551" s="27" t="s">
        <v>3404</v>
      </c>
      <c r="D551" s="27" t="s">
        <v>1135</v>
      </c>
      <c r="E551" s="129">
        <v>172.754195459</v>
      </c>
      <c r="F551" s="66">
        <v>1523.5636100125992</v>
      </c>
      <c r="G551" s="27" t="s">
        <v>3407</v>
      </c>
      <c r="H551" s="167">
        <v>45284.0</v>
      </c>
      <c r="I551" s="167">
        <v>45293.0</v>
      </c>
      <c r="J551" s="66">
        <v>1286.2520533274026</v>
      </c>
      <c r="K551" s="1"/>
      <c r="L551" s="1"/>
      <c r="M551" s="1" t="str">
        <f>VLOOKUP(B551,Bounties!A:D,3,FALSE)</f>
        <v>Outreach</v>
      </c>
      <c r="N551" s="1" t="str">
        <f>VLOOKUP(B551,Bounties!A:D,4,FALSE)</f>
        <v>Community Building</v>
      </c>
      <c r="O551" s="1" t="str">
        <f t="shared" ref="O551:P551" si="555">IF(ISBLANK(K551),M551,K551)</f>
        <v>Outreach</v>
      </c>
      <c r="P551" s="1" t="str">
        <f t="shared" si="555"/>
        <v>Community Building</v>
      </c>
      <c r="Q551" s="108" t="str">
        <f t="shared" si="3"/>
        <v>2024</v>
      </c>
      <c r="R551" s="110">
        <f t="shared" si="4"/>
        <v>1</v>
      </c>
      <c r="S551" s="108" t="str">
        <f t="shared" si="5"/>
        <v>2024-Q1</v>
      </c>
      <c r="T551" s="111" t="str">
        <f t="shared" si="6"/>
        <v>2024-01</v>
      </c>
      <c r="U551" s="112" t="str">
        <f t="shared" si="7"/>
        <v>2024-H1</v>
      </c>
      <c r="V551" s="1" t="str">
        <f>VLOOKUP(B551,Bounties!A:E,2,FALSE)</f>
        <v>Moderation Team Bounty</v>
      </c>
    </row>
    <row r="552" hidden="1">
      <c r="A552" s="109">
        <f>HYPERLINK("https://polkadot.subsquare.io/treasury/child-bounties/550", 550)</f>
        <v>550</v>
      </c>
      <c r="B552" s="183">
        <v>24.0</v>
      </c>
      <c r="C552" s="27" t="s">
        <v>3404</v>
      </c>
      <c r="D552" s="27" t="s">
        <v>1136</v>
      </c>
      <c r="E552" s="129">
        <v>172.754195459</v>
      </c>
      <c r="F552" s="66">
        <v>1523.5636100125992</v>
      </c>
      <c r="G552" s="27" t="s">
        <v>3408</v>
      </c>
      <c r="H552" s="167">
        <v>45284.0</v>
      </c>
      <c r="I552" s="167">
        <v>45293.0</v>
      </c>
      <c r="J552" s="66">
        <v>1286.2520533274026</v>
      </c>
      <c r="K552" s="1"/>
      <c r="L552" s="1"/>
      <c r="M552" s="1" t="str">
        <f>VLOOKUP(B552,Bounties!A:D,3,FALSE)</f>
        <v>Outreach</v>
      </c>
      <c r="N552" s="1" t="str">
        <f>VLOOKUP(B552,Bounties!A:D,4,FALSE)</f>
        <v>Community Building</v>
      </c>
      <c r="O552" s="1" t="str">
        <f t="shared" ref="O552:P552" si="556">IF(ISBLANK(K552),M552,K552)</f>
        <v>Outreach</v>
      </c>
      <c r="P552" s="1" t="str">
        <f t="shared" si="556"/>
        <v>Community Building</v>
      </c>
      <c r="Q552" s="108" t="str">
        <f t="shared" si="3"/>
        <v>2024</v>
      </c>
      <c r="R552" s="110">
        <f t="shared" si="4"/>
        <v>1</v>
      </c>
      <c r="S552" s="108" t="str">
        <f t="shared" si="5"/>
        <v>2024-Q1</v>
      </c>
      <c r="T552" s="111" t="str">
        <f t="shared" si="6"/>
        <v>2024-01</v>
      </c>
      <c r="U552" s="112" t="str">
        <f t="shared" si="7"/>
        <v>2024-H1</v>
      </c>
      <c r="V552" s="1" t="str">
        <f>VLOOKUP(B552,Bounties!A:E,2,FALSE)</f>
        <v>Moderation Team Bounty</v>
      </c>
    </row>
    <row r="553" hidden="1">
      <c r="A553" s="109">
        <f>HYPERLINK("https://polkadot.subsquare.io/treasury/child-bounties/551", 551)</f>
        <v>551</v>
      </c>
      <c r="B553" s="183">
        <v>24.0</v>
      </c>
      <c r="C553" s="27" t="s">
        <v>3404</v>
      </c>
      <c r="D553" s="27" t="s">
        <v>1137</v>
      </c>
      <c r="E553" s="129">
        <v>172.754195459</v>
      </c>
      <c r="F553" s="66">
        <v>1523.5636100125992</v>
      </c>
      <c r="G553" s="27" t="s">
        <v>3411</v>
      </c>
      <c r="H553" s="167">
        <v>45284.0</v>
      </c>
      <c r="I553" s="167">
        <v>45293.0</v>
      </c>
      <c r="J553" s="66">
        <v>1286.2520533274026</v>
      </c>
      <c r="K553" s="1"/>
      <c r="L553" s="1"/>
      <c r="M553" s="1" t="str">
        <f>VLOOKUP(B553,Bounties!A:D,3,FALSE)</f>
        <v>Outreach</v>
      </c>
      <c r="N553" s="1" t="str">
        <f>VLOOKUP(B553,Bounties!A:D,4,FALSE)</f>
        <v>Community Building</v>
      </c>
      <c r="O553" s="1" t="str">
        <f t="shared" ref="O553:P553" si="557">IF(ISBLANK(K553),M553,K553)</f>
        <v>Outreach</v>
      </c>
      <c r="P553" s="1" t="str">
        <f t="shared" si="557"/>
        <v>Community Building</v>
      </c>
      <c r="Q553" s="108" t="str">
        <f t="shared" si="3"/>
        <v>2024</v>
      </c>
      <c r="R553" s="110">
        <f t="shared" si="4"/>
        <v>1</v>
      </c>
      <c r="S553" s="108" t="str">
        <f t="shared" si="5"/>
        <v>2024-Q1</v>
      </c>
      <c r="T553" s="111" t="str">
        <f t="shared" si="6"/>
        <v>2024-01</v>
      </c>
      <c r="U553" s="112" t="str">
        <f t="shared" si="7"/>
        <v>2024-H1</v>
      </c>
      <c r="V553" s="1" t="str">
        <f>VLOOKUP(B553,Bounties!A:E,2,FALSE)</f>
        <v>Moderation Team Bounty</v>
      </c>
    </row>
    <row r="554" hidden="1">
      <c r="A554" s="109">
        <f>HYPERLINK("https://polkadot.subsquare.io/treasury/child-bounties/552", 552)</f>
        <v>552</v>
      </c>
      <c r="B554" s="183">
        <v>24.0</v>
      </c>
      <c r="C554" s="27" t="s">
        <v>3404</v>
      </c>
      <c r="D554" s="27" t="s">
        <v>1138</v>
      </c>
      <c r="E554" s="129">
        <v>172.754195459</v>
      </c>
      <c r="F554" s="66">
        <v>1523.5636100125992</v>
      </c>
      <c r="G554" s="27" t="s">
        <v>3549</v>
      </c>
      <c r="H554" s="167">
        <v>45284.0</v>
      </c>
      <c r="I554" s="167">
        <v>45293.0</v>
      </c>
      <c r="J554" s="66">
        <v>1286.2520533274026</v>
      </c>
      <c r="K554" s="1"/>
      <c r="L554" s="1"/>
      <c r="M554" s="1" t="str">
        <f>VLOOKUP(B554,Bounties!A:D,3,FALSE)</f>
        <v>Outreach</v>
      </c>
      <c r="N554" s="1" t="str">
        <f>VLOOKUP(B554,Bounties!A:D,4,FALSE)</f>
        <v>Community Building</v>
      </c>
      <c r="O554" s="1" t="str">
        <f t="shared" ref="O554:P554" si="558">IF(ISBLANK(K554),M554,K554)</f>
        <v>Outreach</v>
      </c>
      <c r="P554" s="1" t="str">
        <f t="shared" si="558"/>
        <v>Community Building</v>
      </c>
      <c r="Q554" s="108" t="str">
        <f t="shared" si="3"/>
        <v>2024</v>
      </c>
      <c r="R554" s="110">
        <f t="shared" si="4"/>
        <v>1</v>
      </c>
      <c r="S554" s="108" t="str">
        <f t="shared" si="5"/>
        <v>2024-Q1</v>
      </c>
      <c r="T554" s="111" t="str">
        <f t="shared" si="6"/>
        <v>2024-01</v>
      </c>
      <c r="U554" s="112" t="str">
        <f t="shared" si="7"/>
        <v>2024-H1</v>
      </c>
      <c r="V554" s="1" t="str">
        <f>VLOOKUP(B554,Bounties!A:E,2,FALSE)</f>
        <v>Moderation Team Bounty</v>
      </c>
    </row>
    <row r="555" hidden="1">
      <c r="A555" s="109">
        <f>HYPERLINK("https://polkadot.subsquare.io/treasury/child-bounties/553", 553)</f>
        <v>553</v>
      </c>
      <c r="B555" s="183">
        <v>24.0</v>
      </c>
      <c r="C555" s="27" t="s">
        <v>3404</v>
      </c>
      <c r="D555" s="27" t="s">
        <v>1139</v>
      </c>
      <c r="E555" s="129">
        <v>189.4126357354</v>
      </c>
      <c r="F555" s="66">
        <v>1670.4786724066398</v>
      </c>
      <c r="G555" s="27" t="s">
        <v>3486</v>
      </c>
      <c r="H555" s="167">
        <v>45284.0</v>
      </c>
      <c r="I555" s="167">
        <v>45293.0</v>
      </c>
      <c r="J555" s="66">
        <v>1410.283501326804</v>
      </c>
      <c r="K555" s="1"/>
      <c r="L555" s="1"/>
      <c r="M555" s="1" t="str">
        <f>VLOOKUP(B555,Bounties!A:D,3,FALSE)</f>
        <v>Outreach</v>
      </c>
      <c r="N555" s="1" t="str">
        <f>VLOOKUP(B555,Bounties!A:D,4,FALSE)</f>
        <v>Community Building</v>
      </c>
      <c r="O555" s="1" t="str">
        <f t="shared" ref="O555:P555" si="559">IF(ISBLANK(K555),M555,K555)</f>
        <v>Outreach</v>
      </c>
      <c r="P555" s="1" t="str">
        <f t="shared" si="559"/>
        <v>Community Building</v>
      </c>
      <c r="Q555" s="108" t="str">
        <f t="shared" si="3"/>
        <v>2024</v>
      </c>
      <c r="R555" s="110">
        <f t="shared" si="4"/>
        <v>1</v>
      </c>
      <c r="S555" s="108" t="str">
        <f t="shared" si="5"/>
        <v>2024-Q1</v>
      </c>
      <c r="T555" s="111" t="str">
        <f t="shared" si="6"/>
        <v>2024-01</v>
      </c>
      <c r="U555" s="112" t="str">
        <f t="shared" si="7"/>
        <v>2024-H1</v>
      </c>
      <c r="V555" s="1" t="str">
        <f>VLOOKUP(B555,Bounties!A:E,2,FALSE)</f>
        <v>Moderation Team Bounty</v>
      </c>
    </row>
    <row r="556" hidden="1">
      <c r="A556" s="109">
        <f>HYPERLINK("https://polkadot.subsquare.io/treasury/child-bounties/554", 554)</f>
        <v>554</v>
      </c>
      <c r="B556" s="183">
        <v>24.0</v>
      </c>
      <c r="C556" s="27" t="s">
        <v>3404</v>
      </c>
      <c r="D556" s="27" t="s">
        <v>1140</v>
      </c>
      <c r="E556" s="129">
        <v>189.4126357354</v>
      </c>
      <c r="F556" s="66">
        <v>1670.4786724066398</v>
      </c>
      <c r="G556" s="27" t="s">
        <v>3409</v>
      </c>
      <c r="H556" s="167">
        <v>45284.0</v>
      </c>
      <c r="I556" s="167">
        <v>45293.0</v>
      </c>
      <c r="J556" s="66">
        <v>1410.283501326804</v>
      </c>
      <c r="K556" s="1"/>
      <c r="L556" s="1"/>
      <c r="M556" s="1" t="str">
        <f>VLOOKUP(B556,Bounties!A:D,3,FALSE)</f>
        <v>Outreach</v>
      </c>
      <c r="N556" s="1" t="str">
        <f>VLOOKUP(B556,Bounties!A:D,4,FALSE)</f>
        <v>Community Building</v>
      </c>
      <c r="O556" s="1" t="str">
        <f t="shared" ref="O556:P556" si="560">IF(ISBLANK(K556),M556,K556)</f>
        <v>Outreach</v>
      </c>
      <c r="P556" s="1" t="str">
        <f t="shared" si="560"/>
        <v>Community Building</v>
      </c>
      <c r="Q556" s="108" t="str">
        <f t="shared" si="3"/>
        <v>2024</v>
      </c>
      <c r="R556" s="110">
        <f t="shared" si="4"/>
        <v>1</v>
      </c>
      <c r="S556" s="108" t="str">
        <f t="shared" si="5"/>
        <v>2024-Q1</v>
      </c>
      <c r="T556" s="111" t="str">
        <f t="shared" si="6"/>
        <v>2024-01</v>
      </c>
      <c r="U556" s="112" t="str">
        <f t="shared" si="7"/>
        <v>2024-H1</v>
      </c>
      <c r="V556" s="1" t="str">
        <f>VLOOKUP(B556,Bounties!A:E,2,FALSE)</f>
        <v>Moderation Team Bounty</v>
      </c>
    </row>
    <row r="557" hidden="1">
      <c r="A557" s="109">
        <f>HYPERLINK("https://polkadot.subsquare.io/treasury/child-bounties/555", 555)</f>
        <v>555</v>
      </c>
      <c r="B557" s="183">
        <v>24.0</v>
      </c>
      <c r="C557" s="27" t="s">
        <v>3404</v>
      </c>
      <c r="D557" s="27" t="s">
        <v>1141</v>
      </c>
      <c r="E557" s="129">
        <v>172.754195459</v>
      </c>
      <c r="F557" s="66">
        <v>1523.5636100125992</v>
      </c>
      <c r="G557" s="27" t="s">
        <v>3457</v>
      </c>
      <c r="H557" s="167">
        <v>45284.0</v>
      </c>
      <c r="I557" s="167">
        <v>45293.0</v>
      </c>
      <c r="J557" s="66">
        <v>1286.2520533274026</v>
      </c>
      <c r="K557" s="1"/>
      <c r="L557" s="1"/>
      <c r="M557" s="1" t="str">
        <f>VLOOKUP(B557,Bounties!A:D,3,FALSE)</f>
        <v>Outreach</v>
      </c>
      <c r="N557" s="1" t="str">
        <f>VLOOKUP(B557,Bounties!A:D,4,FALSE)</f>
        <v>Community Building</v>
      </c>
      <c r="O557" s="1" t="str">
        <f t="shared" ref="O557:P557" si="561">IF(ISBLANK(K557),M557,K557)</f>
        <v>Outreach</v>
      </c>
      <c r="P557" s="1" t="str">
        <f t="shared" si="561"/>
        <v>Community Building</v>
      </c>
      <c r="Q557" s="108" t="str">
        <f t="shared" si="3"/>
        <v>2024</v>
      </c>
      <c r="R557" s="110">
        <f t="shared" si="4"/>
        <v>1</v>
      </c>
      <c r="S557" s="108" t="str">
        <f t="shared" si="5"/>
        <v>2024-Q1</v>
      </c>
      <c r="T557" s="111" t="str">
        <f t="shared" si="6"/>
        <v>2024-01</v>
      </c>
      <c r="U557" s="112" t="str">
        <f t="shared" si="7"/>
        <v>2024-H1</v>
      </c>
      <c r="V557" s="1" t="str">
        <f>VLOOKUP(B557,Bounties!A:E,2,FALSE)</f>
        <v>Moderation Team Bounty</v>
      </c>
    </row>
    <row r="558" hidden="1">
      <c r="A558" s="109">
        <f>HYPERLINK("https://polkadot.subsquare.io/treasury/child-bounties/556", 556)</f>
        <v>556</v>
      </c>
      <c r="B558" s="183">
        <v>24.0</v>
      </c>
      <c r="C558" s="27" t="s">
        <v>3404</v>
      </c>
      <c r="D558" s="27" t="s">
        <v>1142</v>
      </c>
      <c r="E558" s="129">
        <v>172.754195459</v>
      </c>
      <c r="F558" s="66">
        <v>1523.5636100125992</v>
      </c>
      <c r="G558" s="27" t="s">
        <v>3424</v>
      </c>
      <c r="H558" s="167">
        <v>45284.0</v>
      </c>
      <c r="I558" s="167">
        <v>45294.0</v>
      </c>
      <c r="J558" s="66">
        <v>1286.2520533274026</v>
      </c>
      <c r="K558" s="1"/>
      <c r="L558" s="1"/>
      <c r="M558" s="1" t="str">
        <f>VLOOKUP(B558,Bounties!A:D,3,FALSE)</f>
        <v>Outreach</v>
      </c>
      <c r="N558" s="1" t="str">
        <f>VLOOKUP(B558,Bounties!A:D,4,FALSE)</f>
        <v>Community Building</v>
      </c>
      <c r="O558" s="1" t="str">
        <f t="shared" ref="O558:P558" si="562">IF(ISBLANK(K558),M558,K558)</f>
        <v>Outreach</v>
      </c>
      <c r="P558" s="1" t="str">
        <f t="shared" si="562"/>
        <v>Community Building</v>
      </c>
      <c r="Q558" s="108" t="str">
        <f t="shared" si="3"/>
        <v>2024</v>
      </c>
      <c r="R558" s="110">
        <f t="shared" si="4"/>
        <v>1</v>
      </c>
      <c r="S558" s="108" t="str">
        <f t="shared" si="5"/>
        <v>2024-Q1</v>
      </c>
      <c r="T558" s="111" t="str">
        <f t="shared" si="6"/>
        <v>2024-01</v>
      </c>
      <c r="U558" s="112" t="str">
        <f t="shared" si="7"/>
        <v>2024-H1</v>
      </c>
      <c r="V558" s="1" t="str">
        <f>VLOOKUP(B558,Bounties!A:E,2,FALSE)</f>
        <v>Moderation Team Bounty</v>
      </c>
    </row>
    <row r="559" hidden="1">
      <c r="A559" s="109">
        <f>HYPERLINK("https://polkadot.subsquare.io/treasury/child-bounties/557", 557)</f>
        <v>557</v>
      </c>
      <c r="B559" s="183">
        <v>24.0</v>
      </c>
      <c r="C559" s="27" t="s">
        <v>3404</v>
      </c>
      <c r="D559" s="27" t="s">
        <v>1143</v>
      </c>
      <c r="E559" s="129">
        <v>172.754195459</v>
      </c>
      <c r="F559" s="66">
        <v>1523.5636100125992</v>
      </c>
      <c r="G559" s="27" t="s">
        <v>3406</v>
      </c>
      <c r="H559" s="167">
        <v>45284.0</v>
      </c>
      <c r="I559" s="167">
        <v>45304.0</v>
      </c>
      <c r="J559" s="66">
        <v>1298.7292413059508</v>
      </c>
      <c r="K559" s="1"/>
      <c r="L559" s="1"/>
      <c r="M559" s="1" t="str">
        <f>VLOOKUP(B559,Bounties!A:D,3,FALSE)</f>
        <v>Outreach</v>
      </c>
      <c r="N559" s="1" t="str">
        <f>VLOOKUP(B559,Bounties!A:D,4,FALSE)</f>
        <v>Community Building</v>
      </c>
      <c r="O559" s="1" t="str">
        <f t="shared" ref="O559:P559" si="563">IF(ISBLANK(K559),M559,K559)</f>
        <v>Outreach</v>
      </c>
      <c r="P559" s="1" t="str">
        <f t="shared" si="563"/>
        <v>Community Building</v>
      </c>
      <c r="Q559" s="108" t="str">
        <f t="shared" si="3"/>
        <v>2024</v>
      </c>
      <c r="R559" s="110">
        <f t="shared" si="4"/>
        <v>1</v>
      </c>
      <c r="S559" s="108" t="str">
        <f t="shared" si="5"/>
        <v>2024-Q1</v>
      </c>
      <c r="T559" s="111" t="str">
        <f t="shared" si="6"/>
        <v>2024-01</v>
      </c>
      <c r="U559" s="112" t="str">
        <f t="shared" si="7"/>
        <v>2024-H1</v>
      </c>
      <c r="V559" s="1" t="str">
        <f>VLOOKUP(B559,Bounties!A:E,2,FALSE)</f>
        <v>Moderation Team Bounty</v>
      </c>
    </row>
    <row r="560" hidden="1">
      <c r="A560" s="109">
        <f>HYPERLINK("https://polkadot.subsquare.io/treasury/child-bounties/558", 558)</f>
        <v>558</v>
      </c>
      <c r="B560" s="183">
        <v>24.0</v>
      </c>
      <c r="C560" s="27" t="s">
        <v>3404</v>
      </c>
      <c r="D560" s="27" t="s">
        <v>1144</v>
      </c>
      <c r="E560" s="129">
        <v>172.754195459</v>
      </c>
      <c r="F560" s="66">
        <v>1523.5636100125992</v>
      </c>
      <c r="G560" s="27" t="s">
        <v>3548</v>
      </c>
      <c r="H560" s="167">
        <v>45284.0</v>
      </c>
      <c r="I560" s="167">
        <v>45293.0</v>
      </c>
      <c r="J560" s="66">
        <v>1286.2520533274026</v>
      </c>
      <c r="K560" s="1"/>
      <c r="L560" s="1"/>
      <c r="M560" s="1" t="str">
        <f>VLOOKUP(B560,Bounties!A:D,3,FALSE)</f>
        <v>Outreach</v>
      </c>
      <c r="N560" s="1" t="str">
        <f>VLOOKUP(B560,Bounties!A:D,4,FALSE)</f>
        <v>Community Building</v>
      </c>
      <c r="O560" s="1" t="str">
        <f t="shared" ref="O560:P560" si="564">IF(ISBLANK(K560),M560,K560)</f>
        <v>Outreach</v>
      </c>
      <c r="P560" s="1" t="str">
        <f t="shared" si="564"/>
        <v>Community Building</v>
      </c>
      <c r="Q560" s="108" t="str">
        <f t="shared" si="3"/>
        <v>2024</v>
      </c>
      <c r="R560" s="110">
        <f t="shared" si="4"/>
        <v>1</v>
      </c>
      <c r="S560" s="108" t="str">
        <f t="shared" si="5"/>
        <v>2024-Q1</v>
      </c>
      <c r="T560" s="111" t="str">
        <f t="shared" si="6"/>
        <v>2024-01</v>
      </c>
      <c r="U560" s="112" t="str">
        <f t="shared" si="7"/>
        <v>2024-H1</v>
      </c>
      <c r="V560" s="1" t="str">
        <f>VLOOKUP(B560,Bounties!A:E,2,FALSE)</f>
        <v>Moderation Team Bounty</v>
      </c>
    </row>
    <row r="561" hidden="1">
      <c r="A561" s="109">
        <f>HYPERLINK("https://polkadot.subsquare.io/treasury/child-bounties/559", 559)</f>
        <v>559</v>
      </c>
      <c r="B561" s="183">
        <v>24.0</v>
      </c>
      <c r="C561" s="27" t="s">
        <v>3404</v>
      </c>
      <c r="D561" s="27" t="s">
        <v>1145</v>
      </c>
      <c r="E561" s="129">
        <v>172.754195459</v>
      </c>
      <c r="F561" s="66">
        <v>1523.5636100125992</v>
      </c>
      <c r="G561" s="27" t="s">
        <v>3526</v>
      </c>
      <c r="H561" s="167">
        <v>45284.0</v>
      </c>
      <c r="I561" s="167">
        <v>45296.0</v>
      </c>
      <c r="J561" s="66">
        <v>1191.2840846022743</v>
      </c>
      <c r="K561" s="1"/>
      <c r="L561" s="1"/>
      <c r="M561" s="1" t="str">
        <f>VLOOKUP(B561,Bounties!A:D,3,FALSE)</f>
        <v>Outreach</v>
      </c>
      <c r="N561" s="1" t="str">
        <f>VLOOKUP(B561,Bounties!A:D,4,FALSE)</f>
        <v>Community Building</v>
      </c>
      <c r="O561" s="1" t="str">
        <f t="shared" ref="O561:P561" si="565">IF(ISBLANK(K561),M561,K561)</f>
        <v>Outreach</v>
      </c>
      <c r="P561" s="1" t="str">
        <f t="shared" si="565"/>
        <v>Community Building</v>
      </c>
      <c r="Q561" s="108" t="str">
        <f t="shared" si="3"/>
        <v>2024</v>
      </c>
      <c r="R561" s="110">
        <f t="shared" si="4"/>
        <v>1</v>
      </c>
      <c r="S561" s="108" t="str">
        <f t="shared" si="5"/>
        <v>2024-Q1</v>
      </c>
      <c r="T561" s="111" t="str">
        <f t="shared" si="6"/>
        <v>2024-01</v>
      </c>
      <c r="U561" s="112" t="str">
        <f t="shared" si="7"/>
        <v>2024-H1</v>
      </c>
      <c r="V561" s="1" t="str">
        <f>VLOOKUP(B561,Bounties!A:E,2,FALSE)</f>
        <v>Moderation Team Bounty</v>
      </c>
    </row>
    <row r="562" hidden="1">
      <c r="A562" s="109">
        <f>HYPERLINK("https://polkadot.subsquare.io/treasury/child-bounties/560", 560)</f>
        <v>560</v>
      </c>
      <c r="B562" s="183">
        <v>22.0</v>
      </c>
      <c r="C562" s="27" t="s">
        <v>3404</v>
      </c>
      <c r="D562" s="27" t="s">
        <v>1146</v>
      </c>
      <c r="E562" s="129">
        <v>9379.0</v>
      </c>
      <c r="F562" s="66">
        <v>81626.09059333801</v>
      </c>
      <c r="G562" s="27" t="s">
        <v>3560</v>
      </c>
      <c r="H562" s="167">
        <v>45284.0</v>
      </c>
      <c r="I562" s="167">
        <v>45321.0</v>
      </c>
      <c r="J562" s="66">
        <v>63693.512467861176</v>
      </c>
      <c r="K562" s="1"/>
      <c r="L562" s="1"/>
      <c r="M562" s="1" t="str">
        <f>VLOOKUP(B562,Bounties!A:D,3,FALSE)</f>
        <v>Development</v>
      </c>
      <c r="N562" s="1" t="str">
        <f>VLOOKUP(B562,Bounties!A:D,4,FALSE)</f>
        <v>Ecosystem Services</v>
      </c>
      <c r="O562" s="1" t="str">
        <f t="shared" ref="O562:P562" si="566">IF(ISBLANK(K562),M562,K562)</f>
        <v>Development</v>
      </c>
      <c r="P562" s="1" t="str">
        <f t="shared" si="566"/>
        <v>Ecosystem Services</v>
      </c>
      <c r="Q562" s="108" t="str">
        <f t="shared" si="3"/>
        <v>2024</v>
      </c>
      <c r="R562" s="110">
        <f t="shared" si="4"/>
        <v>1</v>
      </c>
      <c r="S562" s="108" t="str">
        <f t="shared" si="5"/>
        <v>2024-Q1</v>
      </c>
      <c r="T562" s="111" t="str">
        <f t="shared" si="6"/>
        <v>2024-01</v>
      </c>
      <c r="U562" s="112" t="str">
        <f t="shared" si="7"/>
        <v>2024-H1</v>
      </c>
      <c r="V562" s="1" t="str">
        <f>VLOOKUP(B562,Bounties!A:E,2,FALSE)</f>
        <v>Polkadot Assurance Legion Bounty</v>
      </c>
    </row>
    <row r="563" hidden="1">
      <c r="A563" s="109">
        <f>HYPERLINK("https://polkadot.subsquare.io/treasury/child-bounties/561", 561)</f>
        <v>561</v>
      </c>
      <c r="B563" s="183">
        <v>22.0</v>
      </c>
      <c r="C563" s="27" t="s">
        <v>3404</v>
      </c>
      <c r="D563" s="27" t="s">
        <v>1147</v>
      </c>
      <c r="E563" s="129">
        <v>5876.0</v>
      </c>
      <c r="F563" s="66">
        <v>51139.237480163574</v>
      </c>
      <c r="G563" s="27" t="s">
        <v>3561</v>
      </c>
      <c r="H563" s="167">
        <v>45285.0</v>
      </c>
      <c r="I563" s="167">
        <v>45327.0</v>
      </c>
      <c r="J563" s="66">
        <v>40779.0284576416</v>
      </c>
      <c r="K563" s="1"/>
      <c r="L563" s="1"/>
      <c r="M563" s="1" t="str">
        <f>VLOOKUP(B563,Bounties!A:D,3,FALSE)</f>
        <v>Development</v>
      </c>
      <c r="N563" s="1" t="str">
        <f>VLOOKUP(B563,Bounties!A:D,4,FALSE)</f>
        <v>Ecosystem Services</v>
      </c>
      <c r="O563" s="1" t="str">
        <f t="shared" ref="O563:P563" si="567">IF(ISBLANK(K563),M563,K563)</f>
        <v>Development</v>
      </c>
      <c r="P563" s="1" t="str">
        <f t="shared" si="567"/>
        <v>Ecosystem Services</v>
      </c>
      <c r="Q563" s="108" t="str">
        <f t="shared" si="3"/>
        <v>2024</v>
      </c>
      <c r="R563" s="110">
        <f t="shared" si="4"/>
        <v>2</v>
      </c>
      <c r="S563" s="108" t="str">
        <f t="shared" si="5"/>
        <v>2024-Q1</v>
      </c>
      <c r="T563" s="111" t="str">
        <f t="shared" si="6"/>
        <v>2024-02</v>
      </c>
      <c r="U563" s="112" t="str">
        <f t="shared" si="7"/>
        <v>2024-H1</v>
      </c>
      <c r="V563" s="1" t="str">
        <f>VLOOKUP(B563,Bounties!A:E,2,FALSE)</f>
        <v>Polkadot Assurance Legion Bounty</v>
      </c>
    </row>
    <row r="564" hidden="1">
      <c r="A564" s="109">
        <f>HYPERLINK("https://polkadot.subsquare.io/treasury/child-bounties/562", 562)</f>
        <v>562</v>
      </c>
      <c r="B564" s="183">
        <v>11.0</v>
      </c>
      <c r="C564" s="27" t="s">
        <v>3404</v>
      </c>
      <c r="D564" s="27" t="s">
        <v>1148</v>
      </c>
      <c r="E564" s="129">
        <v>198.487713</v>
      </c>
      <c r="F564" s="66">
        <v>1516.807933688942</v>
      </c>
      <c r="G564" s="27" t="s">
        <v>3562</v>
      </c>
      <c r="H564" s="167">
        <v>45291.0</v>
      </c>
      <c r="I564" s="167">
        <v>45300.0</v>
      </c>
      <c r="J564" s="66">
        <v>1621.6821102949448</v>
      </c>
      <c r="K564" s="1"/>
      <c r="L564" s="1"/>
      <c r="M564" s="1" t="str">
        <f>VLOOKUP(B564,Bounties!A:D,3,FALSE)</f>
        <v>Research</v>
      </c>
      <c r="N564" s="1" t="str">
        <f>VLOOKUP(B564,Bounties!A:D,4,FALSE)</f>
        <v>Anti-Scam</v>
      </c>
      <c r="O564" s="1" t="str">
        <f t="shared" ref="O564:P564" si="568">IF(ISBLANK(K564),M564,K564)</f>
        <v>Research</v>
      </c>
      <c r="P564" s="1" t="str">
        <f t="shared" si="568"/>
        <v>Anti-Scam</v>
      </c>
      <c r="Q564" s="108" t="str">
        <f t="shared" si="3"/>
        <v>2024</v>
      </c>
      <c r="R564" s="110">
        <f t="shared" si="4"/>
        <v>1</v>
      </c>
      <c r="S564" s="108" t="str">
        <f t="shared" si="5"/>
        <v>2024-Q1</v>
      </c>
      <c r="T564" s="111" t="str">
        <f t="shared" si="6"/>
        <v>2024-01</v>
      </c>
      <c r="U564" s="112" t="str">
        <f t="shared" si="7"/>
        <v>2024-H1</v>
      </c>
      <c r="V564" s="1" t="str">
        <f>VLOOKUP(B564,Bounties!A:E,2,FALSE)</f>
        <v>Anti-Scam Bounty</v>
      </c>
    </row>
    <row r="565" hidden="1">
      <c r="A565" s="109">
        <f>HYPERLINK("https://polkadot.subsquare.io/treasury/child-bounties/563", 563)</f>
        <v>563</v>
      </c>
      <c r="B565" s="183">
        <v>11.0</v>
      </c>
      <c r="C565" s="27" t="s">
        <v>3404</v>
      </c>
      <c r="D565" s="27" t="s">
        <v>1149</v>
      </c>
      <c r="E565" s="129">
        <v>85.0661626</v>
      </c>
      <c r="F565" s="66">
        <v>650.0605421361954</v>
      </c>
      <c r="G565" s="27" t="s">
        <v>3406</v>
      </c>
      <c r="H565" s="167">
        <v>45291.0</v>
      </c>
      <c r="I565" s="167">
        <v>45304.0</v>
      </c>
      <c r="J565" s="66">
        <v>639.5092896052214</v>
      </c>
      <c r="K565" s="1"/>
      <c r="L565" s="1"/>
      <c r="M565" s="1" t="str">
        <f>VLOOKUP(B565,Bounties!A:D,3,FALSE)</f>
        <v>Research</v>
      </c>
      <c r="N565" s="1" t="str">
        <f>VLOOKUP(B565,Bounties!A:D,4,FALSE)</f>
        <v>Anti-Scam</v>
      </c>
      <c r="O565" s="1" t="str">
        <f t="shared" ref="O565:P565" si="569">IF(ISBLANK(K565),M565,K565)</f>
        <v>Research</v>
      </c>
      <c r="P565" s="1" t="str">
        <f t="shared" si="569"/>
        <v>Anti-Scam</v>
      </c>
      <c r="Q565" s="108" t="str">
        <f t="shared" si="3"/>
        <v>2024</v>
      </c>
      <c r="R565" s="110">
        <f t="shared" si="4"/>
        <v>1</v>
      </c>
      <c r="S565" s="108" t="str">
        <f t="shared" si="5"/>
        <v>2024-Q1</v>
      </c>
      <c r="T565" s="111" t="str">
        <f t="shared" si="6"/>
        <v>2024-01</v>
      </c>
      <c r="U565" s="112" t="str">
        <f t="shared" si="7"/>
        <v>2024-H1</v>
      </c>
      <c r="V565" s="1" t="str">
        <f>VLOOKUP(B565,Bounties!A:E,2,FALSE)</f>
        <v>Anti-Scam Bounty</v>
      </c>
    </row>
    <row r="566" hidden="1">
      <c r="A566" s="109">
        <f>HYPERLINK("https://polkadot.subsquare.io/treasury/child-bounties/564", 564)</f>
        <v>564</v>
      </c>
      <c r="B566" s="183">
        <v>11.0</v>
      </c>
      <c r="C566" s="27" t="s">
        <v>3404</v>
      </c>
      <c r="D566" s="27" t="s">
        <v>1150</v>
      </c>
      <c r="E566" s="129">
        <v>70.888468</v>
      </c>
      <c r="F566" s="66">
        <v>541.7171120786438</v>
      </c>
      <c r="G566" s="27" t="s">
        <v>3470</v>
      </c>
      <c r="H566" s="167">
        <v>45291.0</v>
      </c>
      <c r="I566" s="167">
        <v>45301.0</v>
      </c>
      <c r="J566" s="66">
        <v>539.6728530648785</v>
      </c>
      <c r="K566" s="1"/>
      <c r="L566" s="1"/>
      <c r="M566" s="1" t="str">
        <f>VLOOKUP(B566,Bounties!A:D,3,FALSE)</f>
        <v>Research</v>
      </c>
      <c r="N566" s="1" t="str">
        <f>VLOOKUP(B566,Bounties!A:D,4,FALSE)</f>
        <v>Anti-Scam</v>
      </c>
      <c r="O566" s="1" t="str">
        <f t="shared" ref="O566:P566" si="570">IF(ISBLANK(K566),M566,K566)</f>
        <v>Research</v>
      </c>
      <c r="P566" s="1" t="str">
        <f t="shared" si="570"/>
        <v>Anti-Scam</v>
      </c>
      <c r="Q566" s="108" t="str">
        <f t="shared" si="3"/>
        <v>2024</v>
      </c>
      <c r="R566" s="110">
        <f t="shared" si="4"/>
        <v>1</v>
      </c>
      <c r="S566" s="108" t="str">
        <f t="shared" si="5"/>
        <v>2024-Q1</v>
      </c>
      <c r="T566" s="111" t="str">
        <f t="shared" si="6"/>
        <v>2024-01</v>
      </c>
      <c r="U566" s="112" t="str">
        <f t="shared" si="7"/>
        <v>2024-H1</v>
      </c>
      <c r="V566" s="1" t="str">
        <f>VLOOKUP(B566,Bounties!A:E,2,FALSE)</f>
        <v>Anti-Scam Bounty</v>
      </c>
    </row>
    <row r="567" hidden="1">
      <c r="A567" s="109">
        <f>HYPERLINK("https://polkadot.subsquare.io/treasury/child-bounties/565", 565)</f>
        <v>565</v>
      </c>
      <c r="B567" s="183">
        <v>11.0</v>
      </c>
      <c r="C567" s="27" t="s">
        <v>3404</v>
      </c>
      <c r="D567" s="27" t="s">
        <v>1151</v>
      </c>
      <c r="E567" s="129">
        <v>59.073724</v>
      </c>
      <c r="F567" s="66">
        <v>451.4309318267517</v>
      </c>
      <c r="G567" s="27" t="s">
        <v>3457</v>
      </c>
      <c r="H567" s="167">
        <v>45291.0</v>
      </c>
      <c r="I567" s="167">
        <v>45301.0</v>
      </c>
      <c r="J567" s="66">
        <v>447.14520012408826</v>
      </c>
      <c r="K567" s="1"/>
      <c r="L567" s="1"/>
      <c r="M567" s="1" t="str">
        <f>VLOOKUP(B567,Bounties!A:D,3,FALSE)</f>
        <v>Research</v>
      </c>
      <c r="N567" s="1" t="str">
        <f>VLOOKUP(B567,Bounties!A:D,4,FALSE)</f>
        <v>Anti-Scam</v>
      </c>
      <c r="O567" s="1" t="str">
        <f t="shared" ref="O567:P567" si="571">IF(ISBLANK(K567),M567,K567)</f>
        <v>Research</v>
      </c>
      <c r="P567" s="1" t="str">
        <f t="shared" si="571"/>
        <v>Anti-Scam</v>
      </c>
      <c r="Q567" s="108" t="str">
        <f t="shared" si="3"/>
        <v>2024</v>
      </c>
      <c r="R567" s="110">
        <f t="shared" si="4"/>
        <v>1</v>
      </c>
      <c r="S567" s="108" t="str">
        <f t="shared" si="5"/>
        <v>2024-Q1</v>
      </c>
      <c r="T567" s="111" t="str">
        <f t="shared" si="6"/>
        <v>2024-01</v>
      </c>
      <c r="U567" s="112" t="str">
        <f t="shared" si="7"/>
        <v>2024-H1</v>
      </c>
      <c r="V567" s="1" t="str">
        <f>VLOOKUP(B567,Bounties!A:E,2,FALSE)</f>
        <v>Anti-Scam Bounty</v>
      </c>
    </row>
    <row r="568" hidden="1">
      <c r="A568" s="109">
        <f>HYPERLINK("https://polkadot.subsquare.io/treasury/child-bounties/566", 566)</f>
        <v>566</v>
      </c>
      <c r="B568" s="183">
        <v>11.0</v>
      </c>
      <c r="C568" s="27" t="s">
        <v>3404</v>
      </c>
      <c r="D568" s="27" t="s">
        <v>1152</v>
      </c>
      <c r="E568" s="129">
        <v>59.073724</v>
      </c>
      <c r="F568" s="66">
        <v>451.4309318267517</v>
      </c>
      <c r="G568" s="27" t="s">
        <v>3409</v>
      </c>
      <c r="H568" s="167">
        <v>45291.0</v>
      </c>
      <c r="I568" s="167">
        <v>45300.0</v>
      </c>
      <c r="J568" s="66">
        <v>482.6434843314514</v>
      </c>
      <c r="K568" s="1"/>
      <c r="L568" s="1"/>
      <c r="M568" s="1" t="str">
        <f>VLOOKUP(B568,Bounties!A:D,3,FALSE)</f>
        <v>Research</v>
      </c>
      <c r="N568" s="1" t="str">
        <f>VLOOKUP(B568,Bounties!A:D,4,FALSE)</f>
        <v>Anti-Scam</v>
      </c>
      <c r="O568" s="1" t="str">
        <f t="shared" ref="O568:P568" si="572">IF(ISBLANK(K568),M568,K568)</f>
        <v>Research</v>
      </c>
      <c r="P568" s="1" t="str">
        <f t="shared" si="572"/>
        <v>Anti-Scam</v>
      </c>
      <c r="Q568" s="108" t="str">
        <f t="shared" si="3"/>
        <v>2024</v>
      </c>
      <c r="R568" s="110">
        <f t="shared" si="4"/>
        <v>1</v>
      </c>
      <c r="S568" s="108" t="str">
        <f t="shared" si="5"/>
        <v>2024-Q1</v>
      </c>
      <c r="T568" s="111" t="str">
        <f t="shared" si="6"/>
        <v>2024-01</v>
      </c>
      <c r="U568" s="112" t="str">
        <f t="shared" si="7"/>
        <v>2024-H1</v>
      </c>
      <c r="V568" s="1" t="str">
        <f>VLOOKUP(B568,Bounties!A:E,2,FALSE)</f>
        <v>Anti-Scam Bounty</v>
      </c>
    </row>
    <row r="569" hidden="1">
      <c r="A569" s="109">
        <f>HYPERLINK("https://polkadot.subsquare.io/treasury/child-bounties/567", 567)</f>
        <v>567</v>
      </c>
      <c r="B569" s="183">
        <v>11.0</v>
      </c>
      <c r="C569" s="27" t="s">
        <v>3404</v>
      </c>
      <c r="D569" s="27" t="s">
        <v>1153</v>
      </c>
      <c r="E569" s="129">
        <v>170.132325</v>
      </c>
      <c r="F569" s="66">
        <v>1300.1210827440264</v>
      </c>
      <c r="G569" s="27" t="s">
        <v>3409</v>
      </c>
      <c r="H569" s="167">
        <v>45291.0</v>
      </c>
      <c r="I569" s="167">
        <v>45300.0</v>
      </c>
      <c r="J569" s="66">
        <v>1390.0132338941576</v>
      </c>
      <c r="K569" s="1"/>
      <c r="L569" s="1"/>
      <c r="M569" s="1" t="str">
        <f>VLOOKUP(B569,Bounties!A:D,3,FALSE)</f>
        <v>Research</v>
      </c>
      <c r="N569" s="1" t="str">
        <f>VLOOKUP(B569,Bounties!A:D,4,FALSE)</f>
        <v>Anti-Scam</v>
      </c>
      <c r="O569" s="1" t="str">
        <f t="shared" ref="O569:P569" si="573">IF(ISBLANK(K569),M569,K569)</f>
        <v>Research</v>
      </c>
      <c r="P569" s="1" t="str">
        <f t="shared" si="573"/>
        <v>Anti-Scam</v>
      </c>
      <c r="Q569" s="108" t="str">
        <f t="shared" si="3"/>
        <v>2024</v>
      </c>
      <c r="R569" s="110">
        <f t="shared" si="4"/>
        <v>1</v>
      </c>
      <c r="S569" s="108" t="str">
        <f t="shared" si="5"/>
        <v>2024-Q1</v>
      </c>
      <c r="T569" s="111" t="str">
        <f t="shared" si="6"/>
        <v>2024-01</v>
      </c>
      <c r="U569" s="112" t="str">
        <f t="shared" si="7"/>
        <v>2024-H1</v>
      </c>
      <c r="V569" s="1" t="str">
        <f>VLOOKUP(B569,Bounties!A:E,2,FALSE)</f>
        <v>Anti-Scam Bounty</v>
      </c>
    </row>
    <row r="570" hidden="1">
      <c r="A570" s="109">
        <f>HYPERLINK("https://polkadot.subsquare.io/treasury/child-bounties/568", 568)</f>
        <v>568</v>
      </c>
      <c r="B570" s="183">
        <v>11.0</v>
      </c>
      <c r="C570" s="27" t="s">
        <v>3404</v>
      </c>
      <c r="D570" s="27" t="s">
        <v>1154</v>
      </c>
      <c r="E570" s="129">
        <v>170.132325</v>
      </c>
      <c r="F570" s="66">
        <v>1300.1210827440264</v>
      </c>
      <c r="G570" s="27" t="s">
        <v>3407</v>
      </c>
      <c r="H570" s="167">
        <v>45291.0</v>
      </c>
      <c r="I570" s="167">
        <v>45302.0</v>
      </c>
      <c r="J570" s="66">
        <v>1246.5763622488976</v>
      </c>
      <c r="K570" s="1"/>
      <c r="L570" s="1"/>
      <c r="M570" s="1" t="str">
        <f>VLOOKUP(B570,Bounties!A:D,3,FALSE)</f>
        <v>Research</v>
      </c>
      <c r="N570" s="1" t="str">
        <f>VLOOKUP(B570,Bounties!A:D,4,FALSE)</f>
        <v>Anti-Scam</v>
      </c>
      <c r="O570" s="1" t="str">
        <f t="shared" ref="O570:P570" si="574">IF(ISBLANK(K570),M570,K570)</f>
        <v>Research</v>
      </c>
      <c r="P570" s="1" t="str">
        <f t="shared" si="574"/>
        <v>Anti-Scam</v>
      </c>
      <c r="Q570" s="108" t="str">
        <f t="shared" si="3"/>
        <v>2024</v>
      </c>
      <c r="R570" s="110">
        <f t="shared" si="4"/>
        <v>1</v>
      </c>
      <c r="S570" s="108" t="str">
        <f t="shared" si="5"/>
        <v>2024-Q1</v>
      </c>
      <c r="T570" s="111" t="str">
        <f t="shared" si="6"/>
        <v>2024-01</v>
      </c>
      <c r="U570" s="112" t="str">
        <f t="shared" si="7"/>
        <v>2024-H1</v>
      </c>
      <c r="V570" s="1" t="str">
        <f>VLOOKUP(B570,Bounties!A:E,2,FALSE)</f>
        <v>Anti-Scam Bounty</v>
      </c>
    </row>
    <row r="571" hidden="1">
      <c r="A571" s="109">
        <f>HYPERLINK("https://polkadot.subsquare.io/treasury/child-bounties/569", 569)</f>
        <v>569</v>
      </c>
      <c r="B571" s="183">
        <v>11.0</v>
      </c>
      <c r="C571" s="27" t="s">
        <v>3404</v>
      </c>
      <c r="D571" s="27" t="s">
        <v>1155</v>
      </c>
      <c r="E571" s="129">
        <v>85.0661626</v>
      </c>
      <c r="F571" s="66">
        <v>650.0605421361954</v>
      </c>
      <c r="G571" s="27" t="s">
        <v>3469</v>
      </c>
      <c r="H571" s="167">
        <v>45291.0</v>
      </c>
      <c r="I571" s="167">
        <v>45302.0</v>
      </c>
      <c r="J571" s="66">
        <v>623.2881818571586</v>
      </c>
      <c r="K571" s="1"/>
      <c r="L571" s="1"/>
      <c r="M571" s="1" t="str">
        <f>VLOOKUP(B571,Bounties!A:D,3,FALSE)</f>
        <v>Research</v>
      </c>
      <c r="N571" s="1" t="str">
        <f>VLOOKUP(B571,Bounties!A:D,4,FALSE)</f>
        <v>Anti-Scam</v>
      </c>
      <c r="O571" s="1" t="str">
        <f t="shared" ref="O571:P571" si="575">IF(ISBLANK(K571),M571,K571)</f>
        <v>Research</v>
      </c>
      <c r="P571" s="1" t="str">
        <f t="shared" si="575"/>
        <v>Anti-Scam</v>
      </c>
      <c r="Q571" s="108" t="str">
        <f t="shared" si="3"/>
        <v>2024</v>
      </c>
      <c r="R571" s="110">
        <f t="shared" si="4"/>
        <v>1</v>
      </c>
      <c r="S571" s="108" t="str">
        <f t="shared" si="5"/>
        <v>2024-Q1</v>
      </c>
      <c r="T571" s="111" t="str">
        <f t="shared" si="6"/>
        <v>2024-01</v>
      </c>
      <c r="U571" s="112" t="str">
        <f t="shared" si="7"/>
        <v>2024-H1</v>
      </c>
      <c r="V571" s="1" t="str">
        <f>VLOOKUP(B571,Bounties!A:E,2,FALSE)</f>
        <v>Anti-Scam Bounty</v>
      </c>
    </row>
    <row r="572" hidden="1">
      <c r="A572" s="109">
        <f>HYPERLINK("https://polkadot.subsquare.io/treasury/child-bounties/570", 570)</f>
        <v>570</v>
      </c>
      <c r="B572" s="183">
        <v>11.0</v>
      </c>
      <c r="C572" s="27" t="s">
        <v>3404</v>
      </c>
      <c r="D572" s="27" t="s">
        <v>1156</v>
      </c>
      <c r="E572" s="129">
        <v>19.494328</v>
      </c>
      <c r="F572" s="66">
        <v>148.97220047235106</v>
      </c>
      <c r="G572" s="27" t="s">
        <v>3486</v>
      </c>
      <c r="H572" s="167">
        <v>45291.0</v>
      </c>
      <c r="I572" s="167">
        <v>45300.0</v>
      </c>
      <c r="J572" s="66">
        <v>147.5579090772171</v>
      </c>
      <c r="K572" s="1"/>
      <c r="L572" s="1"/>
      <c r="M572" s="1" t="str">
        <f>VLOOKUP(B572,Bounties!A:D,3,FALSE)</f>
        <v>Research</v>
      </c>
      <c r="N572" s="1" t="str">
        <f>VLOOKUP(B572,Bounties!A:D,4,FALSE)</f>
        <v>Anti-Scam</v>
      </c>
      <c r="O572" s="1" t="str">
        <f t="shared" ref="O572:P572" si="576">IF(ISBLANK(K572),M572,K572)</f>
        <v>Research</v>
      </c>
      <c r="P572" s="1" t="str">
        <f t="shared" si="576"/>
        <v>Anti-Scam</v>
      </c>
      <c r="Q572" s="108" t="str">
        <f t="shared" si="3"/>
        <v>2024</v>
      </c>
      <c r="R572" s="110">
        <f t="shared" si="4"/>
        <v>1</v>
      </c>
      <c r="S572" s="108" t="str">
        <f t="shared" si="5"/>
        <v>2024-Q1</v>
      </c>
      <c r="T572" s="111" t="str">
        <f t="shared" si="6"/>
        <v>2024-01</v>
      </c>
      <c r="U572" s="112" t="str">
        <f t="shared" si="7"/>
        <v>2024-H1</v>
      </c>
      <c r="V572" s="1" t="str">
        <f>VLOOKUP(B572,Bounties!A:E,2,FALSE)</f>
        <v>Anti-Scam Bounty</v>
      </c>
    </row>
    <row r="573" hidden="1">
      <c r="A573" s="109">
        <f>HYPERLINK("https://polkadot.subsquare.io/treasury/child-bounties/571", 571)</f>
        <v>571</v>
      </c>
      <c r="B573" s="183">
        <v>11.0</v>
      </c>
      <c r="C573" s="27" t="s">
        <v>3404</v>
      </c>
      <c r="D573" s="27" t="s">
        <v>1157</v>
      </c>
      <c r="E573" s="129">
        <v>141.776938</v>
      </c>
      <c r="F573" s="66">
        <v>1083.4342394409332</v>
      </c>
      <c r="G573" s="27" t="s">
        <v>3486</v>
      </c>
      <c r="H573" s="167">
        <v>45291.0</v>
      </c>
      <c r="I573" s="167">
        <v>45300.0</v>
      </c>
      <c r="J573" s="66">
        <v>1073.1484833255215</v>
      </c>
      <c r="K573" s="1"/>
      <c r="L573" s="1"/>
      <c r="M573" s="1" t="str">
        <f>VLOOKUP(B573,Bounties!A:D,3,FALSE)</f>
        <v>Research</v>
      </c>
      <c r="N573" s="1" t="str">
        <f>VLOOKUP(B573,Bounties!A:D,4,FALSE)</f>
        <v>Anti-Scam</v>
      </c>
      <c r="O573" s="1" t="str">
        <f t="shared" ref="O573:P573" si="577">IF(ISBLANK(K573),M573,K573)</f>
        <v>Research</v>
      </c>
      <c r="P573" s="1" t="str">
        <f t="shared" si="577"/>
        <v>Anti-Scam</v>
      </c>
      <c r="Q573" s="108" t="str">
        <f t="shared" si="3"/>
        <v>2024</v>
      </c>
      <c r="R573" s="110">
        <f t="shared" si="4"/>
        <v>1</v>
      </c>
      <c r="S573" s="108" t="str">
        <f t="shared" si="5"/>
        <v>2024-Q1</v>
      </c>
      <c r="T573" s="111" t="str">
        <f t="shared" si="6"/>
        <v>2024-01</v>
      </c>
      <c r="U573" s="112" t="str">
        <f t="shared" si="7"/>
        <v>2024-H1</v>
      </c>
      <c r="V573" s="1" t="str">
        <f>VLOOKUP(B573,Bounties!A:E,2,FALSE)</f>
        <v>Anti-Scam Bounty</v>
      </c>
    </row>
    <row r="574" hidden="1">
      <c r="A574" s="109">
        <f>HYPERLINK("https://polkadot.subsquare.io/treasury/child-bounties/572", 572)</f>
        <v>572</v>
      </c>
      <c r="B574" s="183">
        <v>11.0</v>
      </c>
      <c r="C574" s="27" t="s">
        <v>3404</v>
      </c>
      <c r="D574" s="27" t="s">
        <v>1158</v>
      </c>
      <c r="E574" s="129">
        <v>59.073724</v>
      </c>
      <c r="F574" s="66">
        <v>451.4309318267517</v>
      </c>
      <c r="G574" s="27" t="s">
        <v>3486</v>
      </c>
      <c r="H574" s="167">
        <v>45291.0</v>
      </c>
      <c r="I574" s="167">
        <v>45300.0</v>
      </c>
      <c r="J574" s="66">
        <v>447.14520012408826</v>
      </c>
      <c r="K574" s="1"/>
      <c r="L574" s="1"/>
      <c r="M574" s="1" t="str">
        <f>VLOOKUP(B574,Bounties!A:D,3,FALSE)</f>
        <v>Research</v>
      </c>
      <c r="N574" s="1" t="str">
        <f>VLOOKUP(B574,Bounties!A:D,4,FALSE)</f>
        <v>Anti-Scam</v>
      </c>
      <c r="O574" s="1" t="str">
        <f t="shared" ref="O574:P574" si="578">IF(ISBLANK(K574),M574,K574)</f>
        <v>Research</v>
      </c>
      <c r="P574" s="1" t="str">
        <f t="shared" si="578"/>
        <v>Anti-Scam</v>
      </c>
      <c r="Q574" s="108" t="str">
        <f t="shared" si="3"/>
        <v>2024</v>
      </c>
      <c r="R574" s="110">
        <f t="shared" si="4"/>
        <v>1</v>
      </c>
      <c r="S574" s="108" t="str">
        <f t="shared" si="5"/>
        <v>2024-Q1</v>
      </c>
      <c r="T574" s="111" t="str">
        <f t="shared" si="6"/>
        <v>2024-01</v>
      </c>
      <c r="U574" s="112" t="str">
        <f t="shared" si="7"/>
        <v>2024-H1</v>
      </c>
      <c r="V574" s="1" t="str">
        <f>VLOOKUP(B574,Bounties!A:E,2,FALSE)</f>
        <v>Anti-Scam Bounty</v>
      </c>
    </row>
    <row r="575" hidden="1">
      <c r="A575" s="109">
        <f>HYPERLINK("https://polkadot.subsquare.io/treasury/child-bounties/573", 573)</f>
        <v>573</v>
      </c>
      <c r="B575" s="183">
        <v>11.0</v>
      </c>
      <c r="C575" s="27" t="s">
        <v>3404</v>
      </c>
      <c r="D575" s="27" t="s">
        <v>1159</v>
      </c>
      <c r="E575" s="129">
        <v>827.53</v>
      </c>
      <c r="F575" s="66">
        <v>6522.157772583962</v>
      </c>
      <c r="G575" s="27" t="s">
        <v>3407</v>
      </c>
      <c r="H575" s="167">
        <v>45292.0</v>
      </c>
      <c r="I575" s="167">
        <v>45302.0</v>
      </c>
      <c r="J575" s="66">
        <v>6063.394108390808</v>
      </c>
      <c r="K575" s="1"/>
      <c r="L575" s="1"/>
      <c r="M575" s="1" t="str">
        <f>VLOOKUP(B575,Bounties!A:D,3,FALSE)</f>
        <v>Research</v>
      </c>
      <c r="N575" s="1" t="str">
        <f>VLOOKUP(B575,Bounties!A:D,4,FALSE)</f>
        <v>Anti-Scam</v>
      </c>
      <c r="O575" s="1" t="str">
        <f t="shared" ref="O575:P575" si="579">IF(ISBLANK(K575),M575,K575)</f>
        <v>Research</v>
      </c>
      <c r="P575" s="1" t="str">
        <f t="shared" si="579"/>
        <v>Anti-Scam</v>
      </c>
      <c r="Q575" s="108" t="str">
        <f t="shared" si="3"/>
        <v>2024</v>
      </c>
      <c r="R575" s="110">
        <f t="shared" si="4"/>
        <v>1</v>
      </c>
      <c r="S575" s="108" t="str">
        <f t="shared" si="5"/>
        <v>2024-Q1</v>
      </c>
      <c r="T575" s="111" t="str">
        <f t="shared" si="6"/>
        <v>2024-01</v>
      </c>
      <c r="U575" s="112" t="str">
        <f t="shared" si="7"/>
        <v>2024-H1</v>
      </c>
      <c r="V575" s="1" t="str">
        <f>VLOOKUP(B575,Bounties!A:E,2,FALSE)</f>
        <v>Anti-Scam Bounty</v>
      </c>
    </row>
    <row r="576" hidden="1">
      <c r="A576" s="109">
        <f>HYPERLINK("https://polkadot.subsquare.io/treasury/child-bounties/574", 574)</f>
        <v>574</v>
      </c>
      <c r="B576" s="183">
        <v>11.0</v>
      </c>
      <c r="C576" s="27" t="s">
        <v>3404</v>
      </c>
      <c r="D576" s="27" t="s">
        <v>1160</v>
      </c>
      <c r="E576" s="129">
        <v>317.82</v>
      </c>
      <c r="F576" s="66">
        <v>2504.890678625107</v>
      </c>
      <c r="G576" s="27" t="s">
        <v>3406</v>
      </c>
      <c r="H576" s="167">
        <v>45292.0</v>
      </c>
      <c r="I576" s="167">
        <v>45304.0</v>
      </c>
      <c r="J576" s="66">
        <v>2389.3030578804014</v>
      </c>
      <c r="K576" s="1"/>
      <c r="L576" s="1"/>
      <c r="M576" s="1" t="str">
        <f>VLOOKUP(B576,Bounties!A:D,3,FALSE)</f>
        <v>Research</v>
      </c>
      <c r="N576" s="1" t="str">
        <f>VLOOKUP(B576,Bounties!A:D,4,FALSE)</f>
        <v>Anti-Scam</v>
      </c>
      <c r="O576" s="1" t="str">
        <f t="shared" ref="O576:P576" si="580">IF(ISBLANK(K576),M576,K576)</f>
        <v>Research</v>
      </c>
      <c r="P576" s="1" t="str">
        <f t="shared" si="580"/>
        <v>Anti-Scam</v>
      </c>
      <c r="Q576" s="108" t="str">
        <f t="shared" si="3"/>
        <v>2024</v>
      </c>
      <c r="R576" s="110">
        <f t="shared" si="4"/>
        <v>1</v>
      </c>
      <c r="S576" s="108" t="str">
        <f t="shared" si="5"/>
        <v>2024-Q1</v>
      </c>
      <c r="T576" s="111" t="str">
        <f t="shared" si="6"/>
        <v>2024-01</v>
      </c>
      <c r="U576" s="112" t="str">
        <f t="shared" si="7"/>
        <v>2024-H1</v>
      </c>
      <c r="V576" s="1" t="str">
        <f>VLOOKUP(B576,Bounties!A:E,2,FALSE)</f>
        <v>Anti-Scam Bounty</v>
      </c>
    </row>
    <row r="577" hidden="1">
      <c r="A577" s="109">
        <f>HYPERLINK("https://polkadot.subsquare.io/treasury/child-bounties/575", 575)</f>
        <v>575</v>
      </c>
      <c r="B577" s="183">
        <v>11.0</v>
      </c>
      <c r="C577" s="27" t="s">
        <v>3404</v>
      </c>
      <c r="D577" s="27" t="s">
        <v>1161</v>
      </c>
      <c r="E577" s="129">
        <v>324.79</v>
      </c>
      <c r="F577" s="66">
        <v>2559.8245658254623</v>
      </c>
      <c r="G577" s="27" t="s">
        <v>3562</v>
      </c>
      <c r="H577" s="167">
        <v>45292.0</v>
      </c>
      <c r="I577" s="167">
        <v>45300.0</v>
      </c>
      <c r="J577" s="66">
        <v>2458.4244857883455</v>
      </c>
      <c r="K577" s="1"/>
      <c r="L577" s="1"/>
      <c r="M577" s="1" t="str">
        <f>VLOOKUP(B577,Bounties!A:D,3,FALSE)</f>
        <v>Research</v>
      </c>
      <c r="N577" s="1" t="str">
        <f>VLOOKUP(B577,Bounties!A:D,4,FALSE)</f>
        <v>Anti-Scam</v>
      </c>
      <c r="O577" s="1" t="str">
        <f t="shared" ref="O577:P577" si="581">IF(ISBLANK(K577),M577,K577)</f>
        <v>Research</v>
      </c>
      <c r="P577" s="1" t="str">
        <f t="shared" si="581"/>
        <v>Anti-Scam</v>
      </c>
      <c r="Q577" s="108" t="str">
        <f t="shared" si="3"/>
        <v>2024</v>
      </c>
      <c r="R577" s="110">
        <f t="shared" si="4"/>
        <v>1</v>
      </c>
      <c r="S577" s="108" t="str">
        <f t="shared" si="5"/>
        <v>2024-Q1</v>
      </c>
      <c r="T577" s="111" t="str">
        <f t="shared" si="6"/>
        <v>2024-01</v>
      </c>
      <c r="U577" s="112" t="str">
        <f t="shared" si="7"/>
        <v>2024-H1</v>
      </c>
      <c r="V577" s="1" t="str">
        <f>VLOOKUP(B577,Bounties!A:E,2,FALSE)</f>
        <v>Anti-Scam Bounty</v>
      </c>
    </row>
    <row r="578" hidden="1">
      <c r="A578" s="109">
        <f>HYPERLINK("https://polkadot.subsquare.io/treasury/child-bounties/576", 576)</f>
        <v>576</v>
      </c>
      <c r="B578" s="183">
        <v>11.0</v>
      </c>
      <c r="C578" s="27" t="s">
        <v>3404</v>
      </c>
      <c r="D578" s="27" t="s">
        <v>1162</v>
      </c>
      <c r="E578" s="129">
        <v>47.3933649</v>
      </c>
      <c r="F578" s="66">
        <v>373.52966448520647</v>
      </c>
      <c r="G578" s="27" t="s">
        <v>3407</v>
      </c>
      <c r="H578" s="167">
        <v>45293.0</v>
      </c>
      <c r="I578" s="167">
        <v>45302.0</v>
      </c>
      <c r="J578" s="66">
        <v>347.25586928748896</v>
      </c>
      <c r="K578" s="1"/>
      <c r="L578" s="1"/>
      <c r="M578" s="1" t="str">
        <f>VLOOKUP(B578,Bounties!A:D,3,FALSE)</f>
        <v>Research</v>
      </c>
      <c r="N578" s="1" t="str">
        <f>VLOOKUP(B578,Bounties!A:D,4,FALSE)</f>
        <v>Anti-Scam</v>
      </c>
      <c r="O578" s="1" t="str">
        <f t="shared" ref="O578:P578" si="582">IF(ISBLANK(K578),M578,K578)</f>
        <v>Research</v>
      </c>
      <c r="P578" s="1" t="str">
        <f t="shared" si="582"/>
        <v>Anti-Scam</v>
      </c>
      <c r="Q578" s="108" t="str">
        <f t="shared" si="3"/>
        <v>2024</v>
      </c>
      <c r="R578" s="110">
        <f t="shared" si="4"/>
        <v>1</v>
      </c>
      <c r="S578" s="108" t="str">
        <f t="shared" si="5"/>
        <v>2024-Q1</v>
      </c>
      <c r="T578" s="111" t="str">
        <f t="shared" si="6"/>
        <v>2024-01</v>
      </c>
      <c r="U578" s="112" t="str">
        <f t="shared" si="7"/>
        <v>2024-H1</v>
      </c>
      <c r="V578" s="1" t="str">
        <f>VLOOKUP(B578,Bounties!A:E,2,FALSE)</f>
        <v>Anti-Scam Bounty</v>
      </c>
    </row>
    <row r="579" hidden="1">
      <c r="A579" s="109">
        <f>HYPERLINK("https://polkadot.subsquare.io/treasury/child-bounties/577", 577)</f>
        <v>577</v>
      </c>
      <c r="B579" s="183">
        <v>11.0</v>
      </c>
      <c r="C579" s="27" t="s">
        <v>3404</v>
      </c>
      <c r="D579" s="27" t="s">
        <v>1163</v>
      </c>
      <c r="E579" s="129">
        <v>47.3933649</v>
      </c>
      <c r="F579" s="66">
        <v>373.52966448520647</v>
      </c>
      <c r="G579" s="27" t="s">
        <v>3562</v>
      </c>
      <c r="H579" s="167">
        <v>45293.0</v>
      </c>
      <c r="I579" s="167">
        <v>45302.0</v>
      </c>
      <c r="J579" s="66">
        <v>347.25586928748896</v>
      </c>
      <c r="K579" s="1"/>
      <c r="L579" s="1"/>
      <c r="M579" s="1" t="str">
        <f>VLOOKUP(B579,Bounties!A:D,3,FALSE)</f>
        <v>Research</v>
      </c>
      <c r="N579" s="1" t="str">
        <f>VLOOKUP(B579,Bounties!A:D,4,FALSE)</f>
        <v>Anti-Scam</v>
      </c>
      <c r="O579" s="1" t="str">
        <f t="shared" ref="O579:P579" si="583">IF(ISBLANK(K579),M579,K579)</f>
        <v>Research</v>
      </c>
      <c r="P579" s="1" t="str">
        <f t="shared" si="583"/>
        <v>Anti-Scam</v>
      </c>
      <c r="Q579" s="108" t="str">
        <f t="shared" si="3"/>
        <v>2024</v>
      </c>
      <c r="R579" s="110">
        <f t="shared" si="4"/>
        <v>1</v>
      </c>
      <c r="S579" s="108" t="str">
        <f t="shared" si="5"/>
        <v>2024-Q1</v>
      </c>
      <c r="T579" s="111" t="str">
        <f t="shared" si="6"/>
        <v>2024-01</v>
      </c>
      <c r="U579" s="112" t="str">
        <f t="shared" si="7"/>
        <v>2024-H1</v>
      </c>
      <c r="V579" s="1" t="str">
        <f>VLOOKUP(B579,Bounties!A:E,2,FALSE)</f>
        <v>Anti-Scam Bounty</v>
      </c>
    </row>
    <row r="580" hidden="1">
      <c r="A580" s="109">
        <f>HYPERLINK("https://polkadot.subsquare.io/treasury/child-bounties/578", 578)</f>
        <v>578</v>
      </c>
      <c r="B580" s="183">
        <v>11.0</v>
      </c>
      <c r="C580" s="27" t="s">
        <v>3404</v>
      </c>
      <c r="D580" s="27" t="s">
        <v>1164</v>
      </c>
      <c r="E580" s="129">
        <v>47.3933649</v>
      </c>
      <c r="F580" s="66">
        <v>373.52966448520647</v>
      </c>
      <c r="G580" s="27" t="s">
        <v>3406</v>
      </c>
      <c r="H580" s="167">
        <v>45293.0</v>
      </c>
      <c r="I580" s="167">
        <v>45304.0</v>
      </c>
      <c r="J580" s="66">
        <v>356.2932215682201</v>
      </c>
      <c r="K580" s="1"/>
      <c r="L580" s="1"/>
      <c r="M580" s="1" t="str">
        <f>VLOOKUP(B580,Bounties!A:D,3,FALSE)</f>
        <v>Research</v>
      </c>
      <c r="N580" s="1" t="str">
        <f>VLOOKUP(B580,Bounties!A:D,4,FALSE)</f>
        <v>Anti-Scam</v>
      </c>
      <c r="O580" s="1" t="str">
        <f t="shared" ref="O580:P580" si="584">IF(ISBLANK(K580),M580,K580)</f>
        <v>Research</v>
      </c>
      <c r="P580" s="1" t="str">
        <f t="shared" si="584"/>
        <v>Anti-Scam</v>
      </c>
      <c r="Q580" s="108" t="str">
        <f t="shared" si="3"/>
        <v>2024</v>
      </c>
      <c r="R580" s="110">
        <f t="shared" si="4"/>
        <v>1</v>
      </c>
      <c r="S580" s="108" t="str">
        <f t="shared" si="5"/>
        <v>2024-Q1</v>
      </c>
      <c r="T580" s="111" t="str">
        <f t="shared" si="6"/>
        <v>2024-01</v>
      </c>
      <c r="U580" s="112" t="str">
        <f t="shared" si="7"/>
        <v>2024-H1</v>
      </c>
      <c r="V580" s="1" t="str">
        <f>VLOOKUP(B580,Bounties!A:E,2,FALSE)</f>
        <v>Anti-Scam Bounty</v>
      </c>
    </row>
    <row r="581" hidden="1">
      <c r="A581" s="109">
        <f>HYPERLINK("https://polkadot.subsquare.io/treasury/child-bounties/579", 579)</f>
        <v>579</v>
      </c>
      <c r="B581" s="183">
        <v>11.0</v>
      </c>
      <c r="C581" s="27" t="s">
        <v>3404</v>
      </c>
      <c r="D581" s="27" t="s">
        <v>1165</v>
      </c>
      <c r="E581" s="129">
        <v>141.78</v>
      </c>
      <c r="F581" s="66">
        <v>1012.1434788322449</v>
      </c>
      <c r="G581" s="27" t="s">
        <v>3424</v>
      </c>
      <c r="H581" s="167">
        <v>45295.0</v>
      </c>
      <c r="I581" s="167">
        <v>45304.0</v>
      </c>
      <c r="J581" s="66">
        <v>1061.940685901642</v>
      </c>
      <c r="K581" s="1"/>
      <c r="L581" s="1"/>
      <c r="M581" s="1" t="str">
        <f>VLOOKUP(B581,Bounties!A:D,3,FALSE)</f>
        <v>Research</v>
      </c>
      <c r="N581" s="1" t="str">
        <f>VLOOKUP(B581,Bounties!A:D,4,FALSE)</f>
        <v>Anti-Scam</v>
      </c>
      <c r="O581" s="1" t="str">
        <f t="shared" ref="O581:P581" si="585">IF(ISBLANK(K581),M581,K581)</f>
        <v>Research</v>
      </c>
      <c r="P581" s="1" t="str">
        <f t="shared" si="585"/>
        <v>Anti-Scam</v>
      </c>
      <c r="Q581" s="108" t="str">
        <f t="shared" si="3"/>
        <v>2024</v>
      </c>
      <c r="R581" s="110">
        <f t="shared" si="4"/>
        <v>1</v>
      </c>
      <c r="S581" s="108" t="str">
        <f t="shared" si="5"/>
        <v>2024-Q1</v>
      </c>
      <c r="T581" s="111" t="str">
        <f t="shared" si="6"/>
        <v>2024-01</v>
      </c>
      <c r="U581" s="112" t="str">
        <f t="shared" si="7"/>
        <v>2024-H1</v>
      </c>
      <c r="V581" s="1" t="str">
        <f>VLOOKUP(B581,Bounties!A:E,2,FALSE)</f>
        <v>Anti-Scam Bounty</v>
      </c>
    </row>
    <row r="582" hidden="1">
      <c r="A582" s="109">
        <f>HYPERLINK("https://polkadot.subsquare.io/treasury/child-bounties/580", 580)</f>
        <v>580</v>
      </c>
      <c r="B582" s="183">
        <v>11.0</v>
      </c>
      <c r="C582" s="27" t="s">
        <v>3404</v>
      </c>
      <c r="D582" s="27" t="s">
        <v>1166</v>
      </c>
      <c r="E582" s="129">
        <v>59.07</v>
      </c>
      <c r="F582" s="66">
        <v>421.6907553577423</v>
      </c>
      <c r="G582" s="27" t="s">
        <v>3439</v>
      </c>
      <c r="H582" s="167">
        <v>45295.0</v>
      </c>
      <c r="I582" s="167">
        <v>45306.0</v>
      </c>
      <c r="J582" s="66">
        <v>413.9411190032959</v>
      </c>
      <c r="K582" s="1"/>
      <c r="L582" s="1"/>
      <c r="M582" s="1" t="str">
        <f>VLOOKUP(B582,Bounties!A:D,3,FALSE)</f>
        <v>Research</v>
      </c>
      <c r="N582" s="1" t="str">
        <f>VLOOKUP(B582,Bounties!A:D,4,FALSE)</f>
        <v>Anti-Scam</v>
      </c>
      <c r="O582" s="1" t="str">
        <f t="shared" ref="O582:P582" si="586">IF(ISBLANK(K582),M582,K582)</f>
        <v>Research</v>
      </c>
      <c r="P582" s="1" t="str">
        <f t="shared" si="586"/>
        <v>Anti-Scam</v>
      </c>
      <c r="Q582" s="108" t="str">
        <f t="shared" si="3"/>
        <v>2024</v>
      </c>
      <c r="R582" s="110">
        <f t="shared" si="4"/>
        <v>1</v>
      </c>
      <c r="S582" s="108" t="str">
        <f t="shared" si="5"/>
        <v>2024-Q1</v>
      </c>
      <c r="T582" s="111" t="str">
        <f t="shared" si="6"/>
        <v>2024-01</v>
      </c>
      <c r="U582" s="112" t="str">
        <f t="shared" si="7"/>
        <v>2024-H1</v>
      </c>
      <c r="V582" s="1" t="str">
        <f>VLOOKUP(B582,Bounties!A:E,2,FALSE)</f>
        <v>Anti-Scam Bounty</v>
      </c>
    </row>
    <row r="583" hidden="1">
      <c r="A583" s="109">
        <f>HYPERLINK("https://polkadot.subsquare.io/treasury/child-bounties/581", 581)</f>
        <v>581</v>
      </c>
      <c r="B583" s="183">
        <v>22.0</v>
      </c>
      <c r="C583" s="27" t="s">
        <v>3404</v>
      </c>
      <c r="D583" s="27" t="s">
        <v>1167</v>
      </c>
      <c r="E583" s="129">
        <v>18360.0</v>
      </c>
      <c r="F583" s="66">
        <v>150004.66827392578</v>
      </c>
      <c r="G583" s="27" t="s">
        <v>3563</v>
      </c>
      <c r="H583" s="167">
        <v>45299.0</v>
      </c>
      <c r="I583" s="167">
        <v>45336.0</v>
      </c>
      <c r="J583" s="66">
        <v>141451.93593978882</v>
      </c>
      <c r="K583" s="1"/>
      <c r="L583" s="1"/>
      <c r="M583" s="1" t="str">
        <f>VLOOKUP(B583,Bounties!A:D,3,FALSE)</f>
        <v>Development</v>
      </c>
      <c r="N583" s="1" t="str">
        <f>VLOOKUP(B583,Bounties!A:D,4,FALSE)</f>
        <v>Ecosystem Services</v>
      </c>
      <c r="O583" s="1" t="str">
        <f t="shared" ref="O583:P583" si="587">IF(ISBLANK(K583),M583,K583)</f>
        <v>Development</v>
      </c>
      <c r="P583" s="1" t="str">
        <f t="shared" si="587"/>
        <v>Ecosystem Services</v>
      </c>
      <c r="Q583" s="108" t="str">
        <f t="shared" si="3"/>
        <v>2024</v>
      </c>
      <c r="R583" s="110">
        <f t="shared" si="4"/>
        <v>2</v>
      </c>
      <c r="S583" s="108" t="str">
        <f t="shared" si="5"/>
        <v>2024-Q1</v>
      </c>
      <c r="T583" s="111" t="str">
        <f t="shared" si="6"/>
        <v>2024-02</v>
      </c>
      <c r="U583" s="112" t="str">
        <f t="shared" si="7"/>
        <v>2024-H1</v>
      </c>
      <c r="V583" s="1" t="str">
        <f>VLOOKUP(B583,Bounties!A:E,2,FALSE)</f>
        <v>Polkadot Assurance Legion Bounty</v>
      </c>
    </row>
    <row r="584" hidden="1">
      <c r="A584" s="109">
        <f>HYPERLINK("https://polkadot.subsquare.io/treasury/child-bounties/582", 582)</f>
        <v>582</v>
      </c>
      <c r="B584" s="183">
        <v>19.0</v>
      </c>
      <c r="C584" s="27" t="s">
        <v>3404</v>
      </c>
      <c r="D584" s="27" t="s">
        <v>1168</v>
      </c>
      <c r="E584" s="129">
        <v>1071.0</v>
      </c>
      <c r="F584" s="66">
        <v>8750.272315979004</v>
      </c>
      <c r="G584" s="27" t="s">
        <v>3557</v>
      </c>
      <c r="H584" s="167">
        <v>45300.0</v>
      </c>
      <c r="I584" s="167">
        <v>45308.0</v>
      </c>
      <c r="J584" s="66">
        <v>7388.716316699982</v>
      </c>
      <c r="K584" s="1"/>
      <c r="L584" s="1"/>
      <c r="M584" s="1" t="str">
        <f>VLOOKUP(B584,Bounties!A:D,3,FALSE)</f>
        <v>Development</v>
      </c>
      <c r="N584" s="1" t="str">
        <f>VLOOKUP(B584,Bounties!A:D,4,FALSE)</f>
        <v>Smart Contracts</v>
      </c>
      <c r="O584" s="1" t="str">
        <f t="shared" ref="O584:P584" si="588">IF(ISBLANK(K584),M584,K584)</f>
        <v>Development</v>
      </c>
      <c r="P584" s="1" t="str">
        <f t="shared" si="588"/>
        <v>Smart Contracts</v>
      </c>
      <c r="Q584" s="108" t="str">
        <f t="shared" si="3"/>
        <v>2024</v>
      </c>
      <c r="R584" s="110">
        <f t="shared" si="4"/>
        <v>1</v>
      </c>
      <c r="S584" s="108" t="str">
        <f t="shared" si="5"/>
        <v>2024-Q1</v>
      </c>
      <c r="T584" s="111" t="str">
        <f t="shared" si="6"/>
        <v>2024-01</v>
      </c>
      <c r="U584" s="112" t="str">
        <f t="shared" si="7"/>
        <v>2024-H1</v>
      </c>
      <c r="V584" s="1" t="str">
        <f>VLOOKUP(B584,Bounties!A:E,2,FALSE)</f>
        <v>Wasm Smart Contracts Bounty</v>
      </c>
    </row>
    <row r="585" hidden="1">
      <c r="A585" s="109">
        <f>HYPERLINK("https://polkadot.subsquare.io/treasury/child-bounties/583", 583)</f>
        <v>583</v>
      </c>
      <c r="B585" s="183">
        <v>22.0</v>
      </c>
      <c r="C585" s="27" t="s">
        <v>3404</v>
      </c>
      <c r="D585" s="27" t="s">
        <v>1169</v>
      </c>
      <c r="E585" s="129">
        <v>15642.0</v>
      </c>
      <c r="F585" s="66">
        <v>114702.16233444214</v>
      </c>
      <c r="G585" s="27" t="s">
        <v>3564</v>
      </c>
      <c r="H585" s="167">
        <v>45306.0</v>
      </c>
      <c r="I585" s="167">
        <v>45320.0</v>
      </c>
      <c r="J585" s="66">
        <v>104109.02203559875</v>
      </c>
      <c r="K585" s="1"/>
      <c r="L585" s="1"/>
      <c r="M585" s="1" t="str">
        <f>VLOOKUP(B585,Bounties!A:D,3,FALSE)</f>
        <v>Development</v>
      </c>
      <c r="N585" s="1" t="str">
        <f>VLOOKUP(B585,Bounties!A:D,4,FALSE)</f>
        <v>Ecosystem Services</v>
      </c>
      <c r="O585" s="1" t="str">
        <f t="shared" ref="O585:P585" si="589">IF(ISBLANK(K585),M585,K585)</f>
        <v>Development</v>
      </c>
      <c r="P585" s="1" t="str">
        <f t="shared" si="589"/>
        <v>Ecosystem Services</v>
      </c>
      <c r="Q585" s="108" t="str">
        <f t="shared" si="3"/>
        <v>2024</v>
      </c>
      <c r="R585" s="110">
        <f t="shared" si="4"/>
        <v>1</v>
      </c>
      <c r="S585" s="108" t="str">
        <f t="shared" si="5"/>
        <v>2024-Q1</v>
      </c>
      <c r="T585" s="111" t="str">
        <f t="shared" si="6"/>
        <v>2024-01</v>
      </c>
      <c r="U585" s="112" t="str">
        <f t="shared" si="7"/>
        <v>2024-H1</v>
      </c>
      <c r="V585" s="1" t="str">
        <f>VLOOKUP(B585,Bounties!A:E,2,FALSE)</f>
        <v>Polkadot Assurance Legion Bounty</v>
      </c>
    </row>
    <row r="586" hidden="1">
      <c r="A586" s="109">
        <f>HYPERLINK("https://polkadot.subsquare.io/treasury/child-bounties/584", 584)</f>
        <v>584</v>
      </c>
      <c r="B586" s="183">
        <v>17.0</v>
      </c>
      <c r="C586" s="27" t="s">
        <v>3404</v>
      </c>
      <c r="D586" s="27" t="s">
        <v>1170</v>
      </c>
      <c r="E586" s="129">
        <v>13993.0</v>
      </c>
      <c r="F586" s="66">
        <v>98057.86487579346</v>
      </c>
      <c r="G586" s="27" t="s">
        <v>3565</v>
      </c>
      <c r="H586" s="167">
        <v>45306.0</v>
      </c>
      <c r="I586" s="167">
        <v>45318.0</v>
      </c>
      <c r="J586" s="66">
        <v>95739.64571237564</v>
      </c>
      <c r="K586" s="1"/>
      <c r="L586" s="1"/>
      <c r="M586" s="1" t="str">
        <f>VLOOKUP(B586,Bounties!A:D,3,FALSE)</f>
        <v>Outreach</v>
      </c>
      <c r="N586" s="1" t="str">
        <f>VLOOKUP(B586,Bounties!A:D,4,FALSE)</f>
        <v>Events/Meetups</v>
      </c>
      <c r="O586" s="1" t="str">
        <f t="shared" ref="O586:P586" si="590">IF(ISBLANK(K586),M586,K586)</f>
        <v>Outreach</v>
      </c>
      <c r="P586" s="1" t="str">
        <f t="shared" si="590"/>
        <v>Events/Meetups</v>
      </c>
      <c r="Q586" s="108" t="str">
        <f t="shared" si="3"/>
        <v>2024</v>
      </c>
      <c r="R586" s="110">
        <f t="shared" si="4"/>
        <v>1</v>
      </c>
      <c r="S586" s="108" t="str">
        <f t="shared" si="5"/>
        <v>2024-Q1</v>
      </c>
      <c r="T586" s="111" t="str">
        <f t="shared" si="6"/>
        <v>2024-01</v>
      </c>
      <c r="U586" s="112" t="str">
        <f t="shared" si="7"/>
        <v>2024-H1</v>
      </c>
      <c r="V586" s="1" t="str">
        <f>VLOOKUP(B586,Bounties!A:E,2,FALSE)</f>
        <v>Events Bounty</v>
      </c>
    </row>
    <row r="587" hidden="1">
      <c r="A587" s="109">
        <f>HYPERLINK("https://polkadot.subsquare.io/treasury/child-bounties/585", 585)</f>
        <v>585</v>
      </c>
      <c r="B587" s="183">
        <v>17.0</v>
      </c>
      <c r="C587" s="27" t="s">
        <v>3404</v>
      </c>
      <c r="D587" s="27" t="s">
        <v>1171</v>
      </c>
      <c r="E587" s="129">
        <v>1769.3</v>
      </c>
      <c r="F587" s="66">
        <v>12398.612186431885</v>
      </c>
      <c r="G587" s="27" t="s">
        <v>3566</v>
      </c>
      <c r="H587" s="167">
        <v>45306.0</v>
      </c>
      <c r="I587" s="167">
        <v>45382.0</v>
      </c>
      <c r="J587" s="66">
        <v>14921.488241100311</v>
      </c>
      <c r="K587" s="1"/>
      <c r="L587" s="1"/>
      <c r="M587" s="1" t="str">
        <f>VLOOKUP(B587,Bounties!A:D,3,FALSE)</f>
        <v>Outreach</v>
      </c>
      <c r="N587" s="1" t="str">
        <f>VLOOKUP(B587,Bounties!A:D,4,FALSE)</f>
        <v>Events/Meetups</v>
      </c>
      <c r="O587" s="1" t="str">
        <f t="shared" ref="O587:P587" si="591">IF(ISBLANK(K587),M587,K587)</f>
        <v>Outreach</v>
      </c>
      <c r="P587" s="1" t="str">
        <f t="shared" si="591"/>
        <v>Events/Meetups</v>
      </c>
      <c r="Q587" s="108" t="str">
        <f t="shared" si="3"/>
        <v>2024</v>
      </c>
      <c r="R587" s="110">
        <f t="shared" si="4"/>
        <v>3</v>
      </c>
      <c r="S587" s="108" t="str">
        <f t="shared" si="5"/>
        <v>2024-Q1</v>
      </c>
      <c r="T587" s="111" t="str">
        <f t="shared" si="6"/>
        <v>2024-03</v>
      </c>
      <c r="U587" s="112" t="str">
        <f t="shared" si="7"/>
        <v>2024-H1</v>
      </c>
      <c r="V587" s="1" t="str">
        <f>VLOOKUP(B587,Bounties!A:E,2,FALSE)</f>
        <v>Events Bounty</v>
      </c>
    </row>
    <row r="588" hidden="1">
      <c r="A588" s="109">
        <f>HYPERLINK("https://polkadot.subsquare.io/treasury/child-bounties/586", 586)</f>
        <v>586</v>
      </c>
      <c r="B588" s="183">
        <v>17.0</v>
      </c>
      <c r="C588" s="27" t="s">
        <v>3404</v>
      </c>
      <c r="D588" s="27" t="s">
        <v>1172</v>
      </c>
      <c r="E588" s="129">
        <v>23286.0</v>
      </c>
      <c r="F588" s="66">
        <v>163179.83573913574</v>
      </c>
      <c r="G588" s="27" t="s">
        <v>3567</v>
      </c>
      <c r="H588" s="167">
        <v>45306.0</v>
      </c>
      <c r="I588" s="167">
        <v>45320.0</v>
      </c>
      <c r="J588" s="66">
        <v>158137.0222120285</v>
      </c>
      <c r="K588" s="1"/>
      <c r="L588" s="1" t="s">
        <v>266</v>
      </c>
      <c r="M588" s="1" t="str">
        <f>VLOOKUP(B588,Bounties!A:D,3,FALSE)</f>
        <v>Outreach</v>
      </c>
      <c r="N588" s="1" t="str">
        <f>VLOOKUP(B588,Bounties!A:D,4,FALSE)</f>
        <v>Events/Meetups</v>
      </c>
      <c r="O588" s="1" t="str">
        <f t="shared" ref="O588:P588" si="592">IF(ISBLANK(K588),M588,K588)</f>
        <v>Outreach</v>
      </c>
      <c r="P588" s="1" t="str">
        <f t="shared" si="592"/>
        <v>Events/Conference Attendance &amp; Side Events</v>
      </c>
      <c r="Q588" s="108" t="str">
        <f t="shared" si="3"/>
        <v>2024</v>
      </c>
      <c r="R588" s="110">
        <f t="shared" si="4"/>
        <v>1</v>
      </c>
      <c r="S588" s="108" t="str">
        <f t="shared" si="5"/>
        <v>2024-Q1</v>
      </c>
      <c r="T588" s="111" t="str">
        <f t="shared" si="6"/>
        <v>2024-01</v>
      </c>
      <c r="U588" s="112" t="str">
        <f t="shared" si="7"/>
        <v>2024-H1</v>
      </c>
      <c r="V588" s="1" t="str">
        <f>VLOOKUP(B588,Bounties!A:E,2,FALSE)</f>
        <v>Events Bounty</v>
      </c>
    </row>
    <row r="589" hidden="1">
      <c r="A589" s="109">
        <f>HYPERLINK("https://polkadot.subsquare.io/treasury/child-bounties/587", 587)</f>
        <v>587</v>
      </c>
      <c r="B589" s="183">
        <v>17.0</v>
      </c>
      <c r="C589" s="27" t="s">
        <v>3404</v>
      </c>
      <c r="D589" s="27" t="s">
        <v>1173</v>
      </c>
      <c r="E589" s="129">
        <v>294.2</v>
      </c>
      <c r="F589" s="66">
        <v>2061.646812438965</v>
      </c>
      <c r="G589" s="27" t="s">
        <v>3453</v>
      </c>
      <c r="H589" s="167">
        <v>45306.0</v>
      </c>
      <c r="I589" s="167">
        <v>45315.0</v>
      </c>
      <c r="J589" s="66">
        <v>1962.3866903305052</v>
      </c>
      <c r="K589" s="1"/>
      <c r="L589" s="1"/>
      <c r="M589" s="1" t="str">
        <f>VLOOKUP(B589,Bounties!A:D,3,FALSE)</f>
        <v>Outreach</v>
      </c>
      <c r="N589" s="1" t="str">
        <f>VLOOKUP(B589,Bounties!A:D,4,FALSE)</f>
        <v>Events/Meetups</v>
      </c>
      <c r="O589" s="1" t="str">
        <f t="shared" ref="O589:P589" si="593">IF(ISBLANK(K589),M589,K589)</f>
        <v>Outreach</v>
      </c>
      <c r="P589" s="1" t="str">
        <f t="shared" si="593"/>
        <v>Events/Meetups</v>
      </c>
      <c r="Q589" s="108" t="str">
        <f t="shared" si="3"/>
        <v>2024</v>
      </c>
      <c r="R589" s="110">
        <f t="shared" si="4"/>
        <v>1</v>
      </c>
      <c r="S589" s="108" t="str">
        <f t="shared" si="5"/>
        <v>2024-Q1</v>
      </c>
      <c r="T589" s="111" t="str">
        <f t="shared" si="6"/>
        <v>2024-01</v>
      </c>
      <c r="U589" s="112" t="str">
        <f t="shared" si="7"/>
        <v>2024-H1</v>
      </c>
      <c r="V589" s="1" t="str">
        <f>VLOOKUP(B589,Bounties!A:E,2,FALSE)</f>
        <v>Events Bounty</v>
      </c>
    </row>
    <row r="590" hidden="1">
      <c r="A590" s="109">
        <f>HYPERLINK("https://polkadot.subsquare.io/treasury/child-bounties/588", 588)</f>
        <v>588</v>
      </c>
      <c r="B590" s="183">
        <v>17.0</v>
      </c>
      <c r="C590" s="27" t="s">
        <v>3404</v>
      </c>
      <c r="D590" s="27" t="s">
        <v>1174</v>
      </c>
      <c r="E590" s="129">
        <v>267.2</v>
      </c>
      <c r="F590" s="66">
        <v>1872.4406127929688</v>
      </c>
      <c r="G590" s="27" t="s">
        <v>3476</v>
      </c>
      <c r="H590" s="167">
        <v>45306.0</v>
      </c>
      <c r="I590" s="167">
        <v>45555.0</v>
      </c>
      <c r="J590" s="66">
        <v>1190.5016067504882</v>
      </c>
      <c r="K590" s="1"/>
      <c r="L590" s="1"/>
      <c r="M590" s="1" t="str">
        <f>VLOOKUP(B590,Bounties!A:D,3,FALSE)</f>
        <v>Outreach</v>
      </c>
      <c r="N590" s="1" t="str">
        <f>VLOOKUP(B590,Bounties!A:D,4,FALSE)</f>
        <v>Events/Meetups</v>
      </c>
      <c r="O590" s="1" t="str">
        <f t="shared" ref="O590:P590" si="594">IF(ISBLANK(K590),M590,K590)</f>
        <v>Outreach</v>
      </c>
      <c r="P590" s="1" t="str">
        <f t="shared" si="594"/>
        <v>Events/Meetups</v>
      </c>
      <c r="Q590" s="108" t="str">
        <f t="shared" si="3"/>
        <v>2024</v>
      </c>
      <c r="R590" s="110">
        <f t="shared" si="4"/>
        <v>9</v>
      </c>
      <c r="S590" s="108" t="str">
        <f t="shared" si="5"/>
        <v>2024-Q3</v>
      </c>
      <c r="T590" s="111" t="str">
        <f t="shared" si="6"/>
        <v>2024-09</v>
      </c>
      <c r="U590" s="112" t="str">
        <f t="shared" si="7"/>
        <v>2024-H2</v>
      </c>
      <c r="V590" s="1" t="str">
        <f>VLOOKUP(B590,Bounties!A:E,2,FALSE)</f>
        <v>Events Bounty</v>
      </c>
    </row>
    <row r="591" hidden="1">
      <c r="A591" s="109">
        <f>HYPERLINK("https://polkadot.subsquare.io/treasury/child-bounties/589", 589)</f>
        <v>589</v>
      </c>
      <c r="B591" s="183">
        <v>17.0</v>
      </c>
      <c r="C591" s="27" t="s">
        <v>3404</v>
      </c>
      <c r="D591" s="27" t="s">
        <v>1175</v>
      </c>
      <c r="E591" s="129">
        <v>174.6</v>
      </c>
      <c r="F591" s="66">
        <v>1223.5334243774414</v>
      </c>
      <c r="G591" s="27" t="s">
        <v>3568</v>
      </c>
      <c r="H591" s="167">
        <v>45306.0</v>
      </c>
      <c r="I591" s="167">
        <v>45320.0</v>
      </c>
      <c r="J591" s="66">
        <v>1162.0915002822876</v>
      </c>
      <c r="K591" s="1"/>
      <c r="L591" s="1"/>
      <c r="M591" s="1" t="str">
        <f>VLOOKUP(B591,Bounties!A:D,3,FALSE)</f>
        <v>Outreach</v>
      </c>
      <c r="N591" s="1" t="str">
        <f>VLOOKUP(B591,Bounties!A:D,4,FALSE)</f>
        <v>Events/Meetups</v>
      </c>
      <c r="O591" s="1" t="str">
        <f t="shared" ref="O591:P591" si="595">IF(ISBLANK(K591),M591,K591)</f>
        <v>Outreach</v>
      </c>
      <c r="P591" s="1" t="str">
        <f t="shared" si="595"/>
        <v>Events/Meetups</v>
      </c>
      <c r="Q591" s="108" t="str">
        <f t="shared" si="3"/>
        <v>2024</v>
      </c>
      <c r="R591" s="110">
        <f t="shared" si="4"/>
        <v>1</v>
      </c>
      <c r="S591" s="108" t="str">
        <f t="shared" si="5"/>
        <v>2024-Q1</v>
      </c>
      <c r="T591" s="111" t="str">
        <f t="shared" si="6"/>
        <v>2024-01</v>
      </c>
      <c r="U591" s="112" t="str">
        <f t="shared" si="7"/>
        <v>2024-H1</v>
      </c>
      <c r="V591" s="1" t="str">
        <f>VLOOKUP(B591,Bounties!A:E,2,FALSE)</f>
        <v>Events Bounty</v>
      </c>
    </row>
    <row r="592" hidden="1">
      <c r="A592" s="109">
        <f>HYPERLINK("https://polkadot.subsquare.io/treasury/child-bounties/590", 590)</f>
        <v>590</v>
      </c>
      <c r="B592" s="183">
        <v>17.0</v>
      </c>
      <c r="C592" s="27" t="s">
        <v>3404</v>
      </c>
      <c r="D592" s="27" t="s">
        <v>1176</v>
      </c>
      <c r="E592" s="129">
        <v>19.4</v>
      </c>
      <c r="F592" s="66">
        <v>135.94815826416016</v>
      </c>
      <c r="G592" s="27" t="s">
        <v>3422</v>
      </c>
      <c r="H592" s="167">
        <v>45306.0</v>
      </c>
      <c r="I592" s="167">
        <v>45319.0</v>
      </c>
      <c r="J592" s="66">
        <v>129.12127780914307</v>
      </c>
      <c r="K592" s="1"/>
      <c r="L592" s="1"/>
      <c r="M592" s="1" t="str">
        <f>VLOOKUP(B592,Bounties!A:D,3,FALSE)</f>
        <v>Outreach</v>
      </c>
      <c r="N592" s="1" t="str">
        <f>VLOOKUP(B592,Bounties!A:D,4,FALSE)</f>
        <v>Events/Meetups</v>
      </c>
      <c r="O592" s="1" t="str">
        <f t="shared" ref="O592:P592" si="596">IF(ISBLANK(K592),M592,K592)</f>
        <v>Outreach</v>
      </c>
      <c r="P592" s="1" t="str">
        <f t="shared" si="596"/>
        <v>Events/Meetups</v>
      </c>
      <c r="Q592" s="108" t="str">
        <f t="shared" si="3"/>
        <v>2024</v>
      </c>
      <c r="R592" s="110">
        <f t="shared" si="4"/>
        <v>1</v>
      </c>
      <c r="S592" s="108" t="str">
        <f t="shared" si="5"/>
        <v>2024-Q1</v>
      </c>
      <c r="T592" s="111" t="str">
        <f t="shared" si="6"/>
        <v>2024-01</v>
      </c>
      <c r="U592" s="112" t="str">
        <f t="shared" si="7"/>
        <v>2024-H1</v>
      </c>
      <c r="V592" s="1" t="str">
        <f>VLOOKUP(B592,Bounties!A:E,2,FALSE)</f>
        <v>Events Bounty</v>
      </c>
    </row>
    <row r="593" hidden="1">
      <c r="A593" s="109">
        <f>HYPERLINK("https://polkadot.subsquare.io/treasury/child-bounties/591", 591)</f>
        <v>591</v>
      </c>
      <c r="B593" s="183">
        <v>11.0</v>
      </c>
      <c r="C593" s="27" t="s">
        <v>3404</v>
      </c>
      <c r="D593" s="27" t="s">
        <v>1177</v>
      </c>
      <c r="E593" s="129">
        <v>31.43</v>
      </c>
      <c r="F593" s="66">
        <v>199.04382781028747</v>
      </c>
      <c r="G593" s="27" t="s">
        <v>3407</v>
      </c>
      <c r="H593" s="167">
        <v>45310.0</v>
      </c>
      <c r="I593" s="167">
        <v>45321.0</v>
      </c>
      <c r="J593" s="66">
        <v>218.00554978370667</v>
      </c>
      <c r="K593" s="1"/>
      <c r="L593" s="1"/>
      <c r="M593" s="1" t="str">
        <f>VLOOKUP(B593,Bounties!A:D,3,FALSE)</f>
        <v>Research</v>
      </c>
      <c r="N593" s="1" t="str">
        <f>VLOOKUP(B593,Bounties!A:D,4,FALSE)</f>
        <v>Anti-Scam</v>
      </c>
      <c r="O593" s="1" t="str">
        <f t="shared" ref="O593:P593" si="597">IF(ISBLANK(K593),M593,K593)</f>
        <v>Research</v>
      </c>
      <c r="P593" s="1" t="str">
        <f t="shared" si="597"/>
        <v>Anti-Scam</v>
      </c>
      <c r="Q593" s="108" t="str">
        <f t="shared" si="3"/>
        <v>2024</v>
      </c>
      <c r="R593" s="110">
        <f t="shared" si="4"/>
        <v>1</v>
      </c>
      <c r="S593" s="108" t="str">
        <f t="shared" si="5"/>
        <v>2024-Q1</v>
      </c>
      <c r="T593" s="111" t="str">
        <f t="shared" si="6"/>
        <v>2024-01</v>
      </c>
      <c r="U593" s="112" t="str">
        <f t="shared" si="7"/>
        <v>2024-H1</v>
      </c>
      <c r="V593" s="1" t="str">
        <f>VLOOKUP(B593,Bounties!A:E,2,FALSE)</f>
        <v>Anti-Scam Bounty</v>
      </c>
    </row>
    <row r="594" hidden="1">
      <c r="A594" s="109">
        <f>HYPERLINK("https://polkadot.subsquare.io/treasury/child-bounties/592", 592)</f>
        <v>592</v>
      </c>
      <c r="B594" s="183">
        <v>11.0</v>
      </c>
      <c r="C594" s="27" t="s">
        <v>3404</v>
      </c>
      <c r="D594" s="27" t="s">
        <v>1178</v>
      </c>
      <c r="E594" s="129">
        <v>56.69</v>
      </c>
      <c r="F594" s="66">
        <v>359.01350934028625</v>
      </c>
      <c r="G594" s="27" t="s">
        <v>3562</v>
      </c>
      <c r="H594" s="167">
        <v>45310.0</v>
      </c>
      <c r="I594" s="167">
        <v>45321.0</v>
      </c>
      <c r="J594" s="66">
        <v>393.2145917034149</v>
      </c>
      <c r="K594" s="1"/>
      <c r="L594" s="1"/>
      <c r="M594" s="1" t="str">
        <f>VLOOKUP(B594,Bounties!A:D,3,FALSE)</f>
        <v>Research</v>
      </c>
      <c r="N594" s="1" t="str">
        <f>VLOOKUP(B594,Bounties!A:D,4,FALSE)</f>
        <v>Anti-Scam</v>
      </c>
      <c r="O594" s="1" t="str">
        <f t="shared" ref="O594:P594" si="598">IF(ISBLANK(K594),M594,K594)</f>
        <v>Research</v>
      </c>
      <c r="P594" s="1" t="str">
        <f t="shared" si="598"/>
        <v>Anti-Scam</v>
      </c>
      <c r="Q594" s="108" t="str">
        <f t="shared" si="3"/>
        <v>2024</v>
      </c>
      <c r="R594" s="110">
        <f t="shared" si="4"/>
        <v>1</v>
      </c>
      <c r="S594" s="108" t="str">
        <f t="shared" si="5"/>
        <v>2024-Q1</v>
      </c>
      <c r="T594" s="111" t="str">
        <f t="shared" si="6"/>
        <v>2024-01</v>
      </c>
      <c r="U594" s="112" t="str">
        <f t="shared" si="7"/>
        <v>2024-H1</v>
      </c>
      <c r="V594" s="1" t="str">
        <f>VLOOKUP(B594,Bounties!A:E,2,FALSE)</f>
        <v>Anti-Scam Bounty</v>
      </c>
    </row>
    <row r="595" hidden="1">
      <c r="A595" s="109">
        <f>HYPERLINK("https://polkadot.subsquare.io/treasury/child-bounties/593", 593)</f>
        <v>593</v>
      </c>
      <c r="B595" s="183">
        <v>11.0</v>
      </c>
      <c r="C595" s="27" t="s">
        <v>3404</v>
      </c>
      <c r="D595" s="27" t="s">
        <v>1179</v>
      </c>
      <c r="E595" s="129">
        <v>67.91</v>
      </c>
      <c r="F595" s="66">
        <v>430.068926076889</v>
      </c>
      <c r="G595" s="27" t="s">
        <v>3526</v>
      </c>
      <c r="H595" s="167">
        <v>45310.0</v>
      </c>
      <c r="I595" s="167">
        <v>45323.0</v>
      </c>
      <c r="J595" s="66">
        <v>463.92648860454557</v>
      </c>
      <c r="K595" s="1"/>
      <c r="L595" s="1"/>
      <c r="M595" s="1" t="str">
        <f>VLOOKUP(B595,Bounties!A:D,3,FALSE)</f>
        <v>Research</v>
      </c>
      <c r="N595" s="1" t="str">
        <f>VLOOKUP(B595,Bounties!A:D,4,FALSE)</f>
        <v>Anti-Scam</v>
      </c>
      <c r="O595" s="1" t="str">
        <f t="shared" ref="O595:P595" si="599">IF(ISBLANK(K595),M595,K595)</f>
        <v>Research</v>
      </c>
      <c r="P595" s="1" t="str">
        <f t="shared" si="599"/>
        <v>Anti-Scam</v>
      </c>
      <c r="Q595" s="108" t="str">
        <f t="shared" si="3"/>
        <v>2024</v>
      </c>
      <c r="R595" s="110">
        <f t="shared" si="4"/>
        <v>2</v>
      </c>
      <c r="S595" s="108" t="str">
        <f t="shared" si="5"/>
        <v>2024-Q1</v>
      </c>
      <c r="T595" s="111" t="str">
        <f t="shared" si="6"/>
        <v>2024-02</v>
      </c>
      <c r="U595" s="112" t="str">
        <f t="shared" si="7"/>
        <v>2024-H1</v>
      </c>
      <c r="V595" s="1" t="str">
        <f>VLOOKUP(B595,Bounties!A:E,2,FALSE)</f>
        <v>Anti-Scam Bounty</v>
      </c>
    </row>
    <row r="596" hidden="1">
      <c r="A596" s="109">
        <f>HYPERLINK("https://polkadot.subsquare.io/treasury/child-bounties/594", 594)</f>
        <v>594</v>
      </c>
      <c r="B596" s="183">
        <v>22.0</v>
      </c>
      <c r="C596" s="27" t="s">
        <v>3404</v>
      </c>
      <c r="D596" s="27" t="s">
        <v>1180</v>
      </c>
      <c r="E596" s="129">
        <v>4833.0</v>
      </c>
      <c r="F596" s="66">
        <v>30607.025765419006</v>
      </c>
      <c r="G596" s="27" t="s">
        <v>3569</v>
      </c>
      <c r="H596" s="167">
        <v>45311.0</v>
      </c>
      <c r="I596" s="167">
        <v>45327.0</v>
      </c>
      <c r="J596" s="66">
        <v>33540.681507110596</v>
      </c>
      <c r="K596" s="1"/>
      <c r="L596" s="1"/>
      <c r="M596" s="1" t="str">
        <f>VLOOKUP(B596,Bounties!A:D,3,FALSE)</f>
        <v>Development</v>
      </c>
      <c r="N596" s="1" t="str">
        <f>VLOOKUP(B596,Bounties!A:D,4,FALSE)</f>
        <v>Ecosystem Services</v>
      </c>
      <c r="O596" s="1" t="str">
        <f t="shared" ref="O596:P596" si="600">IF(ISBLANK(K596),M596,K596)</f>
        <v>Development</v>
      </c>
      <c r="P596" s="1" t="str">
        <f t="shared" si="600"/>
        <v>Ecosystem Services</v>
      </c>
      <c r="Q596" s="108" t="str">
        <f t="shared" si="3"/>
        <v>2024</v>
      </c>
      <c r="R596" s="110">
        <f t="shared" si="4"/>
        <v>2</v>
      </c>
      <c r="S596" s="108" t="str">
        <f t="shared" si="5"/>
        <v>2024-Q1</v>
      </c>
      <c r="T596" s="111" t="str">
        <f t="shared" si="6"/>
        <v>2024-02</v>
      </c>
      <c r="U596" s="112" t="str">
        <f t="shared" si="7"/>
        <v>2024-H1</v>
      </c>
      <c r="V596" s="1" t="str">
        <f>VLOOKUP(B596,Bounties!A:E,2,FALSE)</f>
        <v>Polkadot Assurance Legion Bounty</v>
      </c>
    </row>
    <row r="597" hidden="1">
      <c r="A597" s="109">
        <f>HYPERLINK("https://polkadot.subsquare.io/treasury/child-bounties/595", 595)</f>
        <v>595</v>
      </c>
      <c r="B597" s="183">
        <v>22.0</v>
      </c>
      <c r="C597" s="27" t="s">
        <v>3404</v>
      </c>
      <c r="D597" s="27" t="s">
        <v>1181</v>
      </c>
      <c r="E597" s="129">
        <v>6828.0</v>
      </c>
      <c r="F597" s="66">
        <v>43241.21082687378</v>
      </c>
      <c r="G597" s="27" t="s">
        <v>3570</v>
      </c>
      <c r="H597" s="167">
        <v>45311.0</v>
      </c>
      <c r="I597" s="167">
        <v>45327.0</v>
      </c>
      <c r="J597" s="66">
        <v>47385.84178161621</v>
      </c>
      <c r="K597" s="1"/>
      <c r="L597" s="1"/>
      <c r="M597" s="1" t="str">
        <f>VLOOKUP(B597,Bounties!A:D,3,FALSE)</f>
        <v>Development</v>
      </c>
      <c r="N597" s="1" t="str">
        <f>VLOOKUP(B597,Bounties!A:D,4,FALSE)</f>
        <v>Ecosystem Services</v>
      </c>
      <c r="O597" s="1" t="str">
        <f t="shared" ref="O597:P597" si="601">IF(ISBLANK(K597),M597,K597)</f>
        <v>Development</v>
      </c>
      <c r="P597" s="1" t="str">
        <f t="shared" si="601"/>
        <v>Ecosystem Services</v>
      </c>
      <c r="Q597" s="108" t="str">
        <f t="shared" si="3"/>
        <v>2024</v>
      </c>
      <c r="R597" s="110">
        <f t="shared" si="4"/>
        <v>2</v>
      </c>
      <c r="S597" s="108" t="str">
        <f t="shared" si="5"/>
        <v>2024-Q1</v>
      </c>
      <c r="T597" s="111" t="str">
        <f t="shared" si="6"/>
        <v>2024-02</v>
      </c>
      <c r="U597" s="112" t="str">
        <f t="shared" si="7"/>
        <v>2024-H1</v>
      </c>
      <c r="V597" s="1" t="str">
        <f>VLOOKUP(B597,Bounties!A:E,2,FALSE)</f>
        <v>Polkadot Assurance Legion Bounty</v>
      </c>
    </row>
    <row r="598" hidden="1">
      <c r="A598" s="109">
        <f>HYPERLINK("https://polkadot.subsquare.io/treasury/child-bounties/596", 596)</f>
        <v>596</v>
      </c>
      <c r="B598" s="183">
        <v>24.0</v>
      </c>
      <c r="C598" s="27" t="s">
        <v>3404</v>
      </c>
      <c r="D598" s="27" t="s">
        <v>1182</v>
      </c>
      <c r="E598" s="129">
        <v>212.7</v>
      </c>
      <c r="F598" s="66">
        <v>1418.7615534782408</v>
      </c>
      <c r="G598" s="27" t="s">
        <v>3457</v>
      </c>
      <c r="H598" s="167">
        <v>45315.0</v>
      </c>
      <c r="I598" s="167">
        <v>45323.0</v>
      </c>
      <c r="J598" s="66">
        <v>1418.119442796707</v>
      </c>
      <c r="K598" s="1"/>
      <c r="L598" s="1"/>
      <c r="M598" s="1" t="str">
        <f>VLOOKUP(B598,Bounties!A:D,3,FALSE)</f>
        <v>Outreach</v>
      </c>
      <c r="N598" s="1" t="str">
        <f>VLOOKUP(B598,Bounties!A:D,4,FALSE)</f>
        <v>Community Building</v>
      </c>
      <c r="O598" s="1" t="str">
        <f t="shared" ref="O598:P598" si="602">IF(ISBLANK(K598),M598,K598)</f>
        <v>Outreach</v>
      </c>
      <c r="P598" s="1" t="str">
        <f t="shared" si="602"/>
        <v>Community Building</v>
      </c>
      <c r="Q598" s="108" t="str">
        <f t="shared" si="3"/>
        <v>2024</v>
      </c>
      <c r="R598" s="110">
        <f t="shared" si="4"/>
        <v>2</v>
      </c>
      <c r="S598" s="108" t="str">
        <f t="shared" si="5"/>
        <v>2024-Q1</v>
      </c>
      <c r="T598" s="111" t="str">
        <f t="shared" si="6"/>
        <v>2024-02</v>
      </c>
      <c r="U598" s="112" t="str">
        <f t="shared" si="7"/>
        <v>2024-H1</v>
      </c>
      <c r="V598" s="1" t="str">
        <f>VLOOKUP(B598,Bounties!A:E,2,FALSE)</f>
        <v>Moderation Team Bounty</v>
      </c>
    </row>
    <row r="599" hidden="1">
      <c r="A599" s="109">
        <f>HYPERLINK("https://polkadot.subsquare.io/treasury/child-bounties/597", 597)</f>
        <v>597</v>
      </c>
      <c r="B599" s="183">
        <v>24.0</v>
      </c>
      <c r="C599" s="27" t="s">
        <v>3404</v>
      </c>
      <c r="D599" s="27" t="s">
        <v>1183</v>
      </c>
      <c r="E599" s="129">
        <v>212.7</v>
      </c>
      <c r="F599" s="66">
        <v>1418.7615534782408</v>
      </c>
      <c r="G599" s="27" t="s">
        <v>3407</v>
      </c>
      <c r="H599" s="167">
        <v>45315.0</v>
      </c>
      <c r="I599" s="167">
        <v>45324.0</v>
      </c>
      <c r="J599" s="66">
        <v>1418.119442796707</v>
      </c>
      <c r="K599" s="1"/>
      <c r="L599" s="1"/>
      <c r="M599" s="1" t="str">
        <f>VLOOKUP(B599,Bounties!A:D,3,FALSE)</f>
        <v>Outreach</v>
      </c>
      <c r="N599" s="1" t="str">
        <f>VLOOKUP(B599,Bounties!A:D,4,FALSE)</f>
        <v>Community Building</v>
      </c>
      <c r="O599" s="1" t="str">
        <f t="shared" ref="O599:P599" si="603">IF(ISBLANK(K599),M599,K599)</f>
        <v>Outreach</v>
      </c>
      <c r="P599" s="1" t="str">
        <f t="shared" si="603"/>
        <v>Community Building</v>
      </c>
      <c r="Q599" s="108" t="str">
        <f t="shared" si="3"/>
        <v>2024</v>
      </c>
      <c r="R599" s="110">
        <f t="shared" si="4"/>
        <v>2</v>
      </c>
      <c r="S599" s="108" t="str">
        <f t="shared" si="5"/>
        <v>2024-Q1</v>
      </c>
      <c r="T599" s="111" t="str">
        <f t="shared" si="6"/>
        <v>2024-02</v>
      </c>
      <c r="U599" s="112" t="str">
        <f t="shared" si="7"/>
        <v>2024-H1</v>
      </c>
      <c r="V599" s="1" t="str">
        <f>VLOOKUP(B599,Bounties!A:E,2,FALSE)</f>
        <v>Moderation Team Bounty</v>
      </c>
    </row>
    <row r="600" hidden="1">
      <c r="A600" s="109">
        <f>HYPERLINK("https://polkadot.subsquare.io/treasury/child-bounties/598", 598)</f>
        <v>598</v>
      </c>
      <c r="B600" s="183">
        <v>24.0</v>
      </c>
      <c r="C600" s="27" t="s">
        <v>3404</v>
      </c>
      <c r="D600" s="27" t="s">
        <v>1184</v>
      </c>
      <c r="E600" s="129">
        <v>233.21</v>
      </c>
      <c r="F600" s="66">
        <v>1555.5683210468292</v>
      </c>
      <c r="G600" s="27" t="s">
        <v>3486</v>
      </c>
      <c r="H600" s="167">
        <v>45315.0</v>
      </c>
      <c r="I600" s="167">
        <v>45324.0</v>
      </c>
      <c r="J600" s="66">
        <v>1554.864293627739</v>
      </c>
      <c r="K600" s="1"/>
      <c r="L600" s="1"/>
      <c r="M600" s="1" t="str">
        <f>VLOOKUP(B600,Bounties!A:D,3,FALSE)</f>
        <v>Outreach</v>
      </c>
      <c r="N600" s="1" t="str">
        <f>VLOOKUP(B600,Bounties!A:D,4,FALSE)</f>
        <v>Community Building</v>
      </c>
      <c r="O600" s="1" t="str">
        <f t="shared" ref="O600:P600" si="604">IF(ISBLANK(K600),M600,K600)</f>
        <v>Outreach</v>
      </c>
      <c r="P600" s="1" t="str">
        <f t="shared" si="604"/>
        <v>Community Building</v>
      </c>
      <c r="Q600" s="108" t="str">
        <f t="shared" si="3"/>
        <v>2024</v>
      </c>
      <c r="R600" s="110">
        <f t="shared" si="4"/>
        <v>2</v>
      </c>
      <c r="S600" s="108" t="str">
        <f t="shared" si="5"/>
        <v>2024-Q1</v>
      </c>
      <c r="T600" s="111" t="str">
        <f t="shared" si="6"/>
        <v>2024-02</v>
      </c>
      <c r="U600" s="112" t="str">
        <f t="shared" si="7"/>
        <v>2024-H1</v>
      </c>
      <c r="V600" s="1" t="str">
        <f>VLOOKUP(B600,Bounties!A:E,2,FALSE)</f>
        <v>Moderation Team Bounty</v>
      </c>
    </row>
    <row r="601" hidden="1">
      <c r="A601" s="109">
        <f>HYPERLINK("https://polkadot.subsquare.io/treasury/child-bounties/599", 599)</f>
        <v>599</v>
      </c>
      <c r="B601" s="183">
        <v>24.0</v>
      </c>
      <c r="C601" s="27" t="s">
        <v>3404</v>
      </c>
      <c r="D601" s="27" t="s">
        <v>1185</v>
      </c>
      <c r="E601" s="129">
        <v>212.7</v>
      </c>
      <c r="F601" s="66">
        <v>1418.7615534782408</v>
      </c>
      <c r="G601" s="27" t="s">
        <v>3526</v>
      </c>
      <c r="H601" s="167">
        <v>45315.0</v>
      </c>
      <c r="I601" s="167">
        <v>45327.0</v>
      </c>
      <c r="J601" s="66">
        <v>1476.1231029510498</v>
      </c>
      <c r="K601" s="1"/>
      <c r="L601" s="1"/>
      <c r="M601" s="1" t="str">
        <f>VLOOKUP(B601,Bounties!A:D,3,FALSE)</f>
        <v>Outreach</v>
      </c>
      <c r="N601" s="1" t="str">
        <f>VLOOKUP(B601,Bounties!A:D,4,FALSE)</f>
        <v>Community Building</v>
      </c>
      <c r="O601" s="1" t="str">
        <f t="shared" ref="O601:P601" si="605">IF(ISBLANK(K601),M601,K601)</f>
        <v>Outreach</v>
      </c>
      <c r="P601" s="1" t="str">
        <f t="shared" si="605"/>
        <v>Community Building</v>
      </c>
      <c r="Q601" s="108" t="str">
        <f t="shared" si="3"/>
        <v>2024</v>
      </c>
      <c r="R601" s="110">
        <f t="shared" si="4"/>
        <v>2</v>
      </c>
      <c r="S601" s="108" t="str">
        <f t="shared" si="5"/>
        <v>2024-Q1</v>
      </c>
      <c r="T601" s="111" t="str">
        <f t="shared" si="6"/>
        <v>2024-02</v>
      </c>
      <c r="U601" s="112" t="str">
        <f t="shared" si="7"/>
        <v>2024-H1</v>
      </c>
      <c r="V601" s="1" t="str">
        <f>VLOOKUP(B601,Bounties!A:E,2,FALSE)</f>
        <v>Moderation Team Bounty</v>
      </c>
    </row>
    <row r="602" hidden="1">
      <c r="A602" s="109">
        <f>HYPERLINK("https://polkadot.subsquare.io/treasury/child-bounties/600", 600)</f>
        <v>600</v>
      </c>
      <c r="B602" s="183">
        <v>24.0</v>
      </c>
      <c r="C602" s="27" t="s">
        <v>3404</v>
      </c>
      <c r="D602" s="27" t="s">
        <v>1186</v>
      </c>
      <c r="E602" s="129">
        <v>250.68</v>
      </c>
      <c r="F602" s="66">
        <v>1672.0975374984741</v>
      </c>
      <c r="G602" s="27" t="s">
        <v>3550</v>
      </c>
      <c r="H602" s="167">
        <v>45315.0</v>
      </c>
      <c r="I602" s="167">
        <v>45324.0</v>
      </c>
      <c r="J602" s="66">
        <v>1671.3407706642151</v>
      </c>
      <c r="K602" s="1"/>
      <c r="L602" s="1"/>
      <c r="M602" s="1" t="str">
        <f>VLOOKUP(B602,Bounties!A:D,3,FALSE)</f>
        <v>Outreach</v>
      </c>
      <c r="N602" s="1" t="str">
        <f>VLOOKUP(B602,Bounties!A:D,4,FALSE)</f>
        <v>Community Building</v>
      </c>
      <c r="O602" s="1" t="str">
        <f t="shared" ref="O602:P602" si="606">IF(ISBLANK(K602),M602,K602)</f>
        <v>Outreach</v>
      </c>
      <c r="P602" s="1" t="str">
        <f t="shared" si="606"/>
        <v>Community Building</v>
      </c>
      <c r="Q602" s="108" t="str">
        <f t="shared" si="3"/>
        <v>2024</v>
      </c>
      <c r="R602" s="110">
        <f t="shared" si="4"/>
        <v>2</v>
      </c>
      <c r="S602" s="108" t="str">
        <f t="shared" si="5"/>
        <v>2024-Q1</v>
      </c>
      <c r="T602" s="111" t="str">
        <f t="shared" si="6"/>
        <v>2024-02</v>
      </c>
      <c r="U602" s="112" t="str">
        <f t="shared" si="7"/>
        <v>2024-H1</v>
      </c>
      <c r="V602" s="1" t="str">
        <f>VLOOKUP(B602,Bounties!A:E,2,FALSE)</f>
        <v>Moderation Team Bounty</v>
      </c>
    </row>
    <row r="603" hidden="1">
      <c r="A603" s="109">
        <f>HYPERLINK("https://polkadot.subsquare.io/treasury/child-bounties/601", 601)</f>
        <v>601</v>
      </c>
      <c r="B603" s="183">
        <v>24.0</v>
      </c>
      <c r="C603" s="27" t="s">
        <v>3404</v>
      </c>
      <c r="D603" s="27" t="s">
        <v>1187</v>
      </c>
      <c r="E603" s="129">
        <v>212.7</v>
      </c>
      <c r="F603" s="66">
        <v>1418.7615534782408</v>
      </c>
      <c r="G603" s="27" t="s">
        <v>3406</v>
      </c>
      <c r="H603" s="167">
        <v>45315.0</v>
      </c>
      <c r="I603" s="167">
        <v>45327.0</v>
      </c>
      <c r="J603" s="66">
        <v>1476.1231029510498</v>
      </c>
      <c r="K603" s="1"/>
      <c r="L603" s="1"/>
      <c r="M603" s="1" t="str">
        <f>VLOOKUP(B603,Bounties!A:D,3,FALSE)</f>
        <v>Outreach</v>
      </c>
      <c r="N603" s="1" t="str">
        <f>VLOOKUP(B603,Bounties!A:D,4,FALSE)</f>
        <v>Community Building</v>
      </c>
      <c r="O603" s="1" t="str">
        <f t="shared" ref="O603:P603" si="607">IF(ISBLANK(K603),M603,K603)</f>
        <v>Outreach</v>
      </c>
      <c r="P603" s="1" t="str">
        <f t="shared" si="607"/>
        <v>Community Building</v>
      </c>
      <c r="Q603" s="108" t="str">
        <f t="shared" si="3"/>
        <v>2024</v>
      </c>
      <c r="R603" s="110">
        <f t="shared" si="4"/>
        <v>2</v>
      </c>
      <c r="S603" s="108" t="str">
        <f t="shared" si="5"/>
        <v>2024-Q1</v>
      </c>
      <c r="T603" s="111" t="str">
        <f t="shared" si="6"/>
        <v>2024-02</v>
      </c>
      <c r="U603" s="112" t="str">
        <f t="shared" si="7"/>
        <v>2024-H1</v>
      </c>
      <c r="V603" s="1" t="str">
        <f>VLOOKUP(B603,Bounties!A:E,2,FALSE)</f>
        <v>Moderation Team Bounty</v>
      </c>
    </row>
    <row r="604" hidden="1">
      <c r="A604" s="109">
        <f>HYPERLINK("https://polkadot.subsquare.io/treasury/child-bounties/602", 602)</f>
        <v>602</v>
      </c>
      <c r="B604" s="183">
        <v>24.0</v>
      </c>
      <c r="C604" s="27" t="s">
        <v>3404</v>
      </c>
      <c r="D604" s="27" t="s">
        <v>1188</v>
      </c>
      <c r="E604" s="129">
        <v>212.7</v>
      </c>
      <c r="F604" s="66">
        <v>1418.7615534782408</v>
      </c>
      <c r="G604" s="27" t="s">
        <v>3411</v>
      </c>
      <c r="H604" s="167">
        <v>45315.0</v>
      </c>
      <c r="I604" s="167">
        <v>45324.0</v>
      </c>
      <c r="J604" s="66">
        <v>1418.119442796707</v>
      </c>
      <c r="K604" s="1"/>
      <c r="L604" s="1"/>
      <c r="M604" s="1" t="str">
        <f>VLOOKUP(B604,Bounties!A:D,3,FALSE)</f>
        <v>Outreach</v>
      </c>
      <c r="N604" s="1" t="str">
        <f>VLOOKUP(B604,Bounties!A:D,4,FALSE)</f>
        <v>Community Building</v>
      </c>
      <c r="O604" s="1" t="str">
        <f t="shared" ref="O604:P604" si="608">IF(ISBLANK(K604),M604,K604)</f>
        <v>Outreach</v>
      </c>
      <c r="P604" s="1" t="str">
        <f t="shared" si="608"/>
        <v>Community Building</v>
      </c>
      <c r="Q604" s="108" t="str">
        <f t="shared" si="3"/>
        <v>2024</v>
      </c>
      <c r="R604" s="110">
        <f t="shared" si="4"/>
        <v>2</v>
      </c>
      <c r="S604" s="108" t="str">
        <f t="shared" si="5"/>
        <v>2024-Q1</v>
      </c>
      <c r="T604" s="111" t="str">
        <f t="shared" si="6"/>
        <v>2024-02</v>
      </c>
      <c r="U604" s="112" t="str">
        <f t="shared" si="7"/>
        <v>2024-H1</v>
      </c>
      <c r="V604" s="1" t="str">
        <f>VLOOKUP(B604,Bounties!A:E,2,FALSE)</f>
        <v>Moderation Team Bounty</v>
      </c>
    </row>
    <row r="605" hidden="1">
      <c r="A605" s="109">
        <f>HYPERLINK("https://polkadot.subsquare.io/treasury/child-bounties/603", 603)</f>
        <v>603</v>
      </c>
      <c r="B605" s="183">
        <v>24.0</v>
      </c>
      <c r="C605" s="27" t="s">
        <v>3404</v>
      </c>
      <c r="D605" s="27" t="s">
        <v>1189</v>
      </c>
      <c r="E605" s="129">
        <v>233.21</v>
      </c>
      <c r="F605" s="66">
        <v>1555.5683210468292</v>
      </c>
      <c r="G605" s="27" t="s">
        <v>3409</v>
      </c>
      <c r="H605" s="167">
        <v>45315.0</v>
      </c>
      <c r="I605" s="167">
        <v>45324.0</v>
      </c>
      <c r="J605" s="66">
        <v>1568.7835973787307</v>
      </c>
      <c r="K605" s="1"/>
      <c r="L605" s="1"/>
      <c r="M605" s="1" t="str">
        <f>VLOOKUP(B605,Bounties!A:D,3,FALSE)</f>
        <v>Outreach</v>
      </c>
      <c r="N605" s="1" t="str">
        <f>VLOOKUP(B605,Bounties!A:D,4,FALSE)</f>
        <v>Community Building</v>
      </c>
      <c r="O605" s="1" t="str">
        <f t="shared" ref="O605:P605" si="609">IF(ISBLANK(K605),M605,K605)</f>
        <v>Outreach</v>
      </c>
      <c r="P605" s="1" t="str">
        <f t="shared" si="609"/>
        <v>Community Building</v>
      </c>
      <c r="Q605" s="108" t="str">
        <f t="shared" si="3"/>
        <v>2024</v>
      </c>
      <c r="R605" s="110">
        <f t="shared" si="4"/>
        <v>2</v>
      </c>
      <c r="S605" s="108" t="str">
        <f t="shared" si="5"/>
        <v>2024-Q1</v>
      </c>
      <c r="T605" s="111" t="str">
        <f t="shared" si="6"/>
        <v>2024-02</v>
      </c>
      <c r="U605" s="112" t="str">
        <f t="shared" si="7"/>
        <v>2024-H1</v>
      </c>
      <c r="V605" s="1" t="str">
        <f>VLOOKUP(B605,Bounties!A:E,2,FALSE)</f>
        <v>Moderation Team Bounty</v>
      </c>
    </row>
    <row r="606" hidden="1">
      <c r="A606" s="109">
        <f>HYPERLINK("https://polkadot.subsquare.io/treasury/child-bounties/604", 604)</f>
        <v>604</v>
      </c>
      <c r="B606" s="183">
        <v>24.0</v>
      </c>
      <c r="C606" s="27" t="s">
        <v>3404</v>
      </c>
      <c r="D606" s="27" t="s">
        <v>1190</v>
      </c>
      <c r="E606" s="129">
        <v>212.7</v>
      </c>
      <c r="F606" s="66">
        <v>1418.7615534782408</v>
      </c>
      <c r="G606" s="27" t="s">
        <v>3549</v>
      </c>
      <c r="H606" s="167">
        <v>45315.0</v>
      </c>
      <c r="I606" s="167">
        <v>45324.0</v>
      </c>
      <c r="J606" s="66">
        <v>1430.8145926952361</v>
      </c>
      <c r="K606" s="1"/>
      <c r="L606" s="1"/>
      <c r="M606" s="1" t="str">
        <f>VLOOKUP(B606,Bounties!A:D,3,FALSE)</f>
        <v>Outreach</v>
      </c>
      <c r="N606" s="1" t="str">
        <f>VLOOKUP(B606,Bounties!A:D,4,FALSE)</f>
        <v>Community Building</v>
      </c>
      <c r="O606" s="1" t="str">
        <f t="shared" ref="O606:P606" si="610">IF(ISBLANK(K606),M606,K606)</f>
        <v>Outreach</v>
      </c>
      <c r="P606" s="1" t="str">
        <f t="shared" si="610"/>
        <v>Community Building</v>
      </c>
      <c r="Q606" s="108" t="str">
        <f t="shared" si="3"/>
        <v>2024</v>
      </c>
      <c r="R606" s="110">
        <f t="shared" si="4"/>
        <v>2</v>
      </c>
      <c r="S606" s="108" t="str">
        <f t="shared" si="5"/>
        <v>2024-Q1</v>
      </c>
      <c r="T606" s="111" t="str">
        <f t="shared" si="6"/>
        <v>2024-02</v>
      </c>
      <c r="U606" s="112" t="str">
        <f t="shared" si="7"/>
        <v>2024-H1</v>
      </c>
      <c r="V606" s="1" t="str">
        <f>VLOOKUP(B606,Bounties!A:E,2,FALSE)</f>
        <v>Moderation Team Bounty</v>
      </c>
    </row>
    <row r="607" hidden="1">
      <c r="A607" s="109">
        <f>HYPERLINK("https://polkadot.subsquare.io/treasury/child-bounties/605", 605)</f>
        <v>605</v>
      </c>
      <c r="B607" s="183">
        <v>24.0</v>
      </c>
      <c r="C607" s="27" t="s">
        <v>3404</v>
      </c>
      <c r="D607" s="27" t="s">
        <v>1191</v>
      </c>
      <c r="E607" s="129">
        <v>212.7</v>
      </c>
      <c r="F607" s="66">
        <v>1418.7615534782408</v>
      </c>
      <c r="G607" s="27" t="s">
        <v>3424</v>
      </c>
      <c r="H607" s="167">
        <v>45315.0</v>
      </c>
      <c r="I607" s="167">
        <v>45324.0</v>
      </c>
      <c r="J607" s="66">
        <v>1418.119442796707</v>
      </c>
      <c r="K607" s="1"/>
      <c r="L607" s="1"/>
      <c r="M607" s="1" t="str">
        <f>VLOOKUP(B607,Bounties!A:D,3,FALSE)</f>
        <v>Outreach</v>
      </c>
      <c r="N607" s="1" t="str">
        <f>VLOOKUP(B607,Bounties!A:D,4,FALSE)</f>
        <v>Community Building</v>
      </c>
      <c r="O607" s="1" t="str">
        <f t="shared" ref="O607:P607" si="611">IF(ISBLANK(K607),M607,K607)</f>
        <v>Outreach</v>
      </c>
      <c r="P607" s="1" t="str">
        <f t="shared" si="611"/>
        <v>Community Building</v>
      </c>
      <c r="Q607" s="108" t="str">
        <f t="shared" si="3"/>
        <v>2024</v>
      </c>
      <c r="R607" s="110">
        <f t="shared" si="4"/>
        <v>2</v>
      </c>
      <c r="S607" s="108" t="str">
        <f t="shared" si="5"/>
        <v>2024-Q1</v>
      </c>
      <c r="T607" s="111" t="str">
        <f t="shared" si="6"/>
        <v>2024-02</v>
      </c>
      <c r="U607" s="112" t="str">
        <f t="shared" si="7"/>
        <v>2024-H1</v>
      </c>
      <c r="V607" s="1" t="str">
        <f>VLOOKUP(B607,Bounties!A:E,2,FALSE)</f>
        <v>Moderation Team Bounty</v>
      </c>
    </row>
    <row r="608" hidden="1">
      <c r="A608" s="109">
        <f>HYPERLINK("https://polkadot.subsquare.io/treasury/child-bounties/606", 606)</f>
        <v>606</v>
      </c>
      <c r="B608" s="183">
        <v>24.0</v>
      </c>
      <c r="C608" s="27" t="s">
        <v>3404</v>
      </c>
      <c r="D608" s="27" t="s">
        <v>1192</v>
      </c>
      <c r="E608" s="129">
        <v>212.7</v>
      </c>
      <c r="F608" s="66">
        <v>1418.7615534782408</v>
      </c>
      <c r="G608" s="27" t="s">
        <v>3408</v>
      </c>
      <c r="H608" s="167">
        <v>45315.0</v>
      </c>
      <c r="I608" s="167">
        <v>45324.0</v>
      </c>
      <c r="J608" s="66">
        <v>1418.119442796707</v>
      </c>
      <c r="K608" s="1"/>
      <c r="L608" s="1"/>
      <c r="M608" s="1" t="str">
        <f>VLOOKUP(B608,Bounties!A:D,3,FALSE)</f>
        <v>Outreach</v>
      </c>
      <c r="N608" s="1" t="str">
        <f>VLOOKUP(B608,Bounties!A:D,4,FALSE)</f>
        <v>Community Building</v>
      </c>
      <c r="O608" s="1" t="str">
        <f t="shared" ref="O608:P608" si="612">IF(ISBLANK(K608),M608,K608)</f>
        <v>Outreach</v>
      </c>
      <c r="P608" s="1" t="str">
        <f t="shared" si="612"/>
        <v>Community Building</v>
      </c>
      <c r="Q608" s="108" t="str">
        <f t="shared" si="3"/>
        <v>2024</v>
      </c>
      <c r="R608" s="110">
        <f t="shared" si="4"/>
        <v>2</v>
      </c>
      <c r="S608" s="108" t="str">
        <f t="shared" si="5"/>
        <v>2024-Q1</v>
      </c>
      <c r="T608" s="111" t="str">
        <f t="shared" si="6"/>
        <v>2024-02</v>
      </c>
      <c r="U608" s="112" t="str">
        <f t="shared" si="7"/>
        <v>2024-H1</v>
      </c>
      <c r="V608" s="1" t="str">
        <f>VLOOKUP(B608,Bounties!A:E,2,FALSE)</f>
        <v>Moderation Team Bounty</v>
      </c>
    </row>
    <row r="609" hidden="1">
      <c r="A609" s="109">
        <f>HYPERLINK("https://polkadot.subsquare.io/treasury/child-bounties/607", 607)</f>
        <v>607</v>
      </c>
      <c r="B609" s="183">
        <v>24.0</v>
      </c>
      <c r="C609" s="27" t="s">
        <v>3404</v>
      </c>
      <c r="D609" s="27" t="s">
        <v>1193</v>
      </c>
      <c r="E609" s="129">
        <v>212.7</v>
      </c>
      <c r="F609" s="66">
        <v>1418.7615534782408</v>
      </c>
      <c r="G609" s="27" t="s">
        <v>3548</v>
      </c>
      <c r="H609" s="167">
        <v>45315.0</v>
      </c>
      <c r="I609" s="167">
        <v>45324.0</v>
      </c>
      <c r="J609" s="66">
        <v>1430.8145926952361</v>
      </c>
      <c r="K609" s="1"/>
      <c r="L609" s="1"/>
      <c r="M609" s="1" t="str">
        <f>VLOOKUP(B609,Bounties!A:D,3,FALSE)</f>
        <v>Outreach</v>
      </c>
      <c r="N609" s="1" t="str">
        <f>VLOOKUP(B609,Bounties!A:D,4,FALSE)</f>
        <v>Community Building</v>
      </c>
      <c r="O609" s="1" t="str">
        <f t="shared" ref="O609:P609" si="613">IF(ISBLANK(K609),M609,K609)</f>
        <v>Outreach</v>
      </c>
      <c r="P609" s="1" t="str">
        <f t="shared" si="613"/>
        <v>Community Building</v>
      </c>
      <c r="Q609" s="108" t="str">
        <f t="shared" si="3"/>
        <v>2024</v>
      </c>
      <c r="R609" s="110">
        <f t="shared" si="4"/>
        <v>2</v>
      </c>
      <c r="S609" s="108" t="str">
        <f t="shared" si="5"/>
        <v>2024-Q1</v>
      </c>
      <c r="T609" s="111" t="str">
        <f t="shared" si="6"/>
        <v>2024-02</v>
      </c>
      <c r="U609" s="112" t="str">
        <f t="shared" si="7"/>
        <v>2024-H1</v>
      </c>
      <c r="V609" s="1" t="str">
        <f>VLOOKUP(B609,Bounties!A:E,2,FALSE)</f>
        <v>Moderation Team Bounty</v>
      </c>
    </row>
    <row r="610" hidden="1">
      <c r="A610" s="109">
        <f>HYPERLINK("https://polkadot.subsquare.io/treasury/child-bounties/608", 608)</f>
        <v>608</v>
      </c>
      <c r="B610" s="183">
        <v>24.0</v>
      </c>
      <c r="C610" s="27" t="s">
        <v>3404</v>
      </c>
      <c r="D610" s="27" t="s">
        <v>1194</v>
      </c>
      <c r="E610" s="129">
        <v>212.7</v>
      </c>
      <c r="F610" s="66">
        <v>1418.7615534782408</v>
      </c>
      <c r="G610" s="27" t="s">
        <v>3469</v>
      </c>
      <c r="H610" s="167">
        <v>45315.0</v>
      </c>
      <c r="I610" s="167">
        <v>45324.0</v>
      </c>
      <c r="J610" s="66">
        <v>1418.119442796707</v>
      </c>
      <c r="K610" s="1"/>
      <c r="L610" s="1"/>
      <c r="M610" s="1" t="str">
        <f>VLOOKUP(B610,Bounties!A:D,3,FALSE)</f>
        <v>Outreach</v>
      </c>
      <c r="N610" s="1" t="str">
        <f>VLOOKUP(B610,Bounties!A:D,4,FALSE)</f>
        <v>Community Building</v>
      </c>
      <c r="O610" s="1" t="str">
        <f t="shared" ref="O610:P610" si="614">IF(ISBLANK(K610),M610,K610)</f>
        <v>Outreach</v>
      </c>
      <c r="P610" s="1" t="str">
        <f t="shared" si="614"/>
        <v>Community Building</v>
      </c>
      <c r="Q610" s="108" t="str">
        <f t="shared" si="3"/>
        <v>2024</v>
      </c>
      <c r="R610" s="110">
        <f t="shared" si="4"/>
        <v>2</v>
      </c>
      <c r="S610" s="108" t="str">
        <f t="shared" si="5"/>
        <v>2024-Q1</v>
      </c>
      <c r="T610" s="111" t="str">
        <f t="shared" si="6"/>
        <v>2024-02</v>
      </c>
      <c r="U610" s="112" t="str">
        <f t="shared" si="7"/>
        <v>2024-H1</v>
      </c>
      <c r="V610" s="1" t="str">
        <f>VLOOKUP(B610,Bounties!A:E,2,FALSE)</f>
        <v>Moderation Team Bounty</v>
      </c>
    </row>
    <row r="611" hidden="1">
      <c r="A611" s="109">
        <f>HYPERLINK("https://polkadot.subsquare.io/treasury/child-bounties/609", 609)</f>
        <v>609</v>
      </c>
      <c r="B611" s="183">
        <v>17.0</v>
      </c>
      <c r="C611" s="27" t="s">
        <v>3404</v>
      </c>
      <c r="D611" s="27" t="s">
        <v>1195</v>
      </c>
      <c r="E611" s="129">
        <v>20722.0</v>
      </c>
      <c r="F611" s="66">
        <v>141720.3910150528</v>
      </c>
      <c r="G611" s="27" t="s">
        <v>3571</v>
      </c>
      <c r="H611" s="167">
        <v>45316.0</v>
      </c>
      <c r="I611" s="167">
        <v>45328.0</v>
      </c>
      <c r="J611" s="66">
        <v>149022.07913398743</v>
      </c>
      <c r="K611" s="1"/>
      <c r="L611" s="1" t="s">
        <v>266</v>
      </c>
      <c r="M611" s="1" t="str">
        <f>VLOOKUP(B611,Bounties!A:D,3,FALSE)</f>
        <v>Outreach</v>
      </c>
      <c r="N611" s="1" t="str">
        <f>VLOOKUP(B611,Bounties!A:D,4,FALSE)</f>
        <v>Events/Meetups</v>
      </c>
      <c r="O611" s="1" t="str">
        <f t="shared" ref="O611:P611" si="615">IF(ISBLANK(K611),M611,K611)</f>
        <v>Outreach</v>
      </c>
      <c r="P611" s="1" t="str">
        <f t="shared" si="615"/>
        <v>Events/Conference Attendance &amp; Side Events</v>
      </c>
      <c r="Q611" s="108" t="str">
        <f t="shared" si="3"/>
        <v>2024</v>
      </c>
      <c r="R611" s="110">
        <f t="shared" si="4"/>
        <v>2</v>
      </c>
      <c r="S611" s="108" t="str">
        <f t="shared" si="5"/>
        <v>2024-Q1</v>
      </c>
      <c r="T611" s="111" t="str">
        <f t="shared" si="6"/>
        <v>2024-02</v>
      </c>
      <c r="U611" s="112" t="str">
        <f t="shared" si="7"/>
        <v>2024-H1</v>
      </c>
      <c r="V611" s="1" t="str">
        <f>VLOOKUP(B611,Bounties!A:E,2,FALSE)</f>
        <v>Events Bounty</v>
      </c>
    </row>
    <row r="612" hidden="1">
      <c r="A612" s="109">
        <f>HYPERLINK("https://polkadot.subsquare.io/treasury/child-bounties/610", 610)</f>
        <v>610</v>
      </c>
      <c r="B612" s="183">
        <v>17.0</v>
      </c>
      <c r="C612" s="27" t="s">
        <v>3404</v>
      </c>
      <c r="D612" s="27" t="s">
        <v>1196</v>
      </c>
      <c r="E612" s="129">
        <v>8324.0</v>
      </c>
      <c r="F612" s="66">
        <v>55402.346210479736</v>
      </c>
      <c r="G612" s="27" t="s">
        <v>3572</v>
      </c>
      <c r="H612" s="167">
        <v>45319.0</v>
      </c>
      <c r="I612" s="167">
        <v>45332.0</v>
      </c>
      <c r="J612" s="66">
        <v>61289.055614471436</v>
      </c>
      <c r="K612" s="1"/>
      <c r="L612" s="1" t="s">
        <v>266</v>
      </c>
      <c r="M612" s="1" t="str">
        <f>VLOOKUP(B612,Bounties!A:D,3,FALSE)</f>
        <v>Outreach</v>
      </c>
      <c r="N612" s="1" t="str">
        <f>VLOOKUP(B612,Bounties!A:D,4,FALSE)</f>
        <v>Events/Meetups</v>
      </c>
      <c r="O612" s="1" t="str">
        <f t="shared" ref="O612:P612" si="616">IF(ISBLANK(K612),M612,K612)</f>
        <v>Outreach</v>
      </c>
      <c r="P612" s="1" t="str">
        <f t="shared" si="616"/>
        <v>Events/Conference Attendance &amp; Side Events</v>
      </c>
      <c r="Q612" s="108" t="str">
        <f t="shared" si="3"/>
        <v>2024</v>
      </c>
      <c r="R612" s="110">
        <f t="shared" si="4"/>
        <v>2</v>
      </c>
      <c r="S612" s="108" t="str">
        <f t="shared" si="5"/>
        <v>2024-Q1</v>
      </c>
      <c r="T612" s="111" t="str">
        <f t="shared" si="6"/>
        <v>2024-02</v>
      </c>
      <c r="U612" s="112" t="str">
        <f t="shared" si="7"/>
        <v>2024-H1</v>
      </c>
      <c r="V612" s="1" t="str">
        <f>VLOOKUP(B612,Bounties!A:E,2,FALSE)</f>
        <v>Events Bounty</v>
      </c>
    </row>
    <row r="613" hidden="1">
      <c r="A613" s="109">
        <f>HYPERLINK("https://polkadot.subsquare.io/treasury/child-bounties/611", 611)</f>
        <v>611</v>
      </c>
      <c r="B613" s="183">
        <v>11.0</v>
      </c>
      <c r="C613" s="27" t="s">
        <v>3404</v>
      </c>
      <c r="D613" s="27" t="s">
        <v>1197</v>
      </c>
      <c r="E613" s="129">
        <v>29.546</v>
      </c>
      <c r="F613" s="66">
        <v>201.84320471668244</v>
      </c>
      <c r="G613" s="27" t="s">
        <v>3486</v>
      </c>
      <c r="H613" s="167">
        <v>45322.0</v>
      </c>
      <c r="I613" s="167">
        <v>45331.0</v>
      </c>
      <c r="J613" s="66">
        <v>217.04678144741058</v>
      </c>
      <c r="K613" s="1"/>
      <c r="L613" s="1"/>
      <c r="M613" s="1" t="str">
        <f>VLOOKUP(B613,Bounties!A:D,3,FALSE)</f>
        <v>Research</v>
      </c>
      <c r="N613" s="1" t="str">
        <f>VLOOKUP(B613,Bounties!A:D,4,FALSE)</f>
        <v>Anti-Scam</v>
      </c>
      <c r="O613" s="1" t="str">
        <f t="shared" ref="O613:P613" si="617">IF(ISBLANK(K613),M613,K613)</f>
        <v>Research</v>
      </c>
      <c r="P613" s="1" t="str">
        <f t="shared" si="617"/>
        <v>Anti-Scam</v>
      </c>
      <c r="Q613" s="108" t="str">
        <f t="shared" si="3"/>
        <v>2024</v>
      </c>
      <c r="R613" s="110">
        <f t="shared" si="4"/>
        <v>2</v>
      </c>
      <c r="S613" s="108" t="str">
        <f t="shared" si="5"/>
        <v>2024-Q1</v>
      </c>
      <c r="T613" s="111" t="str">
        <f t="shared" si="6"/>
        <v>2024-02</v>
      </c>
      <c r="U613" s="112" t="str">
        <f t="shared" si="7"/>
        <v>2024-H1</v>
      </c>
      <c r="V613" s="1" t="str">
        <f>VLOOKUP(B613,Bounties!A:E,2,FALSE)</f>
        <v>Anti-Scam Bounty</v>
      </c>
    </row>
    <row r="614" hidden="1">
      <c r="A614" s="109">
        <f>HYPERLINK("https://polkadot.subsquare.io/treasury/child-bounties/612", 612)</f>
        <v>612</v>
      </c>
      <c r="B614" s="183">
        <v>11.0</v>
      </c>
      <c r="C614" s="27" t="s">
        <v>3404</v>
      </c>
      <c r="D614" s="27" t="s">
        <v>1198</v>
      </c>
      <c r="E614" s="129">
        <v>212.734</v>
      </c>
      <c r="F614" s="66">
        <v>1453.2902021322252</v>
      </c>
      <c r="G614" s="27" t="s">
        <v>3407</v>
      </c>
      <c r="H614" s="167">
        <v>45322.0</v>
      </c>
      <c r="I614" s="167">
        <v>45331.0</v>
      </c>
      <c r="J614" s="66">
        <v>1562.75739539814</v>
      </c>
      <c r="K614" s="1"/>
      <c r="L614" s="1"/>
      <c r="M614" s="1" t="str">
        <f>VLOOKUP(B614,Bounties!A:D,3,FALSE)</f>
        <v>Research</v>
      </c>
      <c r="N614" s="1" t="str">
        <f>VLOOKUP(B614,Bounties!A:D,4,FALSE)</f>
        <v>Anti-Scam</v>
      </c>
      <c r="O614" s="1" t="str">
        <f t="shared" ref="O614:P614" si="618">IF(ISBLANK(K614),M614,K614)</f>
        <v>Research</v>
      </c>
      <c r="P614" s="1" t="str">
        <f t="shared" si="618"/>
        <v>Anti-Scam</v>
      </c>
      <c r="Q614" s="108" t="str">
        <f t="shared" si="3"/>
        <v>2024</v>
      </c>
      <c r="R614" s="110">
        <f t="shared" si="4"/>
        <v>2</v>
      </c>
      <c r="S614" s="108" t="str">
        <f t="shared" si="5"/>
        <v>2024-Q1</v>
      </c>
      <c r="T614" s="111" t="str">
        <f t="shared" si="6"/>
        <v>2024-02</v>
      </c>
      <c r="U614" s="112" t="str">
        <f t="shared" si="7"/>
        <v>2024-H1</v>
      </c>
      <c r="V614" s="1" t="str">
        <f>VLOOKUP(B614,Bounties!A:E,2,FALSE)</f>
        <v>Anti-Scam Bounty</v>
      </c>
    </row>
    <row r="615" hidden="1">
      <c r="A615" s="109">
        <f>HYPERLINK("https://polkadot.subsquare.io/treasury/child-bounties/613", 613)</f>
        <v>613</v>
      </c>
      <c r="B615" s="183">
        <v>11.0</v>
      </c>
      <c r="C615" s="27" t="s">
        <v>3404</v>
      </c>
      <c r="D615" s="27" t="s">
        <v>1199</v>
      </c>
      <c r="E615" s="129">
        <v>177.278</v>
      </c>
      <c r="F615" s="66">
        <v>1211.0728912801742</v>
      </c>
      <c r="G615" s="27" t="s">
        <v>3486</v>
      </c>
      <c r="H615" s="167">
        <v>45322.0</v>
      </c>
      <c r="I615" s="167">
        <v>45331.0</v>
      </c>
      <c r="J615" s="66">
        <v>1302.2953808107375</v>
      </c>
      <c r="K615" s="1"/>
      <c r="L615" s="1"/>
      <c r="M615" s="1" t="str">
        <f>VLOOKUP(B615,Bounties!A:D,3,FALSE)</f>
        <v>Research</v>
      </c>
      <c r="N615" s="1" t="str">
        <f>VLOOKUP(B615,Bounties!A:D,4,FALSE)</f>
        <v>Anti-Scam</v>
      </c>
      <c r="O615" s="1" t="str">
        <f t="shared" ref="O615:P615" si="619">IF(ISBLANK(K615),M615,K615)</f>
        <v>Research</v>
      </c>
      <c r="P615" s="1" t="str">
        <f t="shared" si="619"/>
        <v>Anti-Scam</v>
      </c>
      <c r="Q615" s="108" t="str">
        <f t="shared" si="3"/>
        <v>2024</v>
      </c>
      <c r="R615" s="110">
        <f t="shared" si="4"/>
        <v>2</v>
      </c>
      <c r="S615" s="108" t="str">
        <f t="shared" si="5"/>
        <v>2024-Q1</v>
      </c>
      <c r="T615" s="111" t="str">
        <f t="shared" si="6"/>
        <v>2024-02</v>
      </c>
      <c r="U615" s="112" t="str">
        <f t="shared" si="7"/>
        <v>2024-H1</v>
      </c>
      <c r="V615" s="1" t="str">
        <f>VLOOKUP(B615,Bounties!A:E,2,FALSE)</f>
        <v>Anti-Scam Bounty</v>
      </c>
    </row>
    <row r="616" hidden="1">
      <c r="A616" s="109">
        <f>HYPERLINK("https://polkadot.subsquare.io/treasury/child-bounties/614", 614)</f>
        <v>614</v>
      </c>
      <c r="B616" s="183">
        <v>11.0</v>
      </c>
      <c r="C616" s="27" t="s">
        <v>3404</v>
      </c>
      <c r="D616" s="27" t="s">
        <v>1200</v>
      </c>
      <c r="E616" s="129">
        <v>73.866</v>
      </c>
      <c r="F616" s="66">
        <v>504.6148432817459</v>
      </c>
      <c r="G616" s="27" t="s">
        <v>3486</v>
      </c>
      <c r="H616" s="167">
        <v>45322.0</v>
      </c>
      <c r="I616" s="167">
        <v>45331.0</v>
      </c>
      <c r="J616" s="66">
        <v>542.6242996816635</v>
      </c>
      <c r="K616" s="1"/>
      <c r="L616" s="1"/>
      <c r="M616" s="1" t="str">
        <f>VLOOKUP(B616,Bounties!A:D,3,FALSE)</f>
        <v>Research</v>
      </c>
      <c r="N616" s="1" t="str">
        <f>VLOOKUP(B616,Bounties!A:D,4,FALSE)</f>
        <v>Anti-Scam</v>
      </c>
      <c r="O616" s="1" t="str">
        <f t="shared" ref="O616:P616" si="620">IF(ISBLANK(K616),M616,K616)</f>
        <v>Research</v>
      </c>
      <c r="P616" s="1" t="str">
        <f t="shared" si="620"/>
        <v>Anti-Scam</v>
      </c>
      <c r="Q616" s="108" t="str">
        <f t="shared" si="3"/>
        <v>2024</v>
      </c>
      <c r="R616" s="110">
        <f t="shared" si="4"/>
        <v>2</v>
      </c>
      <c r="S616" s="108" t="str">
        <f t="shared" si="5"/>
        <v>2024-Q1</v>
      </c>
      <c r="T616" s="111" t="str">
        <f t="shared" si="6"/>
        <v>2024-02</v>
      </c>
      <c r="U616" s="112" t="str">
        <f t="shared" si="7"/>
        <v>2024-H1</v>
      </c>
      <c r="V616" s="1" t="str">
        <f>VLOOKUP(B616,Bounties!A:E,2,FALSE)</f>
        <v>Anti-Scam Bounty</v>
      </c>
    </row>
    <row r="617" hidden="1">
      <c r="A617" s="109">
        <f>HYPERLINK("https://polkadot.subsquare.io/treasury/child-bounties/615", 615)</f>
        <v>615</v>
      </c>
      <c r="B617" s="183">
        <v>11.0</v>
      </c>
      <c r="C617" s="27" t="s">
        <v>3427</v>
      </c>
      <c r="D617" s="27" t="s">
        <v>3573</v>
      </c>
      <c r="E617" s="129">
        <v>1034.835278</v>
      </c>
      <c r="F617" s="66">
        <v>7069.46689451699</v>
      </c>
      <c r="H617" s="167">
        <v>45322.0</v>
      </c>
      <c r="I617" s="167">
        <v>45327.0</v>
      </c>
      <c r="J617" s="66">
        <v>7181.684351690514</v>
      </c>
      <c r="K617" s="1"/>
      <c r="L617" s="1"/>
      <c r="M617" s="1" t="str">
        <f>VLOOKUP(B617,Bounties!A:D,3,FALSE)</f>
        <v>Research</v>
      </c>
      <c r="N617" s="1" t="str">
        <f>VLOOKUP(B617,Bounties!A:D,4,FALSE)</f>
        <v>Anti-Scam</v>
      </c>
      <c r="O617" s="1" t="str">
        <f t="shared" ref="O617:P617" si="621">IF(ISBLANK(K617),M617,K617)</f>
        <v>Research</v>
      </c>
      <c r="P617" s="1" t="str">
        <f t="shared" si="621"/>
        <v>Anti-Scam</v>
      </c>
      <c r="Q617" s="108" t="str">
        <f t="shared" si="3"/>
        <v>2024</v>
      </c>
      <c r="R617" s="110">
        <f t="shared" si="4"/>
        <v>2</v>
      </c>
      <c r="S617" s="108" t="str">
        <f t="shared" si="5"/>
        <v>2024-Q1</v>
      </c>
      <c r="T617" s="111" t="str">
        <f t="shared" si="6"/>
        <v>2024-02</v>
      </c>
      <c r="U617" s="112" t="str">
        <f t="shared" si="7"/>
        <v>2024-H1</v>
      </c>
      <c r="V617" s="1" t="str">
        <f>VLOOKUP(B617,Bounties!A:E,2,FALSE)</f>
        <v>Anti-Scam Bounty</v>
      </c>
    </row>
    <row r="618" hidden="1">
      <c r="A618" s="109">
        <f>HYPERLINK("https://polkadot.subsquare.io/treasury/child-bounties/616", 616)</f>
        <v>616</v>
      </c>
      <c r="B618" s="183">
        <v>11.0</v>
      </c>
      <c r="C618" s="27" t="s">
        <v>3427</v>
      </c>
      <c r="D618" s="27" t="s">
        <v>3574</v>
      </c>
      <c r="E618" s="129">
        <v>473.6593293</v>
      </c>
      <c r="F618" s="66">
        <v>3235.798990383348</v>
      </c>
      <c r="H618" s="167">
        <v>45322.0</v>
      </c>
      <c r="I618" s="167">
        <v>45327.0</v>
      </c>
      <c r="J618" s="66">
        <v>3287.1625712648292</v>
      </c>
      <c r="K618" s="1"/>
      <c r="L618" s="1"/>
      <c r="M618" s="1" t="str">
        <f>VLOOKUP(B618,Bounties!A:D,3,FALSE)</f>
        <v>Research</v>
      </c>
      <c r="N618" s="1" t="str">
        <f>VLOOKUP(B618,Bounties!A:D,4,FALSE)</f>
        <v>Anti-Scam</v>
      </c>
      <c r="O618" s="1" t="str">
        <f t="shared" ref="O618:P618" si="622">IF(ISBLANK(K618),M618,K618)</f>
        <v>Research</v>
      </c>
      <c r="P618" s="1" t="str">
        <f t="shared" si="622"/>
        <v>Anti-Scam</v>
      </c>
      <c r="Q618" s="108" t="str">
        <f t="shared" si="3"/>
        <v>2024</v>
      </c>
      <c r="R618" s="110">
        <f t="shared" si="4"/>
        <v>2</v>
      </c>
      <c r="S618" s="108" t="str">
        <f t="shared" si="5"/>
        <v>2024-Q1</v>
      </c>
      <c r="T618" s="111" t="str">
        <f t="shared" si="6"/>
        <v>2024-02</v>
      </c>
      <c r="U618" s="112" t="str">
        <f t="shared" si="7"/>
        <v>2024-H1</v>
      </c>
      <c r="V618" s="1" t="str">
        <f>VLOOKUP(B618,Bounties!A:E,2,FALSE)</f>
        <v>Anti-Scam Bounty</v>
      </c>
    </row>
    <row r="619" hidden="1">
      <c r="A619" s="109">
        <f>HYPERLINK("https://polkadot.subsquare.io/treasury/child-bounties/617", 617)</f>
        <v>617</v>
      </c>
      <c r="B619" s="183">
        <v>11.0</v>
      </c>
      <c r="C619" s="27" t="s">
        <v>3427</v>
      </c>
      <c r="D619" s="27" t="s">
        <v>3575</v>
      </c>
      <c r="E619" s="129">
        <v>800.1181858</v>
      </c>
      <c r="F619" s="66">
        <v>5465.9994169759</v>
      </c>
      <c r="H619" s="167">
        <v>45322.0</v>
      </c>
      <c r="I619" s="167">
        <v>45327.0</v>
      </c>
      <c r="J619" s="66">
        <v>5552.764170901084</v>
      </c>
      <c r="K619" s="1"/>
      <c r="L619" s="1"/>
      <c r="M619" s="1" t="str">
        <f>VLOOKUP(B619,Bounties!A:D,3,FALSE)</f>
        <v>Research</v>
      </c>
      <c r="N619" s="1" t="str">
        <f>VLOOKUP(B619,Bounties!A:D,4,FALSE)</f>
        <v>Anti-Scam</v>
      </c>
      <c r="O619" s="1" t="str">
        <f t="shared" ref="O619:P619" si="623">IF(ISBLANK(K619),M619,K619)</f>
        <v>Research</v>
      </c>
      <c r="P619" s="1" t="str">
        <f t="shared" si="623"/>
        <v>Anti-Scam</v>
      </c>
      <c r="Q619" s="108" t="str">
        <f t="shared" si="3"/>
        <v>2024</v>
      </c>
      <c r="R619" s="110">
        <f t="shared" si="4"/>
        <v>2</v>
      </c>
      <c r="S619" s="108" t="str">
        <f t="shared" si="5"/>
        <v>2024-Q1</v>
      </c>
      <c r="T619" s="111" t="str">
        <f t="shared" si="6"/>
        <v>2024-02</v>
      </c>
      <c r="U619" s="112" t="str">
        <f t="shared" si="7"/>
        <v>2024-H1</v>
      </c>
      <c r="V619" s="1" t="str">
        <f>VLOOKUP(B619,Bounties!A:E,2,FALSE)</f>
        <v>Anti-Scam Bounty</v>
      </c>
    </row>
    <row r="620" hidden="1">
      <c r="A620" s="109">
        <f>HYPERLINK("https://polkadot.subsquare.io/treasury/child-bounties/618", 618)</f>
        <v>618</v>
      </c>
      <c r="B620" s="183">
        <v>11.0</v>
      </c>
      <c r="C620" s="27" t="s">
        <v>3404</v>
      </c>
      <c r="D620" s="27" t="s">
        <v>1201</v>
      </c>
      <c r="E620" s="129">
        <v>73.866</v>
      </c>
      <c r="F620" s="66">
        <v>504.6148432817459</v>
      </c>
      <c r="G620" s="27" t="s">
        <v>3457</v>
      </c>
      <c r="H620" s="167">
        <v>45322.0</v>
      </c>
      <c r="I620" s="167">
        <v>45332.0</v>
      </c>
      <c r="J620" s="66">
        <v>542.6242996816635</v>
      </c>
      <c r="K620" s="1"/>
      <c r="L620" s="1"/>
      <c r="M620" s="1" t="str">
        <f>VLOOKUP(B620,Bounties!A:D,3,FALSE)</f>
        <v>Research</v>
      </c>
      <c r="N620" s="1" t="str">
        <f>VLOOKUP(B620,Bounties!A:D,4,FALSE)</f>
        <v>Anti-Scam</v>
      </c>
      <c r="O620" s="1" t="str">
        <f t="shared" ref="O620:P620" si="624">IF(ISBLANK(K620),M620,K620)</f>
        <v>Research</v>
      </c>
      <c r="P620" s="1" t="str">
        <f t="shared" si="624"/>
        <v>Anti-Scam</v>
      </c>
      <c r="Q620" s="108" t="str">
        <f t="shared" si="3"/>
        <v>2024</v>
      </c>
      <c r="R620" s="110">
        <f t="shared" si="4"/>
        <v>2</v>
      </c>
      <c r="S620" s="108" t="str">
        <f t="shared" si="5"/>
        <v>2024-Q1</v>
      </c>
      <c r="T620" s="111" t="str">
        <f t="shared" si="6"/>
        <v>2024-02</v>
      </c>
      <c r="U620" s="112" t="str">
        <f t="shared" si="7"/>
        <v>2024-H1</v>
      </c>
      <c r="V620" s="1" t="str">
        <f>VLOOKUP(B620,Bounties!A:E,2,FALSE)</f>
        <v>Anti-Scam Bounty</v>
      </c>
    </row>
    <row r="621" hidden="1">
      <c r="A621" s="109">
        <f>HYPERLINK("https://polkadot.subsquare.io/treasury/child-bounties/619", 619)</f>
        <v>619</v>
      </c>
      <c r="B621" s="183">
        <v>11.0</v>
      </c>
      <c r="C621" s="27" t="s">
        <v>3404</v>
      </c>
      <c r="D621" s="27" t="s">
        <v>1202</v>
      </c>
      <c r="E621" s="129">
        <v>35.46</v>
      </c>
      <c r="F621" s="66">
        <v>242.24463681221008</v>
      </c>
      <c r="G621" s="27" t="s">
        <v>3562</v>
      </c>
      <c r="H621" s="167">
        <v>45322.0</v>
      </c>
      <c r="I621" s="167">
        <v>45332.0</v>
      </c>
      <c r="J621" s="66">
        <v>261.0896098136902</v>
      </c>
      <c r="K621" s="1"/>
      <c r="L621" s="1"/>
      <c r="M621" s="1" t="str">
        <f>VLOOKUP(B621,Bounties!A:D,3,FALSE)</f>
        <v>Research</v>
      </c>
      <c r="N621" s="1" t="str">
        <f>VLOOKUP(B621,Bounties!A:D,4,FALSE)</f>
        <v>Anti-Scam</v>
      </c>
      <c r="O621" s="1" t="str">
        <f t="shared" ref="O621:P621" si="625">IF(ISBLANK(K621),M621,K621)</f>
        <v>Research</v>
      </c>
      <c r="P621" s="1" t="str">
        <f t="shared" si="625"/>
        <v>Anti-Scam</v>
      </c>
      <c r="Q621" s="108" t="str">
        <f t="shared" si="3"/>
        <v>2024</v>
      </c>
      <c r="R621" s="110">
        <f t="shared" si="4"/>
        <v>2</v>
      </c>
      <c r="S621" s="108" t="str">
        <f t="shared" si="5"/>
        <v>2024-Q1</v>
      </c>
      <c r="T621" s="111" t="str">
        <f t="shared" si="6"/>
        <v>2024-02</v>
      </c>
      <c r="U621" s="112" t="str">
        <f t="shared" si="7"/>
        <v>2024-H1</v>
      </c>
      <c r="V621" s="1" t="str">
        <f>VLOOKUP(B621,Bounties!A:E,2,FALSE)</f>
        <v>Anti-Scam Bounty</v>
      </c>
    </row>
    <row r="622" hidden="1">
      <c r="A622" s="109">
        <f>HYPERLINK("https://polkadot.subsquare.io/treasury/child-bounties/620", 620)</f>
        <v>620</v>
      </c>
      <c r="B622" s="183">
        <v>11.0</v>
      </c>
      <c r="C622" s="27" t="s">
        <v>3404</v>
      </c>
      <c r="D622" s="27" t="s">
        <v>1203</v>
      </c>
      <c r="E622" s="129">
        <v>212.73</v>
      </c>
      <c r="F622" s="66">
        <v>1453.2628761720657</v>
      </c>
      <c r="G622" s="27" t="s">
        <v>3409</v>
      </c>
      <c r="H622" s="167">
        <v>45322.0</v>
      </c>
      <c r="I622" s="167">
        <v>45332.0</v>
      </c>
      <c r="J622" s="66">
        <v>1566.3167708873748</v>
      </c>
      <c r="K622" s="1"/>
      <c r="L622" s="1"/>
      <c r="M622" s="1" t="str">
        <f>VLOOKUP(B622,Bounties!A:D,3,FALSE)</f>
        <v>Research</v>
      </c>
      <c r="N622" s="1" t="str">
        <f>VLOOKUP(B622,Bounties!A:D,4,FALSE)</f>
        <v>Anti-Scam</v>
      </c>
      <c r="O622" s="1" t="str">
        <f t="shared" ref="O622:P622" si="626">IF(ISBLANK(K622),M622,K622)</f>
        <v>Research</v>
      </c>
      <c r="P622" s="1" t="str">
        <f t="shared" si="626"/>
        <v>Anti-Scam</v>
      </c>
      <c r="Q622" s="108" t="str">
        <f t="shared" si="3"/>
        <v>2024</v>
      </c>
      <c r="R622" s="110">
        <f t="shared" si="4"/>
        <v>2</v>
      </c>
      <c r="S622" s="108" t="str">
        <f t="shared" si="5"/>
        <v>2024-Q1</v>
      </c>
      <c r="T622" s="111" t="str">
        <f t="shared" si="6"/>
        <v>2024-02</v>
      </c>
      <c r="U622" s="112" t="str">
        <f t="shared" si="7"/>
        <v>2024-H1</v>
      </c>
      <c r="V622" s="1" t="str">
        <f>VLOOKUP(B622,Bounties!A:E,2,FALSE)</f>
        <v>Anti-Scam Bounty</v>
      </c>
    </row>
    <row r="623" hidden="1">
      <c r="A623" s="109">
        <f>HYPERLINK("https://polkadot.subsquare.io/treasury/child-bounties/621", 621)</f>
        <v>621</v>
      </c>
      <c r="B623" s="183">
        <v>11.0</v>
      </c>
      <c r="C623" s="27" t="s">
        <v>3404</v>
      </c>
      <c r="D623" s="27" t="s">
        <v>1204</v>
      </c>
      <c r="E623" s="129">
        <v>177.28</v>
      </c>
      <c r="F623" s="66">
        <v>1211.086554260254</v>
      </c>
      <c r="G623" s="27" t="s">
        <v>3424</v>
      </c>
      <c r="H623" s="167">
        <v>45322.0</v>
      </c>
      <c r="I623" s="167">
        <v>45331.0</v>
      </c>
      <c r="J623" s="66">
        <v>1302.3100729370117</v>
      </c>
      <c r="K623" s="1"/>
      <c r="L623" s="1"/>
      <c r="M623" s="1" t="str">
        <f>VLOOKUP(B623,Bounties!A:D,3,FALSE)</f>
        <v>Research</v>
      </c>
      <c r="N623" s="1" t="str">
        <f>VLOOKUP(B623,Bounties!A:D,4,FALSE)</f>
        <v>Anti-Scam</v>
      </c>
      <c r="O623" s="1" t="str">
        <f t="shared" ref="O623:P623" si="627">IF(ISBLANK(K623),M623,K623)</f>
        <v>Research</v>
      </c>
      <c r="P623" s="1" t="str">
        <f t="shared" si="627"/>
        <v>Anti-Scam</v>
      </c>
      <c r="Q623" s="108" t="str">
        <f t="shared" si="3"/>
        <v>2024</v>
      </c>
      <c r="R623" s="110">
        <f t="shared" si="4"/>
        <v>2</v>
      </c>
      <c r="S623" s="108" t="str">
        <f t="shared" si="5"/>
        <v>2024-Q1</v>
      </c>
      <c r="T623" s="111" t="str">
        <f t="shared" si="6"/>
        <v>2024-02</v>
      </c>
      <c r="U623" s="112" t="str">
        <f t="shared" si="7"/>
        <v>2024-H1</v>
      </c>
      <c r="V623" s="1" t="str">
        <f>VLOOKUP(B623,Bounties!A:E,2,FALSE)</f>
        <v>Anti-Scam Bounty</v>
      </c>
    </row>
    <row r="624" hidden="1">
      <c r="A624" s="109">
        <f>HYPERLINK("https://polkadot.subsquare.io/treasury/child-bounties/622", 622)</f>
        <v>622</v>
      </c>
      <c r="B624" s="183">
        <v>11.0</v>
      </c>
      <c r="C624" s="27" t="s">
        <v>3404</v>
      </c>
      <c r="D624" s="27" t="s">
        <v>1205</v>
      </c>
      <c r="E624" s="129">
        <v>106.37</v>
      </c>
      <c r="F624" s="66">
        <v>726.665595536232</v>
      </c>
      <c r="G624" s="27" t="s">
        <v>3406</v>
      </c>
      <c r="H624" s="167">
        <v>45322.0</v>
      </c>
      <c r="I624" s="167">
        <v>45332.0</v>
      </c>
      <c r="J624" s="66">
        <v>781.4007358884812</v>
      </c>
      <c r="K624" s="1"/>
      <c r="L624" s="1"/>
      <c r="M624" s="1" t="str">
        <f>VLOOKUP(B624,Bounties!A:D,3,FALSE)</f>
        <v>Research</v>
      </c>
      <c r="N624" s="1" t="str">
        <f>VLOOKUP(B624,Bounties!A:D,4,FALSE)</f>
        <v>Anti-Scam</v>
      </c>
      <c r="O624" s="1" t="str">
        <f t="shared" ref="O624:P624" si="628">IF(ISBLANK(K624),M624,K624)</f>
        <v>Research</v>
      </c>
      <c r="P624" s="1" t="str">
        <f t="shared" si="628"/>
        <v>Anti-Scam</v>
      </c>
      <c r="Q624" s="108" t="str">
        <f t="shared" si="3"/>
        <v>2024</v>
      </c>
      <c r="R624" s="110">
        <f t="shared" si="4"/>
        <v>2</v>
      </c>
      <c r="S624" s="108" t="str">
        <f t="shared" si="5"/>
        <v>2024-Q1</v>
      </c>
      <c r="T624" s="111" t="str">
        <f t="shared" si="6"/>
        <v>2024-02</v>
      </c>
      <c r="U624" s="112" t="str">
        <f t="shared" si="7"/>
        <v>2024-H1</v>
      </c>
      <c r="V624" s="1" t="str">
        <f>VLOOKUP(B624,Bounties!A:E,2,FALSE)</f>
        <v>Anti-Scam Bounty</v>
      </c>
    </row>
    <row r="625" hidden="1">
      <c r="A625" s="109">
        <f>HYPERLINK("https://polkadot.subsquare.io/treasury/child-bounties/623", 623)</f>
        <v>623</v>
      </c>
      <c r="B625" s="183">
        <v>11.0</v>
      </c>
      <c r="C625" s="27" t="s">
        <v>3404</v>
      </c>
      <c r="D625" s="27" t="s">
        <v>1206</v>
      </c>
      <c r="E625" s="129">
        <v>88.64</v>
      </c>
      <c r="F625" s="66">
        <v>605.543277130127</v>
      </c>
      <c r="G625" s="27" t="s">
        <v>3470</v>
      </c>
      <c r="H625" s="167">
        <v>45322.0</v>
      </c>
      <c r="I625" s="167">
        <v>45332.0</v>
      </c>
      <c r="J625" s="66">
        <v>651.1550364685058</v>
      </c>
      <c r="K625" s="1"/>
      <c r="L625" s="1"/>
      <c r="M625" s="1" t="str">
        <f>VLOOKUP(B625,Bounties!A:D,3,FALSE)</f>
        <v>Research</v>
      </c>
      <c r="N625" s="1" t="str">
        <f>VLOOKUP(B625,Bounties!A:D,4,FALSE)</f>
        <v>Anti-Scam</v>
      </c>
      <c r="O625" s="1" t="str">
        <f t="shared" ref="O625:P625" si="629">IF(ISBLANK(K625),M625,K625)</f>
        <v>Research</v>
      </c>
      <c r="P625" s="1" t="str">
        <f t="shared" si="629"/>
        <v>Anti-Scam</v>
      </c>
      <c r="Q625" s="108" t="str">
        <f t="shared" si="3"/>
        <v>2024</v>
      </c>
      <c r="R625" s="110">
        <f t="shared" si="4"/>
        <v>2</v>
      </c>
      <c r="S625" s="108" t="str">
        <f t="shared" si="5"/>
        <v>2024-Q1</v>
      </c>
      <c r="T625" s="111" t="str">
        <f t="shared" si="6"/>
        <v>2024-02</v>
      </c>
      <c r="U625" s="112" t="str">
        <f t="shared" si="7"/>
        <v>2024-H1</v>
      </c>
      <c r="V625" s="1" t="str">
        <f>VLOOKUP(B625,Bounties!A:E,2,FALSE)</f>
        <v>Anti-Scam Bounty</v>
      </c>
    </row>
    <row r="626" hidden="1">
      <c r="A626" s="109">
        <f>HYPERLINK("https://polkadot.subsquare.io/treasury/child-bounties/624", 624)</f>
        <v>624</v>
      </c>
      <c r="B626" s="183">
        <v>11.0</v>
      </c>
      <c r="C626" s="27" t="s">
        <v>3404</v>
      </c>
      <c r="D626" s="27" t="s">
        <v>1207</v>
      </c>
      <c r="E626" s="129">
        <v>73.87</v>
      </c>
      <c r="F626" s="66">
        <v>504.64216924190526</v>
      </c>
      <c r="G626" s="27" t="s">
        <v>3409</v>
      </c>
      <c r="H626" s="167">
        <v>45322.0</v>
      </c>
      <c r="I626" s="167">
        <v>45332.0</v>
      </c>
      <c r="J626" s="66">
        <v>543.8998724460602</v>
      </c>
      <c r="K626" s="1"/>
      <c r="L626" s="1"/>
      <c r="M626" s="1" t="str">
        <f>VLOOKUP(B626,Bounties!A:D,3,FALSE)</f>
        <v>Research</v>
      </c>
      <c r="N626" s="1" t="str">
        <f>VLOOKUP(B626,Bounties!A:D,4,FALSE)</f>
        <v>Anti-Scam</v>
      </c>
      <c r="O626" s="1" t="str">
        <f t="shared" ref="O626:P626" si="630">IF(ISBLANK(K626),M626,K626)</f>
        <v>Research</v>
      </c>
      <c r="P626" s="1" t="str">
        <f t="shared" si="630"/>
        <v>Anti-Scam</v>
      </c>
      <c r="Q626" s="108" t="str">
        <f t="shared" si="3"/>
        <v>2024</v>
      </c>
      <c r="R626" s="110">
        <f t="shared" si="4"/>
        <v>2</v>
      </c>
      <c r="S626" s="108" t="str">
        <f t="shared" si="5"/>
        <v>2024-Q1</v>
      </c>
      <c r="T626" s="111" t="str">
        <f t="shared" si="6"/>
        <v>2024-02</v>
      </c>
      <c r="U626" s="112" t="str">
        <f t="shared" si="7"/>
        <v>2024-H1</v>
      </c>
      <c r="V626" s="1" t="str">
        <f>VLOOKUP(B626,Bounties!A:E,2,FALSE)</f>
        <v>Anti-Scam Bounty</v>
      </c>
    </row>
    <row r="627" hidden="1">
      <c r="A627" s="109">
        <f>HYPERLINK("https://polkadot.subsquare.io/treasury/child-bounties/625", 625)</f>
        <v>625</v>
      </c>
      <c r="B627" s="183">
        <v>11.0</v>
      </c>
      <c r="C627" s="27" t="s">
        <v>3404</v>
      </c>
      <c r="D627" s="27" t="s">
        <v>1208</v>
      </c>
      <c r="E627" s="129">
        <v>58.9188392988</v>
      </c>
      <c r="F627" s="66">
        <v>392.82534817415603</v>
      </c>
      <c r="G627" s="27" t="s">
        <v>3407</v>
      </c>
      <c r="H627" s="167">
        <v>45323.0</v>
      </c>
      <c r="I627" s="167">
        <v>45332.0</v>
      </c>
      <c r="J627" s="66">
        <v>433.8154755555332</v>
      </c>
      <c r="K627" s="1"/>
      <c r="L627" s="1"/>
      <c r="M627" s="1" t="str">
        <f>VLOOKUP(B627,Bounties!A:D,3,FALSE)</f>
        <v>Research</v>
      </c>
      <c r="N627" s="1" t="str">
        <f>VLOOKUP(B627,Bounties!A:D,4,FALSE)</f>
        <v>Anti-Scam</v>
      </c>
      <c r="O627" s="1" t="str">
        <f t="shared" ref="O627:P627" si="631">IF(ISBLANK(K627),M627,K627)</f>
        <v>Research</v>
      </c>
      <c r="P627" s="1" t="str">
        <f t="shared" si="631"/>
        <v>Anti-Scam</v>
      </c>
      <c r="Q627" s="108" t="str">
        <f t="shared" si="3"/>
        <v>2024</v>
      </c>
      <c r="R627" s="110">
        <f t="shared" si="4"/>
        <v>2</v>
      </c>
      <c r="S627" s="108" t="str">
        <f t="shared" si="5"/>
        <v>2024-Q1</v>
      </c>
      <c r="T627" s="111" t="str">
        <f t="shared" si="6"/>
        <v>2024-02</v>
      </c>
      <c r="U627" s="112" t="str">
        <f t="shared" si="7"/>
        <v>2024-H1</v>
      </c>
      <c r="V627" s="1" t="str">
        <f>VLOOKUP(B627,Bounties!A:E,2,FALSE)</f>
        <v>Anti-Scam Bounty</v>
      </c>
    </row>
    <row r="628" hidden="1">
      <c r="A628" s="109">
        <f>HYPERLINK("https://polkadot.subsquare.io/treasury/child-bounties/626", 626)</f>
        <v>626</v>
      </c>
      <c r="B628" s="183">
        <v>11.0</v>
      </c>
      <c r="C628" s="27" t="s">
        <v>3404</v>
      </c>
      <c r="D628" s="27" t="s">
        <v>1209</v>
      </c>
      <c r="E628" s="129">
        <v>58.9188392988</v>
      </c>
      <c r="F628" s="66">
        <v>392.82534817415603</v>
      </c>
      <c r="G628" s="27" t="s">
        <v>3406</v>
      </c>
      <c r="H628" s="167">
        <v>45323.0</v>
      </c>
      <c r="I628" s="167">
        <v>45333.0</v>
      </c>
      <c r="J628" s="66">
        <v>433.8154755555332</v>
      </c>
      <c r="K628" s="1"/>
      <c r="L628" s="1"/>
      <c r="M628" s="1" t="str">
        <f>VLOOKUP(B628,Bounties!A:D,3,FALSE)</f>
        <v>Research</v>
      </c>
      <c r="N628" s="1" t="str">
        <f>VLOOKUP(B628,Bounties!A:D,4,FALSE)</f>
        <v>Anti-Scam</v>
      </c>
      <c r="O628" s="1" t="str">
        <f t="shared" ref="O628:P628" si="632">IF(ISBLANK(K628),M628,K628)</f>
        <v>Research</v>
      </c>
      <c r="P628" s="1" t="str">
        <f t="shared" si="632"/>
        <v>Anti-Scam</v>
      </c>
      <c r="Q628" s="108" t="str">
        <f t="shared" si="3"/>
        <v>2024</v>
      </c>
      <c r="R628" s="110">
        <f t="shared" si="4"/>
        <v>2</v>
      </c>
      <c r="S628" s="108" t="str">
        <f t="shared" si="5"/>
        <v>2024-Q1</v>
      </c>
      <c r="T628" s="111" t="str">
        <f t="shared" si="6"/>
        <v>2024-02</v>
      </c>
      <c r="U628" s="112" t="str">
        <f t="shared" si="7"/>
        <v>2024-H1</v>
      </c>
      <c r="V628" s="1" t="str">
        <f>VLOOKUP(B628,Bounties!A:E,2,FALSE)</f>
        <v>Anti-Scam Bounty</v>
      </c>
    </row>
    <row r="629" hidden="1">
      <c r="A629" s="109">
        <f>HYPERLINK("https://polkadot.subsquare.io/treasury/child-bounties/627", 627)</f>
        <v>627</v>
      </c>
      <c r="B629" s="183">
        <v>11.0</v>
      </c>
      <c r="C629" s="27" t="s">
        <v>3404</v>
      </c>
      <c r="D629" s="27" t="s">
        <v>1210</v>
      </c>
      <c r="E629" s="129">
        <v>58.9188392988</v>
      </c>
      <c r="F629" s="66">
        <v>392.82534817415603</v>
      </c>
      <c r="G629" s="27" t="s">
        <v>3562</v>
      </c>
      <c r="H629" s="167">
        <v>45323.0</v>
      </c>
      <c r="I629" s="167">
        <v>45332.0</v>
      </c>
      <c r="J629" s="66">
        <v>433.8154755555332</v>
      </c>
      <c r="K629" s="1"/>
      <c r="L629" s="1"/>
      <c r="M629" s="1" t="str">
        <f>VLOOKUP(B629,Bounties!A:D,3,FALSE)</f>
        <v>Research</v>
      </c>
      <c r="N629" s="1" t="str">
        <f>VLOOKUP(B629,Bounties!A:D,4,FALSE)</f>
        <v>Anti-Scam</v>
      </c>
      <c r="O629" s="1" t="str">
        <f t="shared" ref="O629:P629" si="633">IF(ISBLANK(K629),M629,K629)</f>
        <v>Research</v>
      </c>
      <c r="P629" s="1" t="str">
        <f t="shared" si="633"/>
        <v>Anti-Scam</v>
      </c>
      <c r="Q629" s="108" t="str">
        <f t="shared" si="3"/>
        <v>2024</v>
      </c>
      <c r="R629" s="110">
        <f t="shared" si="4"/>
        <v>2</v>
      </c>
      <c r="S629" s="108" t="str">
        <f t="shared" si="5"/>
        <v>2024-Q1</v>
      </c>
      <c r="T629" s="111" t="str">
        <f t="shared" si="6"/>
        <v>2024-02</v>
      </c>
      <c r="U629" s="112" t="str">
        <f t="shared" si="7"/>
        <v>2024-H1</v>
      </c>
      <c r="V629" s="1" t="str">
        <f>VLOOKUP(B629,Bounties!A:E,2,FALSE)</f>
        <v>Anti-Scam Bounty</v>
      </c>
    </row>
    <row r="630" hidden="1">
      <c r="A630" s="109">
        <f>HYPERLINK("https://polkadot.subsquare.io/treasury/child-bounties/628", 628)</f>
        <v>628</v>
      </c>
      <c r="B630" s="183">
        <v>11.0</v>
      </c>
      <c r="C630" s="27" t="s">
        <v>3404</v>
      </c>
      <c r="D630" s="27" t="s">
        <v>1211</v>
      </c>
      <c r="E630" s="129">
        <v>14.3467</v>
      </c>
      <c r="F630" s="66">
        <v>95.65272313103677</v>
      </c>
      <c r="G630" s="27" t="s">
        <v>3407</v>
      </c>
      <c r="H630" s="167">
        <v>45323.0</v>
      </c>
      <c r="I630" s="167">
        <v>45332.0</v>
      </c>
      <c r="J630" s="66">
        <v>105.63379315042496</v>
      </c>
      <c r="K630" s="1"/>
      <c r="L630" s="1"/>
      <c r="M630" s="1" t="str">
        <f>VLOOKUP(B630,Bounties!A:D,3,FALSE)</f>
        <v>Research</v>
      </c>
      <c r="N630" s="1" t="str">
        <f>VLOOKUP(B630,Bounties!A:D,4,FALSE)</f>
        <v>Anti-Scam</v>
      </c>
      <c r="O630" s="1" t="str">
        <f t="shared" ref="O630:P630" si="634">IF(ISBLANK(K630),M630,K630)</f>
        <v>Research</v>
      </c>
      <c r="P630" s="1" t="str">
        <f t="shared" si="634"/>
        <v>Anti-Scam</v>
      </c>
      <c r="Q630" s="108" t="str">
        <f t="shared" si="3"/>
        <v>2024</v>
      </c>
      <c r="R630" s="110">
        <f t="shared" si="4"/>
        <v>2</v>
      </c>
      <c r="S630" s="108" t="str">
        <f t="shared" si="5"/>
        <v>2024-Q1</v>
      </c>
      <c r="T630" s="111" t="str">
        <f t="shared" si="6"/>
        <v>2024-02</v>
      </c>
      <c r="U630" s="112" t="str">
        <f t="shared" si="7"/>
        <v>2024-H1</v>
      </c>
      <c r="V630" s="1" t="str">
        <f>VLOOKUP(B630,Bounties!A:E,2,FALSE)</f>
        <v>Anti-Scam Bounty</v>
      </c>
    </row>
    <row r="631" hidden="1">
      <c r="A631" s="109">
        <f>HYPERLINK("https://polkadot.subsquare.io/treasury/child-bounties/629", 629)</f>
        <v>629</v>
      </c>
      <c r="B631" s="183">
        <v>11.0</v>
      </c>
      <c r="C631" s="27" t="s">
        <v>3404</v>
      </c>
      <c r="D631" s="27" t="s">
        <v>1212</v>
      </c>
      <c r="E631" s="129">
        <v>7.0525</v>
      </c>
      <c r="F631" s="66">
        <v>47.020627034902574</v>
      </c>
      <c r="G631" s="27" t="s">
        <v>3576</v>
      </c>
      <c r="H631" s="167">
        <v>45323.0</v>
      </c>
      <c r="I631" s="167">
        <v>45337.0</v>
      </c>
      <c r="J631" s="66">
        <v>55.36254132628441</v>
      </c>
      <c r="K631" s="1"/>
      <c r="L631" s="1"/>
      <c r="M631" s="1" t="str">
        <f>VLOOKUP(B631,Bounties!A:D,3,FALSE)</f>
        <v>Research</v>
      </c>
      <c r="N631" s="1" t="str">
        <f>VLOOKUP(B631,Bounties!A:D,4,FALSE)</f>
        <v>Anti-Scam</v>
      </c>
      <c r="O631" s="1" t="str">
        <f t="shared" ref="O631:P631" si="635">IF(ISBLANK(K631),M631,K631)</f>
        <v>Research</v>
      </c>
      <c r="P631" s="1" t="str">
        <f t="shared" si="635"/>
        <v>Anti-Scam</v>
      </c>
      <c r="Q631" s="108" t="str">
        <f t="shared" si="3"/>
        <v>2024</v>
      </c>
      <c r="R631" s="110">
        <f t="shared" si="4"/>
        <v>2</v>
      </c>
      <c r="S631" s="108" t="str">
        <f t="shared" si="5"/>
        <v>2024-Q1</v>
      </c>
      <c r="T631" s="111" t="str">
        <f t="shared" si="6"/>
        <v>2024-02</v>
      </c>
      <c r="U631" s="112" t="str">
        <f t="shared" si="7"/>
        <v>2024-H1</v>
      </c>
      <c r="V631" s="1" t="str">
        <f>VLOOKUP(B631,Bounties!A:E,2,FALSE)</f>
        <v>Anti-Scam Bounty</v>
      </c>
    </row>
    <row r="632" hidden="1">
      <c r="A632" s="109">
        <f>HYPERLINK("https://polkadot.subsquare.io/treasury/child-bounties/630", 630)</f>
        <v>630</v>
      </c>
      <c r="B632" s="183">
        <v>11.0</v>
      </c>
      <c r="C632" s="27" t="s">
        <v>3404</v>
      </c>
      <c r="D632" s="27" t="s">
        <v>1213</v>
      </c>
      <c r="E632" s="129">
        <v>246.442717</v>
      </c>
      <c r="F632" s="66">
        <v>1657.7989456843552</v>
      </c>
      <c r="G632" s="27" t="s">
        <v>3562</v>
      </c>
      <c r="H632" s="167">
        <v>45324.0</v>
      </c>
      <c r="I632" s="167">
        <v>45333.0</v>
      </c>
      <c r="J632" s="66">
        <v>1814.5412527624273</v>
      </c>
      <c r="K632" s="1"/>
      <c r="L632" s="1"/>
      <c r="M632" s="1" t="str">
        <f>VLOOKUP(B632,Bounties!A:D,3,FALSE)</f>
        <v>Research</v>
      </c>
      <c r="N632" s="1" t="str">
        <f>VLOOKUP(B632,Bounties!A:D,4,FALSE)</f>
        <v>Anti-Scam</v>
      </c>
      <c r="O632" s="1" t="str">
        <f t="shared" ref="O632:P632" si="636">IF(ISBLANK(K632),M632,K632)</f>
        <v>Research</v>
      </c>
      <c r="P632" s="1" t="str">
        <f t="shared" si="636"/>
        <v>Anti-Scam</v>
      </c>
      <c r="Q632" s="108" t="str">
        <f t="shared" si="3"/>
        <v>2024</v>
      </c>
      <c r="R632" s="110">
        <f t="shared" si="4"/>
        <v>2</v>
      </c>
      <c r="S632" s="108" t="str">
        <f t="shared" si="5"/>
        <v>2024-Q1</v>
      </c>
      <c r="T632" s="111" t="str">
        <f t="shared" si="6"/>
        <v>2024-02</v>
      </c>
      <c r="U632" s="112" t="str">
        <f t="shared" si="7"/>
        <v>2024-H1</v>
      </c>
      <c r="V632" s="1" t="str">
        <f>VLOOKUP(B632,Bounties!A:E,2,FALSE)</f>
        <v>Anti-Scam Bounty</v>
      </c>
    </row>
    <row r="633" hidden="1">
      <c r="A633" s="109">
        <f>HYPERLINK("https://polkadot.subsquare.io/treasury/child-bounties/631", 631)</f>
        <v>631</v>
      </c>
      <c r="B633" s="183">
        <v>11.0</v>
      </c>
      <c r="C633" s="27" t="s">
        <v>3404</v>
      </c>
      <c r="D633" s="27" t="s">
        <v>1214</v>
      </c>
      <c r="E633" s="129">
        <v>105.618307</v>
      </c>
      <c r="F633" s="66">
        <v>710.4852605141768</v>
      </c>
      <c r="G633" s="27" t="s">
        <v>3469</v>
      </c>
      <c r="H633" s="167">
        <v>45324.0</v>
      </c>
      <c r="I633" s="167">
        <v>45333.0</v>
      </c>
      <c r="J633" s="66">
        <v>808.8531973308802</v>
      </c>
      <c r="K633" s="1"/>
      <c r="L633" s="1"/>
      <c r="M633" s="1" t="str">
        <f>VLOOKUP(B633,Bounties!A:D,3,FALSE)</f>
        <v>Research</v>
      </c>
      <c r="N633" s="1" t="str">
        <f>VLOOKUP(B633,Bounties!A:D,4,FALSE)</f>
        <v>Anti-Scam</v>
      </c>
      <c r="O633" s="1" t="str">
        <f t="shared" ref="O633:P633" si="637">IF(ISBLANK(K633),M633,K633)</f>
        <v>Research</v>
      </c>
      <c r="P633" s="1" t="str">
        <f t="shared" si="637"/>
        <v>Anti-Scam</v>
      </c>
      <c r="Q633" s="108" t="str">
        <f t="shared" si="3"/>
        <v>2024</v>
      </c>
      <c r="R633" s="110">
        <f t="shared" si="4"/>
        <v>2</v>
      </c>
      <c r="S633" s="108" t="str">
        <f t="shared" si="5"/>
        <v>2024-Q1</v>
      </c>
      <c r="T633" s="111" t="str">
        <f t="shared" si="6"/>
        <v>2024-02</v>
      </c>
      <c r="U633" s="112" t="str">
        <f t="shared" si="7"/>
        <v>2024-H1</v>
      </c>
      <c r="V633" s="1" t="str">
        <f>VLOOKUP(B633,Bounties!A:E,2,FALSE)</f>
        <v>Anti-Scam Bounty</v>
      </c>
    </row>
    <row r="634" hidden="1">
      <c r="A634" s="109">
        <f>HYPERLINK("https://polkadot.subsquare.io/treasury/child-bounties/632", 632)</f>
        <v>632</v>
      </c>
      <c r="B634" s="183">
        <v>11.0</v>
      </c>
      <c r="C634" s="27" t="s">
        <v>3404</v>
      </c>
      <c r="D634" s="27" t="s">
        <v>1215</v>
      </c>
      <c r="E634" s="129">
        <v>73.3460466</v>
      </c>
      <c r="F634" s="66">
        <v>493.39254250956657</v>
      </c>
      <c r="G634" s="27" t="s">
        <v>3439</v>
      </c>
      <c r="H634" s="167">
        <v>45324.0</v>
      </c>
      <c r="I634" s="167">
        <v>45334.0</v>
      </c>
      <c r="J634" s="66">
        <v>561.7036098106527</v>
      </c>
      <c r="K634" s="1"/>
      <c r="L634" s="1"/>
      <c r="M634" s="1" t="str">
        <f>VLOOKUP(B634,Bounties!A:D,3,FALSE)</f>
        <v>Research</v>
      </c>
      <c r="N634" s="1" t="str">
        <f>VLOOKUP(B634,Bounties!A:D,4,FALSE)</f>
        <v>Anti-Scam</v>
      </c>
      <c r="O634" s="1" t="str">
        <f t="shared" ref="O634:P634" si="638">IF(ISBLANK(K634),M634,K634)</f>
        <v>Research</v>
      </c>
      <c r="P634" s="1" t="str">
        <f t="shared" si="638"/>
        <v>Anti-Scam</v>
      </c>
      <c r="Q634" s="108" t="str">
        <f t="shared" si="3"/>
        <v>2024</v>
      </c>
      <c r="R634" s="110">
        <f t="shared" si="4"/>
        <v>2</v>
      </c>
      <c r="S634" s="108" t="str">
        <f t="shared" si="5"/>
        <v>2024-Q1</v>
      </c>
      <c r="T634" s="111" t="str">
        <f t="shared" si="6"/>
        <v>2024-02</v>
      </c>
      <c r="U634" s="112" t="str">
        <f t="shared" si="7"/>
        <v>2024-H1</v>
      </c>
      <c r="V634" s="1" t="str">
        <f>VLOOKUP(B634,Bounties!A:E,2,FALSE)</f>
        <v>Anti-Scam Bounty</v>
      </c>
    </row>
    <row r="635" hidden="1">
      <c r="A635" s="109">
        <f>HYPERLINK("https://polkadot.subsquare.io/treasury/child-bounties/633", 633)</f>
        <v>633</v>
      </c>
      <c r="B635" s="183">
        <v>19.0</v>
      </c>
      <c r="C635" s="27" t="s">
        <v>3404</v>
      </c>
      <c r="D635" s="27" t="s">
        <v>1216</v>
      </c>
      <c r="E635" s="129">
        <v>5167.0</v>
      </c>
      <c r="F635" s="66">
        <v>35165.08795452118</v>
      </c>
      <c r="G635" s="27" t="s">
        <v>3555</v>
      </c>
      <c r="H635" s="167">
        <v>45326.0</v>
      </c>
      <c r="I635" s="167">
        <v>45335.0</v>
      </c>
      <c r="J635" s="66">
        <v>39566.725192546844</v>
      </c>
      <c r="K635" s="1"/>
      <c r="L635" s="1"/>
      <c r="M635" s="1" t="str">
        <f>VLOOKUP(B635,Bounties!A:D,3,FALSE)</f>
        <v>Development</v>
      </c>
      <c r="N635" s="1" t="str">
        <f>VLOOKUP(B635,Bounties!A:D,4,FALSE)</f>
        <v>Smart Contracts</v>
      </c>
      <c r="O635" s="1" t="str">
        <f t="shared" ref="O635:P635" si="639">IF(ISBLANK(K635),M635,K635)</f>
        <v>Development</v>
      </c>
      <c r="P635" s="1" t="str">
        <f t="shared" si="639"/>
        <v>Smart Contracts</v>
      </c>
      <c r="Q635" s="108" t="str">
        <f t="shared" si="3"/>
        <v>2024</v>
      </c>
      <c r="R635" s="110">
        <f t="shared" si="4"/>
        <v>2</v>
      </c>
      <c r="S635" s="108" t="str">
        <f t="shared" si="5"/>
        <v>2024-Q1</v>
      </c>
      <c r="T635" s="111" t="str">
        <f t="shared" si="6"/>
        <v>2024-02</v>
      </c>
      <c r="U635" s="112" t="str">
        <f t="shared" si="7"/>
        <v>2024-H1</v>
      </c>
      <c r="V635" s="1" t="str">
        <f>VLOOKUP(B635,Bounties!A:E,2,FALSE)</f>
        <v>Wasm Smart Contracts Bounty</v>
      </c>
    </row>
    <row r="636" hidden="1">
      <c r="A636" s="109">
        <f>HYPERLINK("https://polkadot.subsquare.io/treasury/child-bounties/634", 634)</f>
        <v>634</v>
      </c>
      <c r="B636" s="183">
        <v>22.0</v>
      </c>
      <c r="C636" s="27" t="s">
        <v>3404</v>
      </c>
      <c r="D636" s="27" t="s">
        <v>1217</v>
      </c>
      <c r="E636" s="129">
        <v>1008.0</v>
      </c>
      <c r="F636" s="66">
        <v>6995.449401855469</v>
      </c>
      <c r="G636" s="27" t="s">
        <v>3570</v>
      </c>
      <c r="H636" s="167">
        <v>45326.0</v>
      </c>
      <c r="I636" s="167">
        <v>45353.0</v>
      </c>
      <c r="J636" s="66">
        <v>9405.031173706055</v>
      </c>
      <c r="K636" s="1"/>
      <c r="L636" s="1"/>
      <c r="M636" s="1" t="str">
        <f>VLOOKUP(B636,Bounties!A:D,3,FALSE)</f>
        <v>Development</v>
      </c>
      <c r="N636" s="1" t="str">
        <f>VLOOKUP(B636,Bounties!A:D,4,FALSE)</f>
        <v>Ecosystem Services</v>
      </c>
      <c r="O636" s="1" t="str">
        <f t="shared" ref="O636:P636" si="640">IF(ISBLANK(K636),M636,K636)</f>
        <v>Development</v>
      </c>
      <c r="P636" s="1" t="str">
        <f t="shared" si="640"/>
        <v>Ecosystem Services</v>
      </c>
      <c r="Q636" s="108" t="str">
        <f t="shared" si="3"/>
        <v>2024</v>
      </c>
      <c r="R636" s="110">
        <f t="shared" si="4"/>
        <v>3</v>
      </c>
      <c r="S636" s="108" t="str">
        <f t="shared" si="5"/>
        <v>2024-Q1</v>
      </c>
      <c r="T636" s="111" t="str">
        <f t="shared" si="6"/>
        <v>2024-03</v>
      </c>
      <c r="U636" s="112" t="str">
        <f t="shared" si="7"/>
        <v>2024-H1</v>
      </c>
      <c r="V636" s="1" t="str">
        <f>VLOOKUP(B636,Bounties!A:E,2,FALSE)</f>
        <v>Polkadot Assurance Legion Bounty</v>
      </c>
    </row>
    <row r="637" hidden="1">
      <c r="A637" s="109">
        <f>HYPERLINK("https://polkadot.subsquare.io/treasury/child-bounties/635", 635)</f>
        <v>635</v>
      </c>
      <c r="B637" s="183">
        <v>11.0</v>
      </c>
      <c r="C637" s="27" t="s">
        <v>3404</v>
      </c>
      <c r="D637" s="27" t="s">
        <v>1218</v>
      </c>
      <c r="E637" s="129">
        <v>81.4107274063</v>
      </c>
      <c r="F637" s="66">
        <v>564.9847463680753</v>
      </c>
      <c r="G637" s="27" t="s">
        <v>3407</v>
      </c>
      <c r="H637" s="167">
        <v>45327.0</v>
      </c>
      <c r="I637" s="167">
        <v>45336.0</v>
      </c>
      <c r="J637" s="66">
        <v>627.2170478152265</v>
      </c>
      <c r="K637" s="1"/>
      <c r="L637" s="1"/>
      <c r="M637" s="1" t="str">
        <f>VLOOKUP(B637,Bounties!A:D,3,FALSE)</f>
        <v>Research</v>
      </c>
      <c r="N637" s="1" t="str">
        <f>VLOOKUP(B637,Bounties!A:D,4,FALSE)</f>
        <v>Anti-Scam</v>
      </c>
      <c r="O637" s="1" t="str">
        <f t="shared" ref="O637:P637" si="641">IF(ISBLANK(K637),M637,K637)</f>
        <v>Research</v>
      </c>
      <c r="P637" s="1" t="str">
        <f t="shared" si="641"/>
        <v>Anti-Scam</v>
      </c>
      <c r="Q637" s="108" t="str">
        <f t="shared" si="3"/>
        <v>2024</v>
      </c>
      <c r="R637" s="110">
        <f t="shared" si="4"/>
        <v>2</v>
      </c>
      <c r="S637" s="108" t="str">
        <f t="shared" si="5"/>
        <v>2024-Q1</v>
      </c>
      <c r="T637" s="111" t="str">
        <f t="shared" si="6"/>
        <v>2024-02</v>
      </c>
      <c r="U637" s="112" t="str">
        <f t="shared" si="7"/>
        <v>2024-H1</v>
      </c>
      <c r="V637" s="1" t="str">
        <f>VLOOKUP(B637,Bounties!A:E,2,FALSE)</f>
        <v>Anti-Scam Bounty</v>
      </c>
    </row>
    <row r="638" hidden="1">
      <c r="A638" s="109">
        <f>HYPERLINK("https://polkadot.subsquare.io/treasury/child-bounties/636", 636)</f>
        <v>636</v>
      </c>
      <c r="B638" s="183">
        <v>11.0</v>
      </c>
      <c r="C638" s="27" t="s">
        <v>3404</v>
      </c>
      <c r="D638" s="27" t="s">
        <v>1219</v>
      </c>
      <c r="E638" s="129">
        <v>367.6708302719</v>
      </c>
      <c r="F638" s="66">
        <v>2551.6098112155423</v>
      </c>
      <c r="G638" s="27" t="s">
        <v>3526</v>
      </c>
      <c r="H638" s="167">
        <v>45327.0</v>
      </c>
      <c r="I638" s="167">
        <v>45344.0</v>
      </c>
      <c r="J638" s="66">
        <v>2913.078727834608</v>
      </c>
      <c r="K638" s="1"/>
      <c r="L638" s="1"/>
      <c r="M638" s="1" t="str">
        <f>VLOOKUP(B638,Bounties!A:D,3,FALSE)</f>
        <v>Research</v>
      </c>
      <c r="N638" s="1" t="str">
        <f>VLOOKUP(B638,Bounties!A:D,4,FALSE)</f>
        <v>Anti-Scam</v>
      </c>
      <c r="O638" s="1" t="str">
        <f t="shared" ref="O638:P638" si="642">IF(ISBLANK(K638),M638,K638)</f>
        <v>Research</v>
      </c>
      <c r="P638" s="1" t="str">
        <f t="shared" si="642"/>
        <v>Anti-Scam</v>
      </c>
      <c r="Q638" s="108" t="str">
        <f t="shared" si="3"/>
        <v>2024</v>
      </c>
      <c r="R638" s="110">
        <f t="shared" si="4"/>
        <v>2</v>
      </c>
      <c r="S638" s="108" t="str">
        <f t="shared" si="5"/>
        <v>2024-Q1</v>
      </c>
      <c r="T638" s="111" t="str">
        <f t="shared" si="6"/>
        <v>2024-02</v>
      </c>
      <c r="U638" s="112" t="str">
        <f t="shared" si="7"/>
        <v>2024-H1</v>
      </c>
      <c r="V638" s="1" t="str">
        <f>VLOOKUP(B638,Bounties!A:E,2,FALSE)</f>
        <v>Anti-Scam Bounty</v>
      </c>
    </row>
    <row r="639" hidden="1">
      <c r="A639" s="109">
        <f>HYPERLINK("https://polkadot.subsquare.io/treasury/child-bounties/637", 637)</f>
        <v>637</v>
      </c>
      <c r="B639" s="183">
        <v>11.0</v>
      </c>
      <c r="C639" s="27" t="s">
        <v>3404</v>
      </c>
      <c r="D639" s="27" t="s">
        <v>1220</v>
      </c>
      <c r="E639" s="129">
        <v>267.8912564291</v>
      </c>
      <c r="F639" s="66">
        <v>1859.1465570925175</v>
      </c>
      <c r="G639" s="27" t="s">
        <v>3577</v>
      </c>
      <c r="H639" s="167">
        <v>45327.0</v>
      </c>
      <c r="I639" s="167">
        <v>45341.0</v>
      </c>
      <c r="J639" s="66">
        <v>2000.693128601259</v>
      </c>
      <c r="K639" s="1"/>
      <c r="L639" s="1"/>
      <c r="M639" s="1" t="str">
        <f>VLOOKUP(B639,Bounties!A:D,3,FALSE)</f>
        <v>Research</v>
      </c>
      <c r="N639" s="1" t="str">
        <f>VLOOKUP(B639,Bounties!A:D,4,FALSE)</f>
        <v>Anti-Scam</v>
      </c>
      <c r="O639" s="1" t="str">
        <f t="shared" ref="O639:P639" si="643">IF(ISBLANK(K639),M639,K639)</f>
        <v>Research</v>
      </c>
      <c r="P639" s="1" t="str">
        <f t="shared" si="643"/>
        <v>Anti-Scam</v>
      </c>
      <c r="Q639" s="108" t="str">
        <f t="shared" si="3"/>
        <v>2024</v>
      </c>
      <c r="R639" s="110">
        <f t="shared" si="4"/>
        <v>2</v>
      </c>
      <c r="S639" s="108" t="str">
        <f t="shared" si="5"/>
        <v>2024-Q1</v>
      </c>
      <c r="T639" s="111" t="str">
        <f t="shared" si="6"/>
        <v>2024-02</v>
      </c>
      <c r="U639" s="112" t="str">
        <f t="shared" si="7"/>
        <v>2024-H1</v>
      </c>
      <c r="V639" s="1" t="str">
        <f>VLOOKUP(B639,Bounties!A:E,2,FALSE)</f>
        <v>Anti-Scam Bounty</v>
      </c>
    </row>
    <row r="640" hidden="1">
      <c r="A640" s="109">
        <f>HYPERLINK("https://polkadot.subsquare.io/treasury/child-bounties/638", 638)</f>
        <v>638</v>
      </c>
      <c r="B640" s="183">
        <v>11.0</v>
      </c>
      <c r="C640" s="27" t="s">
        <v>3404</v>
      </c>
      <c r="D640" s="27" t="s">
        <v>1221</v>
      </c>
      <c r="E640" s="129">
        <v>367.5238795004</v>
      </c>
      <c r="F640" s="66">
        <v>2550.589983153447</v>
      </c>
      <c r="G640" s="27" t="s">
        <v>3578</v>
      </c>
      <c r="H640" s="167">
        <v>45327.0</v>
      </c>
      <c r="I640" s="167">
        <v>45340.0</v>
      </c>
      <c r="J640" s="66">
        <v>2842.1377948592535</v>
      </c>
      <c r="K640" s="1"/>
      <c r="L640" s="1"/>
      <c r="M640" s="1" t="str">
        <f>VLOOKUP(B640,Bounties!A:D,3,FALSE)</f>
        <v>Research</v>
      </c>
      <c r="N640" s="1" t="str">
        <f>VLOOKUP(B640,Bounties!A:D,4,FALSE)</f>
        <v>Anti-Scam</v>
      </c>
      <c r="O640" s="1" t="str">
        <f t="shared" ref="O640:P640" si="644">IF(ISBLANK(K640),M640,K640)</f>
        <v>Research</v>
      </c>
      <c r="P640" s="1" t="str">
        <f t="shared" si="644"/>
        <v>Anti-Scam</v>
      </c>
      <c r="Q640" s="108" t="str">
        <f t="shared" si="3"/>
        <v>2024</v>
      </c>
      <c r="R640" s="110">
        <f t="shared" si="4"/>
        <v>2</v>
      </c>
      <c r="S640" s="108" t="str">
        <f t="shared" si="5"/>
        <v>2024-Q1</v>
      </c>
      <c r="T640" s="111" t="str">
        <f t="shared" si="6"/>
        <v>2024-02</v>
      </c>
      <c r="U640" s="112" t="str">
        <f t="shared" si="7"/>
        <v>2024-H1</v>
      </c>
      <c r="V640" s="1" t="str">
        <f>VLOOKUP(B640,Bounties!A:E,2,FALSE)</f>
        <v>Anti-Scam Bounty</v>
      </c>
    </row>
    <row r="641" hidden="1">
      <c r="A641" s="109">
        <f>HYPERLINK("https://polkadot.subsquare.io/treasury/child-bounties/639", 639)</f>
        <v>639</v>
      </c>
      <c r="B641" s="183">
        <v>11.0</v>
      </c>
      <c r="C641" s="27" t="s">
        <v>3427</v>
      </c>
      <c r="D641" s="27" t="s">
        <v>3579</v>
      </c>
      <c r="E641" s="129">
        <v>887.1</v>
      </c>
      <c r="F641" s="66">
        <v>6156.4118694305425</v>
      </c>
      <c r="H641" s="167">
        <v>45327.0</v>
      </c>
      <c r="I641" s="167">
        <v>45327.0</v>
      </c>
      <c r="J641" s="66">
        <v>6156.4118694305425</v>
      </c>
      <c r="K641" s="1"/>
      <c r="L641" s="1"/>
      <c r="M641" s="1" t="str">
        <f>VLOOKUP(B641,Bounties!A:D,3,FALSE)</f>
        <v>Research</v>
      </c>
      <c r="N641" s="1" t="str">
        <f>VLOOKUP(B641,Bounties!A:D,4,FALSE)</f>
        <v>Anti-Scam</v>
      </c>
      <c r="O641" s="1" t="str">
        <f t="shared" ref="O641:P641" si="645">IF(ISBLANK(K641),M641,K641)</f>
        <v>Research</v>
      </c>
      <c r="P641" s="1" t="str">
        <f t="shared" si="645"/>
        <v>Anti-Scam</v>
      </c>
      <c r="Q641" s="108" t="str">
        <f t="shared" si="3"/>
        <v>2024</v>
      </c>
      <c r="R641" s="110">
        <f t="shared" si="4"/>
        <v>2</v>
      </c>
      <c r="S641" s="108" t="str">
        <f t="shared" si="5"/>
        <v>2024-Q1</v>
      </c>
      <c r="T641" s="111" t="str">
        <f t="shared" si="6"/>
        <v>2024-02</v>
      </c>
      <c r="U641" s="112" t="str">
        <f t="shared" si="7"/>
        <v>2024-H1</v>
      </c>
      <c r="V641" s="1" t="str">
        <f>VLOOKUP(B641,Bounties!A:E,2,FALSE)</f>
        <v>Anti-Scam Bounty</v>
      </c>
    </row>
    <row r="642" hidden="1">
      <c r="A642" s="109">
        <f>HYPERLINK("https://polkadot.subsquare.io/treasury/child-bounties/640", 640)</f>
        <v>640</v>
      </c>
      <c r="B642" s="183">
        <v>11.0</v>
      </c>
      <c r="C642" s="27" t="s">
        <v>3427</v>
      </c>
      <c r="D642" s="27" t="s">
        <v>3580</v>
      </c>
      <c r="E642" s="129">
        <v>325.93</v>
      </c>
      <c r="F642" s="66">
        <v>2261.931372566223</v>
      </c>
      <c r="H642" s="167">
        <v>45327.0</v>
      </c>
      <c r="I642" s="167">
        <v>45327.0</v>
      </c>
      <c r="J642" s="66">
        <v>2261.931372566223</v>
      </c>
      <c r="K642" s="1"/>
      <c r="L642" s="1"/>
      <c r="M642" s="1" t="str">
        <f>VLOOKUP(B642,Bounties!A:D,3,FALSE)</f>
        <v>Research</v>
      </c>
      <c r="N642" s="1" t="str">
        <f>VLOOKUP(B642,Bounties!A:D,4,FALSE)</f>
        <v>Anti-Scam</v>
      </c>
      <c r="O642" s="1" t="str">
        <f t="shared" ref="O642:P642" si="646">IF(ISBLANK(K642),M642,K642)</f>
        <v>Research</v>
      </c>
      <c r="P642" s="1" t="str">
        <f t="shared" si="646"/>
        <v>Anti-Scam</v>
      </c>
      <c r="Q642" s="108" t="str">
        <f t="shared" si="3"/>
        <v>2024</v>
      </c>
      <c r="R642" s="110">
        <f t="shared" si="4"/>
        <v>2</v>
      </c>
      <c r="S642" s="108" t="str">
        <f t="shared" si="5"/>
        <v>2024-Q1</v>
      </c>
      <c r="T642" s="111" t="str">
        <f t="shared" si="6"/>
        <v>2024-02</v>
      </c>
      <c r="U642" s="112" t="str">
        <f t="shared" si="7"/>
        <v>2024-H1</v>
      </c>
      <c r="V642" s="1" t="str">
        <f>VLOOKUP(B642,Bounties!A:E,2,FALSE)</f>
        <v>Anti-Scam Bounty</v>
      </c>
    </row>
    <row r="643" hidden="1">
      <c r="A643" s="109">
        <f>HYPERLINK("https://polkadot.subsquare.io/treasury/child-bounties/641", 641)</f>
        <v>641</v>
      </c>
      <c r="B643" s="183">
        <v>11.0</v>
      </c>
      <c r="C643" s="27" t="s">
        <v>3427</v>
      </c>
      <c r="D643" s="27" t="s">
        <v>3581</v>
      </c>
      <c r="E643" s="129">
        <v>652.39</v>
      </c>
      <c r="F643" s="66">
        <v>4527.54090801239</v>
      </c>
      <c r="H643" s="167">
        <v>45327.0</v>
      </c>
      <c r="I643" s="167">
        <v>45327.0</v>
      </c>
      <c r="J643" s="66">
        <v>4527.54090801239</v>
      </c>
      <c r="K643" s="1"/>
      <c r="L643" s="1"/>
      <c r="M643" s="1" t="str">
        <f>VLOOKUP(B643,Bounties!A:D,3,FALSE)</f>
        <v>Research</v>
      </c>
      <c r="N643" s="1" t="str">
        <f>VLOOKUP(B643,Bounties!A:D,4,FALSE)</f>
        <v>Anti-Scam</v>
      </c>
      <c r="O643" s="1" t="str">
        <f t="shared" ref="O643:P643" si="647">IF(ISBLANK(K643),M643,K643)</f>
        <v>Research</v>
      </c>
      <c r="P643" s="1" t="str">
        <f t="shared" si="647"/>
        <v>Anti-Scam</v>
      </c>
      <c r="Q643" s="108" t="str">
        <f t="shared" si="3"/>
        <v>2024</v>
      </c>
      <c r="R643" s="110">
        <f t="shared" si="4"/>
        <v>2</v>
      </c>
      <c r="S643" s="108" t="str">
        <f t="shared" si="5"/>
        <v>2024-Q1</v>
      </c>
      <c r="T643" s="111" t="str">
        <f t="shared" si="6"/>
        <v>2024-02</v>
      </c>
      <c r="U643" s="112" t="str">
        <f t="shared" si="7"/>
        <v>2024-H1</v>
      </c>
      <c r="V643" s="1" t="str">
        <f>VLOOKUP(B643,Bounties!A:E,2,FALSE)</f>
        <v>Anti-Scam Bounty</v>
      </c>
    </row>
    <row r="644" hidden="1">
      <c r="A644" s="109">
        <f>HYPERLINK("https://polkadot.subsquare.io/treasury/child-bounties/642", 642)</f>
        <v>642</v>
      </c>
      <c r="B644" s="183">
        <v>11.0</v>
      </c>
      <c r="C644" s="27" t="s">
        <v>3404</v>
      </c>
      <c r="D644" s="27" t="s">
        <v>1222</v>
      </c>
      <c r="E644" s="129">
        <v>1034.84</v>
      </c>
      <c r="F644" s="66">
        <v>7259.057046718597</v>
      </c>
      <c r="G644" s="27" t="s">
        <v>3407</v>
      </c>
      <c r="H644" s="167">
        <v>45327.0</v>
      </c>
      <c r="I644" s="167">
        <v>45336.0</v>
      </c>
      <c r="J644" s="66">
        <v>7972.773496074676</v>
      </c>
      <c r="K644" s="1"/>
      <c r="L644" s="1"/>
      <c r="M644" s="1" t="str">
        <f>VLOOKUP(B644,Bounties!A:D,3,FALSE)</f>
        <v>Research</v>
      </c>
      <c r="N644" s="1" t="str">
        <f>VLOOKUP(B644,Bounties!A:D,4,FALSE)</f>
        <v>Anti-Scam</v>
      </c>
      <c r="O644" s="1" t="str">
        <f t="shared" ref="O644:P644" si="648">IF(ISBLANK(K644),M644,K644)</f>
        <v>Research</v>
      </c>
      <c r="P644" s="1" t="str">
        <f t="shared" si="648"/>
        <v>Anti-Scam</v>
      </c>
      <c r="Q644" s="108" t="str">
        <f t="shared" si="3"/>
        <v>2024</v>
      </c>
      <c r="R644" s="110">
        <f t="shared" si="4"/>
        <v>2</v>
      </c>
      <c r="S644" s="108" t="str">
        <f t="shared" si="5"/>
        <v>2024-Q1</v>
      </c>
      <c r="T644" s="111" t="str">
        <f t="shared" si="6"/>
        <v>2024-02</v>
      </c>
      <c r="U644" s="112" t="str">
        <f t="shared" si="7"/>
        <v>2024-H1</v>
      </c>
      <c r="V644" s="1" t="str">
        <f>VLOOKUP(B644,Bounties!A:E,2,FALSE)</f>
        <v>Anti-Scam Bounty</v>
      </c>
    </row>
    <row r="645" hidden="1">
      <c r="A645" s="109">
        <f>HYPERLINK("https://polkadot.subsquare.io/treasury/child-bounties/643", 643)</f>
        <v>643</v>
      </c>
      <c r="B645" s="183">
        <v>11.0</v>
      </c>
      <c r="C645" s="27" t="s">
        <v>3404</v>
      </c>
      <c r="D645" s="27" t="s">
        <v>1223</v>
      </c>
      <c r="E645" s="129">
        <v>473.66</v>
      </c>
      <c r="F645" s="66">
        <v>3322.5667356777194</v>
      </c>
      <c r="G645" s="27" t="s">
        <v>3406</v>
      </c>
      <c r="H645" s="167">
        <v>45327.0</v>
      </c>
      <c r="I645" s="167">
        <v>45339.0</v>
      </c>
      <c r="J645" s="66">
        <v>3803.0894519233707</v>
      </c>
      <c r="K645" s="1"/>
      <c r="L645" s="1"/>
      <c r="M645" s="1" t="str">
        <f>VLOOKUP(B645,Bounties!A:D,3,FALSE)</f>
        <v>Research</v>
      </c>
      <c r="N645" s="1" t="str">
        <f>VLOOKUP(B645,Bounties!A:D,4,FALSE)</f>
        <v>Anti-Scam</v>
      </c>
      <c r="O645" s="1" t="str">
        <f t="shared" ref="O645:P645" si="649">IF(ISBLANK(K645),M645,K645)</f>
        <v>Research</v>
      </c>
      <c r="P645" s="1" t="str">
        <f t="shared" si="649"/>
        <v>Anti-Scam</v>
      </c>
      <c r="Q645" s="108" t="str">
        <f t="shared" si="3"/>
        <v>2024</v>
      </c>
      <c r="R645" s="110">
        <f t="shared" si="4"/>
        <v>2</v>
      </c>
      <c r="S645" s="108" t="str">
        <f t="shared" si="5"/>
        <v>2024-Q1</v>
      </c>
      <c r="T645" s="111" t="str">
        <f t="shared" si="6"/>
        <v>2024-02</v>
      </c>
      <c r="U645" s="112" t="str">
        <f t="shared" si="7"/>
        <v>2024-H1</v>
      </c>
      <c r="V645" s="1" t="str">
        <f>VLOOKUP(B645,Bounties!A:E,2,FALSE)</f>
        <v>Anti-Scam Bounty</v>
      </c>
    </row>
    <row r="646" hidden="1">
      <c r="A646" s="109">
        <f>HYPERLINK("https://polkadot.subsquare.io/treasury/child-bounties/644", 644)</f>
        <v>644</v>
      </c>
      <c r="B646" s="183">
        <v>11.0</v>
      </c>
      <c r="C646" s="27" t="s">
        <v>3404</v>
      </c>
      <c r="D646" s="27" t="s">
        <v>1224</v>
      </c>
      <c r="E646" s="129">
        <v>800.12</v>
      </c>
      <c r="F646" s="66">
        <v>5612.57462430954</v>
      </c>
      <c r="G646" s="27" t="s">
        <v>3562</v>
      </c>
      <c r="H646" s="167">
        <v>45327.0</v>
      </c>
      <c r="I646" s="167">
        <v>45336.0</v>
      </c>
      <c r="J646" s="66">
        <v>6164.407569942475</v>
      </c>
      <c r="K646" s="1"/>
      <c r="L646" s="1"/>
      <c r="M646" s="1" t="str">
        <f>VLOOKUP(B646,Bounties!A:D,3,FALSE)</f>
        <v>Research</v>
      </c>
      <c r="N646" s="1" t="str">
        <f>VLOOKUP(B646,Bounties!A:D,4,FALSE)</f>
        <v>Anti-Scam</v>
      </c>
      <c r="O646" s="1" t="str">
        <f t="shared" ref="O646:P646" si="650">IF(ISBLANK(K646),M646,K646)</f>
        <v>Research</v>
      </c>
      <c r="P646" s="1" t="str">
        <f t="shared" si="650"/>
        <v>Anti-Scam</v>
      </c>
      <c r="Q646" s="108" t="str">
        <f t="shared" si="3"/>
        <v>2024</v>
      </c>
      <c r="R646" s="110">
        <f t="shared" si="4"/>
        <v>2</v>
      </c>
      <c r="S646" s="108" t="str">
        <f t="shared" si="5"/>
        <v>2024-Q1</v>
      </c>
      <c r="T646" s="111" t="str">
        <f t="shared" si="6"/>
        <v>2024-02</v>
      </c>
      <c r="U646" s="112" t="str">
        <f t="shared" si="7"/>
        <v>2024-H1</v>
      </c>
      <c r="V646" s="1" t="str">
        <f>VLOOKUP(B646,Bounties!A:E,2,FALSE)</f>
        <v>Anti-Scam Bounty</v>
      </c>
    </row>
    <row r="647" hidden="1">
      <c r="A647" s="109">
        <f>HYPERLINK("https://polkadot.subsquare.io/treasury/child-bounties/645", 645)</f>
        <v>645</v>
      </c>
      <c r="B647" s="183">
        <v>17.0</v>
      </c>
      <c r="C647" s="27" t="s">
        <v>3404</v>
      </c>
      <c r="D647" s="27" t="s">
        <v>1225</v>
      </c>
      <c r="E647" s="129">
        <v>3957.0</v>
      </c>
      <c r="F647" s="66">
        <v>28456.73038959503</v>
      </c>
      <c r="G647" s="27" t="s">
        <v>3459</v>
      </c>
      <c r="H647" s="167">
        <v>45328.0</v>
      </c>
      <c r="I647" s="167">
        <v>45344.0</v>
      </c>
      <c r="J647" s="66">
        <v>30901.78857564926</v>
      </c>
      <c r="K647" s="1"/>
      <c r="L647" s="1"/>
      <c r="M647" s="1" t="str">
        <f>VLOOKUP(B647,Bounties!A:D,3,FALSE)</f>
        <v>Outreach</v>
      </c>
      <c r="N647" s="1" t="str">
        <f>VLOOKUP(B647,Bounties!A:D,4,FALSE)</f>
        <v>Events/Meetups</v>
      </c>
      <c r="O647" s="1" t="str">
        <f t="shared" ref="O647:P647" si="651">IF(ISBLANK(K647),M647,K647)</f>
        <v>Outreach</v>
      </c>
      <c r="P647" s="1" t="str">
        <f t="shared" si="651"/>
        <v>Events/Meetups</v>
      </c>
      <c r="Q647" s="108" t="str">
        <f t="shared" si="3"/>
        <v>2024</v>
      </c>
      <c r="R647" s="110">
        <f t="shared" si="4"/>
        <v>2</v>
      </c>
      <c r="S647" s="108" t="str">
        <f t="shared" si="5"/>
        <v>2024-Q1</v>
      </c>
      <c r="T647" s="111" t="str">
        <f t="shared" si="6"/>
        <v>2024-02</v>
      </c>
      <c r="U647" s="112" t="str">
        <f t="shared" si="7"/>
        <v>2024-H1</v>
      </c>
      <c r="V647" s="1" t="str">
        <f>VLOOKUP(B647,Bounties!A:E,2,FALSE)</f>
        <v>Events Bounty</v>
      </c>
    </row>
    <row r="648" hidden="1">
      <c r="A648" s="109">
        <f>HYPERLINK("https://polkadot.subsquare.io/treasury/child-bounties/646", 646)</f>
        <v>646</v>
      </c>
      <c r="B648" s="183">
        <v>17.0</v>
      </c>
      <c r="C648" s="27" t="s">
        <v>3404</v>
      </c>
      <c r="D648" s="27" t="s">
        <v>1226</v>
      </c>
      <c r="E648" s="129">
        <v>729.0</v>
      </c>
      <c r="F648" s="66">
        <v>5242.597031593323</v>
      </c>
      <c r="G648" s="27" t="s">
        <v>3533</v>
      </c>
      <c r="H648" s="167">
        <v>45328.0</v>
      </c>
      <c r="I648" s="167">
        <v>45342.0</v>
      </c>
      <c r="J648" s="66">
        <v>5513.730267047882</v>
      </c>
      <c r="K648" s="1"/>
      <c r="L648" s="1"/>
      <c r="M648" s="1" t="str">
        <f>VLOOKUP(B648,Bounties!A:D,3,FALSE)</f>
        <v>Outreach</v>
      </c>
      <c r="N648" s="1" t="str">
        <f>VLOOKUP(B648,Bounties!A:D,4,FALSE)</f>
        <v>Events/Meetups</v>
      </c>
      <c r="O648" s="1" t="str">
        <f t="shared" ref="O648:P648" si="652">IF(ISBLANK(K648),M648,K648)</f>
        <v>Outreach</v>
      </c>
      <c r="P648" s="1" t="str">
        <f t="shared" si="652"/>
        <v>Events/Meetups</v>
      </c>
      <c r="Q648" s="108" t="str">
        <f t="shared" si="3"/>
        <v>2024</v>
      </c>
      <c r="R648" s="110">
        <f t="shared" si="4"/>
        <v>2</v>
      </c>
      <c r="S648" s="108" t="str">
        <f t="shared" si="5"/>
        <v>2024-Q1</v>
      </c>
      <c r="T648" s="111" t="str">
        <f t="shared" si="6"/>
        <v>2024-02</v>
      </c>
      <c r="U648" s="112" t="str">
        <f t="shared" si="7"/>
        <v>2024-H1</v>
      </c>
      <c r="V648" s="1" t="str">
        <f>VLOOKUP(B648,Bounties!A:E,2,FALSE)</f>
        <v>Events Bounty</v>
      </c>
    </row>
    <row r="649" hidden="1">
      <c r="A649" s="109">
        <f>HYPERLINK("https://polkadot.subsquare.io/treasury/child-bounties/647", 647)</f>
        <v>647</v>
      </c>
      <c r="B649" s="183">
        <v>17.0</v>
      </c>
      <c r="C649" s="27" t="s">
        <v>3404</v>
      </c>
      <c r="D649" s="27" t="s">
        <v>1227</v>
      </c>
      <c r="E649" s="129">
        <v>21280.0</v>
      </c>
      <c r="F649" s="66">
        <v>153034.93118286133</v>
      </c>
      <c r="G649" s="27" t="s">
        <v>3582</v>
      </c>
      <c r="H649" s="167">
        <v>45328.0</v>
      </c>
      <c r="I649" s="167">
        <v>45343.0</v>
      </c>
      <c r="J649" s="66">
        <v>160949.49256896973</v>
      </c>
      <c r="K649" s="1"/>
      <c r="L649" s="1"/>
      <c r="M649" s="1" t="str">
        <f>VLOOKUP(B649,Bounties!A:D,3,FALSE)</f>
        <v>Outreach</v>
      </c>
      <c r="N649" s="1" t="str">
        <f>VLOOKUP(B649,Bounties!A:D,4,FALSE)</f>
        <v>Events/Meetups</v>
      </c>
      <c r="O649" s="1" t="str">
        <f t="shared" ref="O649:P649" si="653">IF(ISBLANK(K649),M649,K649)</f>
        <v>Outreach</v>
      </c>
      <c r="P649" s="1" t="str">
        <f t="shared" si="653"/>
        <v>Events/Meetups</v>
      </c>
      <c r="Q649" s="108" t="str">
        <f t="shared" si="3"/>
        <v>2024</v>
      </c>
      <c r="R649" s="110">
        <f t="shared" si="4"/>
        <v>2</v>
      </c>
      <c r="S649" s="108" t="str">
        <f t="shared" si="5"/>
        <v>2024-Q1</v>
      </c>
      <c r="T649" s="111" t="str">
        <f t="shared" si="6"/>
        <v>2024-02</v>
      </c>
      <c r="U649" s="112" t="str">
        <f t="shared" si="7"/>
        <v>2024-H1</v>
      </c>
      <c r="V649" s="1" t="str">
        <f>VLOOKUP(B649,Bounties!A:E,2,FALSE)</f>
        <v>Events Bounty</v>
      </c>
    </row>
    <row r="650" hidden="1">
      <c r="A650" s="109">
        <f>HYPERLINK("https://polkadot.subsquare.io/treasury/child-bounties/648", 648)</f>
        <v>648</v>
      </c>
      <c r="B650" s="183">
        <v>17.0</v>
      </c>
      <c r="C650" s="27" t="s">
        <v>3404</v>
      </c>
      <c r="D650" s="27" t="s">
        <v>1228</v>
      </c>
      <c r="E650" s="129">
        <v>1117.0</v>
      </c>
      <c r="F650" s="66">
        <v>8032.895588874817</v>
      </c>
      <c r="G650" s="27" t="s">
        <v>3489</v>
      </c>
      <c r="H650" s="167">
        <v>45328.0</v>
      </c>
      <c r="I650" s="167">
        <v>45343.0</v>
      </c>
      <c r="J650" s="66">
        <v>8448.335676670074</v>
      </c>
      <c r="K650" s="1"/>
      <c r="L650" s="1"/>
      <c r="M650" s="1" t="str">
        <f>VLOOKUP(B650,Bounties!A:D,3,FALSE)</f>
        <v>Outreach</v>
      </c>
      <c r="N650" s="1" t="str">
        <f>VLOOKUP(B650,Bounties!A:D,4,FALSE)</f>
        <v>Events/Meetups</v>
      </c>
      <c r="O650" s="1" t="str">
        <f t="shared" ref="O650:P650" si="654">IF(ISBLANK(K650),M650,K650)</f>
        <v>Outreach</v>
      </c>
      <c r="P650" s="1" t="str">
        <f t="shared" si="654"/>
        <v>Events/Meetups</v>
      </c>
      <c r="Q650" s="108" t="str">
        <f t="shared" si="3"/>
        <v>2024</v>
      </c>
      <c r="R650" s="110">
        <f t="shared" si="4"/>
        <v>2</v>
      </c>
      <c r="S650" s="108" t="str">
        <f t="shared" si="5"/>
        <v>2024-Q1</v>
      </c>
      <c r="T650" s="111" t="str">
        <f t="shared" si="6"/>
        <v>2024-02</v>
      </c>
      <c r="U650" s="112" t="str">
        <f t="shared" si="7"/>
        <v>2024-H1</v>
      </c>
      <c r="V650" s="1" t="str">
        <f>VLOOKUP(B650,Bounties!A:E,2,FALSE)</f>
        <v>Events Bounty</v>
      </c>
    </row>
    <row r="651" hidden="1">
      <c r="A651" s="109">
        <f>HYPERLINK("https://polkadot.subsquare.io/treasury/child-bounties/649", 649)</f>
        <v>649</v>
      </c>
      <c r="B651" s="183">
        <v>17.0</v>
      </c>
      <c r="C651" s="27" t="s">
        <v>3404</v>
      </c>
      <c r="D651" s="27" t="s">
        <v>1229</v>
      </c>
      <c r="E651" s="129">
        <v>197.3</v>
      </c>
      <c r="F651" s="66">
        <v>1418.8811993598938</v>
      </c>
      <c r="G651" s="27" t="s">
        <v>3583</v>
      </c>
      <c r="H651" s="167">
        <v>45328.0</v>
      </c>
      <c r="I651" s="167">
        <v>45342.0</v>
      </c>
      <c r="J651" s="66">
        <v>1476.3744106292725</v>
      </c>
      <c r="K651" s="1"/>
      <c r="L651" s="1"/>
      <c r="M651" s="1" t="str">
        <f>VLOOKUP(B651,Bounties!A:D,3,FALSE)</f>
        <v>Outreach</v>
      </c>
      <c r="N651" s="1" t="str">
        <f>VLOOKUP(B651,Bounties!A:D,4,FALSE)</f>
        <v>Events/Meetups</v>
      </c>
      <c r="O651" s="1" t="str">
        <f t="shared" ref="O651:P651" si="655">IF(ISBLANK(K651),M651,K651)</f>
        <v>Outreach</v>
      </c>
      <c r="P651" s="1" t="str">
        <f t="shared" si="655"/>
        <v>Events/Meetups</v>
      </c>
      <c r="Q651" s="108" t="str">
        <f t="shared" si="3"/>
        <v>2024</v>
      </c>
      <c r="R651" s="110">
        <f t="shared" si="4"/>
        <v>2</v>
      </c>
      <c r="S651" s="108" t="str">
        <f t="shared" si="5"/>
        <v>2024-Q1</v>
      </c>
      <c r="T651" s="111" t="str">
        <f t="shared" si="6"/>
        <v>2024-02</v>
      </c>
      <c r="U651" s="112" t="str">
        <f t="shared" si="7"/>
        <v>2024-H1</v>
      </c>
      <c r="V651" s="1" t="str">
        <f>VLOOKUP(B651,Bounties!A:E,2,FALSE)</f>
        <v>Events Bounty</v>
      </c>
    </row>
    <row r="652" hidden="1">
      <c r="A652" s="109">
        <f>HYPERLINK("https://polkadot.subsquare.io/treasury/child-bounties/650", 650)</f>
        <v>650</v>
      </c>
      <c r="B652" s="183">
        <v>17.0</v>
      </c>
      <c r="C652" s="27" t="s">
        <v>3404</v>
      </c>
      <c r="D652" s="27" t="s">
        <v>1230</v>
      </c>
      <c r="E652" s="129">
        <v>225.5</v>
      </c>
      <c r="F652" s="66">
        <v>1621.6812491416931</v>
      </c>
      <c r="G652" s="27" t="s">
        <v>3507</v>
      </c>
      <c r="H652" s="167">
        <v>45328.0</v>
      </c>
      <c r="I652" s="167">
        <v>45351.0</v>
      </c>
      <c r="J652" s="66">
        <v>2127.840766429901</v>
      </c>
      <c r="K652" s="1"/>
      <c r="L652" s="1"/>
      <c r="M652" s="1" t="str">
        <f>VLOOKUP(B652,Bounties!A:D,3,FALSE)</f>
        <v>Outreach</v>
      </c>
      <c r="N652" s="1" t="str">
        <f>VLOOKUP(B652,Bounties!A:D,4,FALSE)</f>
        <v>Events/Meetups</v>
      </c>
      <c r="O652" s="1" t="str">
        <f t="shared" ref="O652:P652" si="656">IF(ISBLANK(K652),M652,K652)</f>
        <v>Outreach</v>
      </c>
      <c r="P652" s="1" t="str">
        <f t="shared" si="656"/>
        <v>Events/Meetups</v>
      </c>
      <c r="Q652" s="108" t="str">
        <f t="shared" si="3"/>
        <v>2024</v>
      </c>
      <c r="R652" s="110">
        <f t="shared" si="4"/>
        <v>2</v>
      </c>
      <c r="S652" s="108" t="str">
        <f t="shared" si="5"/>
        <v>2024-Q1</v>
      </c>
      <c r="T652" s="111" t="str">
        <f t="shared" si="6"/>
        <v>2024-02</v>
      </c>
      <c r="U652" s="112" t="str">
        <f t="shared" si="7"/>
        <v>2024-H1</v>
      </c>
      <c r="V652" s="1" t="str">
        <f>VLOOKUP(B652,Bounties!A:E,2,FALSE)</f>
        <v>Events Bounty</v>
      </c>
    </row>
    <row r="653" hidden="1">
      <c r="A653" s="109">
        <f>HYPERLINK("https://polkadot.subsquare.io/treasury/child-bounties/651", 651)</f>
        <v>651</v>
      </c>
      <c r="B653" s="183">
        <v>17.0</v>
      </c>
      <c r="C653" s="27" t="s">
        <v>3404</v>
      </c>
      <c r="D653" s="27" t="s">
        <v>1231</v>
      </c>
      <c r="E653" s="129">
        <v>22.0</v>
      </c>
      <c r="F653" s="66">
        <v>158.21280479431152</v>
      </c>
      <c r="G653" s="27" t="s">
        <v>3584</v>
      </c>
      <c r="H653" s="167">
        <v>45328.0</v>
      </c>
      <c r="I653" s="167">
        <v>45342.0</v>
      </c>
      <c r="J653" s="66">
        <v>166.39515209197998</v>
      </c>
      <c r="K653" s="1"/>
      <c r="L653" s="1"/>
      <c r="M653" s="1" t="str">
        <f>VLOOKUP(B653,Bounties!A:D,3,FALSE)</f>
        <v>Outreach</v>
      </c>
      <c r="N653" s="1" t="str">
        <f>VLOOKUP(B653,Bounties!A:D,4,FALSE)</f>
        <v>Events/Meetups</v>
      </c>
      <c r="O653" s="1" t="str">
        <f t="shared" ref="O653:P653" si="657">IF(ISBLANK(K653),M653,K653)</f>
        <v>Outreach</v>
      </c>
      <c r="P653" s="1" t="str">
        <f t="shared" si="657"/>
        <v>Events/Meetups</v>
      </c>
      <c r="Q653" s="108" t="str">
        <f t="shared" si="3"/>
        <v>2024</v>
      </c>
      <c r="R653" s="110">
        <f t="shared" si="4"/>
        <v>2</v>
      </c>
      <c r="S653" s="108" t="str">
        <f t="shared" si="5"/>
        <v>2024-Q1</v>
      </c>
      <c r="T653" s="111" t="str">
        <f t="shared" si="6"/>
        <v>2024-02</v>
      </c>
      <c r="U653" s="112" t="str">
        <f t="shared" si="7"/>
        <v>2024-H1</v>
      </c>
      <c r="V653" s="1" t="str">
        <f>VLOOKUP(B653,Bounties!A:E,2,FALSE)</f>
        <v>Events Bounty</v>
      </c>
    </row>
    <row r="654" hidden="1">
      <c r="A654" s="109">
        <f>HYPERLINK("https://polkadot.subsquare.io/treasury/child-bounties/652", 652)</f>
        <v>652</v>
      </c>
      <c r="B654" s="183">
        <v>17.0</v>
      </c>
      <c r="C654" s="27" t="s">
        <v>3404</v>
      </c>
      <c r="D654" s="27" t="s">
        <v>1232</v>
      </c>
      <c r="E654" s="129">
        <v>21.5</v>
      </c>
      <c r="F654" s="66">
        <v>154.61705923080444</v>
      </c>
      <c r="G654" s="27" t="s">
        <v>3585</v>
      </c>
      <c r="H654" s="167">
        <v>45328.0</v>
      </c>
      <c r="I654" s="167">
        <v>45390.0</v>
      </c>
      <c r="J654" s="66">
        <v>180.15798711776733</v>
      </c>
      <c r="K654" s="1"/>
      <c r="L654" s="1"/>
      <c r="M654" s="1" t="str">
        <f>VLOOKUP(B654,Bounties!A:D,3,FALSE)</f>
        <v>Outreach</v>
      </c>
      <c r="N654" s="1" t="str">
        <f>VLOOKUP(B654,Bounties!A:D,4,FALSE)</f>
        <v>Events/Meetups</v>
      </c>
      <c r="O654" s="1" t="str">
        <f t="shared" ref="O654:P654" si="658">IF(ISBLANK(K654),M654,K654)</f>
        <v>Outreach</v>
      </c>
      <c r="P654" s="1" t="str">
        <f t="shared" si="658"/>
        <v>Events/Meetups</v>
      </c>
      <c r="Q654" s="108" t="str">
        <f t="shared" si="3"/>
        <v>2024</v>
      </c>
      <c r="R654" s="110">
        <f t="shared" si="4"/>
        <v>4</v>
      </c>
      <c r="S654" s="108" t="str">
        <f t="shared" si="5"/>
        <v>2024-Q2</v>
      </c>
      <c r="T654" s="111" t="str">
        <f t="shared" si="6"/>
        <v>2024-04</v>
      </c>
      <c r="U654" s="112" t="str">
        <f t="shared" si="7"/>
        <v>2024-H1</v>
      </c>
      <c r="V654" s="1" t="str">
        <f>VLOOKUP(B654,Bounties!A:E,2,FALSE)</f>
        <v>Events Bounty</v>
      </c>
    </row>
    <row r="655" hidden="1">
      <c r="A655" s="109">
        <f>HYPERLINK("https://polkadot.subsquare.io/treasury/child-bounties/653", 653)</f>
        <v>653</v>
      </c>
      <c r="B655" s="183">
        <v>17.0</v>
      </c>
      <c r="C655" s="27" t="s">
        <v>3404</v>
      </c>
      <c r="D655" s="27" t="s">
        <v>1233</v>
      </c>
      <c r="E655" s="129">
        <v>2958.0</v>
      </c>
      <c r="F655" s="66">
        <v>20990.00383758545</v>
      </c>
      <c r="G655" s="27" t="s">
        <v>3572</v>
      </c>
      <c r="H655" s="167">
        <v>45330.0</v>
      </c>
      <c r="I655" s="167">
        <v>45345.0</v>
      </c>
      <c r="J655" s="66">
        <v>23972.647819519043</v>
      </c>
      <c r="K655" s="1"/>
      <c r="L655" s="1"/>
      <c r="M655" s="1" t="str">
        <f>VLOOKUP(B655,Bounties!A:D,3,FALSE)</f>
        <v>Outreach</v>
      </c>
      <c r="N655" s="1" t="str">
        <f>VLOOKUP(B655,Bounties!A:D,4,FALSE)</f>
        <v>Events/Meetups</v>
      </c>
      <c r="O655" s="1" t="str">
        <f t="shared" ref="O655:P655" si="659">IF(ISBLANK(K655),M655,K655)</f>
        <v>Outreach</v>
      </c>
      <c r="P655" s="1" t="str">
        <f t="shared" si="659"/>
        <v>Events/Meetups</v>
      </c>
      <c r="Q655" s="108" t="str">
        <f t="shared" si="3"/>
        <v>2024</v>
      </c>
      <c r="R655" s="110">
        <f t="shared" si="4"/>
        <v>2</v>
      </c>
      <c r="S655" s="108" t="str">
        <f t="shared" si="5"/>
        <v>2024-Q1</v>
      </c>
      <c r="T655" s="111" t="str">
        <f t="shared" si="6"/>
        <v>2024-02</v>
      </c>
      <c r="U655" s="112" t="str">
        <f t="shared" si="7"/>
        <v>2024-H1</v>
      </c>
      <c r="V655" s="1" t="str">
        <f>VLOOKUP(B655,Bounties!A:E,2,FALSE)</f>
        <v>Events Bounty</v>
      </c>
    </row>
    <row r="656" hidden="1">
      <c r="A656" s="109">
        <f>HYPERLINK("https://polkadot.subsquare.io/treasury/child-bounties/654", 654)</f>
        <v>654</v>
      </c>
      <c r="B656" s="183">
        <v>33.0</v>
      </c>
      <c r="C656" s="27" t="s">
        <v>3404</v>
      </c>
      <c r="D656" s="27" t="s">
        <v>1234</v>
      </c>
      <c r="E656" s="129">
        <v>40697.67</v>
      </c>
      <c r="F656" s="66">
        <v>298967.6533510065</v>
      </c>
      <c r="G656" s="27" t="s">
        <v>3586</v>
      </c>
      <c r="H656" s="167">
        <v>45331.0</v>
      </c>
      <c r="I656" s="167">
        <v>45339.0</v>
      </c>
      <c r="J656" s="66">
        <v>314723.45749872207</v>
      </c>
      <c r="K656" s="1" t="s">
        <v>137</v>
      </c>
      <c r="L656" s="1" t="s">
        <v>296</v>
      </c>
      <c r="M656" s="1" t="str">
        <f>VLOOKUP(B656,Bounties!A:D,3,FALSE)</f>
        <v>Outreach</v>
      </c>
      <c r="N656" s="1" t="str">
        <f>VLOOKUP(B656,Bounties!A:D,4,FALSE)</f>
        <v>Advertising</v>
      </c>
      <c r="O656" s="1" t="str">
        <f t="shared" ref="O656:P656" si="660">IF(ISBLANK(K656),M656,K656)</f>
        <v>Outreach</v>
      </c>
      <c r="P656" s="1" t="str">
        <f t="shared" si="660"/>
        <v>Advertising/Influencers</v>
      </c>
      <c r="Q656" s="108" t="str">
        <f t="shared" si="3"/>
        <v>2024</v>
      </c>
      <c r="R656" s="110">
        <f t="shared" si="4"/>
        <v>2</v>
      </c>
      <c r="S656" s="108" t="str">
        <f t="shared" si="5"/>
        <v>2024-Q1</v>
      </c>
      <c r="T656" s="111" t="str">
        <f t="shared" si="6"/>
        <v>2024-02</v>
      </c>
      <c r="U656" s="112" t="str">
        <f t="shared" si="7"/>
        <v>2024-H1</v>
      </c>
      <c r="V656" s="1" t="str">
        <f>VLOOKUP(B656,Bounties!A:E,2,FALSE)</f>
        <v>Marketing Bounty</v>
      </c>
    </row>
    <row r="657" hidden="1">
      <c r="A657" s="109">
        <f>HYPERLINK("https://polkadot.subsquare.io/treasury/child-bounties/655", 655)</f>
        <v>655</v>
      </c>
      <c r="B657" s="183">
        <v>32.0</v>
      </c>
      <c r="C657" s="27" t="s">
        <v>3404</v>
      </c>
      <c r="D657" s="27" t="s">
        <v>1235</v>
      </c>
      <c r="E657" s="129">
        <v>59.2865094581</v>
      </c>
      <c r="F657" s="66">
        <v>435.522441654778</v>
      </c>
      <c r="G657" s="27" t="s">
        <v>3587</v>
      </c>
      <c r="H657" s="167">
        <v>45331.0</v>
      </c>
      <c r="I657" s="167">
        <v>45339.0</v>
      </c>
      <c r="J657" s="66">
        <v>458.47477852378086</v>
      </c>
      <c r="K657" s="1"/>
      <c r="L657" s="1"/>
      <c r="M657" s="1" t="str">
        <f>VLOOKUP(B657,Bounties!A:D,3,FALSE)</f>
        <v>Operations</v>
      </c>
      <c r="N657" s="1" t="str">
        <f>VLOOKUP(B657,Bounties!A:D,4,FALSE)</f>
        <v>RPCs and Nodes</v>
      </c>
      <c r="O657" s="1" t="str">
        <f t="shared" ref="O657:P657" si="661">IF(ISBLANK(K657),M657,K657)</f>
        <v>Operations</v>
      </c>
      <c r="P657" s="1" t="str">
        <f t="shared" si="661"/>
        <v>RPCs and Nodes</v>
      </c>
      <c r="Q657" s="108" t="str">
        <f t="shared" si="3"/>
        <v>2024</v>
      </c>
      <c r="R657" s="110">
        <f t="shared" si="4"/>
        <v>2</v>
      </c>
      <c r="S657" s="108" t="str">
        <f t="shared" si="5"/>
        <v>2024-Q1</v>
      </c>
      <c r="T657" s="111" t="str">
        <f t="shared" si="6"/>
        <v>2024-02</v>
      </c>
      <c r="U657" s="112" t="str">
        <f t="shared" si="7"/>
        <v>2024-H1</v>
      </c>
      <c r="V657" s="1" t="str">
        <f>VLOOKUP(B657,Bounties!A:E,2,FALSE)</f>
        <v>System Parachains Collator Bounty</v>
      </c>
    </row>
    <row r="658" hidden="1">
      <c r="A658" s="109">
        <f>HYPERLINK("https://polkadot.subsquare.io/treasury/child-bounties/656", 656)</f>
        <v>656</v>
      </c>
      <c r="B658" s="183">
        <v>32.0</v>
      </c>
      <c r="C658" s="27" t="s">
        <v>3404</v>
      </c>
      <c r="D658" s="27" t="s">
        <v>1236</v>
      </c>
      <c r="E658" s="129">
        <v>59.2073119835</v>
      </c>
      <c r="F658" s="66">
        <v>434.94065200607116</v>
      </c>
      <c r="G658" s="27" t="s">
        <v>3588</v>
      </c>
      <c r="H658" s="167">
        <v>45331.0</v>
      </c>
      <c r="I658" s="167">
        <v>45339.0</v>
      </c>
      <c r="J658" s="66">
        <v>457.86232815423193</v>
      </c>
      <c r="K658" s="1"/>
      <c r="L658" s="1"/>
      <c r="M658" s="1" t="str">
        <f>VLOOKUP(B658,Bounties!A:D,3,FALSE)</f>
        <v>Operations</v>
      </c>
      <c r="N658" s="1" t="str">
        <f>VLOOKUP(B658,Bounties!A:D,4,FALSE)</f>
        <v>RPCs and Nodes</v>
      </c>
      <c r="O658" s="1" t="str">
        <f t="shared" ref="O658:P658" si="662">IF(ISBLANK(K658),M658,K658)</f>
        <v>Operations</v>
      </c>
      <c r="P658" s="1" t="str">
        <f t="shared" si="662"/>
        <v>RPCs and Nodes</v>
      </c>
      <c r="Q658" s="108" t="str">
        <f t="shared" si="3"/>
        <v>2024</v>
      </c>
      <c r="R658" s="110">
        <f t="shared" si="4"/>
        <v>2</v>
      </c>
      <c r="S658" s="108" t="str">
        <f t="shared" si="5"/>
        <v>2024-Q1</v>
      </c>
      <c r="T658" s="111" t="str">
        <f t="shared" si="6"/>
        <v>2024-02</v>
      </c>
      <c r="U658" s="112" t="str">
        <f t="shared" si="7"/>
        <v>2024-H1</v>
      </c>
      <c r="V658" s="1" t="str">
        <f>VLOOKUP(B658,Bounties!A:E,2,FALSE)</f>
        <v>System Parachains Collator Bounty</v>
      </c>
    </row>
    <row r="659" hidden="1">
      <c r="A659" s="109">
        <f>HYPERLINK("https://polkadot.subsquare.io/treasury/child-bounties/657", 657)</f>
        <v>657</v>
      </c>
      <c r="B659" s="183">
        <v>32.0</v>
      </c>
      <c r="C659" s="27" t="s">
        <v>3404</v>
      </c>
      <c r="D659" s="27" t="s">
        <v>1237</v>
      </c>
      <c r="E659" s="129">
        <v>59.3189084249</v>
      </c>
      <c r="F659" s="66">
        <v>435.7604465104662</v>
      </c>
      <c r="G659" s="27" t="s">
        <v>3589</v>
      </c>
      <c r="H659" s="167">
        <v>45331.0</v>
      </c>
      <c r="I659" s="167">
        <v>45339.0</v>
      </c>
      <c r="J659" s="66">
        <v>458.72532640159994</v>
      </c>
      <c r="K659" s="1"/>
      <c r="L659" s="1"/>
      <c r="M659" s="1" t="str">
        <f>VLOOKUP(B659,Bounties!A:D,3,FALSE)</f>
        <v>Operations</v>
      </c>
      <c r="N659" s="1" t="str">
        <f>VLOOKUP(B659,Bounties!A:D,4,FALSE)</f>
        <v>RPCs and Nodes</v>
      </c>
      <c r="O659" s="1" t="str">
        <f t="shared" ref="O659:P659" si="663">IF(ISBLANK(K659),M659,K659)</f>
        <v>Operations</v>
      </c>
      <c r="P659" s="1" t="str">
        <f t="shared" si="663"/>
        <v>RPCs and Nodes</v>
      </c>
      <c r="Q659" s="108" t="str">
        <f t="shared" si="3"/>
        <v>2024</v>
      </c>
      <c r="R659" s="110">
        <f t="shared" si="4"/>
        <v>2</v>
      </c>
      <c r="S659" s="108" t="str">
        <f t="shared" si="5"/>
        <v>2024-Q1</v>
      </c>
      <c r="T659" s="111" t="str">
        <f t="shared" si="6"/>
        <v>2024-02</v>
      </c>
      <c r="U659" s="112" t="str">
        <f t="shared" si="7"/>
        <v>2024-H1</v>
      </c>
      <c r="V659" s="1" t="str">
        <f>VLOOKUP(B659,Bounties!A:E,2,FALSE)</f>
        <v>System Parachains Collator Bounty</v>
      </c>
    </row>
    <row r="660" hidden="1">
      <c r="A660" s="109">
        <f>HYPERLINK("https://polkadot.subsquare.io/treasury/child-bounties/658", 658)</f>
        <v>658</v>
      </c>
      <c r="B660" s="183">
        <v>32.0</v>
      </c>
      <c r="C660" s="27" t="s">
        <v>3404</v>
      </c>
      <c r="D660" s="27" t="s">
        <v>1238</v>
      </c>
      <c r="E660" s="129">
        <v>59.3513073918</v>
      </c>
      <c r="F660" s="66">
        <v>435.9984513668889</v>
      </c>
      <c r="G660" s="27" t="s">
        <v>3590</v>
      </c>
      <c r="H660" s="167">
        <v>45331.0</v>
      </c>
      <c r="I660" s="167">
        <v>45339.0</v>
      </c>
      <c r="J660" s="66">
        <v>458.9758742801924</v>
      </c>
      <c r="K660" s="1"/>
      <c r="L660" s="1"/>
      <c r="M660" s="1" t="str">
        <f>VLOOKUP(B660,Bounties!A:D,3,FALSE)</f>
        <v>Operations</v>
      </c>
      <c r="N660" s="1" t="str">
        <f>VLOOKUP(B660,Bounties!A:D,4,FALSE)</f>
        <v>RPCs and Nodes</v>
      </c>
      <c r="O660" s="1" t="str">
        <f t="shared" ref="O660:P660" si="664">IF(ISBLANK(K660),M660,K660)</f>
        <v>Operations</v>
      </c>
      <c r="P660" s="1" t="str">
        <f t="shared" si="664"/>
        <v>RPCs and Nodes</v>
      </c>
      <c r="Q660" s="108" t="str">
        <f t="shared" si="3"/>
        <v>2024</v>
      </c>
      <c r="R660" s="110">
        <f t="shared" si="4"/>
        <v>2</v>
      </c>
      <c r="S660" s="108" t="str">
        <f t="shared" si="5"/>
        <v>2024-Q1</v>
      </c>
      <c r="T660" s="111" t="str">
        <f t="shared" si="6"/>
        <v>2024-02</v>
      </c>
      <c r="U660" s="112" t="str">
        <f t="shared" si="7"/>
        <v>2024-H1</v>
      </c>
      <c r="V660" s="1" t="str">
        <f>VLOOKUP(B660,Bounties!A:E,2,FALSE)</f>
        <v>System Parachains Collator Bounty</v>
      </c>
    </row>
    <row r="661" hidden="1">
      <c r="A661" s="109">
        <f>HYPERLINK("https://polkadot.subsquare.io/treasury/child-bounties/659", 659)</f>
        <v>659</v>
      </c>
      <c r="B661" s="183">
        <v>32.0</v>
      </c>
      <c r="C661" s="27" t="s">
        <v>3404</v>
      </c>
      <c r="D661" s="27" t="s">
        <v>1239</v>
      </c>
      <c r="E661" s="129">
        <v>59.3261081953</v>
      </c>
      <c r="F661" s="66">
        <v>435.8133364783969</v>
      </c>
      <c r="G661" s="27" t="s">
        <v>3591</v>
      </c>
      <c r="H661" s="167">
        <v>45331.0</v>
      </c>
      <c r="I661" s="167">
        <v>45339.0</v>
      </c>
      <c r="J661" s="66">
        <v>458.78100370778196</v>
      </c>
      <c r="K661" s="1"/>
      <c r="L661" s="1"/>
      <c r="M661" s="1" t="str">
        <f>VLOOKUP(B661,Bounties!A:D,3,FALSE)</f>
        <v>Operations</v>
      </c>
      <c r="N661" s="1" t="str">
        <f>VLOOKUP(B661,Bounties!A:D,4,FALSE)</f>
        <v>RPCs and Nodes</v>
      </c>
      <c r="O661" s="1" t="str">
        <f t="shared" ref="O661:P661" si="665">IF(ISBLANK(K661),M661,K661)</f>
        <v>Operations</v>
      </c>
      <c r="P661" s="1" t="str">
        <f t="shared" si="665"/>
        <v>RPCs and Nodes</v>
      </c>
      <c r="Q661" s="108" t="str">
        <f t="shared" si="3"/>
        <v>2024</v>
      </c>
      <c r="R661" s="110">
        <f t="shared" si="4"/>
        <v>2</v>
      </c>
      <c r="S661" s="108" t="str">
        <f t="shared" si="5"/>
        <v>2024-Q1</v>
      </c>
      <c r="T661" s="111" t="str">
        <f t="shared" si="6"/>
        <v>2024-02</v>
      </c>
      <c r="U661" s="112" t="str">
        <f t="shared" si="7"/>
        <v>2024-H1</v>
      </c>
      <c r="V661" s="1" t="str">
        <f>VLOOKUP(B661,Bounties!A:E,2,FALSE)</f>
        <v>System Parachains Collator Bounty</v>
      </c>
    </row>
    <row r="662" hidden="1">
      <c r="A662" s="109">
        <f>HYPERLINK("https://polkadot.subsquare.io/treasury/child-bounties/660", 660)</f>
        <v>660</v>
      </c>
      <c r="B662" s="183">
        <v>32.0</v>
      </c>
      <c r="C662" s="27" t="s">
        <v>3404</v>
      </c>
      <c r="D662" s="27" t="s">
        <v>1240</v>
      </c>
      <c r="E662" s="129">
        <v>58.9409204783</v>
      </c>
      <c r="F662" s="66">
        <v>432.983723189697</v>
      </c>
      <c r="G662" s="27" t="s">
        <v>3592</v>
      </c>
      <c r="H662" s="167">
        <v>45331.0</v>
      </c>
      <c r="I662" s="167">
        <v>45339.0</v>
      </c>
      <c r="J662" s="66">
        <v>455.8022678224038</v>
      </c>
      <c r="K662" s="1"/>
      <c r="L662" s="1"/>
      <c r="M662" s="1" t="str">
        <f>VLOOKUP(B662,Bounties!A:D,3,FALSE)</f>
        <v>Operations</v>
      </c>
      <c r="N662" s="1" t="str">
        <f>VLOOKUP(B662,Bounties!A:D,4,FALSE)</f>
        <v>RPCs and Nodes</v>
      </c>
      <c r="O662" s="1" t="str">
        <f t="shared" ref="O662:P662" si="666">IF(ISBLANK(K662),M662,K662)</f>
        <v>Operations</v>
      </c>
      <c r="P662" s="1" t="str">
        <f t="shared" si="666"/>
        <v>RPCs and Nodes</v>
      </c>
      <c r="Q662" s="108" t="str">
        <f t="shared" si="3"/>
        <v>2024</v>
      </c>
      <c r="R662" s="110">
        <f t="shared" si="4"/>
        <v>2</v>
      </c>
      <c r="S662" s="108" t="str">
        <f t="shared" si="5"/>
        <v>2024-Q1</v>
      </c>
      <c r="T662" s="111" t="str">
        <f t="shared" si="6"/>
        <v>2024-02</v>
      </c>
      <c r="U662" s="112" t="str">
        <f t="shared" si="7"/>
        <v>2024-H1</v>
      </c>
      <c r="V662" s="1" t="str">
        <f>VLOOKUP(B662,Bounties!A:E,2,FALSE)</f>
        <v>System Parachains Collator Bounty</v>
      </c>
    </row>
    <row r="663" hidden="1">
      <c r="A663" s="109">
        <f>HYPERLINK("https://polkadot.subsquare.io/treasury/child-bounties/661", 661)</f>
        <v>661</v>
      </c>
      <c r="B663" s="183">
        <v>32.0</v>
      </c>
      <c r="C663" s="27" t="s">
        <v>3404</v>
      </c>
      <c r="D663" s="27" t="s">
        <v>1241</v>
      </c>
      <c r="E663" s="129">
        <v>59.2469107208</v>
      </c>
      <c r="F663" s="66">
        <v>435.2315468304246</v>
      </c>
      <c r="G663" s="27" t="s">
        <v>3593</v>
      </c>
      <c r="H663" s="167">
        <v>45331.0</v>
      </c>
      <c r="I663" s="167">
        <v>45339.0</v>
      </c>
      <c r="J663" s="66">
        <v>458.1685533390064</v>
      </c>
      <c r="K663" s="1"/>
      <c r="L663" s="1"/>
      <c r="M663" s="1" t="str">
        <f>VLOOKUP(B663,Bounties!A:D,3,FALSE)</f>
        <v>Operations</v>
      </c>
      <c r="N663" s="1" t="str">
        <f>VLOOKUP(B663,Bounties!A:D,4,FALSE)</f>
        <v>RPCs and Nodes</v>
      </c>
      <c r="O663" s="1" t="str">
        <f t="shared" ref="O663:P663" si="667">IF(ISBLANK(K663),M663,K663)</f>
        <v>Operations</v>
      </c>
      <c r="P663" s="1" t="str">
        <f t="shared" si="667"/>
        <v>RPCs and Nodes</v>
      </c>
      <c r="Q663" s="108" t="str">
        <f t="shared" si="3"/>
        <v>2024</v>
      </c>
      <c r="R663" s="110">
        <f t="shared" si="4"/>
        <v>2</v>
      </c>
      <c r="S663" s="108" t="str">
        <f t="shared" si="5"/>
        <v>2024-Q1</v>
      </c>
      <c r="T663" s="111" t="str">
        <f t="shared" si="6"/>
        <v>2024-02</v>
      </c>
      <c r="U663" s="112" t="str">
        <f t="shared" si="7"/>
        <v>2024-H1</v>
      </c>
      <c r="V663" s="1" t="str">
        <f>VLOOKUP(B663,Bounties!A:E,2,FALSE)</f>
        <v>System Parachains Collator Bounty</v>
      </c>
    </row>
    <row r="664" hidden="1">
      <c r="A664" s="109">
        <f>HYPERLINK("https://polkadot.subsquare.io/treasury/child-bounties/662", 662)</f>
        <v>662</v>
      </c>
      <c r="B664" s="183">
        <v>32.0</v>
      </c>
      <c r="C664" s="27" t="s">
        <v>3404</v>
      </c>
      <c r="D664" s="27" t="s">
        <v>1242</v>
      </c>
      <c r="E664" s="129">
        <v>44.0077013255</v>
      </c>
      <c r="F664" s="66">
        <v>323.2833524537575</v>
      </c>
      <c r="G664" s="27" t="s">
        <v>3594</v>
      </c>
      <c r="H664" s="167">
        <v>45331.0</v>
      </c>
      <c r="I664" s="167">
        <v>45339.0</v>
      </c>
      <c r="J664" s="66">
        <v>340.3206109276638</v>
      </c>
      <c r="K664" s="1"/>
      <c r="L664" s="1"/>
      <c r="M664" s="1" t="str">
        <f>VLOOKUP(B664,Bounties!A:D,3,FALSE)</f>
        <v>Operations</v>
      </c>
      <c r="N664" s="1" t="str">
        <f>VLOOKUP(B664,Bounties!A:D,4,FALSE)</f>
        <v>RPCs and Nodes</v>
      </c>
      <c r="O664" s="1" t="str">
        <f t="shared" ref="O664:P664" si="668">IF(ISBLANK(K664),M664,K664)</f>
        <v>Operations</v>
      </c>
      <c r="P664" s="1" t="str">
        <f t="shared" si="668"/>
        <v>RPCs and Nodes</v>
      </c>
      <c r="Q664" s="108" t="str">
        <f t="shared" si="3"/>
        <v>2024</v>
      </c>
      <c r="R664" s="110">
        <f t="shared" si="4"/>
        <v>2</v>
      </c>
      <c r="S664" s="108" t="str">
        <f t="shared" si="5"/>
        <v>2024-Q1</v>
      </c>
      <c r="T664" s="111" t="str">
        <f t="shared" si="6"/>
        <v>2024-02</v>
      </c>
      <c r="U664" s="112" t="str">
        <f t="shared" si="7"/>
        <v>2024-H1</v>
      </c>
      <c r="V664" s="1" t="str">
        <f>VLOOKUP(B664,Bounties!A:E,2,FALSE)</f>
        <v>System Parachains Collator Bounty</v>
      </c>
    </row>
    <row r="665" hidden="1">
      <c r="A665" s="109">
        <f>HYPERLINK("https://polkadot.subsquare.io/treasury/child-bounties/663", 663)</f>
        <v>663</v>
      </c>
      <c r="B665" s="183">
        <v>32.0</v>
      </c>
      <c r="C665" s="27" t="s">
        <v>3404</v>
      </c>
      <c r="D665" s="27" t="s">
        <v>1243</v>
      </c>
      <c r="E665" s="129">
        <v>44.0665172801</v>
      </c>
      <c r="F665" s="66">
        <v>323.71541816971524</v>
      </c>
      <c r="G665" s="27" t="s">
        <v>3595</v>
      </c>
      <c r="H665" s="167">
        <v>45331.0</v>
      </c>
      <c r="I665" s="167">
        <v>45339.0</v>
      </c>
      <c r="J665" s="66">
        <v>340.7754468086319</v>
      </c>
      <c r="K665" s="1"/>
      <c r="L665" s="1"/>
      <c r="M665" s="1" t="str">
        <f>VLOOKUP(B665,Bounties!A:D,3,FALSE)</f>
        <v>Operations</v>
      </c>
      <c r="N665" s="1" t="str">
        <f>VLOOKUP(B665,Bounties!A:D,4,FALSE)</f>
        <v>RPCs and Nodes</v>
      </c>
      <c r="O665" s="1" t="str">
        <f t="shared" ref="O665:P665" si="669">IF(ISBLANK(K665),M665,K665)</f>
        <v>Operations</v>
      </c>
      <c r="P665" s="1" t="str">
        <f t="shared" si="669"/>
        <v>RPCs and Nodes</v>
      </c>
      <c r="Q665" s="108" t="str">
        <f t="shared" si="3"/>
        <v>2024</v>
      </c>
      <c r="R665" s="110">
        <f t="shared" si="4"/>
        <v>2</v>
      </c>
      <c r="S665" s="108" t="str">
        <f t="shared" si="5"/>
        <v>2024-Q1</v>
      </c>
      <c r="T665" s="111" t="str">
        <f t="shared" si="6"/>
        <v>2024-02</v>
      </c>
      <c r="U665" s="112" t="str">
        <f t="shared" si="7"/>
        <v>2024-H1</v>
      </c>
      <c r="V665" s="1" t="str">
        <f>VLOOKUP(B665,Bounties!A:E,2,FALSE)</f>
        <v>System Parachains Collator Bounty</v>
      </c>
    </row>
    <row r="666" hidden="1">
      <c r="A666" s="109">
        <f>HYPERLINK("https://polkadot.subsquare.io/treasury/child-bounties/664", 664)</f>
        <v>664</v>
      </c>
      <c r="B666" s="183">
        <v>32.0</v>
      </c>
      <c r="C666" s="27" t="s">
        <v>3404</v>
      </c>
      <c r="D666" s="27" t="s">
        <v>1244</v>
      </c>
      <c r="E666" s="129">
        <v>44.0157216829</v>
      </c>
      <c r="F666" s="66">
        <v>323.3422705055997</v>
      </c>
      <c r="G666" s="27" t="s">
        <v>3596</v>
      </c>
      <c r="H666" s="167">
        <v>45331.0</v>
      </c>
      <c r="I666" s="167">
        <v>45339.0</v>
      </c>
      <c r="J666" s="66">
        <v>340.38263400198974</v>
      </c>
      <c r="K666" s="1"/>
      <c r="L666" s="1"/>
      <c r="M666" s="1" t="str">
        <f>VLOOKUP(B666,Bounties!A:D,3,FALSE)</f>
        <v>Operations</v>
      </c>
      <c r="N666" s="1" t="str">
        <f>VLOOKUP(B666,Bounties!A:D,4,FALSE)</f>
        <v>RPCs and Nodes</v>
      </c>
      <c r="O666" s="1" t="str">
        <f t="shared" ref="O666:P666" si="670">IF(ISBLANK(K666),M666,K666)</f>
        <v>Operations</v>
      </c>
      <c r="P666" s="1" t="str">
        <f t="shared" si="670"/>
        <v>RPCs and Nodes</v>
      </c>
      <c r="Q666" s="108" t="str">
        <f t="shared" si="3"/>
        <v>2024</v>
      </c>
      <c r="R666" s="110">
        <f t="shared" si="4"/>
        <v>2</v>
      </c>
      <c r="S666" s="108" t="str">
        <f t="shared" si="5"/>
        <v>2024-Q1</v>
      </c>
      <c r="T666" s="111" t="str">
        <f t="shared" si="6"/>
        <v>2024-02</v>
      </c>
      <c r="U666" s="112" t="str">
        <f t="shared" si="7"/>
        <v>2024-H1</v>
      </c>
      <c r="V666" s="1" t="str">
        <f>VLOOKUP(B666,Bounties!A:E,2,FALSE)</f>
        <v>System Parachains Collator Bounty</v>
      </c>
    </row>
    <row r="667" hidden="1">
      <c r="A667" s="109">
        <f>HYPERLINK("https://polkadot.subsquare.io/treasury/child-bounties/665", 665)</f>
        <v>665</v>
      </c>
      <c r="B667" s="183">
        <v>32.0</v>
      </c>
      <c r="C667" s="27" t="s">
        <v>3404</v>
      </c>
      <c r="D667" s="27" t="s">
        <v>1245</v>
      </c>
      <c r="E667" s="129">
        <v>44.0852314475</v>
      </c>
      <c r="F667" s="66">
        <v>323.85289362499304</v>
      </c>
      <c r="G667" s="27" t="s">
        <v>3597</v>
      </c>
      <c r="H667" s="167">
        <v>45331.0</v>
      </c>
      <c r="I667" s="167">
        <v>45339.0</v>
      </c>
      <c r="J667" s="66">
        <v>340.9201673164236</v>
      </c>
      <c r="K667" s="1"/>
      <c r="L667" s="1"/>
      <c r="M667" s="1" t="str">
        <f>VLOOKUP(B667,Bounties!A:D,3,FALSE)</f>
        <v>Operations</v>
      </c>
      <c r="N667" s="1" t="str">
        <f>VLOOKUP(B667,Bounties!A:D,4,FALSE)</f>
        <v>RPCs and Nodes</v>
      </c>
      <c r="O667" s="1" t="str">
        <f t="shared" ref="O667:P667" si="671">IF(ISBLANK(K667),M667,K667)</f>
        <v>Operations</v>
      </c>
      <c r="P667" s="1" t="str">
        <f t="shared" si="671"/>
        <v>RPCs and Nodes</v>
      </c>
      <c r="Q667" s="108" t="str">
        <f t="shared" si="3"/>
        <v>2024</v>
      </c>
      <c r="R667" s="110">
        <f t="shared" si="4"/>
        <v>2</v>
      </c>
      <c r="S667" s="108" t="str">
        <f t="shared" si="5"/>
        <v>2024-Q1</v>
      </c>
      <c r="T667" s="111" t="str">
        <f t="shared" si="6"/>
        <v>2024-02</v>
      </c>
      <c r="U667" s="112" t="str">
        <f t="shared" si="7"/>
        <v>2024-H1</v>
      </c>
      <c r="V667" s="1" t="str">
        <f>VLOOKUP(B667,Bounties!A:E,2,FALSE)</f>
        <v>System Parachains Collator Bounty</v>
      </c>
    </row>
    <row r="668" hidden="1">
      <c r="A668" s="109">
        <f>HYPERLINK("https://polkadot.subsquare.io/treasury/child-bounties/666", 666)</f>
        <v>666</v>
      </c>
      <c r="B668" s="183">
        <v>32.0</v>
      </c>
      <c r="C668" s="27" t="s">
        <v>3404</v>
      </c>
      <c r="D668" s="27" t="s">
        <v>1246</v>
      </c>
      <c r="E668" s="129">
        <v>10.6427783405</v>
      </c>
      <c r="F668" s="66">
        <v>78.1825216429885</v>
      </c>
      <c r="G668" s="27" t="s">
        <v>3407</v>
      </c>
      <c r="H668" s="167">
        <v>45331.0</v>
      </c>
      <c r="I668" s="167">
        <v>45339.0</v>
      </c>
      <c r="J668" s="66">
        <v>82.30279514072112</v>
      </c>
      <c r="K668" s="1"/>
      <c r="L668" s="1"/>
      <c r="M668" s="1" t="str">
        <f>VLOOKUP(B668,Bounties!A:D,3,FALSE)</f>
        <v>Operations</v>
      </c>
      <c r="N668" s="1" t="str">
        <f>VLOOKUP(B668,Bounties!A:D,4,FALSE)</f>
        <v>RPCs and Nodes</v>
      </c>
      <c r="O668" s="1" t="str">
        <f t="shared" ref="O668:P668" si="672">IF(ISBLANK(K668),M668,K668)</f>
        <v>Operations</v>
      </c>
      <c r="P668" s="1" t="str">
        <f t="shared" si="672"/>
        <v>RPCs and Nodes</v>
      </c>
      <c r="Q668" s="108" t="str">
        <f t="shared" si="3"/>
        <v>2024</v>
      </c>
      <c r="R668" s="110">
        <f t="shared" si="4"/>
        <v>2</v>
      </c>
      <c r="S668" s="108" t="str">
        <f t="shared" si="5"/>
        <v>2024-Q1</v>
      </c>
      <c r="T668" s="111" t="str">
        <f t="shared" si="6"/>
        <v>2024-02</v>
      </c>
      <c r="U668" s="112" t="str">
        <f t="shared" si="7"/>
        <v>2024-H1</v>
      </c>
      <c r="V668" s="1" t="str">
        <f>VLOOKUP(B668,Bounties!A:E,2,FALSE)</f>
        <v>System Parachains Collator Bounty</v>
      </c>
    </row>
    <row r="669" hidden="1">
      <c r="A669" s="109">
        <f>HYPERLINK("https://polkadot.subsquare.io/treasury/child-bounties/667", 667)</f>
        <v>667</v>
      </c>
      <c r="B669" s="183">
        <v>32.0</v>
      </c>
      <c r="C669" s="27" t="s">
        <v>3404</v>
      </c>
      <c r="D669" s="27" t="s">
        <v>1247</v>
      </c>
      <c r="E669" s="129">
        <v>10.6427783405</v>
      </c>
      <c r="F669" s="66">
        <v>78.1825216429885</v>
      </c>
      <c r="G669" s="27" t="s">
        <v>3406</v>
      </c>
      <c r="H669" s="167">
        <v>45331.0</v>
      </c>
      <c r="I669" s="167">
        <v>45339.0</v>
      </c>
      <c r="J669" s="66">
        <v>82.30279514072112</v>
      </c>
      <c r="K669" s="1"/>
      <c r="L669" s="1"/>
      <c r="M669" s="1" t="str">
        <f>VLOOKUP(B669,Bounties!A:D,3,FALSE)</f>
        <v>Operations</v>
      </c>
      <c r="N669" s="1" t="str">
        <f>VLOOKUP(B669,Bounties!A:D,4,FALSE)</f>
        <v>RPCs and Nodes</v>
      </c>
      <c r="O669" s="1" t="str">
        <f t="shared" ref="O669:P669" si="673">IF(ISBLANK(K669),M669,K669)</f>
        <v>Operations</v>
      </c>
      <c r="P669" s="1" t="str">
        <f t="shared" si="673"/>
        <v>RPCs and Nodes</v>
      </c>
      <c r="Q669" s="108" t="str">
        <f t="shared" si="3"/>
        <v>2024</v>
      </c>
      <c r="R669" s="110">
        <f t="shared" si="4"/>
        <v>2</v>
      </c>
      <c r="S669" s="108" t="str">
        <f t="shared" si="5"/>
        <v>2024-Q1</v>
      </c>
      <c r="T669" s="111" t="str">
        <f t="shared" si="6"/>
        <v>2024-02</v>
      </c>
      <c r="U669" s="112" t="str">
        <f t="shared" si="7"/>
        <v>2024-H1</v>
      </c>
      <c r="V669" s="1" t="str">
        <f>VLOOKUP(B669,Bounties!A:E,2,FALSE)</f>
        <v>System Parachains Collator Bounty</v>
      </c>
    </row>
    <row r="670" hidden="1">
      <c r="A670" s="109">
        <f>HYPERLINK("https://polkadot.subsquare.io/treasury/child-bounties/668", 668)</f>
        <v>668</v>
      </c>
      <c r="B670" s="183">
        <v>32.0</v>
      </c>
      <c r="C670" s="27" t="s">
        <v>3404</v>
      </c>
      <c r="D670" s="27" t="s">
        <v>1248</v>
      </c>
      <c r="E670" s="129">
        <v>10.6427783405</v>
      </c>
      <c r="F670" s="66">
        <v>78.1825216429885</v>
      </c>
      <c r="G670" s="27" t="s">
        <v>3411</v>
      </c>
      <c r="H670" s="167">
        <v>45331.0</v>
      </c>
      <c r="I670" s="167">
        <v>45339.0</v>
      </c>
      <c r="J670" s="66">
        <v>82.30279514072112</v>
      </c>
      <c r="K670" s="1"/>
      <c r="L670" s="1"/>
      <c r="M670" s="1" t="str">
        <f>VLOOKUP(B670,Bounties!A:D,3,FALSE)</f>
        <v>Operations</v>
      </c>
      <c r="N670" s="1" t="str">
        <f>VLOOKUP(B670,Bounties!A:D,4,FALSE)</f>
        <v>RPCs and Nodes</v>
      </c>
      <c r="O670" s="1" t="str">
        <f t="shared" ref="O670:P670" si="674">IF(ISBLANK(K670),M670,K670)</f>
        <v>Operations</v>
      </c>
      <c r="P670" s="1" t="str">
        <f t="shared" si="674"/>
        <v>RPCs and Nodes</v>
      </c>
      <c r="Q670" s="108" t="str">
        <f t="shared" si="3"/>
        <v>2024</v>
      </c>
      <c r="R670" s="110">
        <f t="shared" si="4"/>
        <v>2</v>
      </c>
      <c r="S670" s="108" t="str">
        <f t="shared" si="5"/>
        <v>2024-Q1</v>
      </c>
      <c r="T670" s="111" t="str">
        <f t="shared" si="6"/>
        <v>2024-02</v>
      </c>
      <c r="U670" s="112" t="str">
        <f t="shared" si="7"/>
        <v>2024-H1</v>
      </c>
      <c r="V670" s="1" t="str">
        <f>VLOOKUP(B670,Bounties!A:E,2,FALSE)</f>
        <v>System Parachains Collator Bounty</v>
      </c>
    </row>
    <row r="671" hidden="1">
      <c r="A671" s="109">
        <f>HYPERLINK("https://polkadot.subsquare.io/treasury/child-bounties/669", 669)</f>
        <v>669</v>
      </c>
      <c r="B671" s="183">
        <v>32.0</v>
      </c>
      <c r="C671" s="27" t="s">
        <v>3404</v>
      </c>
      <c r="D671" s="27" t="s">
        <v>1249</v>
      </c>
      <c r="E671" s="129">
        <v>3.6737692873</v>
      </c>
      <c r="F671" s="66">
        <v>26.987741135477304</v>
      </c>
      <c r="G671" s="27" t="s">
        <v>3598</v>
      </c>
      <c r="H671" s="167">
        <v>45331.0</v>
      </c>
      <c r="I671" s="167">
        <v>45339.0</v>
      </c>
      <c r="J671" s="66">
        <v>28.41001394309974</v>
      </c>
      <c r="K671" s="1"/>
      <c r="L671" s="1"/>
      <c r="M671" s="1" t="str">
        <f>VLOOKUP(B671,Bounties!A:D,3,FALSE)</f>
        <v>Operations</v>
      </c>
      <c r="N671" s="1" t="str">
        <f>VLOOKUP(B671,Bounties!A:D,4,FALSE)</f>
        <v>RPCs and Nodes</v>
      </c>
      <c r="O671" s="1" t="str">
        <f t="shared" ref="O671:P671" si="675">IF(ISBLANK(K671),M671,K671)</f>
        <v>Operations</v>
      </c>
      <c r="P671" s="1" t="str">
        <f t="shared" si="675"/>
        <v>RPCs and Nodes</v>
      </c>
      <c r="Q671" s="108" t="str">
        <f t="shared" si="3"/>
        <v>2024</v>
      </c>
      <c r="R671" s="110">
        <f t="shared" si="4"/>
        <v>2</v>
      </c>
      <c r="S671" s="108" t="str">
        <f t="shared" si="5"/>
        <v>2024-Q1</v>
      </c>
      <c r="T671" s="111" t="str">
        <f t="shared" si="6"/>
        <v>2024-02</v>
      </c>
      <c r="U671" s="112" t="str">
        <f t="shared" si="7"/>
        <v>2024-H1</v>
      </c>
      <c r="V671" s="1" t="str">
        <f>VLOOKUP(B671,Bounties!A:E,2,FALSE)</f>
        <v>System Parachains Collator Bounty</v>
      </c>
    </row>
    <row r="672" hidden="1">
      <c r="A672" s="109">
        <f>HYPERLINK("https://polkadot.subsquare.io/treasury/child-bounties/670", 670)</f>
        <v>670</v>
      </c>
      <c r="B672" s="183">
        <v>32.0</v>
      </c>
      <c r="C672" s="27" t="s">
        <v>3404</v>
      </c>
      <c r="D672" s="27" t="s">
        <v>1250</v>
      </c>
      <c r="E672" s="129">
        <v>44.0397827553</v>
      </c>
      <c r="F672" s="66">
        <v>323.5190246625953</v>
      </c>
      <c r="G672" s="27" t="s">
        <v>3599</v>
      </c>
      <c r="H672" s="167">
        <v>45331.0</v>
      </c>
      <c r="I672" s="167">
        <v>45339.0</v>
      </c>
      <c r="J672" s="66">
        <v>340.5687032265143</v>
      </c>
      <c r="K672" s="1"/>
      <c r="L672" s="1"/>
      <c r="M672" s="1" t="str">
        <f>VLOOKUP(B672,Bounties!A:D,3,FALSE)</f>
        <v>Operations</v>
      </c>
      <c r="N672" s="1" t="str">
        <f>VLOOKUP(B672,Bounties!A:D,4,FALSE)</f>
        <v>RPCs and Nodes</v>
      </c>
      <c r="O672" s="1" t="str">
        <f t="shared" ref="O672:P672" si="676">IF(ISBLANK(K672),M672,K672)</f>
        <v>Operations</v>
      </c>
      <c r="P672" s="1" t="str">
        <f t="shared" si="676"/>
        <v>RPCs and Nodes</v>
      </c>
      <c r="Q672" s="108" t="str">
        <f t="shared" si="3"/>
        <v>2024</v>
      </c>
      <c r="R672" s="110">
        <f t="shared" si="4"/>
        <v>2</v>
      </c>
      <c r="S672" s="108" t="str">
        <f t="shared" si="5"/>
        <v>2024-Q1</v>
      </c>
      <c r="T672" s="111" t="str">
        <f t="shared" si="6"/>
        <v>2024-02</v>
      </c>
      <c r="U672" s="112" t="str">
        <f t="shared" si="7"/>
        <v>2024-H1</v>
      </c>
      <c r="V672" s="1" t="str">
        <f>VLOOKUP(B672,Bounties!A:E,2,FALSE)</f>
        <v>System Parachains Collator Bounty</v>
      </c>
    </row>
    <row r="673" hidden="1">
      <c r="A673" s="109">
        <f>HYPERLINK("https://polkadot.subsquare.io/treasury/child-bounties/671", 671)</f>
        <v>671</v>
      </c>
      <c r="B673" s="183">
        <v>32.0</v>
      </c>
      <c r="C673" s="27" t="s">
        <v>3404</v>
      </c>
      <c r="D673" s="27" t="s">
        <v>1249</v>
      </c>
      <c r="E673" s="129">
        <v>3.6737692873</v>
      </c>
      <c r="F673" s="66">
        <v>26.987741135477304</v>
      </c>
      <c r="G673" s="27" t="s">
        <v>3598</v>
      </c>
      <c r="H673" s="167">
        <v>45331.0</v>
      </c>
      <c r="I673" s="167">
        <v>45339.0</v>
      </c>
      <c r="J673" s="66">
        <v>28.41001394309974</v>
      </c>
      <c r="K673" s="1"/>
      <c r="L673" s="1"/>
      <c r="M673" s="1" t="str">
        <f>VLOOKUP(B673,Bounties!A:D,3,FALSE)</f>
        <v>Operations</v>
      </c>
      <c r="N673" s="1" t="str">
        <f>VLOOKUP(B673,Bounties!A:D,4,FALSE)</f>
        <v>RPCs and Nodes</v>
      </c>
      <c r="O673" s="1" t="str">
        <f t="shared" ref="O673:P673" si="677">IF(ISBLANK(K673),M673,K673)</f>
        <v>Operations</v>
      </c>
      <c r="P673" s="1" t="str">
        <f t="shared" si="677"/>
        <v>RPCs and Nodes</v>
      </c>
      <c r="Q673" s="108" t="str">
        <f t="shared" si="3"/>
        <v>2024</v>
      </c>
      <c r="R673" s="110">
        <f t="shared" si="4"/>
        <v>2</v>
      </c>
      <c r="S673" s="108" t="str">
        <f t="shared" si="5"/>
        <v>2024-Q1</v>
      </c>
      <c r="T673" s="111" t="str">
        <f t="shared" si="6"/>
        <v>2024-02</v>
      </c>
      <c r="U673" s="112" t="str">
        <f t="shared" si="7"/>
        <v>2024-H1</v>
      </c>
      <c r="V673" s="1" t="str">
        <f>VLOOKUP(B673,Bounties!A:E,2,FALSE)</f>
        <v>System Parachains Collator Bounty</v>
      </c>
    </row>
    <row r="674" hidden="1">
      <c r="A674" s="109">
        <f>HYPERLINK("https://polkadot.subsquare.io/treasury/child-bounties/672", 672)</f>
        <v>672</v>
      </c>
      <c r="B674" s="183">
        <v>32.0</v>
      </c>
      <c r="C674" s="27" t="s">
        <v>3404</v>
      </c>
      <c r="D674" s="27" t="s">
        <v>1251</v>
      </c>
      <c r="E674" s="129">
        <v>43.6816869549</v>
      </c>
      <c r="F674" s="66">
        <v>320.88843030374284</v>
      </c>
      <c r="G674" s="27" t="s">
        <v>3592</v>
      </c>
      <c r="H674" s="167">
        <v>45331.0</v>
      </c>
      <c r="I674" s="167">
        <v>45339.0</v>
      </c>
      <c r="J674" s="66">
        <v>337.79947470759265</v>
      </c>
      <c r="K674" s="1"/>
      <c r="L674" s="1"/>
      <c r="M674" s="1" t="str">
        <f>VLOOKUP(B674,Bounties!A:D,3,FALSE)</f>
        <v>Operations</v>
      </c>
      <c r="N674" s="1" t="str">
        <f>VLOOKUP(B674,Bounties!A:D,4,FALSE)</f>
        <v>RPCs and Nodes</v>
      </c>
      <c r="O674" s="1" t="str">
        <f t="shared" ref="O674:P674" si="678">IF(ISBLANK(K674),M674,K674)</f>
        <v>Operations</v>
      </c>
      <c r="P674" s="1" t="str">
        <f t="shared" si="678"/>
        <v>RPCs and Nodes</v>
      </c>
      <c r="Q674" s="108" t="str">
        <f t="shared" si="3"/>
        <v>2024</v>
      </c>
      <c r="R674" s="110">
        <f t="shared" si="4"/>
        <v>2</v>
      </c>
      <c r="S674" s="108" t="str">
        <f t="shared" si="5"/>
        <v>2024-Q1</v>
      </c>
      <c r="T674" s="111" t="str">
        <f t="shared" si="6"/>
        <v>2024-02</v>
      </c>
      <c r="U674" s="112" t="str">
        <f t="shared" si="7"/>
        <v>2024-H1</v>
      </c>
      <c r="V674" s="1" t="str">
        <f>VLOOKUP(B674,Bounties!A:E,2,FALSE)</f>
        <v>System Parachains Collator Bounty</v>
      </c>
    </row>
    <row r="675" hidden="1">
      <c r="A675" s="109">
        <f>HYPERLINK("https://polkadot.subsquare.io/treasury/child-bounties/673", 673)</f>
        <v>673</v>
      </c>
      <c r="B675" s="183">
        <v>32.0</v>
      </c>
      <c r="C675" s="27" t="s">
        <v>3404</v>
      </c>
      <c r="D675" s="27" t="s">
        <v>1252</v>
      </c>
      <c r="E675" s="129">
        <v>59.2253611655</v>
      </c>
      <c r="F675" s="66">
        <v>435.0732424366153</v>
      </c>
      <c r="G675" s="27" t="s">
        <v>3596</v>
      </c>
      <c r="H675" s="167">
        <v>45331.0</v>
      </c>
      <c r="I675" s="167">
        <v>45339.0</v>
      </c>
      <c r="J675" s="66">
        <v>458.00190619307455</v>
      </c>
      <c r="K675" s="1"/>
      <c r="L675" s="1"/>
      <c r="M675" s="1" t="str">
        <f>VLOOKUP(B675,Bounties!A:D,3,FALSE)</f>
        <v>Operations</v>
      </c>
      <c r="N675" s="1" t="str">
        <f>VLOOKUP(B675,Bounties!A:D,4,FALSE)</f>
        <v>RPCs and Nodes</v>
      </c>
      <c r="O675" s="1" t="str">
        <f t="shared" ref="O675:P675" si="679">IF(ISBLANK(K675),M675,K675)</f>
        <v>Operations</v>
      </c>
      <c r="P675" s="1" t="str">
        <f t="shared" si="679"/>
        <v>RPCs and Nodes</v>
      </c>
      <c r="Q675" s="108" t="str">
        <f t="shared" si="3"/>
        <v>2024</v>
      </c>
      <c r="R675" s="110">
        <f t="shared" si="4"/>
        <v>2</v>
      </c>
      <c r="S675" s="108" t="str">
        <f t="shared" si="5"/>
        <v>2024-Q1</v>
      </c>
      <c r="T675" s="111" t="str">
        <f t="shared" si="6"/>
        <v>2024-02</v>
      </c>
      <c r="U675" s="112" t="str">
        <f t="shared" si="7"/>
        <v>2024-H1</v>
      </c>
      <c r="V675" s="1" t="str">
        <f>VLOOKUP(B675,Bounties!A:E,2,FALSE)</f>
        <v>System Parachains Collator Bounty</v>
      </c>
    </row>
    <row r="676" hidden="1">
      <c r="A676" s="109">
        <f>HYPERLINK("https://polkadot.subsquare.io/treasury/child-bounties/674", 674)</f>
        <v>674</v>
      </c>
      <c r="B676" s="183">
        <v>32.0</v>
      </c>
      <c r="C676" s="27" t="s">
        <v>3404</v>
      </c>
      <c r="D676" s="27" t="s">
        <v>1253</v>
      </c>
      <c r="E676" s="129">
        <v>59.3009312581</v>
      </c>
      <c r="F676" s="66">
        <v>435.628385108128</v>
      </c>
      <c r="G676" s="27" t="s">
        <v>3594</v>
      </c>
      <c r="H676" s="167">
        <v>45331.0</v>
      </c>
      <c r="I676" s="167">
        <v>45339.0</v>
      </c>
      <c r="J676" s="66">
        <v>458.58630527111933</v>
      </c>
      <c r="K676" s="1"/>
      <c r="L676" s="1"/>
      <c r="M676" s="1" t="str">
        <f>VLOOKUP(B676,Bounties!A:D,3,FALSE)</f>
        <v>Operations</v>
      </c>
      <c r="N676" s="1" t="str">
        <f>VLOOKUP(B676,Bounties!A:D,4,FALSE)</f>
        <v>RPCs and Nodes</v>
      </c>
      <c r="O676" s="1" t="str">
        <f t="shared" ref="O676:P676" si="680">IF(ISBLANK(K676),M676,K676)</f>
        <v>Operations</v>
      </c>
      <c r="P676" s="1" t="str">
        <f t="shared" si="680"/>
        <v>RPCs and Nodes</v>
      </c>
      <c r="Q676" s="108" t="str">
        <f t="shared" si="3"/>
        <v>2024</v>
      </c>
      <c r="R676" s="110">
        <f t="shared" si="4"/>
        <v>2</v>
      </c>
      <c r="S676" s="108" t="str">
        <f t="shared" si="5"/>
        <v>2024-Q1</v>
      </c>
      <c r="T676" s="111" t="str">
        <f t="shared" si="6"/>
        <v>2024-02</v>
      </c>
      <c r="U676" s="112" t="str">
        <f t="shared" si="7"/>
        <v>2024-H1</v>
      </c>
      <c r="V676" s="1" t="str">
        <f>VLOOKUP(B676,Bounties!A:E,2,FALSE)</f>
        <v>System Parachains Collator Bounty</v>
      </c>
    </row>
    <row r="677" hidden="1">
      <c r="A677" s="109">
        <f>HYPERLINK("https://polkadot.subsquare.io/treasury/child-bounties/675", 675)</f>
        <v>675</v>
      </c>
      <c r="B677" s="183">
        <v>32.0</v>
      </c>
      <c r="C677" s="27" t="s">
        <v>3404</v>
      </c>
      <c r="D677" s="27" t="s">
        <v>1254</v>
      </c>
      <c r="E677" s="129">
        <v>59.3009312581</v>
      </c>
      <c r="F677" s="66">
        <v>435.628385108128</v>
      </c>
      <c r="G677" s="27" t="s">
        <v>3591</v>
      </c>
      <c r="H677" s="167">
        <v>45331.0</v>
      </c>
      <c r="I677" s="167">
        <v>45339.0</v>
      </c>
      <c r="J677" s="66">
        <v>458.58630527111933</v>
      </c>
      <c r="K677" s="1"/>
      <c r="L677" s="1"/>
      <c r="M677" s="1" t="str">
        <f>VLOOKUP(B677,Bounties!A:D,3,FALSE)</f>
        <v>Operations</v>
      </c>
      <c r="N677" s="1" t="str">
        <f>VLOOKUP(B677,Bounties!A:D,4,FALSE)</f>
        <v>RPCs and Nodes</v>
      </c>
      <c r="O677" s="1" t="str">
        <f t="shared" ref="O677:P677" si="681">IF(ISBLANK(K677),M677,K677)</f>
        <v>Operations</v>
      </c>
      <c r="P677" s="1" t="str">
        <f t="shared" si="681"/>
        <v>RPCs and Nodes</v>
      </c>
      <c r="Q677" s="108" t="str">
        <f t="shared" si="3"/>
        <v>2024</v>
      </c>
      <c r="R677" s="110">
        <f t="shared" si="4"/>
        <v>2</v>
      </c>
      <c r="S677" s="108" t="str">
        <f t="shared" si="5"/>
        <v>2024-Q1</v>
      </c>
      <c r="T677" s="111" t="str">
        <f t="shared" si="6"/>
        <v>2024-02</v>
      </c>
      <c r="U677" s="112" t="str">
        <f t="shared" si="7"/>
        <v>2024-H1</v>
      </c>
      <c r="V677" s="1" t="str">
        <f>VLOOKUP(B677,Bounties!A:E,2,FALSE)</f>
        <v>System Parachains Collator Bounty</v>
      </c>
    </row>
    <row r="678" hidden="1">
      <c r="A678" s="109">
        <f>HYPERLINK("https://polkadot.subsquare.io/treasury/child-bounties/676", 676)</f>
        <v>676</v>
      </c>
      <c r="B678" s="183">
        <v>32.0</v>
      </c>
      <c r="C678" s="27" t="s">
        <v>3404</v>
      </c>
      <c r="D678" s="27" t="s">
        <v>1255</v>
      </c>
      <c r="E678" s="129">
        <v>59.347712744</v>
      </c>
      <c r="F678" s="66">
        <v>435.9720448571946</v>
      </c>
      <c r="G678" s="27" t="s">
        <v>3590</v>
      </c>
      <c r="H678" s="167">
        <v>45331.0</v>
      </c>
      <c r="I678" s="167">
        <v>45339.0</v>
      </c>
      <c r="J678" s="66">
        <v>458.94807612899336</v>
      </c>
      <c r="K678" s="1"/>
      <c r="L678" s="1"/>
      <c r="M678" s="1" t="str">
        <f>VLOOKUP(B678,Bounties!A:D,3,FALSE)</f>
        <v>Operations</v>
      </c>
      <c r="N678" s="1" t="str">
        <f>VLOOKUP(B678,Bounties!A:D,4,FALSE)</f>
        <v>RPCs and Nodes</v>
      </c>
      <c r="O678" s="1" t="str">
        <f t="shared" ref="O678:P678" si="682">IF(ISBLANK(K678),M678,K678)</f>
        <v>Operations</v>
      </c>
      <c r="P678" s="1" t="str">
        <f t="shared" si="682"/>
        <v>RPCs and Nodes</v>
      </c>
      <c r="Q678" s="108" t="str">
        <f t="shared" si="3"/>
        <v>2024</v>
      </c>
      <c r="R678" s="110">
        <f t="shared" si="4"/>
        <v>2</v>
      </c>
      <c r="S678" s="108" t="str">
        <f t="shared" si="5"/>
        <v>2024-Q1</v>
      </c>
      <c r="T678" s="111" t="str">
        <f t="shared" si="6"/>
        <v>2024-02</v>
      </c>
      <c r="U678" s="112" t="str">
        <f t="shared" si="7"/>
        <v>2024-H1</v>
      </c>
      <c r="V678" s="1" t="str">
        <f>VLOOKUP(B678,Bounties!A:E,2,FALSE)</f>
        <v>System Parachains Collator Bounty</v>
      </c>
    </row>
    <row r="679" hidden="1">
      <c r="A679" s="109">
        <f>HYPERLINK("https://polkadot.subsquare.io/treasury/child-bounties/677", 677)</f>
        <v>677</v>
      </c>
      <c r="B679" s="183">
        <v>32.0</v>
      </c>
      <c r="C679" s="27" t="s">
        <v>3404</v>
      </c>
      <c r="D679" s="27" t="s">
        <v>1256</v>
      </c>
      <c r="E679" s="129">
        <v>59.214565438</v>
      </c>
      <c r="F679" s="66">
        <v>434.9939363407899</v>
      </c>
      <c r="G679" s="27" t="s">
        <v>3595</v>
      </c>
      <c r="H679" s="167">
        <v>45331.0</v>
      </c>
      <c r="I679" s="167">
        <v>45339.0</v>
      </c>
      <c r="J679" s="66">
        <v>457.9184206106072</v>
      </c>
      <c r="K679" s="1"/>
      <c r="L679" s="1"/>
      <c r="M679" s="1" t="str">
        <f>VLOOKUP(B679,Bounties!A:D,3,FALSE)</f>
        <v>Operations</v>
      </c>
      <c r="N679" s="1" t="str">
        <f>VLOOKUP(B679,Bounties!A:D,4,FALSE)</f>
        <v>RPCs and Nodes</v>
      </c>
      <c r="O679" s="1" t="str">
        <f t="shared" ref="O679:P679" si="683">IF(ISBLANK(K679),M679,K679)</f>
        <v>Operations</v>
      </c>
      <c r="P679" s="1" t="str">
        <f t="shared" si="683"/>
        <v>RPCs and Nodes</v>
      </c>
      <c r="Q679" s="108" t="str">
        <f t="shared" si="3"/>
        <v>2024</v>
      </c>
      <c r="R679" s="110">
        <f t="shared" si="4"/>
        <v>2</v>
      </c>
      <c r="S679" s="108" t="str">
        <f t="shared" si="5"/>
        <v>2024-Q1</v>
      </c>
      <c r="T679" s="111" t="str">
        <f t="shared" si="6"/>
        <v>2024-02</v>
      </c>
      <c r="U679" s="112" t="str">
        <f t="shared" si="7"/>
        <v>2024-H1</v>
      </c>
      <c r="V679" s="1" t="str">
        <f>VLOOKUP(B679,Bounties!A:E,2,FALSE)</f>
        <v>System Parachains Collator Bounty</v>
      </c>
    </row>
    <row r="680" hidden="1">
      <c r="A680" s="109">
        <f>HYPERLINK("https://polkadot.subsquare.io/treasury/child-bounties/678", 678)</f>
        <v>678</v>
      </c>
      <c r="B680" s="183">
        <v>32.0</v>
      </c>
      <c r="C680" s="27" t="s">
        <v>3404</v>
      </c>
      <c r="D680" s="27" t="s">
        <v>1257</v>
      </c>
      <c r="E680" s="129">
        <v>59.326121289</v>
      </c>
      <c r="F680" s="66">
        <v>435.81343266554376</v>
      </c>
      <c r="G680" s="27" t="s">
        <v>3599</v>
      </c>
      <c r="H680" s="167">
        <v>45331.0</v>
      </c>
      <c r="I680" s="167">
        <v>45339.0</v>
      </c>
      <c r="J680" s="66">
        <v>458.78110496405867</v>
      </c>
      <c r="K680" s="1"/>
      <c r="L680" s="1"/>
      <c r="M680" s="1" t="str">
        <f>VLOOKUP(B680,Bounties!A:D,3,FALSE)</f>
        <v>Operations</v>
      </c>
      <c r="N680" s="1" t="str">
        <f>VLOOKUP(B680,Bounties!A:D,4,FALSE)</f>
        <v>RPCs and Nodes</v>
      </c>
      <c r="O680" s="1" t="str">
        <f t="shared" ref="O680:P680" si="684">IF(ISBLANK(K680),M680,K680)</f>
        <v>Operations</v>
      </c>
      <c r="P680" s="1" t="str">
        <f t="shared" si="684"/>
        <v>RPCs and Nodes</v>
      </c>
      <c r="Q680" s="108" t="str">
        <f t="shared" si="3"/>
        <v>2024</v>
      </c>
      <c r="R680" s="110">
        <f t="shared" si="4"/>
        <v>2</v>
      </c>
      <c r="S680" s="108" t="str">
        <f t="shared" si="5"/>
        <v>2024-Q1</v>
      </c>
      <c r="T680" s="111" t="str">
        <f t="shared" si="6"/>
        <v>2024-02</v>
      </c>
      <c r="U680" s="112" t="str">
        <f t="shared" si="7"/>
        <v>2024-H1</v>
      </c>
      <c r="V680" s="1" t="str">
        <f>VLOOKUP(B680,Bounties!A:E,2,FALSE)</f>
        <v>System Parachains Collator Bounty</v>
      </c>
    </row>
    <row r="681" hidden="1">
      <c r="A681" s="109">
        <f>HYPERLINK("https://polkadot.subsquare.io/treasury/child-bounties/679", 679)</f>
        <v>679</v>
      </c>
      <c r="B681" s="183">
        <v>32.0</v>
      </c>
      <c r="C681" s="27" t="s">
        <v>3404</v>
      </c>
      <c r="D681" s="27" t="s">
        <v>1258</v>
      </c>
      <c r="E681" s="129">
        <v>59.1713825279</v>
      </c>
      <c r="F681" s="66">
        <v>434.67671195675354</v>
      </c>
      <c r="G681" s="27" t="s">
        <v>3600</v>
      </c>
      <c r="H681" s="167">
        <v>45331.0</v>
      </c>
      <c r="I681" s="167">
        <v>45339.0</v>
      </c>
      <c r="J681" s="66">
        <v>457.58447827996446</v>
      </c>
      <c r="K681" s="1"/>
      <c r="L681" s="1"/>
      <c r="M681" s="1" t="str">
        <f>VLOOKUP(B681,Bounties!A:D,3,FALSE)</f>
        <v>Operations</v>
      </c>
      <c r="N681" s="1" t="str">
        <f>VLOOKUP(B681,Bounties!A:D,4,FALSE)</f>
        <v>RPCs and Nodes</v>
      </c>
      <c r="O681" s="1" t="str">
        <f t="shared" ref="O681:P681" si="685">IF(ISBLANK(K681),M681,K681)</f>
        <v>Operations</v>
      </c>
      <c r="P681" s="1" t="str">
        <f t="shared" si="685"/>
        <v>RPCs and Nodes</v>
      </c>
      <c r="Q681" s="108" t="str">
        <f t="shared" si="3"/>
        <v>2024</v>
      </c>
      <c r="R681" s="110">
        <f t="shared" si="4"/>
        <v>2</v>
      </c>
      <c r="S681" s="108" t="str">
        <f t="shared" si="5"/>
        <v>2024-Q1</v>
      </c>
      <c r="T681" s="111" t="str">
        <f t="shared" si="6"/>
        <v>2024-02</v>
      </c>
      <c r="U681" s="112" t="str">
        <f t="shared" si="7"/>
        <v>2024-H1</v>
      </c>
      <c r="V681" s="1" t="str">
        <f>VLOOKUP(B681,Bounties!A:E,2,FALSE)</f>
        <v>System Parachains Collator Bounty</v>
      </c>
    </row>
    <row r="682" hidden="1">
      <c r="A682" s="109">
        <f>HYPERLINK("https://polkadot.subsquare.io/treasury/child-bounties/680", 680)</f>
        <v>680</v>
      </c>
      <c r="B682" s="183">
        <v>32.0</v>
      </c>
      <c r="C682" s="27" t="s">
        <v>3404</v>
      </c>
      <c r="D682" s="27" t="s">
        <v>1259</v>
      </c>
      <c r="E682" s="129">
        <v>44.0237644056</v>
      </c>
      <c r="F682" s="66">
        <v>323.40135285434764</v>
      </c>
      <c r="G682" s="27" t="s">
        <v>3587</v>
      </c>
      <c r="H682" s="167">
        <v>45331.0</v>
      </c>
      <c r="I682" s="167">
        <v>45339.0</v>
      </c>
      <c r="J682" s="66">
        <v>340.4448300317833</v>
      </c>
      <c r="K682" s="1"/>
      <c r="L682" s="1"/>
      <c r="M682" s="1" t="str">
        <f>VLOOKUP(B682,Bounties!A:D,3,FALSE)</f>
        <v>Operations</v>
      </c>
      <c r="N682" s="1" t="str">
        <f>VLOOKUP(B682,Bounties!A:D,4,FALSE)</f>
        <v>RPCs and Nodes</v>
      </c>
      <c r="O682" s="1" t="str">
        <f t="shared" ref="O682:P682" si="686">IF(ISBLANK(K682),M682,K682)</f>
        <v>Operations</v>
      </c>
      <c r="P682" s="1" t="str">
        <f t="shared" si="686"/>
        <v>RPCs and Nodes</v>
      </c>
      <c r="Q682" s="108" t="str">
        <f t="shared" si="3"/>
        <v>2024</v>
      </c>
      <c r="R682" s="110">
        <f t="shared" si="4"/>
        <v>2</v>
      </c>
      <c r="S682" s="108" t="str">
        <f t="shared" si="5"/>
        <v>2024-Q1</v>
      </c>
      <c r="T682" s="111" t="str">
        <f t="shared" si="6"/>
        <v>2024-02</v>
      </c>
      <c r="U682" s="112" t="str">
        <f t="shared" si="7"/>
        <v>2024-H1</v>
      </c>
      <c r="V682" s="1" t="str">
        <f>VLOOKUP(B682,Bounties!A:E,2,FALSE)</f>
        <v>System Parachains Collator Bounty</v>
      </c>
    </row>
    <row r="683" hidden="1">
      <c r="A683" s="109">
        <f>HYPERLINK("https://polkadot.subsquare.io/treasury/child-bounties/681", 681)</f>
        <v>681</v>
      </c>
      <c r="B683" s="183">
        <v>32.0</v>
      </c>
      <c r="C683" s="27" t="s">
        <v>3404</v>
      </c>
      <c r="D683" s="27" t="s">
        <v>1260</v>
      </c>
      <c r="E683" s="129">
        <v>43.9836772043</v>
      </c>
      <c r="F683" s="66">
        <v>323.10686974261006</v>
      </c>
      <c r="G683" s="27" t="s">
        <v>3601</v>
      </c>
      <c r="H683" s="167">
        <v>45331.0</v>
      </c>
      <c r="I683" s="167">
        <v>45339.0</v>
      </c>
      <c r="J683" s="66">
        <v>340.13482745437324</v>
      </c>
      <c r="K683" s="1"/>
      <c r="L683" s="1"/>
      <c r="M683" s="1" t="str">
        <f>VLOOKUP(B683,Bounties!A:D,3,FALSE)</f>
        <v>Operations</v>
      </c>
      <c r="N683" s="1" t="str">
        <f>VLOOKUP(B683,Bounties!A:D,4,FALSE)</f>
        <v>RPCs and Nodes</v>
      </c>
      <c r="O683" s="1" t="str">
        <f t="shared" ref="O683:P683" si="687">IF(ISBLANK(K683),M683,K683)</f>
        <v>Operations</v>
      </c>
      <c r="P683" s="1" t="str">
        <f t="shared" si="687"/>
        <v>RPCs and Nodes</v>
      </c>
      <c r="Q683" s="108" t="str">
        <f t="shared" si="3"/>
        <v>2024</v>
      </c>
      <c r="R683" s="110">
        <f t="shared" si="4"/>
        <v>2</v>
      </c>
      <c r="S683" s="108" t="str">
        <f t="shared" si="5"/>
        <v>2024-Q1</v>
      </c>
      <c r="T683" s="111" t="str">
        <f t="shared" si="6"/>
        <v>2024-02</v>
      </c>
      <c r="U683" s="112" t="str">
        <f t="shared" si="7"/>
        <v>2024-H1</v>
      </c>
      <c r="V683" s="1" t="str">
        <f>VLOOKUP(B683,Bounties!A:E,2,FALSE)</f>
        <v>System Parachains Collator Bounty</v>
      </c>
    </row>
    <row r="684" hidden="1">
      <c r="A684" s="109">
        <f>HYPERLINK("https://polkadot.subsquare.io/treasury/child-bounties/682", 682)</f>
        <v>682</v>
      </c>
      <c r="B684" s="183">
        <v>32.0</v>
      </c>
      <c r="C684" s="27" t="s">
        <v>3404</v>
      </c>
      <c r="D684" s="27" t="s">
        <v>1261</v>
      </c>
      <c r="E684" s="129">
        <v>43.9916946446</v>
      </c>
      <c r="F684" s="66">
        <v>323.16576636525144</v>
      </c>
      <c r="G684" s="27" t="s">
        <v>3602</v>
      </c>
      <c r="H684" s="167">
        <v>45331.0</v>
      </c>
      <c r="I684" s="167">
        <v>45339.0</v>
      </c>
      <c r="J684" s="66">
        <v>340.1968279701646</v>
      </c>
      <c r="K684" s="1"/>
      <c r="L684" s="1"/>
      <c r="M684" s="1" t="str">
        <f>VLOOKUP(B684,Bounties!A:D,3,FALSE)</f>
        <v>Operations</v>
      </c>
      <c r="N684" s="1" t="str">
        <f>VLOOKUP(B684,Bounties!A:D,4,FALSE)</f>
        <v>RPCs and Nodes</v>
      </c>
      <c r="O684" s="1" t="str">
        <f t="shared" ref="O684:P684" si="688">IF(ISBLANK(K684),M684,K684)</f>
        <v>Operations</v>
      </c>
      <c r="P684" s="1" t="str">
        <f t="shared" si="688"/>
        <v>RPCs and Nodes</v>
      </c>
      <c r="Q684" s="108" t="str">
        <f t="shared" si="3"/>
        <v>2024</v>
      </c>
      <c r="R684" s="110">
        <f t="shared" si="4"/>
        <v>2</v>
      </c>
      <c r="S684" s="108" t="str">
        <f t="shared" si="5"/>
        <v>2024-Q1</v>
      </c>
      <c r="T684" s="111" t="str">
        <f t="shared" si="6"/>
        <v>2024-02</v>
      </c>
      <c r="U684" s="112" t="str">
        <f t="shared" si="7"/>
        <v>2024-H1</v>
      </c>
      <c r="V684" s="1" t="str">
        <f>VLOOKUP(B684,Bounties!A:E,2,FALSE)</f>
        <v>System Parachains Collator Bounty</v>
      </c>
    </row>
    <row r="685" hidden="1">
      <c r="A685" s="109">
        <f>HYPERLINK("https://polkadot.subsquare.io/treasury/child-bounties/683", 683)</f>
        <v>683</v>
      </c>
      <c r="B685" s="183">
        <v>32.0</v>
      </c>
      <c r="C685" s="27" t="s">
        <v>3404</v>
      </c>
      <c r="D685" s="27" t="s">
        <v>1262</v>
      </c>
      <c r="E685" s="129">
        <v>44.0852314475</v>
      </c>
      <c r="F685" s="66">
        <v>323.85289362499304</v>
      </c>
      <c r="G685" s="27" t="s">
        <v>3589</v>
      </c>
      <c r="H685" s="167">
        <v>45331.0</v>
      </c>
      <c r="I685" s="167">
        <v>45339.0</v>
      </c>
      <c r="J685" s="66">
        <v>340.9201673164236</v>
      </c>
      <c r="K685" s="1"/>
      <c r="L685" s="1"/>
      <c r="M685" s="1" t="str">
        <f>VLOOKUP(B685,Bounties!A:D,3,FALSE)</f>
        <v>Operations</v>
      </c>
      <c r="N685" s="1" t="str">
        <f>VLOOKUP(B685,Bounties!A:D,4,FALSE)</f>
        <v>RPCs and Nodes</v>
      </c>
      <c r="O685" s="1" t="str">
        <f t="shared" ref="O685:P685" si="689">IF(ISBLANK(K685),M685,K685)</f>
        <v>Operations</v>
      </c>
      <c r="P685" s="1" t="str">
        <f t="shared" si="689"/>
        <v>RPCs and Nodes</v>
      </c>
      <c r="Q685" s="108" t="str">
        <f t="shared" si="3"/>
        <v>2024</v>
      </c>
      <c r="R685" s="110">
        <f t="shared" si="4"/>
        <v>2</v>
      </c>
      <c r="S685" s="108" t="str">
        <f t="shared" si="5"/>
        <v>2024-Q1</v>
      </c>
      <c r="T685" s="111" t="str">
        <f t="shared" si="6"/>
        <v>2024-02</v>
      </c>
      <c r="U685" s="112" t="str">
        <f t="shared" si="7"/>
        <v>2024-H1</v>
      </c>
      <c r="V685" s="1" t="str">
        <f>VLOOKUP(B685,Bounties!A:E,2,FALSE)</f>
        <v>System Parachains Collator Bounty</v>
      </c>
    </row>
    <row r="686" hidden="1">
      <c r="A686" s="109">
        <f>HYPERLINK("https://polkadot.subsquare.io/treasury/child-bounties/684", 684)</f>
        <v>684</v>
      </c>
      <c r="B686" s="183">
        <v>32.0</v>
      </c>
      <c r="C686" s="27" t="s">
        <v>3404</v>
      </c>
      <c r="D686" s="27" t="s">
        <v>1263</v>
      </c>
      <c r="E686" s="129">
        <v>10.6387804937</v>
      </c>
      <c r="F686" s="66">
        <v>78.15315320798345</v>
      </c>
      <c r="G686" s="27" t="s">
        <v>3407</v>
      </c>
      <c r="H686" s="167">
        <v>45331.0</v>
      </c>
      <c r="I686" s="167">
        <v>45339.0</v>
      </c>
      <c r="J686" s="66">
        <v>82.27187896867869</v>
      </c>
      <c r="K686" s="1"/>
      <c r="L686" s="1"/>
      <c r="M686" s="1" t="str">
        <f>VLOOKUP(B686,Bounties!A:D,3,FALSE)</f>
        <v>Operations</v>
      </c>
      <c r="N686" s="1" t="str">
        <f>VLOOKUP(B686,Bounties!A:D,4,FALSE)</f>
        <v>RPCs and Nodes</v>
      </c>
      <c r="O686" s="1" t="str">
        <f t="shared" ref="O686:P686" si="690">IF(ISBLANK(K686),M686,K686)</f>
        <v>Operations</v>
      </c>
      <c r="P686" s="1" t="str">
        <f t="shared" si="690"/>
        <v>RPCs and Nodes</v>
      </c>
      <c r="Q686" s="108" t="str">
        <f t="shared" si="3"/>
        <v>2024</v>
      </c>
      <c r="R686" s="110">
        <f t="shared" si="4"/>
        <v>2</v>
      </c>
      <c r="S686" s="108" t="str">
        <f t="shared" si="5"/>
        <v>2024-Q1</v>
      </c>
      <c r="T686" s="111" t="str">
        <f t="shared" si="6"/>
        <v>2024-02</v>
      </c>
      <c r="U686" s="112" t="str">
        <f t="shared" si="7"/>
        <v>2024-H1</v>
      </c>
      <c r="V686" s="1" t="str">
        <f>VLOOKUP(B686,Bounties!A:E,2,FALSE)</f>
        <v>System Parachains Collator Bounty</v>
      </c>
    </row>
    <row r="687" hidden="1">
      <c r="A687" s="109">
        <f>HYPERLINK("https://polkadot.subsquare.io/treasury/child-bounties/685", 685)</f>
        <v>685</v>
      </c>
      <c r="B687" s="183">
        <v>32.0</v>
      </c>
      <c r="C687" s="27" t="s">
        <v>3404</v>
      </c>
      <c r="D687" s="27" t="s">
        <v>1264</v>
      </c>
      <c r="E687" s="129">
        <v>10.6387804937</v>
      </c>
      <c r="F687" s="66">
        <v>78.15315320798345</v>
      </c>
      <c r="G687" s="27" t="s">
        <v>3406</v>
      </c>
      <c r="H687" s="167">
        <v>45331.0</v>
      </c>
      <c r="I687" s="167">
        <v>45339.0</v>
      </c>
      <c r="J687" s="66">
        <v>82.27187896867869</v>
      </c>
      <c r="K687" s="1"/>
      <c r="L687" s="1"/>
      <c r="M687" s="1" t="str">
        <f>VLOOKUP(B687,Bounties!A:D,3,FALSE)</f>
        <v>Operations</v>
      </c>
      <c r="N687" s="1" t="str">
        <f>VLOOKUP(B687,Bounties!A:D,4,FALSE)</f>
        <v>RPCs and Nodes</v>
      </c>
      <c r="O687" s="1" t="str">
        <f t="shared" ref="O687:P687" si="691">IF(ISBLANK(K687),M687,K687)</f>
        <v>Operations</v>
      </c>
      <c r="P687" s="1" t="str">
        <f t="shared" si="691"/>
        <v>RPCs and Nodes</v>
      </c>
      <c r="Q687" s="108" t="str">
        <f t="shared" si="3"/>
        <v>2024</v>
      </c>
      <c r="R687" s="110">
        <f t="shared" si="4"/>
        <v>2</v>
      </c>
      <c r="S687" s="108" t="str">
        <f t="shared" si="5"/>
        <v>2024-Q1</v>
      </c>
      <c r="T687" s="111" t="str">
        <f t="shared" si="6"/>
        <v>2024-02</v>
      </c>
      <c r="U687" s="112" t="str">
        <f t="shared" si="7"/>
        <v>2024-H1</v>
      </c>
      <c r="V687" s="1" t="str">
        <f>VLOOKUP(B687,Bounties!A:E,2,FALSE)</f>
        <v>System Parachains Collator Bounty</v>
      </c>
    </row>
    <row r="688" hidden="1">
      <c r="A688" s="109">
        <f>HYPERLINK("https://polkadot.subsquare.io/treasury/child-bounties/686", 686)</f>
        <v>686</v>
      </c>
      <c r="B688" s="183">
        <v>32.0</v>
      </c>
      <c r="C688" s="27" t="s">
        <v>3404</v>
      </c>
      <c r="D688" s="27" t="s">
        <v>1265</v>
      </c>
      <c r="E688" s="129">
        <v>10.6387804937</v>
      </c>
      <c r="F688" s="66">
        <v>78.15315320798345</v>
      </c>
      <c r="G688" s="27" t="s">
        <v>3411</v>
      </c>
      <c r="H688" s="167">
        <v>45331.0</v>
      </c>
      <c r="I688" s="167">
        <v>45339.0</v>
      </c>
      <c r="J688" s="66">
        <v>82.27187896867869</v>
      </c>
      <c r="K688" s="1"/>
      <c r="L688" s="1"/>
      <c r="M688" s="1" t="str">
        <f>VLOOKUP(B688,Bounties!A:D,3,FALSE)</f>
        <v>Operations</v>
      </c>
      <c r="N688" s="1" t="str">
        <f>VLOOKUP(B688,Bounties!A:D,4,FALSE)</f>
        <v>RPCs and Nodes</v>
      </c>
      <c r="O688" s="1" t="str">
        <f t="shared" ref="O688:P688" si="692">IF(ISBLANK(K688),M688,K688)</f>
        <v>Operations</v>
      </c>
      <c r="P688" s="1" t="str">
        <f t="shared" si="692"/>
        <v>RPCs and Nodes</v>
      </c>
      <c r="Q688" s="108" t="str">
        <f t="shared" si="3"/>
        <v>2024</v>
      </c>
      <c r="R688" s="110">
        <f t="shared" si="4"/>
        <v>2</v>
      </c>
      <c r="S688" s="108" t="str">
        <f t="shared" si="5"/>
        <v>2024-Q1</v>
      </c>
      <c r="T688" s="111" t="str">
        <f t="shared" si="6"/>
        <v>2024-02</v>
      </c>
      <c r="U688" s="112" t="str">
        <f t="shared" si="7"/>
        <v>2024-H1</v>
      </c>
      <c r="V688" s="1" t="str">
        <f>VLOOKUP(B688,Bounties!A:E,2,FALSE)</f>
        <v>System Parachains Collator Bounty</v>
      </c>
    </row>
    <row r="689" hidden="1">
      <c r="A689" s="109">
        <f>HYPERLINK("https://polkadot.subsquare.io/treasury/child-bounties/687", 687)</f>
        <v>687</v>
      </c>
      <c r="B689" s="183">
        <v>32.0</v>
      </c>
      <c r="C689" s="27" t="s">
        <v>3404</v>
      </c>
      <c r="D689" s="27" t="s">
        <v>1249</v>
      </c>
      <c r="E689" s="129">
        <v>3.6737692873</v>
      </c>
      <c r="F689" s="66">
        <v>26.987741135477304</v>
      </c>
      <c r="G689" s="27" t="s">
        <v>3598</v>
      </c>
      <c r="H689" s="167">
        <v>45331.0</v>
      </c>
      <c r="I689" s="167">
        <v>45339.0</v>
      </c>
      <c r="J689" s="66">
        <v>28.41001394309974</v>
      </c>
      <c r="K689" s="1"/>
      <c r="L689" s="1"/>
      <c r="M689" s="1" t="str">
        <f>VLOOKUP(B689,Bounties!A:D,3,FALSE)</f>
        <v>Operations</v>
      </c>
      <c r="N689" s="1" t="str">
        <f>VLOOKUP(B689,Bounties!A:D,4,FALSE)</f>
        <v>RPCs and Nodes</v>
      </c>
      <c r="O689" s="1" t="str">
        <f t="shared" ref="O689:P689" si="693">IF(ISBLANK(K689),M689,K689)</f>
        <v>Operations</v>
      </c>
      <c r="P689" s="1" t="str">
        <f t="shared" si="693"/>
        <v>RPCs and Nodes</v>
      </c>
      <c r="Q689" s="108" t="str">
        <f t="shared" si="3"/>
        <v>2024</v>
      </c>
      <c r="R689" s="110">
        <f t="shared" si="4"/>
        <v>2</v>
      </c>
      <c r="S689" s="108" t="str">
        <f t="shared" si="5"/>
        <v>2024-Q1</v>
      </c>
      <c r="T689" s="111" t="str">
        <f t="shared" si="6"/>
        <v>2024-02</v>
      </c>
      <c r="U689" s="112" t="str">
        <f t="shared" si="7"/>
        <v>2024-H1</v>
      </c>
      <c r="V689" s="1" t="str">
        <f>VLOOKUP(B689,Bounties!A:E,2,FALSE)</f>
        <v>System Parachains Collator Bounty</v>
      </c>
    </row>
    <row r="690" hidden="1">
      <c r="A690" s="109">
        <f>HYPERLINK("https://polkadot.subsquare.io/treasury/child-bounties/688", 688)</f>
        <v>688</v>
      </c>
      <c r="B690" s="183">
        <v>32.0</v>
      </c>
      <c r="C690" s="27" t="s">
        <v>3404</v>
      </c>
      <c r="D690" s="27" t="s">
        <v>1266</v>
      </c>
      <c r="E690" s="129">
        <v>43.9206510466</v>
      </c>
      <c r="F690" s="66">
        <v>322.6438756088599</v>
      </c>
      <c r="G690" s="27" t="s">
        <v>3603</v>
      </c>
      <c r="H690" s="167">
        <v>45331.0</v>
      </c>
      <c r="I690" s="167">
        <v>45339.0</v>
      </c>
      <c r="J690" s="66">
        <v>339.64743320639286</v>
      </c>
      <c r="K690" s="1"/>
      <c r="L690" s="1"/>
      <c r="M690" s="1" t="str">
        <f>VLOOKUP(B690,Bounties!A:D,3,FALSE)</f>
        <v>Operations</v>
      </c>
      <c r="N690" s="1" t="str">
        <f>VLOOKUP(B690,Bounties!A:D,4,FALSE)</f>
        <v>RPCs and Nodes</v>
      </c>
      <c r="O690" s="1" t="str">
        <f t="shared" ref="O690:P690" si="694">IF(ISBLANK(K690),M690,K690)</f>
        <v>Operations</v>
      </c>
      <c r="P690" s="1" t="str">
        <f t="shared" si="694"/>
        <v>RPCs and Nodes</v>
      </c>
      <c r="Q690" s="108" t="str">
        <f t="shared" si="3"/>
        <v>2024</v>
      </c>
      <c r="R690" s="110">
        <f t="shared" si="4"/>
        <v>2</v>
      </c>
      <c r="S690" s="108" t="str">
        <f t="shared" si="5"/>
        <v>2024-Q1</v>
      </c>
      <c r="T690" s="111" t="str">
        <f t="shared" si="6"/>
        <v>2024-02</v>
      </c>
      <c r="U690" s="112" t="str">
        <f t="shared" si="7"/>
        <v>2024-H1</v>
      </c>
      <c r="V690" s="1" t="str">
        <f>VLOOKUP(B690,Bounties!A:E,2,FALSE)</f>
        <v>System Parachains Collator Bounty</v>
      </c>
    </row>
    <row r="691" hidden="1">
      <c r="A691" s="109">
        <f>HYPERLINK("https://polkadot.subsquare.io/treasury/child-bounties/689", 689)</f>
        <v>689</v>
      </c>
      <c r="B691" s="183">
        <v>32.0</v>
      </c>
      <c r="C691" s="27" t="s">
        <v>3404</v>
      </c>
      <c r="D691" s="27" t="s">
        <v>1267</v>
      </c>
      <c r="E691" s="129">
        <v>44.0071254945</v>
      </c>
      <c r="F691" s="66">
        <v>323.2791223628753</v>
      </c>
      <c r="G691" s="27" t="s">
        <v>3591</v>
      </c>
      <c r="H691" s="167">
        <v>45331.0</v>
      </c>
      <c r="I691" s="167">
        <v>45339.0</v>
      </c>
      <c r="J691" s="66">
        <v>340.3161579080375</v>
      </c>
      <c r="K691" s="1"/>
      <c r="L691" s="1"/>
      <c r="M691" s="1" t="str">
        <f>VLOOKUP(B691,Bounties!A:D,3,FALSE)</f>
        <v>Operations</v>
      </c>
      <c r="N691" s="1" t="str">
        <f>VLOOKUP(B691,Bounties!A:D,4,FALSE)</f>
        <v>RPCs and Nodes</v>
      </c>
      <c r="O691" s="1" t="str">
        <f t="shared" ref="O691:P691" si="695">IF(ISBLANK(K691),M691,K691)</f>
        <v>Operations</v>
      </c>
      <c r="P691" s="1" t="str">
        <f t="shared" si="695"/>
        <v>RPCs and Nodes</v>
      </c>
      <c r="Q691" s="108" t="str">
        <f t="shared" si="3"/>
        <v>2024</v>
      </c>
      <c r="R691" s="110">
        <f t="shared" si="4"/>
        <v>2</v>
      </c>
      <c r="S691" s="108" t="str">
        <f t="shared" si="5"/>
        <v>2024-Q1</v>
      </c>
      <c r="T691" s="111" t="str">
        <f t="shared" si="6"/>
        <v>2024-02</v>
      </c>
      <c r="U691" s="112" t="str">
        <f t="shared" si="7"/>
        <v>2024-H1</v>
      </c>
      <c r="V691" s="1" t="str">
        <f>VLOOKUP(B691,Bounties!A:E,2,FALSE)</f>
        <v>System Parachains Collator Bounty</v>
      </c>
    </row>
    <row r="692" hidden="1">
      <c r="A692" s="109">
        <f>HYPERLINK("https://polkadot.subsquare.io/treasury/child-bounties/690", 690)</f>
        <v>690</v>
      </c>
      <c r="B692" s="183">
        <v>32.0</v>
      </c>
      <c r="C692" s="27" t="s">
        <v>3404</v>
      </c>
      <c r="D692" s="27" t="s">
        <v>1268</v>
      </c>
      <c r="E692" s="129">
        <v>44.0573364643</v>
      </c>
      <c r="F692" s="66">
        <v>323.64797531719876</v>
      </c>
      <c r="G692" s="27" t="s">
        <v>3604</v>
      </c>
      <c r="H692" s="167">
        <v>45331.0</v>
      </c>
      <c r="I692" s="167">
        <v>45339.0</v>
      </c>
      <c r="J692" s="66">
        <v>340.70444967068187</v>
      </c>
      <c r="K692" s="1"/>
      <c r="L692" s="1"/>
      <c r="M692" s="1" t="str">
        <f>VLOOKUP(B692,Bounties!A:D,3,FALSE)</f>
        <v>Operations</v>
      </c>
      <c r="N692" s="1" t="str">
        <f>VLOOKUP(B692,Bounties!A:D,4,FALSE)</f>
        <v>RPCs and Nodes</v>
      </c>
      <c r="O692" s="1" t="str">
        <f t="shared" ref="O692:P692" si="696">IF(ISBLANK(K692),M692,K692)</f>
        <v>Operations</v>
      </c>
      <c r="P692" s="1" t="str">
        <f t="shared" si="696"/>
        <v>RPCs and Nodes</v>
      </c>
      <c r="Q692" s="108" t="str">
        <f t="shared" si="3"/>
        <v>2024</v>
      </c>
      <c r="R692" s="110">
        <f t="shared" si="4"/>
        <v>2</v>
      </c>
      <c r="S692" s="108" t="str">
        <f t="shared" si="5"/>
        <v>2024-Q1</v>
      </c>
      <c r="T692" s="111" t="str">
        <f t="shared" si="6"/>
        <v>2024-02</v>
      </c>
      <c r="U692" s="112" t="str">
        <f t="shared" si="7"/>
        <v>2024-H1</v>
      </c>
      <c r="V692" s="1" t="str">
        <f>VLOOKUP(B692,Bounties!A:E,2,FALSE)</f>
        <v>System Parachains Collator Bounty</v>
      </c>
    </row>
    <row r="693" hidden="1">
      <c r="A693" s="109">
        <f>HYPERLINK("https://polkadot.subsquare.io/treasury/child-bounties/691", 691)</f>
        <v>691</v>
      </c>
      <c r="B693" s="183">
        <v>32.0</v>
      </c>
      <c r="C693" s="27" t="s">
        <v>3404</v>
      </c>
      <c r="D693" s="27" t="s">
        <v>1269</v>
      </c>
      <c r="E693" s="129">
        <v>44.0405994743</v>
      </c>
      <c r="F693" s="66">
        <v>323.52502433193456</v>
      </c>
      <c r="G693" s="27" t="s">
        <v>3590</v>
      </c>
      <c r="H693" s="167">
        <v>45331.0</v>
      </c>
      <c r="I693" s="167">
        <v>45339.0</v>
      </c>
      <c r="J693" s="66">
        <v>340.5750190826182</v>
      </c>
      <c r="K693" s="1"/>
      <c r="L693" s="1"/>
      <c r="M693" s="1" t="str">
        <f>VLOOKUP(B693,Bounties!A:D,3,FALSE)</f>
        <v>Operations</v>
      </c>
      <c r="N693" s="1" t="str">
        <f>VLOOKUP(B693,Bounties!A:D,4,FALSE)</f>
        <v>RPCs and Nodes</v>
      </c>
      <c r="O693" s="1" t="str">
        <f t="shared" ref="O693:P693" si="697">IF(ISBLANK(K693),M693,K693)</f>
        <v>Operations</v>
      </c>
      <c r="P693" s="1" t="str">
        <f t="shared" si="697"/>
        <v>RPCs and Nodes</v>
      </c>
      <c r="Q693" s="108" t="str">
        <f t="shared" si="3"/>
        <v>2024</v>
      </c>
      <c r="R693" s="110">
        <f t="shared" si="4"/>
        <v>2</v>
      </c>
      <c r="S693" s="108" t="str">
        <f t="shared" si="5"/>
        <v>2024-Q1</v>
      </c>
      <c r="T693" s="111" t="str">
        <f t="shared" si="6"/>
        <v>2024-02</v>
      </c>
      <c r="U693" s="112" t="str">
        <f t="shared" si="7"/>
        <v>2024-H1</v>
      </c>
      <c r="V693" s="1" t="str">
        <f>VLOOKUP(B693,Bounties!A:E,2,FALSE)</f>
        <v>System Parachains Collator Bounty</v>
      </c>
    </row>
    <row r="694" hidden="1">
      <c r="A694" s="109">
        <f>HYPERLINK("https://polkadot.subsquare.io/treasury/child-bounties/692", 692)</f>
        <v>692</v>
      </c>
      <c r="B694" s="183">
        <v>32.0</v>
      </c>
      <c r="C694" s="27" t="s">
        <v>3404</v>
      </c>
      <c r="D694" s="27" t="s">
        <v>1270</v>
      </c>
      <c r="E694" s="129">
        <v>43.9903885046</v>
      </c>
      <c r="F694" s="66">
        <v>323.15617137834556</v>
      </c>
      <c r="G694" s="27" t="s">
        <v>3605</v>
      </c>
      <c r="H694" s="167">
        <v>45331.0</v>
      </c>
      <c r="I694" s="167">
        <v>45339.0</v>
      </c>
      <c r="J694" s="66">
        <v>340.1867273207471</v>
      </c>
      <c r="K694" s="1"/>
      <c r="L694" s="1"/>
      <c r="M694" s="1" t="str">
        <f>VLOOKUP(B694,Bounties!A:D,3,FALSE)</f>
        <v>Operations</v>
      </c>
      <c r="N694" s="1" t="str">
        <f>VLOOKUP(B694,Bounties!A:D,4,FALSE)</f>
        <v>RPCs and Nodes</v>
      </c>
      <c r="O694" s="1" t="str">
        <f t="shared" ref="O694:P694" si="698">IF(ISBLANK(K694),M694,K694)</f>
        <v>Operations</v>
      </c>
      <c r="P694" s="1" t="str">
        <f t="shared" si="698"/>
        <v>RPCs and Nodes</v>
      </c>
      <c r="Q694" s="108" t="str">
        <f t="shared" si="3"/>
        <v>2024</v>
      </c>
      <c r="R694" s="110">
        <f t="shared" si="4"/>
        <v>2</v>
      </c>
      <c r="S694" s="108" t="str">
        <f t="shared" si="5"/>
        <v>2024-Q1</v>
      </c>
      <c r="T694" s="111" t="str">
        <f t="shared" si="6"/>
        <v>2024-02</v>
      </c>
      <c r="U694" s="112" t="str">
        <f t="shared" si="7"/>
        <v>2024-H1</v>
      </c>
      <c r="V694" s="1" t="str">
        <f>VLOOKUP(B694,Bounties!A:E,2,FALSE)</f>
        <v>System Parachains Collator Bounty</v>
      </c>
    </row>
    <row r="695" hidden="1">
      <c r="A695" s="109">
        <f>HYPERLINK("https://polkadot.subsquare.io/treasury/child-bounties/693", 693)</f>
        <v>693</v>
      </c>
      <c r="B695" s="183">
        <v>32.0</v>
      </c>
      <c r="C695" s="27" t="s">
        <v>3404</v>
      </c>
      <c r="D695" s="27" t="s">
        <v>1271</v>
      </c>
      <c r="E695" s="129">
        <v>59.1968366912</v>
      </c>
      <c r="F695" s="66">
        <v>434.86369984745625</v>
      </c>
      <c r="G695" s="27" t="s">
        <v>3589</v>
      </c>
      <c r="H695" s="167">
        <v>45331.0</v>
      </c>
      <c r="I695" s="167">
        <v>45339.0</v>
      </c>
      <c r="J695" s="66">
        <v>457.7813205631102</v>
      </c>
      <c r="K695" s="1"/>
      <c r="L695" s="1"/>
      <c r="M695" s="1" t="str">
        <f>VLOOKUP(B695,Bounties!A:D,3,FALSE)</f>
        <v>Operations</v>
      </c>
      <c r="N695" s="1" t="str">
        <f>VLOOKUP(B695,Bounties!A:D,4,FALSE)</f>
        <v>RPCs and Nodes</v>
      </c>
      <c r="O695" s="1" t="str">
        <f t="shared" ref="O695:P695" si="699">IF(ISBLANK(K695),M695,K695)</f>
        <v>Operations</v>
      </c>
      <c r="P695" s="1" t="str">
        <f t="shared" si="699"/>
        <v>RPCs and Nodes</v>
      </c>
      <c r="Q695" s="108" t="str">
        <f t="shared" si="3"/>
        <v>2024</v>
      </c>
      <c r="R695" s="110">
        <f t="shared" si="4"/>
        <v>2</v>
      </c>
      <c r="S695" s="108" t="str">
        <f t="shared" si="5"/>
        <v>2024-Q1</v>
      </c>
      <c r="T695" s="111" t="str">
        <f t="shared" si="6"/>
        <v>2024-02</v>
      </c>
      <c r="U695" s="112" t="str">
        <f t="shared" si="7"/>
        <v>2024-H1</v>
      </c>
      <c r="V695" s="1" t="str">
        <f>VLOOKUP(B695,Bounties!A:E,2,FALSE)</f>
        <v>System Parachains Collator Bounty</v>
      </c>
    </row>
    <row r="696" hidden="1">
      <c r="A696" s="109">
        <f>HYPERLINK("https://polkadot.subsquare.io/treasury/child-bounties/694", 694)</f>
        <v>694</v>
      </c>
      <c r="B696" s="183">
        <v>32.0</v>
      </c>
      <c r="C696" s="27" t="s">
        <v>3404</v>
      </c>
      <c r="D696" s="27" t="s">
        <v>1272</v>
      </c>
      <c r="E696" s="129">
        <v>59.3621070474</v>
      </c>
      <c r="F696" s="66">
        <v>436.07778631878494</v>
      </c>
      <c r="G696" s="27" t="s">
        <v>3587</v>
      </c>
      <c r="H696" s="167">
        <v>45331.0</v>
      </c>
      <c r="I696" s="167">
        <v>45339.0</v>
      </c>
      <c r="J696" s="66">
        <v>459.0593902394654</v>
      </c>
      <c r="K696" s="1"/>
      <c r="L696" s="1"/>
      <c r="M696" s="1" t="str">
        <f>VLOOKUP(B696,Bounties!A:D,3,FALSE)</f>
        <v>Operations</v>
      </c>
      <c r="N696" s="1" t="str">
        <f>VLOOKUP(B696,Bounties!A:D,4,FALSE)</f>
        <v>RPCs and Nodes</v>
      </c>
      <c r="O696" s="1" t="str">
        <f t="shared" ref="O696:P696" si="700">IF(ISBLANK(K696),M696,K696)</f>
        <v>Operations</v>
      </c>
      <c r="P696" s="1" t="str">
        <f t="shared" si="700"/>
        <v>RPCs and Nodes</v>
      </c>
      <c r="Q696" s="108" t="str">
        <f t="shared" si="3"/>
        <v>2024</v>
      </c>
      <c r="R696" s="110">
        <f t="shared" si="4"/>
        <v>2</v>
      </c>
      <c r="S696" s="108" t="str">
        <f t="shared" si="5"/>
        <v>2024-Q1</v>
      </c>
      <c r="T696" s="111" t="str">
        <f t="shared" si="6"/>
        <v>2024-02</v>
      </c>
      <c r="U696" s="112" t="str">
        <f t="shared" si="7"/>
        <v>2024-H1</v>
      </c>
      <c r="V696" s="1" t="str">
        <f>VLOOKUP(B696,Bounties!A:E,2,FALSE)</f>
        <v>System Parachains Collator Bounty</v>
      </c>
    </row>
    <row r="697" hidden="1">
      <c r="A697" s="109">
        <f>HYPERLINK("https://polkadot.subsquare.io/treasury/child-bounties/695", 695)</f>
        <v>695</v>
      </c>
      <c r="B697" s="183">
        <v>32.0</v>
      </c>
      <c r="C697" s="27" t="s">
        <v>3404</v>
      </c>
      <c r="D697" s="27" t="s">
        <v>1273</v>
      </c>
      <c r="E697" s="129">
        <v>59.2569350025</v>
      </c>
      <c r="F697" s="66">
        <v>435.3051858366964</v>
      </c>
      <c r="G697" s="27" t="s">
        <v>3596</v>
      </c>
      <c r="H697" s="167">
        <v>45331.0</v>
      </c>
      <c r="I697" s="167">
        <v>45339.0</v>
      </c>
      <c r="J697" s="66">
        <v>458.24607317234245</v>
      </c>
      <c r="K697" s="1"/>
      <c r="L697" s="1"/>
      <c r="M697" s="1" t="str">
        <f>VLOOKUP(B697,Bounties!A:D,3,FALSE)</f>
        <v>Operations</v>
      </c>
      <c r="N697" s="1" t="str">
        <f>VLOOKUP(B697,Bounties!A:D,4,FALSE)</f>
        <v>RPCs and Nodes</v>
      </c>
      <c r="O697" s="1" t="str">
        <f t="shared" ref="O697:P697" si="701">IF(ISBLANK(K697),M697,K697)</f>
        <v>Operations</v>
      </c>
      <c r="P697" s="1" t="str">
        <f t="shared" si="701"/>
        <v>RPCs and Nodes</v>
      </c>
      <c r="Q697" s="108" t="str">
        <f t="shared" si="3"/>
        <v>2024</v>
      </c>
      <c r="R697" s="110">
        <f t="shared" si="4"/>
        <v>2</v>
      </c>
      <c r="S697" s="108" t="str">
        <f t="shared" si="5"/>
        <v>2024-Q1</v>
      </c>
      <c r="T697" s="111" t="str">
        <f t="shared" si="6"/>
        <v>2024-02</v>
      </c>
      <c r="U697" s="112" t="str">
        <f t="shared" si="7"/>
        <v>2024-H1</v>
      </c>
      <c r="V697" s="1" t="str">
        <f>VLOOKUP(B697,Bounties!A:E,2,FALSE)</f>
        <v>System Parachains Collator Bounty</v>
      </c>
    </row>
    <row r="698" hidden="1">
      <c r="A698" s="109">
        <f>HYPERLINK("https://polkadot.subsquare.io/treasury/child-bounties/696", 696)</f>
        <v>696</v>
      </c>
      <c r="B698" s="183">
        <v>32.0</v>
      </c>
      <c r="C698" s="27" t="s">
        <v>3404</v>
      </c>
      <c r="D698" s="27" t="s">
        <v>1274</v>
      </c>
      <c r="E698" s="129">
        <v>59.1292260909</v>
      </c>
      <c r="F698" s="66">
        <v>434.3670281089183</v>
      </c>
      <c r="G698" s="27" t="s">
        <v>3606</v>
      </c>
      <c r="H698" s="167">
        <v>45331.0</v>
      </c>
      <c r="I698" s="167">
        <v>45339.0</v>
      </c>
      <c r="J698" s="66">
        <v>457.2584738770474</v>
      </c>
      <c r="K698" s="1"/>
      <c r="L698" s="1"/>
      <c r="M698" s="1" t="str">
        <f>VLOOKUP(B698,Bounties!A:D,3,FALSE)</f>
        <v>Operations</v>
      </c>
      <c r="N698" s="1" t="str">
        <f>VLOOKUP(B698,Bounties!A:D,4,FALSE)</f>
        <v>RPCs and Nodes</v>
      </c>
      <c r="O698" s="1" t="str">
        <f t="shared" ref="O698:P698" si="702">IF(ISBLANK(K698),M698,K698)</f>
        <v>Operations</v>
      </c>
      <c r="P698" s="1" t="str">
        <f t="shared" si="702"/>
        <v>RPCs and Nodes</v>
      </c>
      <c r="Q698" s="108" t="str">
        <f t="shared" si="3"/>
        <v>2024</v>
      </c>
      <c r="R698" s="110">
        <f t="shared" si="4"/>
        <v>2</v>
      </c>
      <c r="S698" s="108" t="str">
        <f t="shared" si="5"/>
        <v>2024-Q1</v>
      </c>
      <c r="T698" s="111" t="str">
        <f t="shared" si="6"/>
        <v>2024-02</v>
      </c>
      <c r="U698" s="112" t="str">
        <f t="shared" si="7"/>
        <v>2024-H1</v>
      </c>
      <c r="V698" s="1" t="str">
        <f>VLOOKUP(B698,Bounties!A:E,2,FALSE)</f>
        <v>System Parachains Collator Bounty</v>
      </c>
    </row>
    <row r="699" hidden="1">
      <c r="A699" s="109">
        <f>HYPERLINK("https://polkadot.subsquare.io/treasury/child-bounties/697", 697)</f>
        <v>697</v>
      </c>
      <c r="B699" s="183">
        <v>32.0</v>
      </c>
      <c r="C699" s="27" t="s">
        <v>3404</v>
      </c>
      <c r="D699" s="27" t="s">
        <v>1275</v>
      </c>
      <c r="E699" s="129">
        <v>59.2193735579</v>
      </c>
      <c r="F699" s="66">
        <v>435.0292570931458</v>
      </c>
      <c r="G699" s="27" t="s">
        <v>3607</v>
      </c>
      <c r="H699" s="167">
        <v>45331.0</v>
      </c>
      <c r="I699" s="167">
        <v>45339.0</v>
      </c>
      <c r="J699" s="66">
        <v>457.95560279128233</v>
      </c>
      <c r="K699" s="1"/>
      <c r="L699" s="1"/>
      <c r="M699" s="1" t="str">
        <f>VLOOKUP(B699,Bounties!A:D,3,FALSE)</f>
        <v>Operations</v>
      </c>
      <c r="N699" s="1" t="str">
        <f>VLOOKUP(B699,Bounties!A:D,4,FALSE)</f>
        <v>RPCs and Nodes</v>
      </c>
      <c r="O699" s="1" t="str">
        <f t="shared" ref="O699:P699" si="703">IF(ISBLANK(K699),M699,K699)</f>
        <v>Operations</v>
      </c>
      <c r="P699" s="1" t="str">
        <f t="shared" si="703"/>
        <v>RPCs and Nodes</v>
      </c>
      <c r="Q699" s="108" t="str">
        <f t="shared" si="3"/>
        <v>2024</v>
      </c>
      <c r="R699" s="110">
        <f t="shared" si="4"/>
        <v>2</v>
      </c>
      <c r="S699" s="108" t="str">
        <f t="shared" si="5"/>
        <v>2024-Q1</v>
      </c>
      <c r="T699" s="111" t="str">
        <f t="shared" si="6"/>
        <v>2024-02</v>
      </c>
      <c r="U699" s="112" t="str">
        <f t="shared" si="7"/>
        <v>2024-H1</v>
      </c>
      <c r="V699" s="1" t="str">
        <f>VLOOKUP(B699,Bounties!A:E,2,FALSE)</f>
        <v>System Parachains Collator Bounty</v>
      </c>
    </row>
    <row r="700" hidden="1">
      <c r="A700" s="109">
        <f>HYPERLINK("https://polkadot.subsquare.io/treasury/child-bounties/698", 698)</f>
        <v>698</v>
      </c>
      <c r="B700" s="183">
        <v>32.0</v>
      </c>
      <c r="C700" s="27" t="s">
        <v>3404</v>
      </c>
      <c r="D700" s="27" t="s">
        <v>1276</v>
      </c>
      <c r="E700" s="129">
        <v>59.3395701806</v>
      </c>
      <c r="F700" s="66">
        <v>435.91222907236073</v>
      </c>
      <c r="G700" s="27" t="s">
        <v>3608</v>
      </c>
      <c r="H700" s="167">
        <v>45331.0</v>
      </c>
      <c r="I700" s="167">
        <v>45339.0</v>
      </c>
      <c r="J700" s="66">
        <v>458.88510801052</v>
      </c>
      <c r="K700" s="1"/>
      <c r="L700" s="1"/>
      <c r="M700" s="1" t="str">
        <f>VLOOKUP(B700,Bounties!A:D,3,FALSE)</f>
        <v>Operations</v>
      </c>
      <c r="N700" s="1" t="str">
        <f>VLOOKUP(B700,Bounties!A:D,4,FALSE)</f>
        <v>RPCs and Nodes</v>
      </c>
      <c r="O700" s="1" t="str">
        <f t="shared" ref="O700:P700" si="704">IF(ISBLANK(K700),M700,K700)</f>
        <v>Operations</v>
      </c>
      <c r="P700" s="1" t="str">
        <f t="shared" si="704"/>
        <v>RPCs and Nodes</v>
      </c>
      <c r="Q700" s="108" t="str">
        <f t="shared" si="3"/>
        <v>2024</v>
      </c>
      <c r="R700" s="110">
        <f t="shared" si="4"/>
        <v>2</v>
      </c>
      <c r="S700" s="108" t="str">
        <f t="shared" si="5"/>
        <v>2024-Q1</v>
      </c>
      <c r="T700" s="111" t="str">
        <f t="shared" si="6"/>
        <v>2024-02</v>
      </c>
      <c r="U700" s="112" t="str">
        <f t="shared" si="7"/>
        <v>2024-H1</v>
      </c>
      <c r="V700" s="1" t="str">
        <f>VLOOKUP(B700,Bounties!A:E,2,FALSE)</f>
        <v>System Parachains Collator Bounty</v>
      </c>
    </row>
    <row r="701" hidden="1">
      <c r="A701" s="109">
        <f>HYPERLINK("https://polkadot.subsquare.io/treasury/child-bounties/699", 699)</f>
        <v>699</v>
      </c>
      <c r="B701" s="183">
        <v>32.0</v>
      </c>
      <c r="C701" s="27" t="s">
        <v>3404</v>
      </c>
      <c r="D701" s="27" t="s">
        <v>1277</v>
      </c>
      <c r="E701" s="129">
        <v>59.2081051245</v>
      </c>
      <c r="F701" s="66">
        <v>434.94647846993377</v>
      </c>
      <c r="G701" s="27" t="s">
        <v>3594</v>
      </c>
      <c r="H701" s="167">
        <v>45331.0</v>
      </c>
      <c r="I701" s="167">
        <v>45339.0</v>
      </c>
      <c r="J701" s="66">
        <v>457.8684616768096</v>
      </c>
      <c r="K701" s="1"/>
      <c r="L701" s="1"/>
      <c r="M701" s="1" t="str">
        <f>VLOOKUP(B701,Bounties!A:D,3,FALSE)</f>
        <v>Operations</v>
      </c>
      <c r="N701" s="1" t="str">
        <f>VLOOKUP(B701,Bounties!A:D,4,FALSE)</f>
        <v>RPCs and Nodes</v>
      </c>
      <c r="O701" s="1" t="str">
        <f t="shared" ref="O701:P701" si="705">IF(ISBLANK(K701),M701,K701)</f>
        <v>Operations</v>
      </c>
      <c r="P701" s="1" t="str">
        <f t="shared" si="705"/>
        <v>RPCs and Nodes</v>
      </c>
      <c r="Q701" s="108" t="str">
        <f t="shared" si="3"/>
        <v>2024</v>
      </c>
      <c r="R701" s="110">
        <f t="shared" si="4"/>
        <v>2</v>
      </c>
      <c r="S701" s="108" t="str">
        <f t="shared" si="5"/>
        <v>2024-Q1</v>
      </c>
      <c r="T701" s="111" t="str">
        <f t="shared" si="6"/>
        <v>2024-02</v>
      </c>
      <c r="U701" s="112" t="str">
        <f t="shared" si="7"/>
        <v>2024-H1</v>
      </c>
      <c r="V701" s="1" t="str">
        <f>VLOOKUP(B701,Bounties!A:E,2,FALSE)</f>
        <v>System Parachains Collator Bounty</v>
      </c>
    </row>
    <row r="702" hidden="1">
      <c r="A702" s="109">
        <f>HYPERLINK("https://polkadot.subsquare.io/treasury/child-bounties/700", 700)</f>
        <v>700</v>
      </c>
      <c r="B702" s="183">
        <v>32.0</v>
      </c>
      <c r="C702" s="27" t="s">
        <v>3404</v>
      </c>
      <c r="D702" s="27" t="s">
        <v>1278</v>
      </c>
      <c r="E702" s="129">
        <v>10.6400337328</v>
      </c>
      <c r="F702" s="66">
        <v>78.16235958153786</v>
      </c>
      <c r="G702" s="27" t="s">
        <v>3407</v>
      </c>
      <c r="H702" s="167">
        <v>45331.0</v>
      </c>
      <c r="I702" s="167">
        <v>45339.0</v>
      </c>
      <c r="J702" s="66">
        <v>82.28157052454968</v>
      </c>
      <c r="K702" s="1"/>
      <c r="L702" s="1"/>
      <c r="M702" s="1" t="str">
        <f>VLOOKUP(B702,Bounties!A:D,3,FALSE)</f>
        <v>Operations</v>
      </c>
      <c r="N702" s="1" t="str">
        <f>VLOOKUP(B702,Bounties!A:D,4,FALSE)</f>
        <v>RPCs and Nodes</v>
      </c>
      <c r="O702" s="1" t="str">
        <f t="shared" ref="O702:P702" si="706">IF(ISBLANK(K702),M702,K702)</f>
        <v>Operations</v>
      </c>
      <c r="P702" s="1" t="str">
        <f t="shared" si="706"/>
        <v>RPCs and Nodes</v>
      </c>
      <c r="Q702" s="108" t="str">
        <f t="shared" si="3"/>
        <v>2024</v>
      </c>
      <c r="R702" s="110">
        <f t="shared" si="4"/>
        <v>2</v>
      </c>
      <c r="S702" s="108" t="str">
        <f t="shared" si="5"/>
        <v>2024-Q1</v>
      </c>
      <c r="T702" s="111" t="str">
        <f t="shared" si="6"/>
        <v>2024-02</v>
      </c>
      <c r="U702" s="112" t="str">
        <f t="shared" si="7"/>
        <v>2024-H1</v>
      </c>
      <c r="V702" s="1" t="str">
        <f>VLOOKUP(B702,Bounties!A:E,2,FALSE)</f>
        <v>System Parachains Collator Bounty</v>
      </c>
    </row>
    <row r="703" hidden="1">
      <c r="A703" s="109">
        <f>HYPERLINK("https://polkadot.subsquare.io/treasury/child-bounties/701", 701)</f>
        <v>701</v>
      </c>
      <c r="B703" s="183">
        <v>32.0</v>
      </c>
      <c r="C703" s="27" t="s">
        <v>3404</v>
      </c>
      <c r="D703" s="27" t="s">
        <v>1279</v>
      </c>
      <c r="E703" s="129">
        <v>10.6400337328</v>
      </c>
      <c r="F703" s="66">
        <v>78.16235958153786</v>
      </c>
      <c r="G703" s="27" t="s">
        <v>3406</v>
      </c>
      <c r="H703" s="167">
        <v>45331.0</v>
      </c>
      <c r="I703" s="167">
        <v>45339.0</v>
      </c>
      <c r="J703" s="66">
        <v>82.28157052454968</v>
      </c>
      <c r="K703" s="1"/>
      <c r="L703" s="1"/>
      <c r="M703" s="1" t="str">
        <f>VLOOKUP(B703,Bounties!A:D,3,FALSE)</f>
        <v>Operations</v>
      </c>
      <c r="N703" s="1" t="str">
        <f>VLOOKUP(B703,Bounties!A:D,4,FALSE)</f>
        <v>RPCs and Nodes</v>
      </c>
      <c r="O703" s="1" t="str">
        <f t="shared" ref="O703:P703" si="707">IF(ISBLANK(K703),M703,K703)</f>
        <v>Operations</v>
      </c>
      <c r="P703" s="1" t="str">
        <f t="shared" si="707"/>
        <v>RPCs and Nodes</v>
      </c>
      <c r="Q703" s="108" t="str">
        <f t="shared" si="3"/>
        <v>2024</v>
      </c>
      <c r="R703" s="110">
        <f t="shared" si="4"/>
        <v>2</v>
      </c>
      <c r="S703" s="108" t="str">
        <f t="shared" si="5"/>
        <v>2024-Q1</v>
      </c>
      <c r="T703" s="111" t="str">
        <f t="shared" si="6"/>
        <v>2024-02</v>
      </c>
      <c r="U703" s="112" t="str">
        <f t="shared" si="7"/>
        <v>2024-H1</v>
      </c>
      <c r="V703" s="1" t="str">
        <f>VLOOKUP(B703,Bounties!A:E,2,FALSE)</f>
        <v>System Parachains Collator Bounty</v>
      </c>
    </row>
    <row r="704" hidden="1">
      <c r="A704" s="109">
        <f>HYPERLINK("https://polkadot.subsquare.io/treasury/child-bounties/702", 702)</f>
        <v>702</v>
      </c>
      <c r="B704" s="183">
        <v>32.0</v>
      </c>
      <c r="C704" s="27" t="s">
        <v>3404</v>
      </c>
      <c r="D704" s="27" t="s">
        <v>1280</v>
      </c>
      <c r="E704" s="129">
        <v>10.6400337328</v>
      </c>
      <c r="F704" s="66">
        <v>78.16235958153786</v>
      </c>
      <c r="G704" s="27" t="s">
        <v>3411</v>
      </c>
      <c r="H704" s="167">
        <v>45331.0</v>
      </c>
      <c r="I704" s="167">
        <v>45339.0</v>
      </c>
      <c r="J704" s="66">
        <v>82.28157052454968</v>
      </c>
      <c r="K704" s="1"/>
      <c r="L704" s="1"/>
      <c r="M704" s="1" t="str">
        <f>VLOOKUP(B704,Bounties!A:D,3,FALSE)</f>
        <v>Operations</v>
      </c>
      <c r="N704" s="1" t="str">
        <f>VLOOKUP(B704,Bounties!A:D,4,FALSE)</f>
        <v>RPCs and Nodes</v>
      </c>
      <c r="O704" s="1" t="str">
        <f t="shared" ref="O704:P704" si="708">IF(ISBLANK(K704),M704,K704)</f>
        <v>Operations</v>
      </c>
      <c r="P704" s="1" t="str">
        <f t="shared" si="708"/>
        <v>RPCs and Nodes</v>
      </c>
      <c r="Q704" s="108" t="str">
        <f t="shared" si="3"/>
        <v>2024</v>
      </c>
      <c r="R704" s="110">
        <f t="shared" si="4"/>
        <v>2</v>
      </c>
      <c r="S704" s="108" t="str">
        <f t="shared" si="5"/>
        <v>2024-Q1</v>
      </c>
      <c r="T704" s="111" t="str">
        <f t="shared" si="6"/>
        <v>2024-02</v>
      </c>
      <c r="U704" s="112" t="str">
        <f t="shared" si="7"/>
        <v>2024-H1</v>
      </c>
      <c r="V704" s="1" t="str">
        <f>VLOOKUP(B704,Bounties!A:E,2,FALSE)</f>
        <v>System Parachains Collator Bounty</v>
      </c>
    </row>
    <row r="705" hidden="1">
      <c r="A705" s="109">
        <f>HYPERLINK("https://polkadot.subsquare.io/treasury/child-bounties/703", 703)</f>
        <v>703</v>
      </c>
      <c r="B705" s="183">
        <v>32.0</v>
      </c>
      <c r="C705" s="27" t="s">
        <v>3404</v>
      </c>
      <c r="D705" s="27" t="s">
        <v>1281</v>
      </c>
      <c r="E705" s="129">
        <v>65.0</v>
      </c>
      <c r="F705" s="66">
        <v>477.4941039085388</v>
      </c>
      <c r="G705" s="27" t="s">
        <v>3407</v>
      </c>
      <c r="H705" s="167">
        <v>45331.0</v>
      </c>
      <c r="I705" s="167">
        <v>45339.0</v>
      </c>
      <c r="J705" s="66">
        <v>502.6583766937256</v>
      </c>
      <c r="K705" s="1"/>
      <c r="L705" s="1"/>
      <c r="M705" s="1" t="str">
        <f>VLOOKUP(B705,Bounties!A:D,3,FALSE)</f>
        <v>Operations</v>
      </c>
      <c r="N705" s="1" t="str">
        <f>VLOOKUP(B705,Bounties!A:D,4,FALSE)</f>
        <v>RPCs and Nodes</v>
      </c>
      <c r="O705" s="1" t="str">
        <f t="shared" ref="O705:P705" si="709">IF(ISBLANK(K705),M705,K705)</f>
        <v>Operations</v>
      </c>
      <c r="P705" s="1" t="str">
        <f t="shared" si="709"/>
        <v>RPCs and Nodes</v>
      </c>
      <c r="Q705" s="108" t="str">
        <f t="shared" si="3"/>
        <v>2024</v>
      </c>
      <c r="R705" s="110">
        <f t="shared" si="4"/>
        <v>2</v>
      </c>
      <c r="S705" s="108" t="str">
        <f t="shared" si="5"/>
        <v>2024-Q1</v>
      </c>
      <c r="T705" s="111" t="str">
        <f t="shared" si="6"/>
        <v>2024-02</v>
      </c>
      <c r="U705" s="112" t="str">
        <f t="shared" si="7"/>
        <v>2024-H1</v>
      </c>
      <c r="V705" s="1" t="str">
        <f>VLOOKUP(B705,Bounties!A:E,2,FALSE)</f>
        <v>System Parachains Collator Bounty</v>
      </c>
    </row>
    <row r="706" hidden="1">
      <c r="A706" s="109">
        <f>HYPERLINK("https://polkadot.subsquare.io/treasury/child-bounties/704", 704)</f>
        <v>704</v>
      </c>
      <c r="B706" s="183">
        <v>32.0</v>
      </c>
      <c r="C706" s="27" t="s">
        <v>3404</v>
      </c>
      <c r="D706" s="27" t="s">
        <v>1282</v>
      </c>
      <c r="E706" s="129">
        <v>8.8170462895</v>
      </c>
      <c r="F706" s="66">
        <v>67.52329482308828</v>
      </c>
      <c r="G706" s="27" t="s">
        <v>3469</v>
      </c>
      <c r="H706" s="167">
        <v>45333.0</v>
      </c>
      <c r="I706" s="167">
        <v>45393.0</v>
      </c>
      <c r="J706" s="66">
        <v>56.58760743492509</v>
      </c>
      <c r="K706" s="1"/>
      <c r="L706" s="1"/>
      <c r="M706" s="1" t="str">
        <f>VLOOKUP(B706,Bounties!A:D,3,FALSE)</f>
        <v>Operations</v>
      </c>
      <c r="N706" s="1" t="str">
        <f>VLOOKUP(B706,Bounties!A:D,4,FALSE)</f>
        <v>RPCs and Nodes</v>
      </c>
      <c r="O706" s="1" t="str">
        <f t="shared" ref="O706:P706" si="710">IF(ISBLANK(K706),M706,K706)</f>
        <v>Operations</v>
      </c>
      <c r="P706" s="1" t="str">
        <f t="shared" si="710"/>
        <v>RPCs and Nodes</v>
      </c>
      <c r="Q706" s="108" t="str">
        <f t="shared" si="3"/>
        <v>2024</v>
      </c>
      <c r="R706" s="110">
        <f t="shared" si="4"/>
        <v>4</v>
      </c>
      <c r="S706" s="108" t="str">
        <f t="shared" si="5"/>
        <v>2024-Q2</v>
      </c>
      <c r="T706" s="111" t="str">
        <f t="shared" si="6"/>
        <v>2024-04</v>
      </c>
      <c r="U706" s="112" t="str">
        <f t="shared" si="7"/>
        <v>2024-H1</v>
      </c>
      <c r="V706" s="1" t="str">
        <f>VLOOKUP(B706,Bounties!A:E,2,FALSE)</f>
        <v>System Parachains Collator Bounty</v>
      </c>
    </row>
    <row r="707" hidden="1">
      <c r="A707" s="109">
        <f>HYPERLINK("https://polkadot.subsquare.io/treasury/child-bounties/705", 705)</f>
        <v>705</v>
      </c>
      <c r="B707" s="183">
        <v>33.0</v>
      </c>
      <c r="C707" s="27" t="s">
        <v>3404</v>
      </c>
      <c r="D707" s="27" t="s">
        <v>1283</v>
      </c>
      <c r="E707" s="129">
        <v>244.89</v>
      </c>
      <c r="F707" s="66">
        <v>1875.433010816574</v>
      </c>
      <c r="G707" s="27" t="s">
        <v>3489</v>
      </c>
      <c r="H707" s="167">
        <v>45333.0</v>
      </c>
      <c r="I707" s="167">
        <v>45343.0</v>
      </c>
      <c r="J707" s="66">
        <v>1852.2049452638626</v>
      </c>
      <c r="K707" s="1" t="s">
        <v>137</v>
      </c>
      <c r="L707" s="1" t="s">
        <v>254</v>
      </c>
      <c r="M707" s="1" t="str">
        <f>VLOOKUP(B707,Bounties!A:D,3,FALSE)</f>
        <v>Outreach</v>
      </c>
      <c r="N707" s="1" t="str">
        <f>VLOOKUP(B707,Bounties!A:D,4,FALSE)</f>
        <v>Advertising</v>
      </c>
      <c r="O707" s="1" t="str">
        <f t="shared" ref="O707:P707" si="711">IF(ISBLANK(K707),M707,K707)</f>
        <v>Outreach</v>
      </c>
      <c r="P707" s="1" t="str">
        <f t="shared" si="711"/>
        <v>Advertising/Digital Ads</v>
      </c>
      <c r="Q707" s="108" t="str">
        <f t="shared" si="3"/>
        <v>2024</v>
      </c>
      <c r="R707" s="110">
        <f t="shared" si="4"/>
        <v>2</v>
      </c>
      <c r="S707" s="108" t="str">
        <f t="shared" si="5"/>
        <v>2024-Q1</v>
      </c>
      <c r="T707" s="111" t="str">
        <f t="shared" si="6"/>
        <v>2024-02</v>
      </c>
      <c r="U707" s="112" t="str">
        <f t="shared" si="7"/>
        <v>2024-H1</v>
      </c>
      <c r="V707" s="1" t="str">
        <f>VLOOKUP(B707,Bounties!A:E,2,FALSE)</f>
        <v>Marketing Bounty</v>
      </c>
    </row>
    <row r="708" hidden="1">
      <c r="A708" s="109">
        <f>HYPERLINK("https://polkadot.subsquare.io/treasury/child-bounties/706", 706)</f>
        <v>706</v>
      </c>
      <c r="B708" s="183">
        <v>11.0</v>
      </c>
      <c r="C708" s="27" t="s">
        <v>3404</v>
      </c>
      <c r="D708" s="27" t="s">
        <v>1284</v>
      </c>
      <c r="E708" s="129">
        <v>32.034</v>
      </c>
      <c r="F708" s="66">
        <v>249.16218943977356</v>
      </c>
      <c r="G708" s="27" t="s">
        <v>3609</v>
      </c>
      <c r="H708" s="167">
        <v>45334.0</v>
      </c>
      <c r="I708" s="167">
        <v>45347.0</v>
      </c>
      <c r="J708" s="66">
        <v>267.2474551963806</v>
      </c>
      <c r="K708" s="1"/>
      <c r="L708" s="1"/>
      <c r="M708" s="1" t="str">
        <f>VLOOKUP(B708,Bounties!A:D,3,FALSE)</f>
        <v>Research</v>
      </c>
      <c r="N708" s="1" t="str">
        <f>VLOOKUP(B708,Bounties!A:D,4,FALSE)</f>
        <v>Anti-Scam</v>
      </c>
      <c r="O708" s="1" t="str">
        <f t="shared" ref="O708:P708" si="712">IF(ISBLANK(K708),M708,K708)</f>
        <v>Research</v>
      </c>
      <c r="P708" s="1" t="str">
        <f t="shared" si="712"/>
        <v>Anti-Scam</v>
      </c>
      <c r="Q708" s="108" t="str">
        <f t="shared" si="3"/>
        <v>2024</v>
      </c>
      <c r="R708" s="110">
        <f t="shared" si="4"/>
        <v>2</v>
      </c>
      <c r="S708" s="108" t="str">
        <f t="shared" si="5"/>
        <v>2024-Q1</v>
      </c>
      <c r="T708" s="111" t="str">
        <f t="shared" si="6"/>
        <v>2024-02</v>
      </c>
      <c r="U708" s="112" t="str">
        <f t="shared" si="7"/>
        <v>2024-H1</v>
      </c>
      <c r="V708" s="1" t="str">
        <f>VLOOKUP(B708,Bounties!A:E,2,FALSE)</f>
        <v>Anti-Scam Bounty</v>
      </c>
    </row>
    <row r="709" hidden="1">
      <c r="A709" s="109">
        <f>HYPERLINK("https://polkadot.subsquare.io/treasury/child-bounties/707", 707)</f>
        <v>707</v>
      </c>
      <c r="B709" s="183">
        <v>11.0</v>
      </c>
      <c r="C709" s="27" t="s">
        <v>3404</v>
      </c>
      <c r="D709" s="27" t="s">
        <v>1285</v>
      </c>
      <c r="E709" s="129">
        <v>32.9</v>
      </c>
      <c r="F709" s="66">
        <v>255.89798440933225</v>
      </c>
      <c r="G709" s="27" t="s">
        <v>3610</v>
      </c>
      <c r="H709" s="167">
        <v>45334.0</v>
      </c>
      <c r="I709" s="167">
        <v>45345.0</v>
      </c>
      <c r="J709" s="66">
        <v>266.6328983306885</v>
      </c>
      <c r="K709" s="1"/>
      <c r="L709" s="1"/>
      <c r="M709" s="1" t="str">
        <f>VLOOKUP(B709,Bounties!A:D,3,FALSE)</f>
        <v>Research</v>
      </c>
      <c r="N709" s="1" t="str">
        <f>VLOOKUP(B709,Bounties!A:D,4,FALSE)</f>
        <v>Anti-Scam</v>
      </c>
      <c r="O709" s="1" t="str">
        <f t="shared" ref="O709:P709" si="713">IF(ISBLANK(K709),M709,K709)</f>
        <v>Research</v>
      </c>
      <c r="P709" s="1" t="str">
        <f t="shared" si="713"/>
        <v>Anti-Scam</v>
      </c>
      <c r="Q709" s="108" t="str">
        <f t="shared" si="3"/>
        <v>2024</v>
      </c>
      <c r="R709" s="110">
        <f t="shared" si="4"/>
        <v>2</v>
      </c>
      <c r="S709" s="108" t="str">
        <f t="shared" si="5"/>
        <v>2024-Q1</v>
      </c>
      <c r="T709" s="111" t="str">
        <f t="shared" si="6"/>
        <v>2024-02</v>
      </c>
      <c r="U709" s="112" t="str">
        <f t="shared" si="7"/>
        <v>2024-H1</v>
      </c>
      <c r="V709" s="1" t="str">
        <f>VLOOKUP(B709,Bounties!A:E,2,FALSE)</f>
        <v>Anti-Scam Bounty</v>
      </c>
    </row>
    <row r="710" hidden="1">
      <c r="A710" s="109">
        <f>HYPERLINK("https://polkadot.subsquare.io/treasury/child-bounties/708", 708)</f>
        <v>708</v>
      </c>
      <c r="B710" s="183">
        <v>33.0</v>
      </c>
      <c r="C710" s="27" t="s">
        <v>3404</v>
      </c>
      <c r="D710" s="27" t="s">
        <v>1286</v>
      </c>
      <c r="E710" s="129">
        <v>21685.91</v>
      </c>
      <c r="F710" s="66">
        <v>168674.1841666317</v>
      </c>
      <c r="G710" s="27" t="s">
        <v>3611</v>
      </c>
      <c r="H710" s="167">
        <v>45334.0</v>
      </c>
      <c r="I710" s="167">
        <v>45343.0</v>
      </c>
      <c r="J710" s="66">
        <v>169353.9059617281</v>
      </c>
      <c r="K710" s="1" t="s">
        <v>137</v>
      </c>
      <c r="L710" s="1" t="s">
        <v>296</v>
      </c>
      <c r="M710" s="1" t="str">
        <f>VLOOKUP(B710,Bounties!A:D,3,FALSE)</f>
        <v>Outreach</v>
      </c>
      <c r="N710" s="1" t="str">
        <f>VLOOKUP(B710,Bounties!A:D,4,FALSE)</f>
        <v>Advertising</v>
      </c>
      <c r="O710" s="1" t="str">
        <f t="shared" ref="O710:P710" si="714">IF(ISBLANK(K710),M710,K710)</f>
        <v>Outreach</v>
      </c>
      <c r="P710" s="1" t="str">
        <f t="shared" si="714"/>
        <v>Advertising/Influencers</v>
      </c>
      <c r="Q710" s="108" t="str">
        <f t="shared" si="3"/>
        <v>2024</v>
      </c>
      <c r="R710" s="110">
        <f t="shared" si="4"/>
        <v>2</v>
      </c>
      <c r="S710" s="108" t="str">
        <f t="shared" si="5"/>
        <v>2024-Q1</v>
      </c>
      <c r="T710" s="111" t="str">
        <f t="shared" si="6"/>
        <v>2024-02</v>
      </c>
      <c r="U710" s="112" t="str">
        <f t="shared" si="7"/>
        <v>2024-H1</v>
      </c>
      <c r="V710" s="1" t="str">
        <f>VLOOKUP(B710,Bounties!A:E,2,FALSE)</f>
        <v>Marketing Bounty</v>
      </c>
    </row>
    <row r="711" hidden="1">
      <c r="A711" s="109">
        <f>HYPERLINK("https://polkadot.subsquare.io/treasury/child-bounties/709", 709)</f>
        <v>709</v>
      </c>
      <c r="B711" s="183">
        <v>22.0</v>
      </c>
      <c r="C711" s="27" t="s">
        <v>3404</v>
      </c>
      <c r="D711" s="27" t="s">
        <v>1287</v>
      </c>
      <c r="E711" s="129">
        <v>16041.0</v>
      </c>
      <c r="F711" s="66">
        <v>128795.67178630829</v>
      </c>
      <c r="G711" s="27" t="s">
        <v>3612</v>
      </c>
      <c r="H711" s="167">
        <v>45339.0</v>
      </c>
      <c r="I711" s="167">
        <v>45352.0</v>
      </c>
      <c r="J711" s="66">
        <v>157160.728225708</v>
      </c>
      <c r="K711" s="1"/>
      <c r="L711" s="1"/>
      <c r="M711" s="1" t="str">
        <f>VLOOKUP(B711,Bounties!A:D,3,FALSE)</f>
        <v>Development</v>
      </c>
      <c r="N711" s="1" t="str">
        <f>VLOOKUP(B711,Bounties!A:D,4,FALSE)</f>
        <v>Ecosystem Services</v>
      </c>
      <c r="O711" s="1" t="str">
        <f t="shared" ref="O711:P711" si="715">IF(ISBLANK(K711),M711,K711)</f>
        <v>Development</v>
      </c>
      <c r="P711" s="1" t="str">
        <f t="shared" si="715"/>
        <v>Ecosystem Services</v>
      </c>
      <c r="Q711" s="108" t="str">
        <f t="shared" si="3"/>
        <v>2024</v>
      </c>
      <c r="R711" s="110">
        <f t="shared" si="4"/>
        <v>3</v>
      </c>
      <c r="S711" s="108" t="str">
        <f t="shared" si="5"/>
        <v>2024-Q1</v>
      </c>
      <c r="T711" s="111" t="str">
        <f t="shared" si="6"/>
        <v>2024-03</v>
      </c>
      <c r="U711" s="112" t="str">
        <f t="shared" si="7"/>
        <v>2024-H1</v>
      </c>
      <c r="V711" s="1" t="str">
        <f>VLOOKUP(B711,Bounties!A:E,2,FALSE)</f>
        <v>Polkadot Assurance Legion Bounty</v>
      </c>
    </row>
    <row r="712" hidden="1">
      <c r="A712" s="109">
        <f>HYPERLINK("https://polkadot.subsquare.io/treasury/child-bounties/710", 710)</f>
        <v>710</v>
      </c>
      <c r="B712" s="183">
        <v>22.0</v>
      </c>
      <c r="C712" s="27" t="s">
        <v>3404</v>
      </c>
      <c r="D712" s="27" t="s">
        <v>1288</v>
      </c>
      <c r="E712" s="129">
        <v>18360.0</v>
      </c>
      <c r="F712" s="66">
        <v>147415.28171539307</v>
      </c>
      <c r="G712" s="27" t="s">
        <v>3613</v>
      </c>
      <c r="H712" s="167">
        <v>45339.0</v>
      </c>
      <c r="I712" s="167">
        <v>45353.0</v>
      </c>
      <c r="J712" s="66">
        <v>171305.924949646</v>
      </c>
      <c r="K712" s="1"/>
      <c r="L712" s="1"/>
      <c r="M712" s="1" t="str">
        <f>VLOOKUP(B712,Bounties!A:D,3,FALSE)</f>
        <v>Development</v>
      </c>
      <c r="N712" s="1" t="str">
        <f>VLOOKUP(B712,Bounties!A:D,4,FALSE)</f>
        <v>Ecosystem Services</v>
      </c>
      <c r="O712" s="1" t="str">
        <f t="shared" ref="O712:P712" si="716">IF(ISBLANK(K712),M712,K712)</f>
        <v>Development</v>
      </c>
      <c r="P712" s="1" t="str">
        <f t="shared" si="716"/>
        <v>Ecosystem Services</v>
      </c>
      <c r="Q712" s="108" t="str">
        <f t="shared" si="3"/>
        <v>2024</v>
      </c>
      <c r="R712" s="110">
        <f t="shared" si="4"/>
        <v>3</v>
      </c>
      <c r="S712" s="108" t="str">
        <f t="shared" si="5"/>
        <v>2024-Q1</v>
      </c>
      <c r="T712" s="111" t="str">
        <f t="shared" si="6"/>
        <v>2024-03</v>
      </c>
      <c r="U712" s="112" t="str">
        <f t="shared" si="7"/>
        <v>2024-H1</v>
      </c>
      <c r="V712" s="1" t="str">
        <f>VLOOKUP(B712,Bounties!A:E,2,FALSE)</f>
        <v>Polkadot Assurance Legion Bounty</v>
      </c>
    </row>
    <row r="713" hidden="1">
      <c r="A713" s="109">
        <f>HYPERLINK("https://polkadot.subsquare.io/treasury/child-bounties/711", 711)</f>
        <v>711</v>
      </c>
      <c r="B713" s="183">
        <v>17.0</v>
      </c>
      <c r="C713" s="27" t="s">
        <v>3404</v>
      </c>
      <c r="D713" s="27" t="s">
        <v>1289</v>
      </c>
      <c r="E713" s="129">
        <v>9085.0</v>
      </c>
      <c r="F713" s="66">
        <v>70256.17465019226</v>
      </c>
      <c r="G713" s="27" t="s">
        <v>3614</v>
      </c>
      <c r="H713" s="167">
        <v>45339.0</v>
      </c>
      <c r="I713" s="167">
        <v>45350.0</v>
      </c>
      <c r="J713" s="66">
        <v>85726.9772195816</v>
      </c>
      <c r="K713" s="1"/>
      <c r="L713" s="1" t="s">
        <v>266</v>
      </c>
      <c r="M713" s="1" t="str">
        <f>VLOOKUP(B713,Bounties!A:D,3,FALSE)</f>
        <v>Outreach</v>
      </c>
      <c r="N713" s="1" t="str">
        <f>VLOOKUP(B713,Bounties!A:D,4,FALSE)</f>
        <v>Events/Meetups</v>
      </c>
      <c r="O713" s="1" t="str">
        <f t="shared" ref="O713:P713" si="717">IF(ISBLANK(K713),M713,K713)</f>
        <v>Outreach</v>
      </c>
      <c r="P713" s="1" t="str">
        <f t="shared" si="717"/>
        <v>Events/Conference Attendance &amp; Side Events</v>
      </c>
      <c r="Q713" s="108" t="str">
        <f t="shared" si="3"/>
        <v>2024</v>
      </c>
      <c r="R713" s="110">
        <f t="shared" si="4"/>
        <v>2</v>
      </c>
      <c r="S713" s="108" t="str">
        <f t="shared" si="5"/>
        <v>2024-Q1</v>
      </c>
      <c r="T713" s="111" t="str">
        <f t="shared" si="6"/>
        <v>2024-02</v>
      </c>
      <c r="U713" s="112" t="str">
        <f t="shared" si="7"/>
        <v>2024-H1</v>
      </c>
      <c r="V713" s="1" t="str">
        <f>VLOOKUP(B713,Bounties!A:E,2,FALSE)</f>
        <v>Events Bounty</v>
      </c>
    </row>
    <row r="714" hidden="1">
      <c r="A714" s="109">
        <f>HYPERLINK("https://polkadot.subsquare.io/treasury/child-bounties/712", 712)</f>
        <v>712</v>
      </c>
      <c r="B714" s="183">
        <v>17.0</v>
      </c>
      <c r="C714" s="27" t="s">
        <v>3404</v>
      </c>
      <c r="D714" s="27" t="s">
        <v>1290</v>
      </c>
      <c r="E714" s="129">
        <v>6008.0</v>
      </c>
      <c r="F714" s="66">
        <v>46461.10041809082</v>
      </c>
      <c r="G714" s="27" t="s">
        <v>3615</v>
      </c>
      <c r="H714" s="167">
        <v>45339.0</v>
      </c>
      <c r="I714" s="167">
        <v>45357.0</v>
      </c>
      <c r="J714" s="66">
        <v>64076.11046600342</v>
      </c>
      <c r="K714" s="1"/>
      <c r="L714" s="1"/>
      <c r="M714" s="1" t="str">
        <f>VLOOKUP(B714,Bounties!A:D,3,FALSE)</f>
        <v>Outreach</v>
      </c>
      <c r="N714" s="1" t="str">
        <f>VLOOKUP(B714,Bounties!A:D,4,FALSE)</f>
        <v>Events/Meetups</v>
      </c>
      <c r="O714" s="1" t="str">
        <f t="shared" ref="O714:P714" si="718">IF(ISBLANK(K714),M714,K714)</f>
        <v>Outreach</v>
      </c>
      <c r="P714" s="1" t="str">
        <f t="shared" si="718"/>
        <v>Events/Meetups</v>
      </c>
      <c r="Q714" s="108" t="str">
        <f t="shared" si="3"/>
        <v>2024</v>
      </c>
      <c r="R714" s="110">
        <f t="shared" si="4"/>
        <v>3</v>
      </c>
      <c r="S714" s="108" t="str">
        <f t="shared" si="5"/>
        <v>2024-Q1</v>
      </c>
      <c r="T714" s="111" t="str">
        <f t="shared" si="6"/>
        <v>2024-03</v>
      </c>
      <c r="U714" s="112" t="str">
        <f t="shared" si="7"/>
        <v>2024-H1</v>
      </c>
      <c r="V714" s="1" t="str">
        <f>VLOOKUP(B714,Bounties!A:E,2,FALSE)</f>
        <v>Events Bounty</v>
      </c>
    </row>
    <row r="715" hidden="1">
      <c r="A715" s="109">
        <f>HYPERLINK("https://polkadot.subsquare.io/treasury/child-bounties/713", 713)</f>
        <v>713</v>
      </c>
      <c r="B715" s="183">
        <v>17.0</v>
      </c>
      <c r="C715" s="27" t="s">
        <v>3404</v>
      </c>
      <c r="D715" s="27" t="s">
        <v>1291</v>
      </c>
      <c r="E715" s="129">
        <v>42.1</v>
      </c>
      <c r="F715" s="66">
        <v>325.56796398162845</v>
      </c>
      <c r="G715" s="27" t="s">
        <v>3463</v>
      </c>
      <c r="H715" s="167">
        <v>45339.0</v>
      </c>
      <c r="I715" s="167">
        <v>45357.0</v>
      </c>
      <c r="J715" s="66">
        <v>449.00203905105593</v>
      </c>
      <c r="K715" s="1"/>
      <c r="L715" s="1" t="s">
        <v>266</v>
      </c>
      <c r="M715" s="1" t="str">
        <f>VLOOKUP(B715,Bounties!A:D,3,FALSE)</f>
        <v>Outreach</v>
      </c>
      <c r="N715" s="1" t="str">
        <f>VLOOKUP(B715,Bounties!A:D,4,FALSE)</f>
        <v>Events/Meetups</v>
      </c>
      <c r="O715" s="1" t="str">
        <f t="shared" ref="O715:P715" si="719">IF(ISBLANK(K715),M715,K715)</f>
        <v>Outreach</v>
      </c>
      <c r="P715" s="1" t="str">
        <f t="shared" si="719"/>
        <v>Events/Conference Attendance &amp; Side Events</v>
      </c>
      <c r="Q715" s="108" t="str">
        <f t="shared" si="3"/>
        <v>2024</v>
      </c>
      <c r="R715" s="110">
        <f t="shared" si="4"/>
        <v>3</v>
      </c>
      <c r="S715" s="108" t="str">
        <f t="shared" si="5"/>
        <v>2024-Q1</v>
      </c>
      <c r="T715" s="111" t="str">
        <f t="shared" si="6"/>
        <v>2024-03</v>
      </c>
      <c r="U715" s="112" t="str">
        <f t="shared" si="7"/>
        <v>2024-H1</v>
      </c>
      <c r="V715" s="1" t="str">
        <f>VLOOKUP(B715,Bounties!A:E,2,FALSE)</f>
        <v>Events Bounty</v>
      </c>
    </row>
    <row r="716" hidden="1">
      <c r="A716" s="109">
        <f>HYPERLINK("https://polkadot.subsquare.io/treasury/child-bounties/714", 714)</f>
        <v>714</v>
      </c>
      <c r="B716" s="183">
        <v>17.0</v>
      </c>
      <c r="C716" s="27" t="s">
        <v>3404</v>
      </c>
      <c r="D716" s="27" t="s">
        <v>1292</v>
      </c>
      <c r="E716" s="129">
        <v>132.8</v>
      </c>
      <c r="F716" s="66">
        <v>1026.9697296142579</v>
      </c>
      <c r="G716" s="27" t="s">
        <v>3453</v>
      </c>
      <c r="H716" s="167">
        <v>45339.0</v>
      </c>
      <c r="I716" s="167">
        <v>45351.0</v>
      </c>
      <c r="J716" s="66">
        <v>1253.1142074584961</v>
      </c>
      <c r="K716" s="1"/>
      <c r="L716" s="1" t="s">
        <v>266</v>
      </c>
      <c r="M716" s="1" t="str">
        <f>VLOOKUP(B716,Bounties!A:D,3,FALSE)</f>
        <v>Outreach</v>
      </c>
      <c r="N716" s="1" t="str">
        <f>VLOOKUP(B716,Bounties!A:D,4,FALSE)</f>
        <v>Events/Meetups</v>
      </c>
      <c r="O716" s="1" t="str">
        <f t="shared" ref="O716:P716" si="720">IF(ISBLANK(K716),M716,K716)</f>
        <v>Outreach</v>
      </c>
      <c r="P716" s="1" t="str">
        <f t="shared" si="720"/>
        <v>Events/Conference Attendance &amp; Side Events</v>
      </c>
      <c r="Q716" s="108" t="str">
        <f t="shared" si="3"/>
        <v>2024</v>
      </c>
      <c r="R716" s="110">
        <f t="shared" si="4"/>
        <v>2</v>
      </c>
      <c r="S716" s="108" t="str">
        <f t="shared" si="5"/>
        <v>2024-Q1</v>
      </c>
      <c r="T716" s="111" t="str">
        <f t="shared" si="6"/>
        <v>2024-02</v>
      </c>
      <c r="U716" s="112" t="str">
        <f t="shared" si="7"/>
        <v>2024-H1</v>
      </c>
      <c r="V716" s="1" t="str">
        <f>VLOOKUP(B716,Bounties!A:E,2,FALSE)</f>
        <v>Events Bounty</v>
      </c>
    </row>
    <row r="717" hidden="1">
      <c r="A717" s="109">
        <f>HYPERLINK("https://polkadot.subsquare.io/treasury/child-bounties/715", 715)</f>
        <v>715</v>
      </c>
      <c r="B717" s="183">
        <v>17.0</v>
      </c>
      <c r="C717" s="27" t="s">
        <v>3404</v>
      </c>
      <c r="D717" s="27" t="s">
        <v>1293</v>
      </c>
      <c r="E717" s="129">
        <v>91.5</v>
      </c>
      <c r="F717" s="66">
        <v>707.5883302688599</v>
      </c>
      <c r="G717" s="27" t="s">
        <v>3422</v>
      </c>
      <c r="H717" s="167">
        <v>45339.0</v>
      </c>
      <c r="I717" s="167">
        <v>45363.0</v>
      </c>
      <c r="J717" s="66">
        <v>1056.1755323410034</v>
      </c>
      <c r="K717" s="1"/>
      <c r="L717" s="1"/>
      <c r="M717" s="1" t="str">
        <f>VLOOKUP(B717,Bounties!A:D,3,FALSE)</f>
        <v>Outreach</v>
      </c>
      <c r="N717" s="1" t="str">
        <f>VLOOKUP(B717,Bounties!A:D,4,FALSE)</f>
        <v>Events/Meetups</v>
      </c>
      <c r="O717" s="1" t="str">
        <f t="shared" ref="O717:P717" si="721">IF(ISBLANK(K717),M717,K717)</f>
        <v>Outreach</v>
      </c>
      <c r="P717" s="1" t="str">
        <f t="shared" si="721"/>
        <v>Events/Meetups</v>
      </c>
      <c r="Q717" s="108" t="str">
        <f t="shared" si="3"/>
        <v>2024</v>
      </c>
      <c r="R717" s="110">
        <f t="shared" si="4"/>
        <v>3</v>
      </c>
      <c r="S717" s="108" t="str">
        <f t="shared" si="5"/>
        <v>2024-Q1</v>
      </c>
      <c r="T717" s="111" t="str">
        <f t="shared" si="6"/>
        <v>2024-03</v>
      </c>
      <c r="U717" s="112" t="str">
        <f t="shared" si="7"/>
        <v>2024-H1</v>
      </c>
      <c r="V717" s="1" t="str">
        <f>VLOOKUP(B717,Bounties!A:E,2,FALSE)</f>
        <v>Events Bounty</v>
      </c>
    </row>
    <row r="718" hidden="1">
      <c r="A718" s="109">
        <f>HYPERLINK("https://polkadot.subsquare.io/treasury/child-bounties/716", 716)</f>
        <v>716</v>
      </c>
      <c r="B718" s="183">
        <v>17.0</v>
      </c>
      <c r="C718" s="27" t="s">
        <v>3404</v>
      </c>
      <c r="D718" s="27" t="s">
        <v>1294</v>
      </c>
      <c r="E718" s="129">
        <v>193.5</v>
      </c>
      <c r="F718" s="66">
        <v>1496.3753213882446</v>
      </c>
      <c r="G718" s="27" t="s">
        <v>3616</v>
      </c>
      <c r="H718" s="167">
        <v>45339.0</v>
      </c>
      <c r="I718" s="167">
        <v>45363.0</v>
      </c>
      <c r="J718" s="66">
        <v>2233.5515356063843</v>
      </c>
      <c r="K718" s="1"/>
      <c r="L718" s="1"/>
      <c r="M718" s="1" t="str">
        <f>VLOOKUP(B718,Bounties!A:D,3,FALSE)</f>
        <v>Outreach</v>
      </c>
      <c r="N718" s="1" t="str">
        <f>VLOOKUP(B718,Bounties!A:D,4,FALSE)</f>
        <v>Events/Meetups</v>
      </c>
      <c r="O718" s="1" t="str">
        <f t="shared" ref="O718:P718" si="722">IF(ISBLANK(K718),M718,K718)</f>
        <v>Outreach</v>
      </c>
      <c r="P718" s="1" t="str">
        <f t="shared" si="722"/>
        <v>Events/Meetups</v>
      </c>
      <c r="Q718" s="108" t="str">
        <f t="shared" si="3"/>
        <v>2024</v>
      </c>
      <c r="R718" s="110">
        <f t="shared" si="4"/>
        <v>3</v>
      </c>
      <c r="S718" s="108" t="str">
        <f t="shared" si="5"/>
        <v>2024-Q1</v>
      </c>
      <c r="T718" s="111" t="str">
        <f t="shared" si="6"/>
        <v>2024-03</v>
      </c>
      <c r="U718" s="112" t="str">
        <f t="shared" si="7"/>
        <v>2024-H1</v>
      </c>
      <c r="V718" s="1" t="str">
        <f>VLOOKUP(B718,Bounties!A:E,2,FALSE)</f>
        <v>Events Bounty</v>
      </c>
    </row>
    <row r="719" hidden="1">
      <c r="A719" s="109">
        <f>HYPERLINK("https://polkadot.subsquare.io/treasury/child-bounties/717", 717)</f>
        <v>717</v>
      </c>
      <c r="B719" s="183">
        <v>17.0</v>
      </c>
      <c r="C719" s="27" t="s">
        <v>3404</v>
      </c>
      <c r="D719" s="27" t="s">
        <v>1295</v>
      </c>
      <c r="E719" s="129">
        <v>233.8</v>
      </c>
      <c r="F719" s="66">
        <v>1808.0235149383545</v>
      </c>
      <c r="G719" s="27" t="s">
        <v>3584</v>
      </c>
      <c r="H719" s="167">
        <v>45339.0</v>
      </c>
      <c r="I719" s="167">
        <v>45350.0</v>
      </c>
      <c r="J719" s="66">
        <v>2206.1604043960574</v>
      </c>
      <c r="K719" s="1"/>
      <c r="L719" s="1" t="s">
        <v>266</v>
      </c>
      <c r="M719" s="1" t="str">
        <f>VLOOKUP(B719,Bounties!A:D,3,FALSE)</f>
        <v>Outreach</v>
      </c>
      <c r="N719" s="1" t="str">
        <f>VLOOKUP(B719,Bounties!A:D,4,FALSE)</f>
        <v>Events/Meetups</v>
      </c>
      <c r="O719" s="1" t="str">
        <f t="shared" ref="O719:P719" si="723">IF(ISBLANK(K719),M719,K719)</f>
        <v>Outreach</v>
      </c>
      <c r="P719" s="1" t="str">
        <f t="shared" si="723"/>
        <v>Events/Conference Attendance &amp; Side Events</v>
      </c>
      <c r="Q719" s="108" t="str">
        <f t="shared" si="3"/>
        <v>2024</v>
      </c>
      <c r="R719" s="110">
        <f t="shared" si="4"/>
        <v>2</v>
      </c>
      <c r="S719" s="108" t="str">
        <f t="shared" si="5"/>
        <v>2024-Q1</v>
      </c>
      <c r="T719" s="111" t="str">
        <f t="shared" si="6"/>
        <v>2024-02</v>
      </c>
      <c r="U719" s="112" t="str">
        <f t="shared" si="7"/>
        <v>2024-H1</v>
      </c>
      <c r="V719" s="1" t="str">
        <f>VLOOKUP(B719,Bounties!A:E,2,FALSE)</f>
        <v>Events Bounty</v>
      </c>
    </row>
    <row r="720" hidden="1">
      <c r="A720" s="109">
        <f>HYPERLINK("https://polkadot.subsquare.io/treasury/child-bounties/718", 718)</f>
        <v>718</v>
      </c>
      <c r="B720" s="183">
        <v>17.0</v>
      </c>
      <c r="C720" s="27" t="s">
        <v>3404</v>
      </c>
      <c r="D720" s="27" t="s">
        <v>1296</v>
      </c>
      <c r="E720" s="129">
        <v>768.5</v>
      </c>
      <c r="F720" s="66">
        <v>5942.968653678894</v>
      </c>
      <c r="G720" s="27" t="s">
        <v>3617</v>
      </c>
      <c r="H720" s="167">
        <v>45339.0</v>
      </c>
      <c r="I720" s="167">
        <v>45351.0</v>
      </c>
      <c r="J720" s="66">
        <v>7251.643587589264</v>
      </c>
      <c r="K720" s="1"/>
      <c r="L720" s="1"/>
      <c r="M720" s="1" t="str">
        <f>VLOOKUP(B720,Bounties!A:D,3,FALSE)</f>
        <v>Outreach</v>
      </c>
      <c r="N720" s="1" t="str">
        <f>VLOOKUP(B720,Bounties!A:D,4,FALSE)</f>
        <v>Events/Meetups</v>
      </c>
      <c r="O720" s="1" t="str">
        <f t="shared" ref="O720:P720" si="724">IF(ISBLANK(K720),M720,K720)</f>
        <v>Outreach</v>
      </c>
      <c r="P720" s="1" t="str">
        <f t="shared" si="724"/>
        <v>Events/Meetups</v>
      </c>
      <c r="Q720" s="108" t="str">
        <f t="shared" si="3"/>
        <v>2024</v>
      </c>
      <c r="R720" s="110">
        <f t="shared" si="4"/>
        <v>2</v>
      </c>
      <c r="S720" s="108" t="str">
        <f t="shared" si="5"/>
        <v>2024-Q1</v>
      </c>
      <c r="T720" s="111" t="str">
        <f t="shared" si="6"/>
        <v>2024-02</v>
      </c>
      <c r="U720" s="112" t="str">
        <f t="shared" si="7"/>
        <v>2024-H1</v>
      </c>
      <c r="V720" s="1" t="str">
        <f>VLOOKUP(B720,Bounties!A:E,2,FALSE)</f>
        <v>Events Bounty</v>
      </c>
    </row>
    <row r="721" hidden="1">
      <c r="A721" s="109">
        <f>HYPERLINK("https://polkadot.subsquare.io/treasury/child-bounties/719", 719)</f>
        <v>719</v>
      </c>
      <c r="B721" s="183">
        <v>17.0</v>
      </c>
      <c r="C721" s="27" t="s">
        <v>3404</v>
      </c>
      <c r="D721" s="27" t="s">
        <v>1297</v>
      </c>
      <c r="E721" s="129">
        <v>768.5</v>
      </c>
      <c r="F721" s="66">
        <v>5942.968653678894</v>
      </c>
      <c r="G721" s="27" t="s">
        <v>3618</v>
      </c>
      <c r="H721" s="167">
        <v>45339.0</v>
      </c>
      <c r="I721" s="167">
        <v>45374.0</v>
      </c>
      <c r="J721" s="66">
        <v>7483.360508918762</v>
      </c>
      <c r="K721" s="1"/>
      <c r="L721" s="1"/>
      <c r="M721" s="1" t="str">
        <f>VLOOKUP(B721,Bounties!A:D,3,FALSE)</f>
        <v>Outreach</v>
      </c>
      <c r="N721" s="1" t="str">
        <f>VLOOKUP(B721,Bounties!A:D,4,FALSE)</f>
        <v>Events/Meetups</v>
      </c>
      <c r="O721" s="1" t="str">
        <f t="shared" ref="O721:P721" si="725">IF(ISBLANK(K721),M721,K721)</f>
        <v>Outreach</v>
      </c>
      <c r="P721" s="1" t="str">
        <f t="shared" si="725"/>
        <v>Events/Meetups</v>
      </c>
      <c r="Q721" s="108" t="str">
        <f t="shared" si="3"/>
        <v>2024</v>
      </c>
      <c r="R721" s="110">
        <f t="shared" si="4"/>
        <v>3</v>
      </c>
      <c r="S721" s="108" t="str">
        <f t="shared" si="5"/>
        <v>2024-Q1</v>
      </c>
      <c r="T721" s="111" t="str">
        <f t="shared" si="6"/>
        <v>2024-03</v>
      </c>
      <c r="U721" s="112" t="str">
        <f t="shared" si="7"/>
        <v>2024-H1</v>
      </c>
      <c r="V721" s="1" t="str">
        <f>VLOOKUP(B721,Bounties!A:E,2,FALSE)</f>
        <v>Events Bounty</v>
      </c>
    </row>
    <row r="722" hidden="1">
      <c r="A722" s="109">
        <f>HYPERLINK("https://polkadot.subsquare.io/treasury/child-bounties/720", 720)</f>
        <v>720</v>
      </c>
      <c r="B722" s="183">
        <v>17.0</v>
      </c>
      <c r="C722" s="27" t="s">
        <v>3404</v>
      </c>
      <c r="D722" s="27" t="s">
        <v>1298</v>
      </c>
      <c r="E722" s="129">
        <v>768.5</v>
      </c>
      <c r="F722" s="66">
        <v>5942.968653678894</v>
      </c>
      <c r="G722" s="27" t="s">
        <v>3619</v>
      </c>
      <c r="H722" s="167">
        <v>45339.0</v>
      </c>
      <c r="I722" s="167">
        <v>45357.0</v>
      </c>
      <c r="J722" s="66">
        <v>8196.15361070633</v>
      </c>
      <c r="K722" s="1"/>
      <c r="L722" s="1"/>
      <c r="M722" s="1" t="str">
        <f>VLOOKUP(B722,Bounties!A:D,3,FALSE)</f>
        <v>Outreach</v>
      </c>
      <c r="N722" s="1" t="str">
        <f>VLOOKUP(B722,Bounties!A:D,4,FALSE)</f>
        <v>Events/Meetups</v>
      </c>
      <c r="O722" s="1" t="str">
        <f t="shared" ref="O722:P722" si="726">IF(ISBLANK(K722),M722,K722)</f>
        <v>Outreach</v>
      </c>
      <c r="P722" s="1" t="str">
        <f t="shared" si="726"/>
        <v>Events/Meetups</v>
      </c>
      <c r="Q722" s="108" t="str">
        <f t="shared" si="3"/>
        <v>2024</v>
      </c>
      <c r="R722" s="110">
        <f t="shared" si="4"/>
        <v>3</v>
      </c>
      <c r="S722" s="108" t="str">
        <f t="shared" si="5"/>
        <v>2024-Q1</v>
      </c>
      <c r="T722" s="111" t="str">
        <f t="shared" si="6"/>
        <v>2024-03</v>
      </c>
      <c r="U722" s="112" t="str">
        <f t="shared" si="7"/>
        <v>2024-H1</v>
      </c>
      <c r="V722" s="1" t="str">
        <f>VLOOKUP(B722,Bounties!A:E,2,FALSE)</f>
        <v>Events Bounty</v>
      </c>
    </row>
    <row r="723" hidden="1">
      <c r="A723" s="109">
        <f>HYPERLINK("https://polkadot.subsquare.io/treasury/child-bounties/721", 721)</f>
        <v>721</v>
      </c>
      <c r="B723" s="183">
        <v>17.0</v>
      </c>
      <c r="C723" s="27" t="s">
        <v>3404</v>
      </c>
      <c r="D723" s="27" t="s">
        <v>1299</v>
      </c>
      <c r="E723" s="129">
        <v>796.6</v>
      </c>
      <c r="F723" s="66">
        <v>6160.27173652649</v>
      </c>
      <c r="G723" s="27" t="s">
        <v>3413</v>
      </c>
      <c r="H723" s="167">
        <v>45339.0</v>
      </c>
      <c r="I723" s="167">
        <v>45555.0</v>
      </c>
      <c r="J723" s="66">
        <v>3549.2274698257447</v>
      </c>
      <c r="K723" s="1"/>
      <c r="L723" s="1"/>
      <c r="M723" s="1" t="str">
        <f>VLOOKUP(B723,Bounties!A:D,3,FALSE)</f>
        <v>Outreach</v>
      </c>
      <c r="N723" s="1" t="str">
        <f>VLOOKUP(B723,Bounties!A:D,4,FALSE)</f>
        <v>Events/Meetups</v>
      </c>
      <c r="O723" s="1" t="str">
        <f t="shared" ref="O723:P723" si="727">IF(ISBLANK(K723),M723,K723)</f>
        <v>Outreach</v>
      </c>
      <c r="P723" s="1" t="str">
        <f t="shared" si="727"/>
        <v>Events/Meetups</v>
      </c>
      <c r="Q723" s="108" t="str">
        <f t="shared" si="3"/>
        <v>2024</v>
      </c>
      <c r="R723" s="110">
        <f t="shared" si="4"/>
        <v>9</v>
      </c>
      <c r="S723" s="108" t="str">
        <f t="shared" si="5"/>
        <v>2024-Q3</v>
      </c>
      <c r="T723" s="111" t="str">
        <f t="shared" si="6"/>
        <v>2024-09</v>
      </c>
      <c r="U723" s="112" t="str">
        <f t="shared" si="7"/>
        <v>2024-H2</v>
      </c>
      <c r="V723" s="1" t="str">
        <f>VLOOKUP(B723,Bounties!A:E,2,FALSE)</f>
        <v>Events Bounty</v>
      </c>
    </row>
    <row r="724" hidden="1">
      <c r="A724" s="109">
        <f>HYPERLINK("https://polkadot.subsquare.io/treasury/child-bounties/722", 722)</f>
        <v>722</v>
      </c>
      <c r="B724" s="183">
        <v>17.0</v>
      </c>
      <c r="C724" s="27" t="s">
        <v>3404</v>
      </c>
      <c r="D724" s="27" t="s">
        <v>1300</v>
      </c>
      <c r="E724" s="129">
        <v>796.6</v>
      </c>
      <c r="F724" s="66">
        <v>6160.27173652649</v>
      </c>
      <c r="G724" s="27" t="s">
        <v>3559</v>
      </c>
      <c r="H724" s="167">
        <v>45339.0</v>
      </c>
      <c r="I724" s="167">
        <v>45352.0</v>
      </c>
      <c r="J724" s="66">
        <v>7895.238786315918</v>
      </c>
      <c r="K724" s="1"/>
      <c r="L724" s="1"/>
      <c r="M724" s="1" t="str">
        <f>VLOOKUP(B724,Bounties!A:D,3,FALSE)</f>
        <v>Outreach</v>
      </c>
      <c r="N724" s="1" t="str">
        <f>VLOOKUP(B724,Bounties!A:D,4,FALSE)</f>
        <v>Events/Meetups</v>
      </c>
      <c r="O724" s="1" t="str">
        <f t="shared" ref="O724:P724" si="728">IF(ISBLANK(K724),M724,K724)</f>
        <v>Outreach</v>
      </c>
      <c r="P724" s="1" t="str">
        <f t="shared" si="728"/>
        <v>Events/Meetups</v>
      </c>
      <c r="Q724" s="108" t="str">
        <f t="shared" si="3"/>
        <v>2024</v>
      </c>
      <c r="R724" s="110">
        <f t="shared" si="4"/>
        <v>3</v>
      </c>
      <c r="S724" s="108" t="str">
        <f t="shared" si="5"/>
        <v>2024-Q1</v>
      </c>
      <c r="T724" s="111" t="str">
        <f t="shared" si="6"/>
        <v>2024-03</v>
      </c>
      <c r="U724" s="112" t="str">
        <f t="shared" si="7"/>
        <v>2024-H1</v>
      </c>
      <c r="V724" s="1" t="str">
        <f>VLOOKUP(B724,Bounties!A:E,2,FALSE)</f>
        <v>Events Bounty</v>
      </c>
    </row>
    <row r="725" hidden="1">
      <c r="A725" s="109">
        <f>HYPERLINK("https://polkadot.subsquare.io/treasury/child-bounties/723", 723)</f>
        <v>723</v>
      </c>
      <c r="B725" s="183">
        <v>17.0</v>
      </c>
      <c r="C725" s="27" t="s">
        <v>3404</v>
      </c>
      <c r="D725" s="27" t="s">
        <v>1301</v>
      </c>
      <c r="E725" s="129">
        <v>950.0</v>
      </c>
      <c r="F725" s="66">
        <v>7346.545505523682</v>
      </c>
      <c r="G725" s="27" t="s">
        <v>3542</v>
      </c>
      <c r="H725" s="167">
        <v>45339.0</v>
      </c>
      <c r="I725" s="167">
        <v>45351.0</v>
      </c>
      <c r="J725" s="66">
        <v>9307.567596435547</v>
      </c>
      <c r="K725" s="1"/>
      <c r="L725" s="1"/>
      <c r="M725" s="1" t="str">
        <f>VLOOKUP(B725,Bounties!A:D,3,FALSE)</f>
        <v>Outreach</v>
      </c>
      <c r="N725" s="1" t="str">
        <f>VLOOKUP(B725,Bounties!A:D,4,FALSE)</f>
        <v>Events/Meetups</v>
      </c>
      <c r="O725" s="1" t="str">
        <f t="shared" ref="O725:P725" si="729">IF(ISBLANK(K725),M725,K725)</f>
        <v>Outreach</v>
      </c>
      <c r="P725" s="1" t="str">
        <f t="shared" si="729"/>
        <v>Events/Meetups</v>
      </c>
      <c r="Q725" s="108" t="str">
        <f t="shared" si="3"/>
        <v>2024</v>
      </c>
      <c r="R725" s="110">
        <f t="shared" si="4"/>
        <v>2</v>
      </c>
      <c r="S725" s="108" t="str">
        <f t="shared" si="5"/>
        <v>2024-Q1</v>
      </c>
      <c r="T725" s="111" t="str">
        <f t="shared" si="6"/>
        <v>2024-02</v>
      </c>
      <c r="U725" s="112" t="str">
        <f t="shared" si="7"/>
        <v>2024-H1</v>
      </c>
      <c r="V725" s="1" t="str">
        <f>VLOOKUP(B725,Bounties!A:E,2,FALSE)</f>
        <v>Events Bounty</v>
      </c>
    </row>
    <row r="726" hidden="1">
      <c r="A726" s="109">
        <f>HYPERLINK("https://polkadot.subsquare.io/treasury/child-bounties/724", 724)</f>
        <v>724</v>
      </c>
      <c r="B726" s="183">
        <v>17.0</v>
      </c>
      <c r="C726" s="27" t="s">
        <v>3404</v>
      </c>
      <c r="D726" s="27" t="s">
        <v>1302</v>
      </c>
      <c r="E726" s="129">
        <v>371.0</v>
      </c>
      <c r="F726" s="66">
        <v>2869.01935005188</v>
      </c>
      <c r="G726" s="27" t="s">
        <v>3488</v>
      </c>
      <c r="H726" s="167">
        <v>45339.0</v>
      </c>
      <c r="I726" s="167">
        <v>45350.0</v>
      </c>
      <c r="J726" s="66">
        <v>3500.7934560775757</v>
      </c>
      <c r="K726" s="1"/>
      <c r="L726" s="1" t="s">
        <v>266</v>
      </c>
      <c r="M726" s="1" t="str">
        <f>VLOOKUP(B726,Bounties!A:D,3,FALSE)</f>
        <v>Outreach</v>
      </c>
      <c r="N726" s="1" t="str">
        <f>VLOOKUP(B726,Bounties!A:D,4,FALSE)</f>
        <v>Events/Meetups</v>
      </c>
      <c r="O726" s="1" t="str">
        <f t="shared" ref="O726:P726" si="730">IF(ISBLANK(K726),M726,K726)</f>
        <v>Outreach</v>
      </c>
      <c r="P726" s="1" t="str">
        <f t="shared" si="730"/>
        <v>Events/Conference Attendance &amp; Side Events</v>
      </c>
      <c r="Q726" s="108" t="str">
        <f t="shared" si="3"/>
        <v>2024</v>
      </c>
      <c r="R726" s="110">
        <f t="shared" si="4"/>
        <v>2</v>
      </c>
      <c r="S726" s="108" t="str">
        <f t="shared" si="5"/>
        <v>2024-Q1</v>
      </c>
      <c r="T726" s="111" t="str">
        <f t="shared" si="6"/>
        <v>2024-02</v>
      </c>
      <c r="U726" s="112" t="str">
        <f t="shared" si="7"/>
        <v>2024-H1</v>
      </c>
      <c r="V726" s="1" t="str">
        <f>VLOOKUP(B726,Bounties!A:E,2,FALSE)</f>
        <v>Events Bounty</v>
      </c>
    </row>
    <row r="727" hidden="1">
      <c r="A727" s="109">
        <f>HYPERLINK("https://polkadot.subsquare.io/treasury/child-bounties/725", 725)</f>
        <v>725</v>
      </c>
      <c r="B727" s="183">
        <v>19.0</v>
      </c>
      <c r="C727" s="27" t="s">
        <v>3404</v>
      </c>
      <c r="D727" s="27" t="s">
        <v>1303</v>
      </c>
      <c r="E727" s="129">
        <v>6678.0</v>
      </c>
      <c r="F727" s="66">
        <v>51642.34830093384</v>
      </c>
      <c r="G727" s="27" t="s">
        <v>3620</v>
      </c>
      <c r="H727" s="167">
        <v>45340.0</v>
      </c>
      <c r="I727" s="167">
        <v>45348.0</v>
      </c>
      <c r="J727" s="66">
        <v>55127.05634880066</v>
      </c>
      <c r="K727" s="1"/>
      <c r="L727" s="1"/>
      <c r="M727" s="1" t="str">
        <f>VLOOKUP(B727,Bounties!A:D,3,FALSE)</f>
        <v>Development</v>
      </c>
      <c r="N727" s="1" t="str">
        <f>VLOOKUP(B727,Bounties!A:D,4,FALSE)</f>
        <v>Smart Contracts</v>
      </c>
      <c r="O727" s="1" t="str">
        <f t="shared" ref="O727:P727" si="731">IF(ISBLANK(K727),M727,K727)</f>
        <v>Development</v>
      </c>
      <c r="P727" s="1" t="str">
        <f t="shared" si="731"/>
        <v>Smart Contracts</v>
      </c>
      <c r="Q727" s="108" t="str">
        <f t="shared" si="3"/>
        <v>2024</v>
      </c>
      <c r="R727" s="110">
        <f t="shared" si="4"/>
        <v>2</v>
      </c>
      <c r="S727" s="108" t="str">
        <f t="shared" si="5"/>
        <v>2024-Q1</v>
      </c>
      <c r="T727" s="111" t="str">
        <f t="shared" si="6"/>
        <v>2024-02</v>
      </c>
      <c r="U727" s="112" t="str">
        <f t="shared" si="7"/>
        <v>2024-H1</v>
      </c>
      <c r="V727" s="1" t="str">
        <f>VLOOKUP(B727,Bounties!A:E,2,FALSE)</f>
        <v>Wasm Smart Contracts Bounty</v>
      </c>
    </row>
    <row r="728" hidden="1">
      <c r="A728" s="109">
        <f>HYPERLINK("https://polkadot.subsquare.io/treasury/child-bounties/726", 726)</f>
        <v>726</v>
      </c>
      <c r="B728" s="183">
        <v>33.0</v>
      </c>
      <c r="C728" s="27" t="s">
        <v>3404</v>
      </c>
      <c r="D728" s="27" t="s">
        <v>1304</v>
      </c>
      <c r="E728" s="129">
        <v>23297.22</v>
      </c>
      <c r="F728" s="66">
        <v>174330.55979118348</v>
      </c>
      <c r="G728" s="27" t="s">
        <v>3621</v>
      </c>
      <c r="H728" s="167">
        <v>45341.0</v>
      </c>
      <c r="I728" s="167">
        <v>45349.0</v>
      </c>
      <c r="J728" s="66">
        <v>202085.4358316231</v>
      </c>
      <c r="K728" s="1" t="s">
        <v>137</v>
      </c>
      <c r="L728" s="1" t="s">
        <v>368</v>
      </c>
      <c r="M728" s="1" t="str">
        <f>VLOOKUP(B728,Bounties!A:D,3,FALSE)</f>
        <v>Outreach</v>
      </c>
      <c r="N728" s="1" t="str">
        <f>VLOOKUP(B728,Bounties!A:D,4,FALSE)</f>
        <v>Advertising</v>
      </c>
      <c r="O728" s="1" t="str">
        <f t="shared" ref="O728:P728" si="732">IF(ISBLANK(K728),M728,K728)</f>
        <v>Outreach</v>
      </c>
      <c r="P728" s="1" t="str">
        <f t="shared" si="732"/>
        <v>Advertising/Physical Ads</v>
      </c>
      <c r="Q728" s="108" t="str">
        <f t="shared" si="3"/>
        <v>2024</v>
      </c>
      <c r="R728" s="110">
        <f t="shared" si="4"/>
        <v>2</v>
      </c>
      <c r="S728" s="108" t="str">
        <f t="shared" si="5"/>
        <v>2024-Q1</v>
      </c>
      <c r="T728" s="111" t="str">
        <f t="shared" si="6"/>
        <v>2024-02</v>
      </c>
      <c r="U728" s="112" t="str">
        <f t="shared" si="7"/>
        <v>2024-H1</v>
      </c>
      <c r="V728" s="1" t="str">
        <f>VLOOKUP(B728,Bounties!A:E,2,FALSE)</f>
        <v>Marketing Bounty</v>
      </c>
    </row>
    <row r="729" hidden="1">
      <c r="A729" s="109">
        <f>HYPERLINK("https://polkadot.subsquare.io/treasury/child-bounties/727", 727)</f>
        <v>727</v>
      </c>
      <c r="B729" s="183">
        <v>22.0</v>
      </c>
      <c r="C729" s="27" t="s">
        <v>3404</v>
      </c>
      <c r="D729" s="27" t="s">
        <v>1305</v>
      </c>
      <c r="E729" s="129">
        <v>18360.0</v>
      </c>
      <c r="F729" s="66">
        <v>143380.55047988892</v>
      </c>
      <c r="G729" s="27" t="s">
        <v>3622</v>
      </c>
      <c r="H729" s="167">
        <v>45343.0</v>
      </c>
      <c r="I729" s="167">
        <v>45369.0</v>
      </c>
      <c r="J729" s="66">
        <v>174270.53924560547</v>
      </c>
      <c r="K729" s="1"/>
      <c r="L729" s="1"/>
      <c r="M729" s="1" t="str">
        <f>VLOOKUP(B729,Bounties!A:D,3,FALSE)</f>
        <v>Development</v>
      </c>
      <c r="N729" s="1" t="str">
        <f>VLOOKUP(B729,Bounties!A:D,4,FALSE)</f>
        <v>Ecosystem Services</v>
      </c>
      <c r="O729" s="1" t="str">
        <f t="shared" ref="O729:P729" si="733">IF(ISBLANK(K729),M729,K729)</f>
        <v>Development</v>
      </c>
      <c r="P729" s="1" t="str">
        <f t="shared" si="733"/>
        <v>Ecosystem Services</v>
      </c>
      <c r="Q729" s="108" t="str">
        <f t="shared" si="3"/>
        <v>2024</v>
      </c>
      <c r="R729" s="110">
        <f t="shared" si="4"/>
        <v>3</v>
      </c>
      <c r="S729" s="108" t="str">
        <f t="shared" si="5"/>
        <v>2024-Q1</v>
      </c>
      <c r="T729" s="111" t="str">
        <f t="shared" si="6"/>
        <v>2024-03</v>
      </c>
      <c r="U729" s="112" t="str">
        <f t="shared" si="7"/>
        <v>2024-H1</v>
      </c>
      <c r="V729" s="1" t="str">
        <f>VLOOKUP(B729,Bounties!A:E,2,FALSE)</f>
        <v>Polkadot Assurance Legion Bounty</v>
      </c>
    </row>
    <row r="730" hidden="1">
      <c r="A730" s="109">
        <f>HYPERLINK("https://polkadot.subsquare.io/treasury/child-bounties/728", 728)</f>
        <v>728</v>
      </c>
      <c r="B730" s="183">
        <v>17.0</v>
      </c>
      <c r="C730" s="27" t="s">
        <v>3427</v>
      </c>
      <c r="D730" s="27" t="s">
        <v>3623</v>
      </c>
      <c r="E730" s="129">
        <v>1188.9</v>
      </c>
      <c r="F730" s="66">
        <v>9918.539660453796</v>
      </c>
      <c r="H730" s="167">
        <v>45347.0</v>
      </c>
      <c r="I730" s="167">
        <v>45362.0</v>
      </c>
      <c r="J730" s="66">
        <v>13723.356179237368</v>
      </c>
      <c r="K730" s="1"/>
      <c r="L730" s="1"/>
      <c r="M730" s="1" t="str">
        <f>VLOOKUP(B730,Bounties!A:D,3,FALSE)</f>
        <v>Outreach</v>
      </c>
      <c r="N730" s="1" t="str">
        <f>VLOOKUP(B730,Bounties!A:D,4,FALSE)</f>
        <v>Events/Meetups</v>
      </c>
      <c r="O730" s="1" t="str">
        <f t="shared" ref="O730:P730" si="734">IF(ISBLANK(K730),M730,K730)</f>
        <v>Outreach</v>
      </c>
      <c r="P730" s="1" t="str">
        <f t="shared" si="734"/>
        <v>Events/Meetups</v>
      </c>
      <c r="Q730" s="108" t="str">
        <f t="shared" si="3"/>
        <v>2024</v>
      </c>
      <c r="R730" s="110">
        <f t="shared" si="4"/>
        <v>3</v>
      </c>
      <c r="S730" s="108" t="str">
        <f t="shared" si="5"/>
        <v>2024-Q1</v>
      </c>
      <c r="T730" s="111" t="str">
        <f t="shared" si="6"/>
        <v>2024-03</v>
      </c>
      <c r="U730" s="112" t="str">
        <f t="shared" si="7"/>
        <v>2024-H1</v>
      </c>
      <c r="V730" s="1" t="str">
        <f>VLOOKUP(B730,Bounties!A:E,2,FALSE)</f>
        <v>Events Bounty</v>
      </c>
    </row>
    <row r="731" hidden="1">
      <c r="A731" s="109">
        <f>HYPERLINK("https://polkadot.subsquare.io/treasury/child-bounties/729", 729)</f>
        <v>729</v>
      </c>
      <c r="B731" s="183">
        <v>17.0</v>
      </c>
      <c r="C731" s="27" t="s">
        <v>3404</v>
      </c>
      <c r="D731" s="27" t="s">
        <v>1306</v>
      </c>
      <c r="E731" s="129">
        <v>7384.4</v>
      </c>
      <c r="F731" s="66">
        <v>61605.235317230225</v>
      </c>
      <c r="G731" s="27" t="s">
        <v>3624</v>
      </c>
      <c r="H731" s="167">
        <v>45347.0</v>
      </c>
      <c r="I731" s="167">
        <v>45372.0</v>
      </c>
      <c r="J731" s="66">
        <v>69186.7285205841</v>
      </c>
      <c r="K731" s="1"/>
      <c r="L731" s="1" t="s">
        <v>266</v>
      </c>
      <c r="M731" s="1" t="str">
        <f>VLOOKUP(B731,Bounties!A:D,3,FALSE)</f>
        <v>Outreach</v>
      </c>
      <c r="N731" s="1" t="str">
        <f>VLOOKUP(B731,Bounties!A:D,4,FALSE)</f>
        <v>Events/Meetups</v>
      </c>
      <c r="O731" s="1" t="str">
        <f t="shared" ref="O731:P731" si="735">IF(ISBLANK(K731),M731,K731)</f>
        <v>Outreach</v>
      </c>
      <c r="P731" s="1" t="str">
        <f t="shared" si="735"/>
        <v>Events/Conference Attendance &amp; Side Events</v>
      </c>
      <c r="Q731" s="108" t="str">
        <f t="shared" si="3"/>
        <v>2024</v>
      </c>
      <c r="R731" s="110">
        <f t="shared" si="4"/>
        <v>3</v>
      </c>
      <c r="S731" s="108" t="str">
        <f t="shared" si="5"/>
        <v>2024-Q1</v>
      </c>
      <c r="T731" s="111" t="str">
        <f t="shared" si="6"/>
        <v>2024-03</v>
      </c>
      <c r="U731" s="112" t="str">
        <f t="shared" si="7"/>
        <v>2024-H1</v>
      </c>
      <c r="V731" s="1" t="str">
        <f>VLOOKUP(B731,Bounties!A:E,2,FALSE)</f>
        <v>Events Bounty</v>
      </c>
    </row>
    <row r="732" hidden="1">
      <c r="A732" s="109">
        <f>HYPERLINK("https://polkadot.subsquare.io/treasury/child-bounties/730", 730)</f>
        <v>730</v>
      </c>
      <c r="B732" s="183">
        <v>17.0</v>
      </c>
      <c r="C732" s="27" t="s">
        <v>3404</v>
      </c>
      <c r="D732" s="27" t="s">
        <v>1307</v>
      </c>
      <c r="E732" s="129">
        <v>1145.9</v>
      </c>
      <c r="F732" s="66">
        <v>9559.807045936584</v>
      </c>
      <c r="G732" s="27" t="s">
        <v>3625</v>
      </c>
      <c r="H732" s="167">
        <v>45347.0</v>
      </c>
      <c r="I732" s="167">
        <v>45370.0</v>
      </c>
      <c r="J732" s="66">
        <v>10220.577877044678</v>
      </c>
      <c r="K732" s="1"/>
      <c r="L732" s="1" t="s">
        <v>266</v>
      </c>
      <c r="M732" s="1" t="str">
        <f>VLOOKUP(B732,Bounties!A:D,3,FALSE)</f>
        <v>Outreach</v>
      </c>
      <c r="N732" s="1" t="str">
        <f>VLOOKUP(B732,Bounties!A:D,4,FALSE)</f>
        <v>Events/Meetups</v>
      </c>
      <c r="O732" s="1" t="str">
        <f t="shared" ref="O732:P732" si="736">IF(ISBLANK(K732),M732,K732)</f>
        <v>Outreach</v>
      </c>
      <c r="P732" s="1" t="str">
        <f t="shared" si="736"/>
        <v>Events/Conference Attendance &amp; Side Events</v>
      </c>
      <c r="Q732" s="108" t="str">
        <f t="shared" si="3"/>
        <v>2024</v>
      </c>
      <c r="R732" s="110">
        <f t="shared" si="4"/>
        <v>3</v>
      </c>
      <c r="S732" s="108" t="str">
        <f t="shared" si="5"/>
        <v>2024-Q1</v>
      </c>
      <c r="T732" s="111" t="str">
        <f t="shared" si="6"/>
        <v>2024-03</v>
      </c>
      <c r="U732" s="112" t="str">
        <f t="shared" si="7"/>
        <v>2024-H1</v>
      </c>
      <c r="V732" s="1" t="str">
        <f>VLOOKUP(B732,Bounties!A:E,2,FALSE)</f>
        <v>Events Bounty</v>
      </c>
    </row>
    <row r="733" hidden="1">
      <c r="A733" s="109">
        <f>HYPERLINK("https://polkadot.subsquare.io/treasury/child-bounties/731", 731)</f>
        <v>731</v>
      </c>
      <c r="B733" s="183">
        <v>17.0</v>
      </c>
      <c r="C733" s="27" t="s">
        <v>3404</v>
      </c>
      <c r="D733" s="27" t="s">
        <v>1308</v>
      </c>
      <c r="E733" s="129">
        <v>39.6</v>
      </c>
      <c r="F733" s="66">
        <v>330.3677101135254</v>
      </c>
      <c r="G733" s="27" t="s">
        <v>3463</v>
      </c>
      <c r="H733" s="167">
        <v>45347.0</v>
      </c>
      <c r="I733" s="167">
        <v>45388.0</v>
      </c>
      <c r="J733" s="66">
        <v>358.1681053161621</v>
      </c>
      <c r="K733" s="1"/>
      <c r="L733" s="1" t="s">
        <v>266</v>
      </c>
      <c r="M733" s="1" t="str">
        <f>VLOOKUP(B733,Bounties!A:D,3,FALSE)</f>
        <v>Outreach</v>
      </c>
      <c r="N733" s="1" t="str">
        <f>VLOOKUP(B733,Bounties!A:D,4,FALSE)</f>
        <v>Events/Meetups</v>
      </c>
      <c r="O733" s="1" t="str">
        <f t="shared" ref="O733:P733" si="737">IF(ISBLANK(K733),M733,K733)</f>
        <v>Outreach</v>
      </c>
      <c r="P733" s="1" t="str">
        <f t="shared" si="737"/>
        <v>Events/Conference Attendance &amp; Side Events</v>
      </c>
      <c r="Q733" s="108" t="str">
        <f t="shared" si="3"/>
        <v>2024</v>
      </c>
      <c r="R733" s="110">
        <f t="shared" si="4"/>
        <v>4</v>
      </c>
      <c r="S733" s="108" t="str">
        <f t="shared" si="5"/>
        <v>2024-Q2</v>
      </c>
      <c r="T733" s="111" t="str">
        <f t="shared" si="6"/>
        <v>2024-04</v>
      </c>
      <c r="U733" s="112" t="str">
        <f t="shared" si="7"/>
        <v>2024-H1</v>
      </c>
      <c r="V733" s="1" t="str">
        <f>VLOOKUP(B733,Bounties!A:E,2,FALSE)</f>
        <v>Events Bounty</v>
      </c>
    </row>
    <row r="734" hidden="1">
      <c r="A734" s="109">
        <f>HYPERLINK("https://polkadot.subsquare.io/treasury/child-bounties/732", 732)</f>
        <v>732</v>
      </c>
      <c r="B734" s="183">
        <v>24.0</v>
      </c>
      <c r="C734" s="27" t="s">
        <v>3404</v>
      </c>
      <c r="D734" s="27" t="s">
        <v>1309</v>
      </c>
      <c r="E734" s="129">
        <v>196.85</v>
      </c>
      <c r="F734" s="66">
        <v>1642.244538784027</v>
      </c>
      <c r="G734" s="27" t="s">
        <v>3409</v>
      </c>
      <c r="H734" s="167">
        <v>45347.0</v>
      </c>
      <c r="I734" s="167">
        <v>45356.0</v>
      </c>
      <c r="J734" s="66">
        <v>2051.5836399078366</v>
      </c>
      <c r="K734" s="1"/>
      <c r="L734" s="1"/>
      <c r="M734" s="1" t="str">
        <f>VLOOKUP(B734,Bounties!A:D,3,FALSE)</f>
        <v>Outreach</v>
      </c>
      <c r="N734" s="1" t="str">
        <f>VLOOKUP(B734,Bounties!A:D,4,FALSE)</f>
        <v>Community Building</v>
      </c>
      <c r="O734" s="1" t="str">
        <f t="shared" ref="O734:P734" si="738">IF(ISBLANK(K734),M734,K734)</f>
        <v>Outreach</v>
      </c>
      <c r="P734" s="1" t="str">
        <f t="shared" si="738"/>
        <v>Community Building</v>
      </c>
      <c r="Q734" s="108" t="str">
        <f t="shared" si="3"/>
        <v>2024</v>
      </c>
      <c r="R734" s="110">
        <f t="shared" si="4"/>
        <v>3</v>
      </c>
      <c r="S734" s="108" t="str">
        <f t="shared" si="5"/>
        <v>2024-Q1</v>
      </c>
      <c r="T734" s="111" t="str">
        <f t="shared" si="6"/>
        <v>2024-03</v>
      </c>
      <c r="U734" s="112" t="str">
        <f t="shared" si="7"/>
        <v>2024-H1</v>
      </c>
      <c r="V734" s="1" t="str">
        <f>VLOOKUP(B734,Bounties!A:E,2,FALSE)</f>
        <v>Moderation Team Bounty</v>
      </c>
    </row>
    <row r="735" hidden="1">
      <c r="A735" s="109">
        <f>HYPERLINK("https://polkadot.subsquare.io/treasury/child-bounties/733", 733)</f>
        <v>733</v>
      </c>
      <c r="B735" s="183">
        <v>24.0</v>
      </c>
      <c r="C735" s="27" t="s">
        <v>3404</v>
      </c>
      <c r="D735" s="27" t="s">
        <v>1310</v>
      </c>
      <c r="E735" s="129">
        <v>179.53</v>
      </c>
      <c r="F735" s="66">
        <v>1497.750378704071</v>
      </c>
      <c r="G735" s="27" t="s">
        <v>3549</v>
      </c>
      <c r="H735" s="167">
        <v>45347.0</v>
      </c>
      <c r="I735" s="167">
        <v>45356.0</v>
      </c>
      <c r="J735" s="66">
        <v>1871.0734613800048</v>
      </c>
      <c r="K735" s="1"/>
      <c r="L735" s="1"/>
      <c r="M735" s="1" t="str">
        <f>VLOOKUP(B735,Bounties!A:D,3,FALSE)</f>
        <v>Outreach</v>
      </c>
      <c r="N735" s="1" t="str">
        <f>VLOOKUP(B735,Bounties!A:D,4,FALSE)</f>
        <v>Community Building</v>
      </c>
      <c r="O735" s="1" t="str">
        <f t="shared" ref="O735:P735" si="739">IF(ISBLANK(K735),M735,K735)</f>
        <v>Outreach</v>
      </c>
      <c r="P735" s="1" t="str">
        <f t="shared" si="739"/>
        <v>Community Building</v>
      </c>
      <c r="Q735" s="108" t="str">
        <f t="shared" si="3"/>
        <v>2024</v>
      </c>
      <c r="R735" s="110">
        <f t="shared" si="4"/>
        <v>3</v>
      </c>
      <c r="S735" s="108" t="str">
        <f t="shared" si="5"/>
        <v>2024-Q1</v>
      </c>
      <c r="T735" s="111" t="str">
        <f t="shared" si="6"/>
        <v>2024-03</v>
      </c>
      <c r="U735" s="112" t="str">
        <f t="shared" si="7"/>
        <v>2024-H1</v>
      </c>
      <c r="V735" s="1" t="str">
        <f>VLOOKUP(B735,Bounties!A:E,2,FALSE)</f>
        <v>Moderation Team Bounty</v>
      </c>
    </row>
    <row r="736" hidden="1">
      <c r="A736" s="109">
        <f>HYPERLINK("https://polkadot.subsquare.io/treasury/child-bounties/734", 734)</f>
        <v>734</v>
      </c>
      <c r="B736" s="183">
        <v>24.0</v>
      </c>
      <c r="C736" s="27" t="s">
        <v>3404</v>
      </c>
      <c r="D736" s="27" t="s">
        <v>1311</v>
      </c>
      <c r="E736" s="129">
        <v>179.53</v>
      </c>
      <c r="F736" s="66">
        <v>1497.750378704071</v>
      </c>
      <c r="G736" s="27" t="s">
        <v>3424</v>
      </c>
      <c r="H736" s="167">
        <v>45347.0</v>
      </c>
      <c r="I736" s="167">
        <v>45356.0</v>
      </c>
      <c r="J736" s="66">
        <v>1871.0734613800048</v>
      </c>
      <c r="K736" s="1"/>
      <c r="L736" s="1"/>
      <c r="M736" s="1" t="str">
        <f>VLOOKUP(B736,Bounties!A:D,3,FALSE)</f>
        <v>Outreach</v>
      </c>
      <c r="N736" s="1" t="str">
        <f>VLOOKUP(B736,Bounties!A:D,4,FALSE)</f>
        <v>Community Building</v>
      </c>
      <c r="O736" s="1" t="str">
        <f t="shared" ref="O736:P736" si="740">IF(ISBLANK(K736),M736,K736)</f>
        <v>Outreach</v>
      </c>
      <c r="P736" s="1" t="str">
        <f t="shared" si="740"/>
        <v>Community Building</v>
      </c>
      <c r="Q736" s="108" t="str">
        <f t="shared" si="3"/>
        <v>2024</v>
      </c>
      <c r="R736" s="110">
        <f t="shared" si="4"/>
        <v>3</v>
      </c>
      <c r="S736" s="108" t="str">
        <f t="shared" si="5"/>
        <v>2024-Q1</v>
      </c>
      <c r="T736" s="111" t="str">
        <f t="shared" si="6"/>
        <v>2024-03</v>
      </c>
      <c r="U736" s="112" t="str">
        <f t="shared" si="7"/>
        <v>2024-H1</v>
      </c>
      <c r="V736" s="1" t="str">
        <f>VLOOKUP(B736,Bounties!A:E,2,FALSE)</f>
        <v>Moderation Team Bounty</v>
      </c>
    </row>
    <row r="737" hidden="1">
      <c r="A737" s="109">
        <f>HYPERLINK("https://polkadot.subsquare.io/treasury/child-bounties/735", 735)</f>
        <v>735</v>
      </c>
      <c r="B737" s="183">
        <v>24.0</v>
      </c>
      <c r="C737" s="27" t="s">
        <v>3404</v>
      </c>
      <c r="D737" s="27" t="s">
        <v>1312</v>
      </c>
      <c r="E737" s="129">
        <v>179.53</v>
      </c>
      <c r="F737" s="66">
        <v>1497.750378704071</v>
      </c>
      <c r="G737" s="27" t="s">
        <v>3408</v>
      </c>
      <c r="H737" s="167">
        <v>45347.0</v>
      </c>
      <c r="I737" s="167">
        <v>45356.0</v>
      </c>
      <c r="J737" s="66">
        <v>1871.0734613800048</v>
      </c>
      <c r="K737" s="1"/>
      <c r="L737" s="1"/>
      <c r="M737" s="1" t="str">
        <f>VLOOKUP(B737,Bounties!A:D,3,FALSE)</f>
        <v>Outreach</v>
      </c>
      <c r="N737" s="1" t="str">
        <f>VLOOKUP(B737,Bounties!A:D,4,FALSE)</f>
        <v>Community Building</v>
      </c>
      <c r="O737" s="1" t="str">
        <f t="shared" ref="O737:P737" si="741">IF(ISBLANK(K737),M737,K737)</f>
        <v>Outreach</v>
      </c>
      <c r="P737" s="1" t="str">
        <f t="shared" si="741"/>
        <v>Community Building</v>
      </c>
      <c r="Q737" s="108" t="str">
        <f t="shared" si="3"/>
        <v>2024</v>
      </c>
      <c r="R737" s="110">
        <f t="shared" si="4"/>
        <v>3</v>
      </c>
      <c r="S737" s="108" t="str">
        <f t="shared" si="5"/>
        <v>2024-Q1</v>
      </c>
      <c r="T737" s="111" t="str">
        <f t="shared" si="6"/>
        <v>2024-03</v>
      </c>
      <c r="U737" s="112" t="str">
        <f t="shared" si="7"/>
        <v>2024-H1</v>
      </c>
      <c r="V737" s="1" t="str">
        <f>VLOOKUP(B737,Bounties!A:E,2,FALSE)</f>
        <v>Moderation Team Bounty</v>
      </c>
    </row>
    <row r="738" hidden="1">
      <c r="A738" s="109">
        <f>HYPERLINK("https://polkadot.subsquare.io/treasury/child-bounties/736", 736)</f>
        <v>736</v>
      </c>
      <c r="B738" s="183">
        <v>24.0</v>
      </c>
      <c r="C738" s="27" t="s">
        <v>3404</v>
      </c>
      <c r="D738" s="27" t="s">
        <v>1313</v>
      </c>
      <c r="E738" s="129">
        <v>179.53</v>
      </c>
      <c r="F738" s="66">
        <v>1497.750378704071</v>
      </c>
      <c r="G738" s="27" t="s">
        <v>3548</v>
      </c>
      <c r="H738" s="167">
        <v>45347.0</v>
      </c>
      <c r="I738" s="167">
        <v>45357.0</v>
      </c>
      <c r="J738" s="66">
        <v>1914.7110705661773</v>
      </c>
      <c r="K738" s="1"/>
      <c r="L738" s="1"/>
      <c r="M738" s="1" t="str">
        <f>VLOOKUP(B738,Bounties!A:D,3,FALSE)</f>
        <v>Outreach</v>
      </c>
      <c r="N738" s="1" t="str">
        <f>VLOOKUP(B738,Bounties!A:D,4,FALSE)</f>
        <v>Community Building</v>
      </c>
      <c r="O738" s="1" t="str">
        <f t="shared" ref="O738:P738" si="742">IF(ISBLANK(K738),M738,K738)</f>
        <v>Outreach</v>
      </c>
      <c r="P738" s="1" t="str">
        <f t="shared" si="742"/>
        <v>Community Building</v>
      </c>
      <c r="Q738" s="108" t="str">
        <f t="shared" si="3"/>
        <v>2024</v>
      </c>
      <c r="R738" s="110">
        <f t="shared" si="4"/>
        <v>3</v>
      </c>
      <c r="S738" s="108" t="str">
        <f t="shared" si="5"/>
        <v>2024-Q1</v>
      </c>
      <c r="T738" s="111" t="str">
        <f t="shared" si="6"/>
        <v>2024-03</v>
      </c>
      <c r="U738" s="112" t="str">
        <f t="shared" si="7"/>
        <v>2024-H1</v>
      </c>
      <c r="V738" s="1" t="str">
        <f>VLOOKUP(B738,Bounties!A:E,2,FALSE)</f>
        <v>Moderation Team Bounty</v>
      </c>
    </row>
    <row r="739" hidden="1">
      <c r="A739" s="109">
        <f>HYPERLINK("https://polkadot.subsquare.io/treasury/child-bounties/737", 737)</f>
        <v>737</v>
      </c>
      <c r="B739" s="183">
        <v>24.0</v>
      </c>
      <c r="C739" s="27" t="s">
        <v>3404</v>
      </c>
      <c r="D739" s="27" t="s">
        <v>1314</v>
      </c>
      <c r="E739" s="129">
        <v>179.53</v>
      </c>
      <c r="F739" s="66">
        <v>1497.750378704071</v>
      </c>
      <c r="G739" s="27" t="s">
        <v>3469</v>
      </c>
      <c r="H739" s="167">
        <v>45347.0</v>
      </c>
      <c r="I739" s="167">
        <v>45358.0</v>
      </c>
      <c r="J739" s="66">
        <v>1889.112136440277</v>
      </c>
      <c r="K739" s="1"/>
      <c r="L739" s="1"/>
      <c r="M739" s="1" t="str">
        <f>VLOOKUP(B739,Bounties!A:D,3,FALSE)</f>
        <v>Outreach</v>
      </c>
      <c r="N739" s="1" t="str">
        <f>VLOOKUP(B739,Bounties!A:D,4,FALSE)</f>
        <v>Community Building</v>
      </c>
      <c r="O739" s="1" t="str">
        <f t="shared" ref="O739:P739" si="743">IF(ISBLANK(K739),M739,K739)</f>
        <v>Outreach</v>
      </c>
      <c r="P739" s="1" t="str">
        <f t="shared" si="743"/>
        <v>Community Building</v>
      </c>
      <c r="Q739" s="108" t="str">
        <f t="shared" si="3"/>
        <v>2024</v>
      </c>
      <c r="R739" s="110">
        <f t="shared" si="4"/>
        <v>3</v>
      </c>
      <c r="S739" s="108" t="str">
        <f t="shared" si="5"/>
        <v>2024-Q1</v>
      </c>
      <c r="T739" s="111" t="str">
        <f t="shared" si="6"/>
        <v>2024-03</v>
      </c>
      <c r="U739" s="112" t="str">
        <f t="shared" si="7"/>
        <v>2024-H1</v>
      </c>
      <c r="V739" s="1" t="str">
        <f>VLOOKUP(B739,Bounties!A:E,2,FALSE)</f>
        <v>Moderation Team Bounty</v>
      </c>
    </row>
    <row r="740" hidden="1">
      <c r="A740" s="109">
        <f>HYPERLINK("https://polkadot.subsquare.io/treasury/child-bounties/738", 738)</f>
        <v>738</v>
      </c>
      <c r="B740" s="183">
        <v>24.0</v>
      </c>
      <c r="C740" s="27" t="s">
        <v>3404</v>
      </c>
      <c r="D740" s="27" t="s">
        <v>1315</v>
      </c>
      <c r="E740" s="129">
        <v>179.53</v>
      </c>
      <c r="F740" s="66">
        <v>1497.750378704071</v>
      </c>
      <c r="G740" s="27" t="s">
        <v>3457</v>
      </c>
      <c r="H740" s="167">
        <v>45347.0</v>
      </c>
      <c r="I740" s="167">
        <v>45356.0</v>
      </c>
      <c r="J740" s="66">
        <v>1914.7110705661773</v>
      </c>
      <c r="K740" s="1"/>
      <c r="L740" s="1"/>
      <c r="M740" s="1" t="str">
        <f>VLOOKUP(B740,Bounties!A:D,3,FALSE)</f>
        <v>Outreach</v>
      </c>
      <c r="N740" s="1" t="str">
        <f>VLOOKUP(B740,Bounties!A:D,4,FALSE)</f>
        <v>Community Building</v>
      </c>
      <c r="O740" s="1" t="str">
        <f t="shared" ref="O740:P740" si="744">IF(ISBLANK(K740),M740,K740)</f>
        <v>Outreach</v>
      </c>
      <c r="P740" s="1" t="str">
        <f t="shared" si="744"/>
        <v>Community Building</v>
      </c>
      <c r="Q740" s="108" t="str">
        <f t="shared" si="3"/>
        <v>2024</v>
      </c>
      <c r="R740" s="110">
        <f t="shared" si="4"/>
        <v>3</v>
      </c>
      <c r="S740" s="108" t="str">
        <f t="shared" si="5"/>
        <v>2024-Q1</v>
      </c>
      <c r="T740" s="111" t="str">
        <f t="shared" si="6"/>
        <v>2024-03</v>
      </c>
      <c r="U740" s="112" t="str">
        <f t="shared" si="7"/>
        <v>2024-H1</v>
      </c>
      <c r="V740" s="1" t="str">
        <f>VLOOKUP(B740,Bounties!A:E,2,FALSE)</f>
        <v>Moderation Team Bounty</v>
      </c>
    </row>
    <row r="741" hidden="1">
      <c r="A741" s="109">
        <f>HYPERLINK("https://polkadot.subsquare.io/treasury/child-bounties/739", 739)</f>
        <v>739</v>
      </c>
      <c r="B741" s="183">
        <v>24.0</v>
      </c>
      <c r="C741" s="27" t="s">
        <v>3404</v>
      </c>
      <c r="D741" s="27" t="s">
        <v>1316</v>
      </c>
      <c r="E741" s="129">
        <v>179.53</v>
      </c>
      <c r="F741" s="66">
        <v>1497.750378704071</v>
      </c>
      <c r="G741" s="27" t="s">
        <v>3407</v>
      </c>
      <c r="H741" s="167">
        <v>45347.0</v>
      </c>
      <c r="I741" s="167">
        <v>45357.0</v>
      </c>
      <c r="J741" s="66">
        <v>1889.112136440277</v>
      </c>
      <c r="K741" s="1"/>
      <c r="L741" s="1"/>
      <c r="M741" s="1" t="str">
        <f>VLOOKUP(B741,Bounties!A:D,3,FALSE)</f>
        <v>Outreach</v>
      </c>
      <c r="N741" s="1" t="str">
        <f>VLOOKUP(B741,Bounties!A:D,4,FALSE)</f>
        <v>Community Building</v>
      </c>
      <c r="O741" s="1" t="str">
        <f t="shared" ref="O741:P741" si="745">IF(ISBLANK(K741),M741,K741)</f>
        <v>Outreach</v>
      </c>
      <c r="P741" s="1" t="str">
        <f t="shared" si="745"/>
        <v>Community Building</v>
      </c>
      <c r="Q741" s="108" t="str">
        <f t="shared" si="3"/>
        <v>2024</v>
      </c>
      <c r="R741" s="110">
        <f t="shared" si="4"/>
        <v>3</v>
      </c>
      <c r="S741" s="108" t="str">
        <f t="shared" si="5"/>
        <v>2024-Q1</v>
      </c>
      <c r="T741" s="111" t="str">
        <f t="shared" si="6"/>
        <v>2024-03</v>
      </c>
      <c r="U741" s="112" t="str">
        <f t="shared" si="7"/>
        <v>2024-H1</v>
      </c>
      <c r="V741" s="1" t="str">
        <f>VLOOKUP(B741,Bounties!A:E,2,FALSE)</f>
        <v>Moderation Team Bounty</v>
      </c>
    </row>
    <row r="742" hidden="1">
      <c r="A742" s="109">
        <f>HYPERLINK("https://polkadot.subsquare.io/treasury/child-bounties/740", 740)</f>
        <v>740</v>
      </c>
      <c r="B742" s="183">
        <v>24.0</v>
      </c>
      <c r="C742" s="27" t="s">
        <v>3404</v>
      </c>
      <c r="D742" s="27" t="s">
        <v>1317</v>
      </c>
      <c r="E742" s="129">
        <v>196.85</v>
      </c>
      <c r="F742" s="66">
        <v>1642.244538784027</v>
      </c>
      <c r="G742" s="27" t="s">
        <v>3486</v>
      </c>
      <c r="H742" s="167">
        <v>45347.0</v>
      </c>
      <c r="I742" s="167">
        <v>45356.0</v>
      </c>
      <c r="J742" s="66">
        <v>2099.431149339676</v>
      </c>
      <c r="K742" s="1"/>
      <c r="L742" s="1"/>
      <c r="M742" s="1" t="str">
        <f>VLOOKUP(B742,Bounties!A:D,3,FALSE)</f>
        <v>Outreach</v>
      </c>
      <c r="N742" s="1" t="str">
        <f>VLOOKUP(B742,Bounties!A:D,4,FALSE)</f>
        <v>Community Building</v>
      </c>
      <c r="O742" s="1" t="str">
        <f t="shared" ref="O742:P742" si="746">IF(ISBLANK(K742),M742,K742)</f>
        <v>Outreach</v>
      </c>
      <c r="P742" s="1" t="str">
        <f t="shared" si="746"/>
        <v>Community Building</v>
      </c>
      <c r="Q742" s="108" t="str">
        <f t="shared" si="3"/>
        <v>2024</v>
      </c>
      <c r="R742" s="110">
        <f t="shared" si="4"/>
        <v>3</v>
      </c>
      <c r="S742" s="108" t="str">
        <f t="shared" si="5"/>
        <v>2024-Q1</v>
      </c>
      <c r="T742" s="111" t="str">
        <f t="shared" si="6"/>
        <v>2024-03</v>
      </c>
      <c r="U742" s="112" t="str">
        <f t="shared" si="7"/>
        <v>2024-H1</v>
      </c>
      <c r="V742" s="1" t="str">
        <f>VLOOKUP(B742,Bounties!A:E,2,FALSE)</f>
        <v>Moderation Team Bounty</v>
      </c>
    </row>
    <row r="743" hidden="1">
      <c r="A743" s="109">
        <f>HYPERLINK("https://polkadot.subsquare.io/treasury/child-bounties/741", 741)</f>
        <v>741</v>
      </c>
      <c r="B743" s="183">
        <v>24.0</v>
      </c>
      <c r="C743" s="27" t="s">
        <v>3404</v>
      </c>
      <c r="D743" s="27" t="s">
        <v>1318</v>
      </c>
      <c r="E743" s="129">
        <v>179.53</v>
      </c>
      <c r="F743" s="66">
        <v>1497.750378704071</v>
      </c>
      <c r="G743" s="27" t="s">
        <v>3526</v>
      </c>
      <c r="H743" s="167">
        <v>45347.0</v>
      </c>
      <c r="I743" s="167">
        <v>45356.0</v>
      </c>
      <c r="J743" s="66">
        <v>1871.0734613800048</v>
      </c>
      <c r="K743" s="1"/>
      <c r="L743" s="1"/>
      <c r="M743" s="1" t="str">
        <f>VLOOKUP(B743,Bounties!A:D,3,FALSE)</f>
        <v>Outreach</v>
      </c>
      <c r="N743" s="1" t="str">
        <f>VLOOKUP(B743,Bounties!A:D,4,FALSE)</f>
        <v>Community Building</v>
      </c>
      <c r="O743" s="1" t="str">
        <f t="shared" ref="O743:P743" si="747">IF(ISBLANK(K743),M743,K743)</f>
        <v>Outreach</v>
      </c>
      <c r="P743" s="1" t="str">
        <f t="shared" si="747"/>
        <v>Community Building</v>
      </c>
      <c r="Q743" s="108" t="str">
        <f t="shared" si="3"/>
        <v>2024</v>
      </c>
      <c r="R743" s="110">
        <f t="shared" si="4"/>
        <v>3</v>
      </c>
      <c r="S743" s="108" t="str">
        <f t="shared" si="5"/>
        <v>2024-Q1</v>
      </c>
      <c r="T743" s="111" t="str">
        <f t="shared" si="6"/>
        <v>2024-03</v>
      </c>
      <c r="U743" s="112" t="str">
        <f t="shared" si="7"/>
        <v>2024-H1</v>
      </c>
      <c r="V743" s="1" t="str">
        <f>VLOOKUP(B743,Bounties!A:E,2,FALSE)</f>
        <v>Moderation Team Bounty</v>
      </c>
    </row>
    <row r="744" hidden="1">
      <c r="A744" s="109">
        <f>HYPERLINK("https://polkadot.subsquare.io/treasury/child-bounties/742", 742)</f>
        <v>742</v>
      </c>
      <c r="B744" s="183">
        <v>24.0</v>
      </c>
      <c r="C744" s="27" t="s">
        <v>3404</v>
      </c>
      <c r="D744" s="27" t="s">
        <v>1319</v>
      </c>
      <c r="E744" s="129">
        <v>211.59</v>
      </c>
      <c r="F744" s="66">
        <v>1765.2147419929504</v>
      </c>
      <c r="G744" s="27" t="s">
        <v>3550</v>
      </c>
      <c r="H744" s="167">
        <v>45347.0</v>
      </c>
      <c r="I744" s="167">
        <v>45356.0</v>
      </c>
      <c r="J744" s="66">
        <v>2205.2048888397217</v>
      </c>
      <c r="K744" s="1"/>
      <c r="L744" s="1"/>
      <c r="M744" s="1" t="str">
        <f>VLOOKUP(B744,Bounties!A:D,3,FALSE)</f>
        <v>Outreach</v>
      </c>
      <c r="N744" s="1" t="str">
        <f>VLOOKUP(B744,Bounties!A:D,4,FALSE)</f>
        <v>Community Building</v>
      </c>
      <c r="O744" s="1" t="str">
        <f t="shared" ref="O744:P744" si="748">IF(ISBLANK(K744),M744,K744)</f>
        <v>Outreach</v>
      </c>
      <c r="P744" s="1" t="str">
        <f t="shared" si="748"/>
        <v>Community Building</v>
      </c>
      <c r="Q744" s="108" t="str">
        <f t="shared" si="3"/>
        <v>2024</v>
      </c>
      <c r="R744" s="110">
        <f t="shared" si="4"/>
        <v>3</v>
      </c>
      <c r="S744" s="108" t="str">
        <f t="shared" si="5"/>
        <v>2024-Q1</v>
      </c>
      <c r="T744" s="111" t="str">
        <f t="shared" si="6"/>
        <v>2024-03</v>
      </c>
      <c r="U744" s="112" t="str">
        <f t="shared" si="7"/>
        <v>2024-H1</v>
      </c>
      <c r="V744" s="1" t="str">
        <f>VLOOKUP(B744,Bounties!A:E,2,FALSE)</f>
        <v>Moderation Team Bounty</v>
      </c>
    </row>
    <row r="745" hidden="1">
      <c r="A745" s="109">
        <f>HYPERLINK("https://polkadot.subsquare.io/treasury/child-bounties/743", 743)</f>
        <v>743</v>
      </c>
      <c r="B745" s="183">
        <v>24.0</v>
      </c>
      <c r="C745" s="27" t="s">
        <v>3404</v>
      </c>
      <c r="D745" s="27" t="s">
        <v>1320</v>
      </c>
      <c r="E745" s="129">
        <v>179.53</v>
      </c>
      <c r="F745" s="66">
        <v>1497.750378704071</v>
      </c>
      <c r="G745" s="27" t="s">
        <v>3406</v>
      </c>
      <c r="H745" s="167">
        <v>45347.0</v>
      </c>
      <c r="I745" s="167">
        <v>45357.0</v>
      </c>
      <c r="J745" s="66">
        <v>1914.7110705661773</v>
      </c>
      <c r="K745" s="1"/>
      <c r="L745" s="1"/>
      <c r="M745" s="1" t="str">
        <f>VLOOKUP(B745,Bounties!A:D,3,FALSE)</f>
        <v>Outreach</v>
      </c>
      <c r="N745" s="1" t="str">
        <f>VLOOKUP(B745,Bounties!A:D,4,FALSE)</f>
        <v>Community Building</v>
      </c>
      <c r="O745" s="1" t="str">
        <f t="shared" ref="O745:P745" si="749">IF(ISBLANK(K745),M745,K745)</f>
        <v>Outreach</v>
      </c>
      <c r="P745" s="1" t="str">
        <f t="shared" si="749"/>
        <v>Community Building</v>
      </c>
      <c r="Q745" s="108" t="str">
        <f t="shared" si="3"/>
        <v>2024</v>
      </c>
      <c r="R745" s="110">
        <f t="shared" si="4"/>
        <v>3</v>
      </c>
      <c r="S745" s="108" t="str">
        <f t="shared" si="5"/>
        <v>2024-Q1</v>
      </c>
      <c r="T745" s="111" t="str">
        <f t="shared" si="6"/>
        <v>2024-03</v>
      </c>
      <c r="U745" s="112" t="str">
        <f t="shared" si="7"/>
        <v>2024-H1</v>
      </c>
      <c r="V745" s="1" t="str">
        <f>VLOOKUP(B745,Bounties!A:E,2,FALSE)</f>
        <v>Moderation Team Bounty</v>
      </c>
    </row>
    <row r="746" hidden="1">
      <c r="A746" s="109">
        <f>HYPERLINK("https://polkadot.subsquare.io/treasury/child-bounties/744", 744)</f>
        <v>744</v>
      </c>
      <c r="B746" s="183">
        <v>24.0</v>
      </c>
      <c r="C746" s="27" t="s">
        <v>3404</v>
      </c>
      <c r="D746" s="27" t="s">
        <v>1321</v>
      </c>
      <c r="E746" s="129">
        <v>179.53</v>
      </c>
      <c r="F746" s="66">
        <v>1497.750378704071</v>
      </c>
      <c r="G746" s="27" t="s">
        <v>3411</v>
      </c>
      <c r="H746" s="167">
        <v>45347.0</v>
      </c>
      <c r="I746" s="167">
        <v>45356.0</v>
      </c>
      <c r="J746" s="66">
        <v>1871.0734613800048</v>
      </c>
      <c r="K746" s="1"/>
      <c r="L746" s="1"/>
      <c r="M746" s="1" t="str">
        <f>VLOOKUP(B746,Bounties!A:D,3,FALSE)</f>
        <v>Outreach</v>
      </c>
      <c r="N746" s="1" t="str">
        <f>VLOOKUP(B746,Bounties!A:D,4,FALSE)</f>
        <v>Community Building</v>
      </c>
      <c r="O746" s="1" t="str">
        <f t="shared" ref="O746:P746" si="750">IF(ISBLANK(K746),M746,K746)</f>
        <v>Outreach</v>
      </c>
      <c r="P746" s="1" t="str">
        <f t="shared" si="750"/>
        <v>Community Building</v>
      </c>
      <c r="Q746" s="108" t="str">
        <f t="shared" si="3"/>
        <v>2024</v>
      </c>
      <c r="R746" s="110">
        <f t="shared" si="4"/>
        <v>3</v>
      </c>
      <c r="S746" s="108" t="str">
        <f t="shared" si="5"/>
        <v>2024-Q1</v>
      </c>
      <c r="T746" s="111" t="str">
        <f t="shared" si="6"/>
        <v>2024-03</v>
      </c>
      <c r="U746" s="112" t="str">
        <f t="shared" si="7"/>
        <v>2024-H1</v>
      </c>
      <c r="V746" s="1" t="str">
        <f>VLOOKUP(B746,Bounties!A:E,2,FALSE)</f>
        <v>Moderation Team Bounty</v>
      </c>
    </row>
    <row r="747" hidden="1">
      <c r="A747" s="109">
        <f>HYPERLINK("https://polkadot.subsquare.io/treasury/child-bounties/745", 745)</f>
        <v>745</v>
      </c>
      <c r="B747" s="183">
        <v>27.0</v>
      </c>
      <c r="C747" s="27" t="s">
        <v>3404</v>
      </c>
      <c r="D747" s="27" t="s">
        <v>1322</v>
      </c>
      <c r="E747" s="129">
        <v>5548.2</v>
      </c>
      <c r="F747" s="66">
        <v>48126.3607881546</v>
      </c>
      <c r="G747" s="27" t="s">
        <v>3626</v>
      </c>
      <c r="H747" s="167">
        <v>45350.0</v>
      </c>
      <c r="I747" s="167">
        <v>45358.0</v>
      </c>
      <c r="J747" s="66">
        <v>58381.17281455993</v>
      </c>
      <c r="K747" s="1"/>
      <c r="L747" s="1"/>
      <c r="M747" s="1" t="str">
        <f>VLOOKUP(B747,Bounties!A:D,3,FALSE)</f>
        <v>Development</v>
      </c>
      <c r="N747" s="1" t="str">
        <f>VLOOKUP(B747,Bounties!A:D,4,FALSE)</f>
        <v>Protocol Subsidies</v>
      </c>
      <c r="O747" s="1" t="str">
        <f t="shared" ref="O747:P747" si="751">IF(ISBLANK(K747),M747,K747)</f>
        <v>Development</v>
      </c>
      <c r="P747" s="1" t="str">
        <f t="shared" si="751"/>
        <v>Protocol Subsidies</v>
      </c>
      <c r="Q747" s="108" t="str">
        <f t="shared" si="3"/>
        <v>2024</v>
      </c>
      <c r="R747" s="110">
        <f t="shared" si="4"/>
        <v>3</v>
      </c>
      <c r="S747" s="108" t="str">
        <f t="shared" si="5"/>
        <v>2024-Q1</v>
      </c>
      <c r="T747" s="111" t="str">
        <f t="shared" si="6"/>
        <v>2024-03</v>
      </c>
      <c r="U747" s="112" t="str">
        <f t="shared" si="7"/>
        <v>2024-H1</v>
      </c>
      <c r="V747" s="1" t="str">
        <f>VLOOKUP(B747,Bounties!A:E,2,FALSE)</f>
        <v>Polkadot Parachain Assets Onramp Bounty</v>
      </c>
    </row>
    <row r="748" hidden="1">
      <c r="A748" s="109">
        <f>HYPERLINK("https://polkadot.subsquare.io/treasury/child-bounties/746", 746)</f>
        <v>746</v>
      </c>
      <c r="B748" s="183">
        <v>27.0</v>
      </c>
      <c r="C748" s="27" t="s">
        <v>3404</v>
      </c>
      <c r="D748" s="27" t="s">
        <v>1323</v>
      </c>
      <c r="E748" s="129">
        <v>5944.5</v>
      </c>
      <c r="F748" s="66">
        <v>51563.9579873085</v>
      </c>
      <c r="G748" s="27" t="s">
        <v>3626</v>
      </c>
      <c r="H748" s="167">
        <v>45350.0</v>
      </c>
      <c r="I748" s="167">
        <v>45358.0</v>
      </c>
      <c r="J748" s="66">
        <v>62551.2565870285</v>
      </c>
      <c r="K748" s="1"/>
      <c r="L748" s="1"/>
      <c r="M748" s="1" t="str">
        <f>VLOOKUP(B748,Bounties!A:D,3,FALSE)</f>
        <v>Development</v>
      </c>
      <c r="N748" s="1" t="str">
        <f>VLOOKUP(B748,Bounties!A:D,4,FALSE)</f>
        <v>Protocol Subsidies</v>
      </c>
      <c r="O748" s="1" t="str">
        <f t="shared" ref="O748:P748" si="752">IF(ISBLANK(K748),M748,K748)</f>
        <v>Development</v>
      </c>
      <c r="P748" s="1" t="str">
        <f t="shared" si="752"/>
        <v>Protocol Subsidies</v>
      </c>
      <c r="Q748" s="108" t="str">
        <f t="shared" si="3"/>
        <v>2024</v>
      </c>
      <c r="R748" s="110">
        <f t="shared" si="4"/>
        <v>3</v>
      </c>
      <c r="S748" s="108" t="str">
        <f t="shared" si="5"/>
        <v>2024-Q1</v>
      </c>
      <c r="T748" s="111" t="str">
        <f t="shared" si="6"/>
        <v>2024-03</v>
      </c>
      <c r="U748" s="112" t="str">
        <f t="shared" si="7"/>
        <v>2024-H1</v>
      </c>
      <c r="V748" s="1" t="str">
        <f>VLOOKUP(B748,Bounties!A:E,2,FALSE)</f>
        <v>Polkadot Parachain Assets Onramp Bounty</v>
      </c>
    </row>
    <row r="749" hidden="1">
      <c r="A749" s="109">
        <f>HYPERLINK("https://polkadot.subsquare.io/treasury/child-bounties/747", 747)</f>
        <v>747</v>
      </c>
      <c r="B749" s="183">
        <v>27.0</v>
      </c>
      <c r="C749" s="27" t="s">
        <v>3404</v>
      </c>
      <c r="D749" s="27" t="s">
        <v>1324</v>
      </c>
      <c r="E749" s="129">
        <v>3373.2</v>
      </c>
      <c r="F749" s="66">
        <v>31829.855757522582</v>
      </c>
      <c r="G749" s="27" t="s">
        <v>3627</v>
      </c>
      <c r="H749" s="167">
        <v>45350.0</v>
      </c>
      <c r="I749" s="167">
        <v>45370.0</v>
      </c>
      <c r="J749" s="66">
        <v>30086.441482543945</v>
      </c>
      <c r="K749" s="1"/>
      <c r="L749" s="1"/>
      <c r="M749" s="1" t="str">
        <f>VLOOKUP(B749,Bounties!A:D,3,FALSE)</f>
        <v>Development</v>
      </c>
      <c r="N749" s="1" t="str">
        <f>VLOOKUP(B749,Bounties!A:D,4,FALSE)</f>
        <v>Protocol Subsidies</v>
      </c>
      <c r="O749" s="1" t="str">
        <f t="shared" ref="O749:P749" si="753">IF(ISBLANK(K749),M749,K749)</f>
        <v>Development</v>
      </c>
      <c r="P749" s="1" t="str">
        <f t="shared" si="753"/>
        <v>Protocol Subsidies</v>
      </c>
      <c r="Q749" s="108" t="str">
        <f t="shared" si="3"/>
        <v>2024</v>
      </c>
      <c r="R749" s="110">
        <f t="shared" si="4"/>
        <v>3</v>
      </c>
      <c r="S749" s="108" t="str">
        <f t="shared" si="5"/>
        <v>2024-Q1</v>
      </c>
      <c r="T749" s="111" t="str">
        <f t="shared" si="6"/>
        <v>2024-03</v>
      </c>
      <c r="U749" s="112" t="str">
        <f t="shared" si="7"/>
        <v>2024-H1</v>
      </c>
      <c r="V749" s="1" t="str">
        <f>VLOOKUP(B749,Bounties!A:E,2,FALSE)</f>
        <v>Polkadot Parachain Assets Onramp Bounty</v>
      </c>
    </row>
    <row r="750" hidden="1">
      <c r="A750" s="109">
        <f>HYPERLINK("https://polkadot.subsquare.io/treasury/child-bounties/748", 748)</f>
        <v>748</v>
      </c>
      <c r="B750" s="183">
        <v>11.0</v>
      </c>
      <c r="C750" s="27" t="s">
        <v>3404</v>
      </c>
      <c r="D750" s="27" t="s">
        <v>1325</v>
      </c>
      <c r="E750" s="129">
        <v>172.599</v>
      </c>
      <c r="F750" s="66">
        <v>1691.0282732391356</v>
      </c>
      <c r="G750" s="27" t="s">
        <v>3407</v>
      </c>
      <c r="H750" s="167">
        <v>45351.0</v>
      </c>
      <c r="I750" s="167">
        <v>45360.0</v>
      </c>
      <c r="J750" s="66">
        <v>1851.4048247509002</v>
      </c>
      <c r="K750" s="1"/>
      <c r="L750" s="1"/>
      <c r="M750" s="1" t="str">
        <f>VLOOKUP(B750,Bounties!A:D,3,FALSE)</f>
        <v>Research</v>
      </c>
      <c r="N750" s="1" t="str">
        <f>VLOOKUP(B750,Bounties!A:D,4,FALSE)</f>
        <v>Anti-Scam</v>
      </c>
      <c r="O750" s="1" t="str">
        <f t="shared" ref="O750:P750" si="754">IF(ISBLANK(K750),M750,K750)</f>
        <v>Research</v>
      </c>
      <c r="P750" s="1" t="str">
        <f t="shared" si="754"/>
        <v>Anti-Scam</v>
      </c>
      <c r="Q750" s="108" t="str">
        <f t="shared" si="3"/>
        <v>2024</v>
      </c>
      <c r="R750" s="110">
        <f t="shared" si="4"/>
        <v>3</v>
      </c>
      <c r="S750" s="108" t="str">
        <f t="shared" si="5"/>
        <v>2024-Q1</v>
      </c>
      <c r="T750" s="111" t="str">
        <f t="shared" si="6"/>
        <v>2024-03</v>
      </c>
      <c r="U750" s="112" t="str">
        <f t="shared" si="7"/>
        <v>2024-H1</v>
      </c>
      <c r="V750" s="1" t="str">
        <f>VLOOKUP(B750,Bounties!A:E,2,FALSE)</f>
        <v>Anti-Scam Bounty</v>
      </c>
    </row>
    <row r="751" hidden="1">
      <c r="A751" s="109">
        <f>HYPERLINK("https://polkadot.subsquare.io/treasury/child-bounties/749", 749)</f>
        <v>749</v>
      </c>
      <c r="B751" s="183">
        <v>11.0</v>
      </c>
      <c r="C751" s="27" t="s">
        <v>3404</v>
      </c>
      <c r="D751" s="27" t="s">
        <v>1326</v>
      </c>
      <c r="E751" s="129">
        <v>143.833</v>
      </c>
      <c r="F751" s="66">
        <v>1409.1951264190673</v>
      </c>
      <c r="G751" s="27" t="s">
        <v>3486</v>
      </c>
      <c r="H751" s="167">
        <v>45351.0</v>
      </c>
      <c r="I751" s="167">
        <v>45361.0</v>
      </c>
      <c r="J751" s="66">
        <v>1628.3452038717269</v>
      </c>
      <c r="K751" s="1"/>
      <c r="L751" s="1"/>
      <c r="M751" s="1" t="str">
        <f>VLOOKUP(B751,Bounties!A:D,3,FALSE)</f>
        <v>Research</v>
      </c>
      <c r="N751" s="1" t="str">
        <f>VLOOKUP(B751,Bounties!A:D,4,FALSE)</f>
        <v>Anti-Scam</v>
      </c>
      <c r="O751" s="1" t="str">
        <f t="shared" ref="O751:P751" si="755">IF(ISBLANK(K751),M751,K751)</f>
        <v>Research</v>
      </c>
      <c r="P751" s="1" t="str">
        <f t="shared" si="755"/>
        <v>Anti-Scam</v>
      </c>
      <c r="Q751" s="108" t="str">
        <f t="shared" si="3"/>
        <v>2024</v>
      </c>
      <c r="R751" s="110">
        <f t="shared" si="4"/>
        <v>3</v>
      </c>
      <c r="S751" s="108" t="str">
        <f t="shared" si="5"/>
        <v>2024-Q1</v>
      </c>
      <c r="T751" s="111" t="str">
        <f t="shared" si="6"/>
        <v>2024-03</v>
      </c>
      <c r="U751" s="112" t="str">
        <f t="shared" si="7"/>
        <v>2024-H1</v>
      </c>
      <c r="V751" s="1" t="str">
        <f>VLOOKUP(B751,Bounties!A:E,2,FALSE)</f>
        <v>Anti-Scam Bounty</v>
      </c>
    </row>
    <row r="752" hidden="1">
      <c r="A752" s="109">
        <f>HYPERLINK("https://polkadot.subsquare.io/treasury/child-bounties/750", 750)</f>
        <v>750</v>
      </c>
      <c r="B752" s="183">
        <v>11.0</v>
      </c>
      <c r="C752" s="27" t="s">
        <v>3404</v>
      </c>
      <c r="D752" s="27" t="s">
        <v>1327</v>
      </c>
      <c r="E752" s="129">
        <v>59.93</v>
      </c>
      <c r="F752" s="66">
        <v>587.160553741455</v>
      </c>
      <c r="G752" s="27" t="s">
        <v>3486</v>
      </c>
      <c r="H752" s="167">
        <v>45351.0</v>
      </c>
      <c r="I752" s="167">
        <v>45361.0</v>
      </c>
      <c r="J752" s="66">
        <v>678.4724511623383</v>
      </c>
      <c r="K752" s="1"/>
      <c r="L752" s="1"/>
      <c r="M752" s="1" t="str">
        <f>VLOOKUP(B752,Bounties!A:D,3,FALSE)</f>
        <v>Research</v>
      </c>
      <c r="N752" s="1" t="str">
        <f>VLOOKUP(B752,Bounties!A:D,4,FALSE)</f>
        <v>Anti-Scam</v>
      </c>
      <c r="O752" s="1" t="str">
        <f t="shared" ref="O752:P752" si="756">IF(ISBLANK(K752),M752,K752)</f>
        <v>Research</v>
      </c>
      <c r="P752" s="1" t="str">
        <f t="shared" si="756"/>
        <v>Anti-Scam</v>
      </c>
      <c r="Q752" s="108" t="str">
        <f t="shared" si="3"/>
        <v>2024</v>
      </c>
      <c r="R752" s="110">
        <f t="shared" si="4"/>
        <v>3</v>
      </c>
      <c r="S752" s="108" t="str">
        <f t="shared" si="5"/>
        <v>2024-Q1</v>
      </c>
      <c r="T752" s="111" t="str">
        <f t="shared" si="6"/>
        <v>2024-03</v>
      </c>
      <c r="U752" s="112" t="str">
        <f t="shared" si="7"/>
        <v>2024-H1</v>
      </c>
      <c r="V752" s="1" t="str">
        <f>VLOOKUP(B752,Bounties!A:E,2,FALSE)</f>
        <v>Anti-Scam Bounty</v>
      </c>
    </row>
    <row r="753" hidden="1">
      <c r="A753" s="109">
        <f>HYPERLINK("https://polkadot.subsquare.io/treasury/child-bounties/751", 751)</f>
        <v>751</v>
      </c>
      <c r="B753" s="183">
        <v>11.0</v>
      </c>
      <c r="C753" s="27" t="s">
        <v>3404</v>
      </c>
      <c r="D753" s="27" t="s">
        <v>1328</v>
      </c>
      <c r="E753" s="129">
        <v>201.366</v>
      </c>
      <c r="F753" s="66">
        <v>1972.8712174987795</v>
      </c>
      <c r="G753" s="27" t="s">
        <v>3562</v>
      </c>
      <c r="H753" s="167">
        <v>45351.0</v>
      </c>
      <c r="I753" s="167">
        <v>45360.0</v>
      </c>
      <c r="J753" s="66">
        <v>2159.977658855438</v>
      </c>
      <c r="K753" s="1"/>
      <c r="L753" s="1"/>
      <c r="M753" s="1" t="str">
        <f>VLOOKUP(B753,Bounties!A:D,3,FALSE)</f>
        <v>Research</v>
      </c>
      <c r="N753" s="1" t="str">
        <f>VLOOKUP(B753,Bounties!A:D,4,FALSE)</f>
        <v>Anti-Scam</v>
      </c>
      <c r="O753" s="1" t="str">
        <f t="shared" ref="O753:P753" si="757">IF(ISBLANK(K753),M753,K753)</f>
        <v>Research</v>
      </c>
      <c r="P753" s="1" t="str">
        <f t="shared" si="757"/>
        <v>Anti-Scam</v>
      </c>
      <c r="Q753" s="108" t="str">
        <f t="shared" si="3"/>
        <v>2024</v>
      </c>
      <c r="R753" s="110">
        <f t="shared" si="4"/>
        <v>3</v>
      </c>
      <c r="S753" s="108" t="str">
        <f t="shared" si="5"/>
        <v>2024-Q1</v>
      </c>
      <c r="T753" s="111" t="str">
        <f t="shared" si="6"/>
        <v>2024-03</v>
      </c>
      <c r="U753" s="112" t="str">
        <f t="shared" si="7"/>
        <v>2024-H1</v>
      </c>
      <c r="V753" s="1" t="str">
        <f>VLOOKUP(B753,Bounties!A:E,2,FALSE)</f>
        <v>Anti-Scam Bounty</v>
      </c>
    </row>
    <row r="754" hidden="1">
      <c r="A754" s="109">
        <f>HYPERLINK("https://polkadot.subsquare.io/treasury/child-bounties/752", 752)</f>
        <v>752</v>
      </c>
      <c r="B754" s="183">
        <v>11.0</v>
      </c>
      <c r="C754" s="27" t="s">
        <v>3404</v>
      </c>
      <c r="D754" s="27" t="s">
        <v>1329</v>
      </c>
      <c r="E754" s="129">
        <v>86.299</v>
      </c>
      <c r="F754" s="66">
        <v>845.5092378997804</v>
      </c>
      <c r="G754" s="27" t="s">
        <v>3469</v>
      </c>
      <c r="H754" s="167">
        <v>45351.0</v>
      </c>
      <c r="I754" s="167">
        <v>45361.0</v>
      </c>
      <c r="J754" s="66">
        <v>976.9980654573442</v>
      </c>
      <c r="K754" s="1"/>
      <c r="L754" s="1"/>
      <c r="M754" s="1" t="str">
        <f>VLOOKUP(B754,Bounties!A:D,3,FALSE)</f>
        <v>Research</v>
      </c>
      <c r="N754" s="1" t="str">
        <f>VLOOKUP(B754,Bounties!A:D,4,FALSE)</f>
        <v>Anti-Scam</v>
      </c>
      <c r="O754" s="1" t="str">
        <f t="shared" ref="O754:P754" si="758">IF(ISBLANK(K754),M754,K754)</f>
        <v>Research</v>
      </c>
      <c r="P754" s="1" t="str">
        <f t="shared" si="758"/>
        <v>Anti-Scam</v>
      </c>
      <c r="Q754" s="108" t="str">
        <f t="shared" si="3"/>
        <v>2024</v>
      </c>
      <c r="R754" s="110">
        <f t="shared" si="4"/>
        <v>3</v>
      </c>
      <c r="S754" s="108" t="str">
        <f t="shared" si="5"/>
        <v>2024-Q1</v>
      </c>
      <c r="T754" s="111" t="str">
        <f t="shared" si="6"/>
        <v>2024-03</v>
      </c>
      <c r="U754" s="112" t="str">
        <f t="shared" si="7"/>
        <v>2024-H1</v>
      </c>
      <c r="V754" s="1" t="str">
        <f>VLOOKUP(B754,Bounties!A:E,2,FALSE)</f>
        <v>Anti-Scam Bounty</v>
      </c>
    </row>
    <row r="755" hidden="1">
      <c r="A755" s="109">
        <f>HYPERLINK("https://polkadot.subsquare.io/treasury/child-bounties/753", 753)</f>
        <v>753</v>
      </c>
      <c r="B755" s="183">
        <v>11.0</v>
      </c>
      <c r="C755" s="27" t="s">
        <v>3404</v>
      </c>
      <c r="D755" s="27" t="s">
        <v>1330</v>
      </c>
      <c r="E755" s="129">
        <v>59.93</v>
      </c>
      <c r="F755" s="66">
        <v>587.160553741455</v>
      </c>
      <c r="G755" s="27" t="s">
        <v>3439</v>
      </c>
      <c r="H755" s="167">
        <v>45351.0</v>
      </c>
      <c r="I755" s="167">
        <v>45362.0</v>
      </c>
      <c r="J755" s="66">
        <v>691.7661164283752</v>
      </c>
      <c r="K755" s="1"/>
      <c r="L755" s="1"/>
      <c r="M755" s="1" t="str">
        <f>VLOOKUP(B755,Bounties!A:D,3,FALSE)</f>
        <v>Research</v>
      </c>
      <c r="N755" s="1" t="str">
        <f>VLOOKUP(B755,Bounties!A:D,4,FALSE)</f>
        <v>Anti-Scam</v>
      </c>
      <c r="O755" s="1" t="str">
        <f t="shared" ref="O755:P755" si="759">IF(ISBLANK(K755),M755,K755)</f>
        <v>Research</v>
      </c>
      <c r="P755" s="1" t="str">
        <f t="shared" si="759"/>
        <v>Anti-Scam</v>
      </c>
      <c r="Q755" s="108" t="str">
        <f t="shared" si="3"/>
        <v>2024</v>
      </c>
      <c r="R755" s="110">
        <f t="shared" si="4"/>
        <v>3</v>
      </c>
      <c r="S755" s="108" t="str">
        <f t="shared" si="5"/>
        <v>2024-Q1</v>
      </c>
      <c r="T755" s="111" t="str">
        <f t="shared" si="6"/>
        <v>2024-03</v>
      </c>
      <c r="U755" s="112" t="str">
        <f t="shared" si="7"/>
        <v>2024-H1</v>
      </c>
      <c r="V755" s="1" t="str">
        <f>VLOOKUP(B755,Bounties!A:E,2,FALSE)</f>
        <v>Anti-Scam Bounty</v>
      </c>
    </row>
    <row r="756" hidden="1">
      <c r="A756" s="109">
        <f>HYPERLINK("https://polkadot.subsquare.io/treasury/child-bounties/754", 754)</f>
        <v>754</v>
      </c>
      <c r="B756" s="183">
        <v>11.0</v>
      </c>
      <c r="C756" s="27" t="s">
        <v>3404</v>
      </c>
      <c r="D756" s="27" t="s">
        <v>1331</v>
      </c>
      <c r="E756" s="129">
        <v>95.888</v>
      </c>
      <c r="F756" s="66">
        <v>939.4568859863282</v>
      </c>
      <c r="G756" s="27" t="s">
        <v>3628</v>
      </c>
      <c r="H756" s="167">
        <v>45351.0</v>
      </c>
      <c r="I756" s="167">
        <v>45360.0</v>
      </c>
      <c r="J756" s="66">
        <v>1028.5546604309084</v>
      </c>
      <c r="K756" s="1"/>
      <c r="L756" s="1"/>
      <c r="M756" s="1" t="str">
        <f>VLOOKUP(B756,Bounties!A:D,3,FALSE)</f>
        <v>Research</v>
      </c>
      <c r="N756" s="1" t="str">
        <f>VLOOKUP(B756,Bounties!A:D,4,FALSE)</f>
        <v>Anti-Scam</v>
      </c>
      <c r="O756" s="1" t="str">
        <f t="shared" ref="O756:P756" si="760">IF(ISBLANK(K756),M756,K756)</f>
        <v>Research</v>
      </c>
      <c r="P756" s="1" t="str">
        <f t="shared" si="760"/>
        <v>Anti-Scam</v>
      </c>
      <c r="Q756" s="108" t="str">
        <f t="shared" si="3"/>
        <v>2024</v>
      </c>
      <c r="R756" s="110">
        <f t="shared" si="4"/>
        <v>3</v>
      </c>
      <c r="S756" s="108" t="str">
        <f t="shared" si="5"/>
        <v>2024-Q1</v>
      </c>
      <c r="T756" s="111" t="str">
        <f t="shared" si="6"/>
        <v>2024-03</v>
      </c>
      <c r="U756" s="112" t="str">
        <f t="shared" si="7"/>
        <v>2024-H1</v>
      </c>
      <c r="V756" s="1" t="str">
        <f>VLOOKUP(B756,Bounties!A:E,2,FALSE)</f>
        <v>Anti-Scam Bounty</v>
      </c>
    </row>
    <row r="757" hidden="1">
      <c r="A757" s="109">
        <f>HYPERLINK("https://polkadot.subsquare.io/treasury/child-bounties/755", 755)</f>
        <v>755</v>
      </c>
      <c r="B757" s="183">
        <v>11.0</v>
      </c>
      <c r="C757" s="27" t="s">
        <v>3404</v>
      </c>
      <c r="D757" s="27" t="s">
        <v>1332</v>
      </c>
      <c r="E757" s="129">
        <v>172.6</v>
      </c>
      <c r="F757" s="66">
        <v>1691.038070678711</v>
      </c>
      <c r="G757" s="27" t="s">
        <v>3409</v>
      </c>
      <c r="H757" s="167">
        <v>45351.0</v>
      </c>
      <c r="I757" s="167">
        <v>45360.0</v>
      </c>
      <c r="J757" s="66">
        <v>1851.4155513763428</v>
      </c>
      <c r="K757" s="1"/>
      <c r="L757" s="1"/>
      <c r="M757" s="1" t="str">
        <f>VLOOKUP(B757,Bounties!A:D,3,FALSE)</f>
        <v>Research</v>
      </c>
      <c r="N757" s="1" t="str">
        <f>VLOOKUP(B757,Bounties!A:D,4,FALSE)</f>
        <v>Anti-Scam</v>
      </c>
      <c r="O757" s="1" t="str">
        <f t="shared" ref="O757:P757" si="761">IF(ISBLANK(K757),M757,K757)</f>
        <v>Research</v>
      </c>
      <c r="P757" s="1" t="str">
        <f t="shared" si="761"/>
        <v>Anti-Scam</v>
      </c>
      <c r="Q757" s="108" t="str">
        <f t="shared" si="3"/>
        <v>2024</v>
      </c>
      <c r="R757" s="110">
        <f t="shared" si="4"/>
        <v>3</v>
      </c>
      <c r="S757" s="108" t="str">
        <f t="shared" si="5"/>
        <v>2024-Q1</v>
      </c>
      <c r="T757" s="111" t="str">
        <f t="shared" si="6"/>
        <v>2024-03</v>
      </c>
      <c r="U757" s="112" t="str">
        <f t="shared" si="7"/>
        <v>2024-H1</v>
      </c>
      <c r="V757" s="1" t="str">
        <f>VLOOKUP(B757,Bounties!A:E,2,FALSE)</f>
        <v>Anti-Scam Bounty</v>
      </c>
    </row>
    <row r="758" hidden="1">
      <c r="A758" s="109">
        <f>HYPERLINK("https://polkadot.subsquare.io/treasury/child-bounties/756", 756)</f>
        <v>756</v>
      </c>
      <c r="B758" s="183">
        <v>11.0</v>
      </c>
      <c r="C758" s="27" t="s">
        <v>3404</v>
      </c>
      <c r="D758" s="27" t="s">
        <v>1333</v>
      </c>
      <c r="E758" s="129">
        <v>86.3</v>
      </c>
      <c r="F758" s="66">
        <v>845.5190353393555</v>
      </c>
      <c r="G758" s="27" t="s">
        <v>3406</v>
      </c>
      <c r="H758" s="167">
        <v>45351.0</v>
      </c>
      <c r="I758" s="167">
        <v>45371.0</v>
      </c>
      <c r="J758" s="66">
        <v>769.7319755554199</v>
      </c>
      <c r="K758" s="1"/>
      <c r="L758" s="1"/>
      <c r="M758" s="1" t="str">
        <f>VLOOKUP(B758,Bounties!A:D,3,FALSE)</f>
        <v>Research</v>
      </c>
      <c r="N758" s="1" t="str">
        <f>VLOOKUP(B758,Bounties!A:D,4,FALSE)</f>
        <v>Anti-Scam</v>
      </c>
      <c r="O758" s="1" t="str">
        <f t="shared" ref="O758:P758" si="762">IF(ISBLANK(K758),M758,K758)</f>
        <v>Research</v>
      </c>
      <c r="P758" s="1" t="str">
        <f t="shared" si="762"/>
        <v>Anti-Scam</v>
      </c>
      <c r="Q758" s="108" t="str">
        <f t="shared" si="3"/>
        <v>2024</v>
      </c>
      <c r="R758" s="110">
        <f t="shared" si="4"/>
        <v>3</v>
      </c>
      <c r="S758" s="108" t="str">
        <f t="shared" si="5"/>
        <v>2024-Q1</v>
      </c>
      <c r="T758" s="111" t="str">
        <f t="shared" si="6"/>
        <v>2024-03</v>
      </c>
      <c r="U758" s="112" t="str">
        <f t="shared" si="7"/>
        <v>2024-H1</v>
      </c>
      <c r="V758" s="1" t="str">
        <f>VLOOKUP(B758,Bounties!A:E,2,FALSE)</f>
        <v>Anti-Scam Bounty</v>
      </c>
    </row>
    <row r="759" hidden="1">
      <c r="A759" s="109">
        <f>HYPERLINK("https://polkadot.subsquare.io/treasury/child-bounties/757", 757)</f>
        <v>757</v>
      </c>
      <c r="B759" s="183">
        <v>11.0</v>
      </c>
      <c r="C759" s="27" t="s">
        <v>3404</v>
      </c>
      <c r="D759" s="27" t="s">
        <v>1334</v>
      </c>
      <c r="E759" s="129">
        <v>59.93</v>
      </c>
      <c r="F759" s="66">
        <v>587.160553741455</v>
      </c>
      <c r="G759" s="27" t="s">
        <v>3409</v>
      </c>
      <c r="H759" s="167">
        <v>45351.0</v>
      </c>
      <c r="I759" s="167">
        <v>45360.0</v>
      </c>
      <c r="J759" s="66">
        <v>642.8466627693176</v>
      </c>
      <c r="K759" s="1"/>
      <c r="L759" s="1"/>
      <c r="M759" s="1" t="str">
        <f>VLOOKUP(B759,Bounties!A:D,3,FALSE)</f>
        <v>Research</v>
      </c>
      <c r="N759" s="1" t="str">
        <f>VLOOKUP(B759,Bounties!A:D,4,FALSE)</f>
        <v>Anti-Scam</v>
      </c>
      <c r="O759" s="1" t="str">
        <f t="shared" ref="O759:P759" si="763">IF(ISBLANK(K759),M759,K759)</f>
        <v>Research</v>
      </c>
      <c r="P759" s="1" t="str">
        <f t="shared" si="763"/>
        <v>Anti-Scam</v>
      </c>
      <c r="Q759" s="108" t="str">
        <f t="shared" si="3"/>
        <v>2024</v>
      </c>
      <c r="R759" s="110">
        <f t="shared" si="4"/>
        <v>3</v>
      </c>
      <c r="S759" s="108" t="str">
        <f t="shared" si="5"/>
        <v>2024-Q1</v>
      </c>
      <c r="T759" s="111" t="str">
        <f t="shared" si="6"/>
        <v>2024-03</v>
      </c>
      <c r="U759" s="112" t="str">
        <f t="shared" si="7"/>
        <v>2024-H1</v>
      </c>
      <c r="V759" s="1" t="str">
        <f>VLOOKUP(B759,Bounties!A:E,2,FALSE)</f>
        <v>Anti-Scam Bounty</v>
      </c>
    </row>
    <row r="760" hidden="1">
      <c r="A760" s="109">
        <f>HYPERLINK("https://polkadot.subsquare.io/treasury/child-bounties/758", 758)</f>
        <v>758</v>
      </c>
      <c r="B760" s="183">
        <v>11.0</v>
      </c>
      <c r="C760" s="27" t="s">
        <v>3404</v>
      </c>
      <c r="D760" s="27" t="s">
        <v>1335</v>
      </c>
      <c r="E760" s="129">
        <v>47.94</v>
      </c>
      <c r="F760" s="66">
        <v>469.68925323486326</v>
      </c>
      <c r="G760" s="27" t="s">
        <v>3407</v>
      </c>
      <c r="H760" s="167">
        <v>45351.0</v>
      </c>
      <c r="I760" s="167">
        <v>45360.0</v>
      </c>
      <c r="J760" s="66">
        <v>514.234423713684</v>
      </c>
      <c r="K760" s="1"/>
      <c r="L760" s="1"/>
      <c r="M760" s="1" t="str">
        <f>VLOOKUP(B760,Bounties!A:D,3,FALSE)</f>
        <v>Research</v>
      </c>
      <c r="N760" s="1" t="str">
        <f>VLOOKUP(B760,Bounties!A:D,4,FALSE)</f>
        <v>Anti-Scam</v>
      </c>
      <c r="O760" s="1" t="str">
        <f t="shared" ref="O760:P760" si="764">IF(ISBLANK(K760),M760,K760)</f>
        <v>Research</v>
      </c>
      <c r="P760" s="1" t="str">
        <f t="shared" si="764"/>
        <v>Anti-Scam</v>
      </c>
      <c r="Q760" s="108" t="str">
        <f t="shared" si="3"/>
        <v>2024</v>
      </c>
      <c r="R760" s="110">
        <f t="shared" si="4"/>
        <v>3</v>
      </c>
      <c r="S760" s="108" t="str">
        <f t="shared" si="5"/>
        <v>2024-Q1</v>
      </c>
      <c r="T760" s="111" t="str">
        <f t="shared" si="6"/>
        <v>2024-03</v>
      </c>
      <c r="U760" s="112" t="str">
        <f t="shared" si="7"/>
        <v>2024-H1</v>
      </c>
      <c r="V760" s="1" t="str">
        <f>VLOOKUP(B760,Bounties!A:E,2,FALSE)</f>
        <v>Anti-Scam Bounty</v>
      </c>
    </row>
    <row r="761" hidden="1">
      <c r="A761" s="109">
        <f>HYPERLINK("https://polkadot.subsquare.io/treasury/child-bounties/759", 759)</f>
        <v>759</v>
      </c>
      <c r="B761" s="183">
        <v>11.0</v>
      </c>
      <c r="C761" s="27" t="s">
        <v>3404</v>
      </c>
      <c r="D761" s="27" t="s">
        <v>1336</v>
      </c>
      <c r="E761" s="129">
        <v>47.94</v>
      </c>
      <c r="F761" s="66">
        <v>469.68925323486326</v>
      </c>
      <c r="G761" s="27" t="s">
        <v>3406</v>
      </c>
      <c r="H761" s="167">
        <v>45351.0</v>
      </c>
      <c r="I761" s="167">
        <v>45371.0</v>
      </c>
      <c r="J761" s="66">
        <v>427.5892341613769</v>
      </c>
      <c r="K761" s="1"/>
      <c r="L761" s="1"/>
      <c r="M761" s="1" t="str">
        <f>VLOOKUP(B761,Bounties!A:D,3,FALSE)</f>
        <v>Research</v>
      </c>
      <c r="N761" s="1" t="str">
        <f>VLOOKUP(B761,Bounties!A:D,4,FALSE)</f>
        <v>Anti-Scam</v>
      </c>
      <c r="O761" s="1" t="str">
        <f t="shared" ref="O761:P761" si="765">IF(ISBLANK(K761),M761,K761)</f>
        <v>Research</v>
      </c>
      <c r="P761" s="1" t="str">
        <f t="shared" si="765"/>
        <v>Anti-Scam</v>
      </c>
      <c r="Q761" s="108" t="str">
        <f t="shared" si="3"/>
        <v>2024</v>
      </c>
      <c r="R761" s="110">
        <f t="shared" si="4"/>
        <v>3</v>
      </c>
      <c r="S761" s="108" t="str">
        <f t="shared" si="5"/>
        <v>2024-Q1</v>
      </c>
      <c r="T761" s="111" t="str">
        <f t="shared" si="6"/>
        <v>2024-03</v>
      </c>
      <c r="U761" s="112" t="str">
        <f t="shared" si="7"/>
        <v>2024-H1</v>
      </c>
      <c r="V761" s="1" t="str">
        <f>VLOOKUP(B761,Bounties!A:E,2,FALSE)</f>
        <v>Anti-Scam Bounty</v>
      </c>
    </row>
    <row r="762" hidden="1">
      <c r="A762" s="109">
        <f>HYPERLINK("https://polkadot.subsquare.io/treasury/child-bounties/760", 760)</f>
        <v>760</v>
      </c>
      <c r="B762" s="183">
        <v>11.0</v>
      </c>
      <c r="C762" s="27" t="s">
        <v>3404</v>
      </c>
      <c r="D762" s="27" t="s">
        <v>1337</v>
      </c>
      <c r="E762" s="129">
        <v>47.94</v>
      </c>
      <c r="F762" s="66">
        <v>469.68925323486326</v>
      </c>
      <c r="G762" s="27" t="s">
        <v>3411</v>
      </c>
      <c r="H762" s="167">
        <v>45351.0</v>
      </c>
      <c r="I762" s="167">
        <v>45360.0</v>
      </c>
      <c r="J762" s="66">
        <v>514.234423713684</v>
      </c>
      <c r="K762" s="1"/>
      <c r="L762" s="1"/>
      <c r="M762" s="1" t="str">
        <f>VLOOKUP(B762,Bounties!A:D,3,FALSE)</f>
        <v>Research</v>
      </c>
      <c r="N762" s="1" t="str">
        <f>VLOOKUP(B762,Bounties!A:D,4,FALSE)</f>
        <v>Anti-Scam</v>
      </c>
      <c r="O762" s="1" t="str">
        <f t="shared" ref="O762:P762" si="766">IF(ISBLANK(K762),M762,K762)</f>
        <v>Research</v>
      </c>
      <c r="P762" s="1" t="str">
        <f t="shared" si="766"/>
        <v>Anti-Scam</v>
      </c>
      <c r="Q762" s="108" t="str">
        <f t="shared" si="3"/>
        <v>2024</v>
      </c>
      <c r="R762" s="110">
        <f t="shared" si="4"/>
        <v>3</v>
      </c>
      <c r="S762" s="108" t="str">
        <f t="shared" si="5"/>
        <v>2024-Q1</v>
      </c>
      <c r="T762" s="111" t="str">
        <f t="shared" si="6"/>
        <v>2024-03</v>
      </c>
      <c r="U762" s="112" t="str">
        <f t="shared" si="7"/>
        <v>2024-H1</v>
      </c>
      <c r="V762" s="1" t="str">
        <f>VLOOKUP(B762,Bounties!A:E,2,FALSE)</f>
        <v>Anti-Scam Bounty</v>
      </c>
    </row>
    <row r="763" hidden="1">
      <c r="A763" s="109">
        <f>HYPERLINK("https://polkadot.subsquare.io/treasury/child-bounties/761", 761)</f>
        <v>761</v>
      </c>
      <c r="B763" s="183">
        <v>11.0</v>
      </c>
      <c r="C763" s="27" t="s">
        <v>3404</v>
      </c>
      <c r="D763" s="27" t="s">
        <v>1338</v>
      </c>
      <c r="E763" s="129">
        <v>143.83</v>
      </c>
      <c r="F763" s="66">
        <v>1409.165734100342</v>
      </c>
      <c r="G763" s="27" t="s">
        <v>3424</v>
      </c>
      <c r="H763" s="167">
        <v>45352.0</v>
      </c>
      <c r="I763" s="167">
        <v>45361.0</v>
      </c>
      <c r="J763" s="66">
        <v>1628.3112406253815</v>
      </c>
      <c r="K763" s="1"/>
      <c r="L763" s="1"/>
      <c r="M763" s="1" t="str">
        <f>VLOOKUP(B763,Bounties!A:D,3,FALSE)</f>
        <v>Research</v>
      </c>
      <c r="N763" s="1" t="str">
        <f>VLOOKUP(B763,Bounties!A:D,4,FALSE)</f>
        <v>Anti-Scam</v>
      </c>
      <c r="O763" s="1" t="str">
        <f t="shared" ref="O763:P763" si="767">IF(ISBLANK(K763),M763,K763)</f>
        <v>Research</v>
      </c>
      <c r="P763" s="1" t="str">
        <f t="shared" si="767"/>
        <v>Anti-Scam</v>
      </c>
      <c r="Q763" s="108" t="str">
        <f t="shared" si="3"/>
        <v>2024</v>
      </c>
      <c r="R763" s="110">
        <f t="shared" si="4"/>
        <v>3</v>
      </c>
      <c r="S763" s="108" t="str">
        <f t="shared" si="5"/>
        <v>2024-Q1</v>
      </c>
      <c r="T763" s="111" t="str">
        <f t="shared" si="6"/>
        <v>2024-03</v>
      </c>
      <c r="U763" s="112" t="str">
        <f t="shared" si="7"/>
        <v>2024-H1</v>
      </c>
      <c r="V763" s="1" t="str">
        <f>VLOOKUP(B763,Bounties!A:E,2,FALSE)</f>
        <v>Anti-Scam Bounty</v>
      </c>
    </row>
    <row r="764" hidden="1">
      <c r="A764" s="109">
        <f>HYPERLINK("https://polkadot.subsquare.io/treasury/child-bounties/762", 762)</f>
        <v>762</v>
      </c>
      <c r="B764" s="183">
        <v>11.0</v>
      </c>
      <c r="C764" s="27" t="s">
        <v>3404</v>
      </c>
      <c r="D764" s="27" t="s">
        <v>1339</v>
      </c>
      <c r="E764" s="129">
        <v>71.92</v>
      </c>
      <c r="F764" s="66">
        <v>704.6318542480469</v>
      </c>
      <c r="G764" s="27" t="s">
        <v>3470</v>
      </c>
      <c r="H764" s="167">
        <v>45352.0</v>
      </c>
      <c r="I764" s="167">
        <v>45361.0</v>
      </c>
      <c r="J764" s="66">
        <v>814.2122257232667</v>
      </c>
      <c r="K764" s="1"/>
      <c r="L764" s="1"/>
      <c r="M764" s="1" t="str">
        <f>VLOOKUP(B764,Bounties!A:D,3,FALSE)</f>
        <v>Research</v>
      </c>
      <c r="N764" s="1" t="str">
        <f>VLOOKUP(B764,Bounties!A:D,4,FALSE)</f>
        <v>Anti-Scam</v>
      </c>
      <c r="O764" s="1" t="str">
        <f t="shared" ref="O764:P764" si="768">IF(ISBLANK(K764),M764,K764)</f>
        <v>Research</v>
      </c>
      <c r="P764" s="1" t="str">
        <f t="shared" si="768"/>
        <v>Anti-Scam</v>
      </c>
      <c r="Q764" s="108" t="str">
        <f t="shared" si="3"/>
        <v>2024</v>
      </c>
      <c r="R764" s="110">
        <f t="shared" si="4"/>
        <v>3</v>
      </c>
      <c r="S764" s="108" t="str">
        <f t="shared" si="5"/>
        <v>2024-Q1</v>
      </c>
      <c r="T764" s="111" t="str">
        <f t="shared" si="6"/>
        <v>2024-03</v>
      </c>
      <c r="U764" s="112" t="str">
        <f t="shared" si="7"/>
        <v>2024-H1</v>
      </c>
      <c r="V764" s="1" t="str">
        <f>VLOOKUP(B764,Bounties!A:E,2,FALSE)</f>
        <v>Anti-Scam Bounty</v>
      </c>
    </row>
    <row r="765" hidden="1">
      <c r="A765" s="109">
        <f>HYPERLINK("https://polkadot.subsquare.io/treasury/child-bounties/763", 763)</f>
        <v>763</v>
      </c>
      <c r="B765" s="183">
        <v>11.0</v>
      </c>
      <c r="C765" s="27" t="s">
        <v>3404</v>
      </c>
      <c r="D765" s="27" t="s">
        <v>1340</v>
      </c>
      <c r="E765" s="129">
        <v>59.93</v>
      </c>
      <c r="F765" s="66">
        <v>587.160553741455</v>
      </c>
      <c r="G765" s="27" t="s">
        <v>3457</v>
      </c>
      <c r="H765" s="167">
        <v>45352.0</v>
      </c>
      <c r="I765" s="167">
        <v>45361.0</v>
      </c>
      <c r="J765" s="66">
        <v>678.4724511623383</v>
      </c>
      <c r="K765" s="1"/>
      <c r="L765" s="1"/>
      <c r="M765" s="1" t="str">
        <f>VLOOKUP(B765,Bounties!A:D,3,FALSE)</f>
        <v>Research</v>
      </c>
      <c r="N765" s="1" t="str">
        <f>VLOOKUP(B765,Bounties!A:D,4,FALSE)</f>
        <v>Anti-Scam</v>
      </c>
      <c r="O765" s="1" t="str">
        <f t="shared" ref="O765:P765" si="769">IF(ISBLANK(K765),M765,K765)</f>
        <v>Research</v>
      </c>
      <c r="P765" s="1" t="str">
        <f t="shared" si="769"/>
        <v>Anti-Scam</v>
      </c>
      <c r="Q765" s="108" t="str">
        <f t="shared" si="3"/>
        <v>2024</v>
      </c>
      <c r="R765" s="110">
        <f t="shared" si="4"/>
        <v>3</v>
      </c>
      <c r="S765" s="108" t="str">
        <f t="shared" si="5"/>
        <v>2024-Q1</v>
      </c>
      <c r="T765" s="111" t="str">
        <f t="shared" si="6"/>
        <v>2024-03</v>
      </c>
      <c r="U765" s="112" t="str">
        <f t="shared" si="7"/>
        <v>2024-H1</v>
      </c>
      <c r="V765" s="1" t="str">
        <f>VLOOKUP(B765,Bounties!A:E,2,FALSE)</f>
        <v>Anti-Scam Bounty</v>
      </c>
    </row>
    <row r="766" hidden="1">
      <c r="A766" s="109">
        <f>HYPERLINK("https://polkadot.subsquare.io/treasury/child-bounties/764", 764)</f>
        <v>764</v>
      </c>
      <c r="B766" s="183">
        <v>11.0</v>
      </c>
      <c r="C766" s="27" t="s">
        <v>3404</v>
      </c>
      <c r="D766" s="27" t="s">
        <v>1341</v>
      </c>
      <c r="E766" s="129">
        <v>788.244</v>
      </c>
      <c r="F766" s="66">
        <v>7812.421041778564</v>
      </c>
      <c r="G766" s="27" t="s">
        <v>3407</v>
      </c>
      <c r="H766" s="167">
        <v>45352.0</v>
      </c>
      <c r="I766" s="167">
        <v>45361.0</v>
      </c>
      <c r="J766" s="66">
        <v>8923.775050792694</v>
      </c>
      <c r="K766" s="1"/>
      <c r="L766" s="1"/>
      <c r="M766" s="1" t="str">
        <f>VLOOKUP(B766,Bounties!A:D,3,FALSE)</f>
        <v>Research</v>
      </c>
      <c r="N766" s="1" t="str">
        <f>VLOOKUP(B766,Bounties!A:D,4,FALSE)</f>
        <v>Anti-Scam</v>
      </c>
      <c r="O766" s="1" t="str">
        <f t="shared" ref="O766:P766" si="770">IF(ISBLANK(K766),M766,K766)</f>
        <v>Research</v>
      </c>
      <c r="P766" s="1" t="str">
        <f t="shared" si="770"/>
        <v>Anti-Scam</v>
      </c>
      <c r="Q766" s="108" t="str">
        <f t="shared" si="3"/>
        <v>2024</v>
      </c>
      <c r="R766" s="110">
        <f t="shared" si="4"/>
        <v>3</v>
      </c>
      <c r="S766" s="108" t="str">
        <f t="shared" si="5"/>
        <v>2024-Q1</v>
      </c>
      <c r="T766" s="111" t="str">
        <f t="shared" si="6"/>
        <v>2024-03</v>
      </c>
      <c r="U766" s="112" t="str">
        <f t="shared" si="7"/>
        <v>2024-H1</v>
      </c>
      <c r="V766" s="1" t="str">
        <f>VLOOKUP(B766,Bounties!A:E,2,FALSE)</f>
        <v>Anti-Scam Bounty</v>
      </c>
    </row>
    <row r="767" hidden="1">
      <c r="A767" s="109">
        <f>HYPERLINK("https://polkadot.subsquare.io/treasury/child-bounties/765", 765)</f>
        <v>765</v>
      </c>
      <c r="B767" s="183">
        <v>11.0</v>
      </c>
      <c r="C767" s="27" t="s">
        <v>3404</v>
      </c>
      <c r="D767" s="27" t="s">
        <v>1342</v>
      </c>
      <c r="E767" s="129">
        <v>290.722</v>
      </c>
      <c r="F767" s="66">
        <v>2881.3954436798094</v>
      </c>
      <c r="G767" s="27" t="s">
        <v>3406</v>
      </c>
      <c r="H767" s="167">
        <v>45352.0</v>
      </c>
      <c r="I767" s="167">
        <v>45367.0</v>
      </c>
      <c r="J767" s="66">
        <v>2547.992115053177</v>
      </c>
      <c r="K767" s="1"/>
      <c r="L767" s="1"/>
      <c r="M767" s="1" t="str">
        <f>VLOOKUP(B767,Bounties!A:D,3,FALSE)</f>
        <v>Research</v>
      </c>
      <c r="N767" s="1" t="str">
        <f>VLOOKUP(B767,Bounties!A:D,4,FALSE)</f>
        <v>Anti-Scam</v>
      </c>
      <c r="O767" s="1" t="str">
        <f t="shared" ref="O767:P767" si="771">IF(ISBLANK(K767),M767,K767)</f>
        <v>Research</v>
      </c>
      <c r="P767" s="1" t="str">
        <f t="shared" si="771"/>
        <v>Anti-Scam</v>
      </c>
      <c r="Q767" s="108" t="str">
        <f t="shared" si="3"/>
        <v>2024</v>
      </c>
      <c r="R767" s="110">
        <f t="shared" si="4"/>
        <v>3</v>
      </c>
      <c r="S767" s="108" t="str">
        <f t="shared" si="5"/>
        <v>2024-Q1</v>
      </c>
      <c r="T767" s="111" t="str">
        <f t="shared" si="6"/>
        <v>2024-03</v>
      </c>
      <c r="U767" s="112" t="str">
        <f t="shared" si="7"/>
        <v>2024-H1</v>
      </c>
      <c r="V767" s="1" t="str">
        <f>VLOOKUP(B767,Bounties!A:E,2,FALSE)</f>
        <v>Anti-Scam Bounty</v>
      </c>
    </row>
    <row r="768" hidden="1">
      <c r="A768" s="109">
        <f>HYPERLINK("https://polkadot.subsquare.io/treasury/child-bounties/766", 766)</f>
        <v>766</v>
      </c>
      <c r="B768" s="183">
        <v>11.0</v>
      </c>
      <c r="C768" s="27" t="s">
        <v>3404</v>
      </c>
      <c r="D768" s="27" t="s">
        <v>1343</v>
      </c>
      <c r="E768" s="129">
        <v>429.164</v>
      </c>
      <c r="F768" s="66">
        <v>4253.517773651123</v>
      </c>
      <c r="G768" s="27" t="s">
        <v>3562</v>
      </c>
      <c r="H768" s="167">
        <v>45352.0</v>
      </c>
      <c r="I768" s="167">
        <v>45361.0</v>
      </c>
      <c r="J768" s="66">
        <v>4603.481481407165</v>
      </c>
      <c r="K768" s="1"/>
      <c r="L768" s="1"/>
      <c r="M768" s="1" t="str">
        <f>VLOOKUP(B768,Bounties!A:D,3,FALSE)</f>
        <v>Research</v>
      </c>
      <c r="N768" s="1" t="str">
        <f>VLOOKUP(B768,Bounties!A:D,4,FALSE)</f>
        <v>Anti-Scam</v>
      </c>
      <c r="O768" s="1" t="str">
        <f t="shared" ref="O768:P768" si="772">IF(ISBLANK(K768),M768,K768)</f>
        <v>Research</v>
      </c>
      <c r="P768" s="1" t="str">
        <f t="shared" si="772"/>
        <v>Anti-Scam</v>
      </c>
      <c r="Q768" s="108" t="str">
        <f t="shared" si="3"/>
        <v>2024</v>
      </c>
      <c r="R768" s="110">
        <f t="shared" si="4"/>
        <v>3</v>
      </c>
      <c r="S768" s="108" t="str">
        <f t="shared" si="5"/>
        <v>2024-Q1</v>
      </c>
      <c r="T768" s="111" t="str">
        <f t="shared" si="6"/>
        <v>2024-03</v>
      </c>
      <c r="U768" s="112" t="str">
        <f t="shared" si="7"/>
        <v>2024-H1</v>
      </c>
      <c r="V768" s="1" t="str">
        <f>VLOOKUP(B768,Bounties!A:E,2,FALSE)</f>
        <v>Anti-Scam Bounty</v>
      </c>
    </row>
    <row r="769" hidden="1">
      <c r="A769" s="109">
        <f>HYPERLINK("https://polkadot.subsquare.io/treasury/child-bounties/767", 767)</f>
        <v>767</v>
      </c>
      <c r="B769" s="183">
        <v>11.0</v>
      </c>
      <c r="C769" s="27" t="s">
        <v>3404</v>
      </c>
      <c r="D769" s="27" t="s">
        <v>1344</v>
      </c>
      <c r="E769" s="129">
        <v>86.825</v>
      </c>
      <c r="F769" s="66">
        <v>810.1109441041947</v>
      </c>
      <c r="G769" s="27" t="s">
        <v>3628</v>
      </c>
      <c r="H769" s="167">
        <v>45354.0</v>
      </c>
      <c r="I769" s="167">
        <v>45363.0</v>
      </c>
      <c r="J769" s="66">
        <v>1002.2124655246735</v>
      </c>
      <c r="K769" s="1"/>
      <c r="L769" s="1"/>
      <c r="M769" s="1" t="str">
        <f>VLOOKUP(B769,Bounties!A:D,3,FALSE)</f>
        <v>Research</v>
      </c>
      <c r="N769" s="1" t="str">
        <f>VLOOKUP(B769,Bounties!A:D,4,FALSE)</f>
        <v>Anti-Scam</v>
      </c>
      <c r="O769" s="1" t="str">
        <f t="shared" ref="O769:P769" si="773">IF(ISBLANK(K769),M769,K769)</f>
        <v>Research</v>
      </c>
      <c r="P769" s="1" t="str">
        <f t="shared" si="773"/>
        <v>Anti-Scam</v>
      </c>
      <c r="Q769" s="108" t="str">
        <f t="shared" si="3"/>
        <v>2024</v>
      </c>
      <c r="R769" s="110">
        <f t="shared" si="4"/>
        <v>3</v>
      </c>
      <c r="S769" s="108" t="str">
        <f t="shared" si="5"/>
        <v>2024-Q1</v>
      </c>
      <c r="T769" s="111" t="str">
        <f t="shared" si="6"/>
        <v>2024-03</v>
      </c>
      <c r="U769" s="112" t="str">
        <f t="shared" si="7"/>
        <v>2024-H1</v>
      </c>
      <c r="V769" s="1" t="str">
        <f>VLOOKUP(B769,Bounties!A:E,2,FALSE)</f>
        <v>Anti-Scam Bounty</v>
      </c>
    </row>
    <row r="770" hidden="1">
      <c r="A770" s="109">
        <f>HYPERLINK("https://polkadot.subsquare.io/treasury/child-bounties/768", 768)</f>
        <v>768</v>
      </c>
      <c r="B770" s="183">
        <v>11.0</v>
      </c>
      <c r="C770" s="27" t="s">
        <v>3404</v>
      </c>
      <c r="D770" s="27" t="s">
        <v>1345</v>
      </c>
      <c r="E770" s="129">
        <v>86.825</v>
      </c>
      <c r="F770" s="66">
        <v>810.1109441041947</v>
      </c>
      <c r="G770" s="27" t="s">
        <v>3424</v>
      </c>
      <c r="H770" s="167">
        <v>45354.0</v>
      </c>
      <c r="I770" s="167">
        <v>45364.0</v>
      </c>
      <c r="J770" s="66">
        <v>841.9283234596253</v>
      </c>
      <c r="K770" s="1"/>
      <c r="L770" s="1"/>
      <c r="M770" s="1" t="str">
        <f>VLOOKUP(B770,Bounties!A:D,3,FALSE)</f>
        <v>Research</v>
      </c>
      <c r="N770" s="1" t="str">
        <f>VLOOKUP(B770,Bounties!A:D,4,FALSE)</f>
        <v>Anti-Scam</v>
      </c>
      <c r="O770" s="1" t="str">
        <f t="shared" ref="O770:P770" si="774">IF(ISBLANK(K770),M770,K770)</f>
        <v>Research</v>
      </c>
      <c r="P770" s="1" t="str">
        <f t="shared" si="774"/>
        <v>Anti-Scam</v>
      </c>
      <c r="Q770" s="108" t="str">
        <f t="shared" si="3"/>
        <v>2024</v>
      </c>
      <c r="R770" s="110">
        <f t="shared" si="4"/>
        <v>3</v>
      </c>
      <c r="S770" s="108" t="str">
        <f t="shared" si="5"/>
        <v>2024-Q1</v>
      </c>
      <c r="T770" s="111" t="str">
        <f t="shared" si="6"/>
        <v>2024-03</v>
      </c>
      <c r="U770" s="112" t="str">
        <f t="shared" si="7"/>
        <v>2024-H1</v>
      </c>
      <c r="V770" s="1" t="str">
        <f>VLOOKUP(B770,Bounties!A:E,2,FALSE)</f>
        <v>Anti-Scam Bounty</v>
      </c>
    </row>
    <row r="771" hidden="1">
      <c r="A771" s="109">
        <f>HYPERLINK("https://polkadot.subsquare.io/treasury/child-bounties/769", 769)</f>
        <v>769</v>
      </c>
      <c r="B771" s="183">
        <v>11.0</v>
      </c>
      <c r="C771" s="27" t="s">
        <v>3404</v>
      </c>
      <c r="D771" s="27" t="s">
        <v>1346</v>
      </c>
      <c r="E771" s="129">
        <v>57.883</v>
      </c>
      <c r="F771" s="66">
        <v>540.0708526067734</v>
      </c>
      <c r="G771" s="27" t="s">
        <v>3439</v>
      </c>
      <c r="H771" s="167">
        <v>45354.0</v>
      </c>
      <c r="I771" s="167">
        <v>45367.0</v>
      </c>
      <c r="J771" s="66">
        <v>507.3074194440842</v>
      </c>
      <c r="K771" s="1"/>
      <c r="L771" s="1"/>
      <c r="M771" s="1" t="str">
        <f>VLOOKUP(B771,Bounties!A:D,3,FALSE)</f>
        <v>Research</v>
      </c>
      <c r="N771" s="1" t="str">
        <f>VLOOKUP(B771,Bounties!A:D,4,FALSE)</f>
        <v>Anti-Scam</v>
      </c>
      <c r="O771" s="1" t="str">
        <f t="shared" ref="O771:P771" si="775">IF(ISBLANK(K771),M771,K771)</f>
        <v>Research</v>
      </c>
      <c r="P771" s="1" t="str">
        <f t="shared" si="775"/>
        <v>Anti-Scam</v>
      </c>
      <c r="Q771" s="108" t="str">
        <f t="shared" si="3"/>
        <v>2024</v>
      </c>
      <c r="R771" s="110">
        <f t="shared" si="4"/>
        <v>3</v>
      </c>
      <c r="S771" s="108" t="str">
        <f t="shared" si="5"/>
        <v>2024-Q1</v>
      </c>
      <c r="T771" s="111" t="str">
        <f t="shared" si="6"/>
        <v>2024-03</v>
      </c>
      <c r="U771" s="112" t="str">
        <f t="shared" si="7"/>
        <v>2024-H1</v>
      </c>
      <c r="V771" s="1" t="str">
        <f>VLOOKUP(B771,Bounties!A:E,2,FALSE)</f>
        <v>Anti-Scam Bounty</v>
      </c>
    </row>
    <row r="772" hidden="1">
      <c r="A772" s="109">
        <f>HYPERLINK("https://polkadot.subsquare.io/treasury/child-bounties/770", 770)</f>
        <v>770</v>
      </c>
      <c r="B772" s="183">
        <v>11.0</v>
      </c>
      <c r="C772" s="27" t="s">
        <v>3404</v>
      </c>
      <c r="D772" s="27" t="s">
        <v>1347</v>
      </c>
      <c r="E772" s="129">
        <v>28.941</v>
      </c>
      <c r="F772" s="66">
        <v>270.0307611093521</v>
      </c>
      <c r="G772" s="27" t="s">
        <v>3628</v>
      </c>
      <c r="H772" s="167">
        <v>45354.0</v>
      </c>
      <c r="I772" s="167">
        <v>45363.0</v>
      </c>
      <c r="J772" s="66">
        <v>334.0631265735626</v>
      </c>
      <c r="K772" s="1"/>
      <c r="L772" s="1"/>
      <c r="M772" s="1" t="str">
        <f>VLOOKUP(B772,Bounties!A:D,3,FALSE)</f>
        <v>Research</v>
      </c>
      <c r="N772" s="1" t="str">
        <f>VLOOKUP(B772,Bounties!A:D,4,FALSE)</f>
        <v>Anti-Scam</v>
      </c>
      <c r="O772" s="1" t="str">
        <f t="shared" ref="O772:P772" si="776">IF(ISBLANK(K772),M772,K772)</f>
        <v>Research</v>
      </c>
      <c r="P772" s="1" t="str">
        <f t="shared" si="776"/>
        <v>Anti-Scam</v>
      </c>
      <c r="Q772" s="108" t="str">
        <f t="shared" si="3"/>
        <v>2024</v>
      </c>
      <c r="R772" s="110">
        <f t="shared" si="4"/>
        <v>3</v>
      </c>
      <c r="S772" s="108" t="str">
        <f t="shared" si="5"/>
        <v>2024-Q1</v>
      </c>
      <c r="T772" s="111" t="str">
        <f t="shared" si="6"/>
        <v>2024-03</v>
      </c>
      <c r="U772" s="112" t="str">
        <f t="shared" si="7"/>
        <v>2024-H1</v>
      </c>
      <c r="V772" s="1" t="str">
        <f>VLOOKUP(B772,Bounties!A:E,2,FALSE)</f>
        <v>Anti-Scam Bounty</v>
      </c>
    </row>
    <row r="773" hidden="1">
      <c r="A773" s="109">
        <f>HYPERLINK("https://polkadot.subsquare.io/treasury/child-bounties/771", 771)</f>
        <v>771</v>
      </c>
      <c r="B773" s="183">
        <v>11.0</v>
      </c>
      <c r="C773" s="27" t="s">
        <v>3404</v>
      </c>
      <c r="D773" s="27" t="s">
        <v>1348</v>
      </c>
      <c r="E773" s="129">
        <v>28.941</v>
      </c>
      <c r="F773" s="66">
        <v>270.0307611093521</v>
      </c>
      <c r="G773" s="27" t="s">
        <v>3424</v>
      </c>
      <c r="H773" s="167">
        <v>45354.0</v>
      </c>
      <c r="I773" s="167">
        <v>45364.0</v>
      </c>
      <c r="J773" s="66">
        <v>280.63630992507933</v>
      </c>
      <c r="K773" s="1"/>
      <c r="L773" s="1"/>
      <c r="M773" s="1" t="str">
        <f>VLOOKUP(B773,Bounties!A:D,3,FALSE)</f>
        <v>Research</v>
      </c>
      <c r="N773" s="1" t="str">
        <f>VLOOKUP(B773,Bounties!A:D,4,FALSE)</f>
        <v>Anti-Scam</v>
      </c>
      <c r="O773" s="1" t="str">
        <f t="shared" ref="O773:P773" si="777">IF(ISBLANK(K773),M773,K773)</f>
        <v>Research</v>
      </c>
      <c r="P773" s="1" t="str">
        <f t="shared" si="777"/>
        <v>Anti-Scam</v>
      </c>
      <c r="Q773" s="108" t="str">
        <f t="shared" si="3"/>
        <v>2024</v>
      </c>
      <c r="R773" s="110">
        <f t="shared" si="4"/>
        <v>3</v>
      </c>
      <c r="S773" s="108" t="str">
        <f t="shared" si="5"/>
        <v>2024-Q1</v>
      </c>
      <c r="T773" s="111" t="str">
        <f t="shared" si="6"/>
        <v>2024-03</v>
      </c>
      <c r="U773" s="112" t="str">
        <f t="shared" si="7"/>
        <v>2024-H1</v>
      </c>
      <c r="V773" s="1" t="str">
        <f>VLOOKUP(B773,Bounties!A:E,2,FALSE)</f>
        <v>Anti-Scam Bounty</v>
      </c>
    </row>
    <row r="774" hidden="1">
      <c r="A774" s="109">
        <f>HYPERLINK("https://polkadot.subsquare.io/treasury/child-bounties/772", 772)</f>
        <v>772</v>
      </c>
      <c r="B774" s="183">
        <v>11.0</v>
      </c>
      <c r="C774" s="27" t="s">
        <v>3404</v>
      </c>
      <c r="D774" s="27" t="s">
        <v>1349</v>
      </c>
      <c r="E774" s="129">
        <v>57.88</v>
      </c>
      <c r="F774" s="66">
        <v>540.0428614425659</v>
      </c>
      <c r="G774" s="27" t="s">
        <v>3486</v>
      </c>
      <c r="H774" s="167">
        <v>45354.0</v>
      </c>
      <c r="I774" s="167">
        <v>45379.0</v>
      </c>
      <c r="J774" s="66">
        <v>558.1151818084717</v>
      </c>
      <c r="K774" s="1"/>
      <c r="L774" s="1"/>
      <c r="M774" s="1" t="str">
        <f>VLOOKUP(B774,Bounties!A:D,3,FALSE)</f>
        <v>Research</v>
      </c>
      <c r="N774" s="1" t="str">
        <f>VLOOKUP(B774,Bounties!A:D,4,FALSE)</f>
        <v>Anti-Scam</v>
      </c>
      <c r="O774" s="1" t="str">
        <f t="shared" ref="O774:P774" si="778">IF(ISBLANK(K774),M774,K774)</f>
        <v>Research</v>
      </c>
      <c r="P774" s="1" t="str">
        <f t="shared" si="778"/>
        <v>Anti-Scam</v>
      </c>
      <c r="Q774" s="108" t="str">
        <f t="shared" si="3"/>
        <v>2024</v>
      </c>
      <c r="R774" s="110">
        <f t="shared" si="4"/>
        <v>3</v>
      </c>
      <c r="S774" s="108" t="str">
        <f t="shared" si="5"/>
        <v>2024-Q1</v>
      </c>
      <c r="T774" s="111" t="str">
        <f t="shared" si="6"/>
        <v>2024-03</v>
      </c>
      <c r="U774" s="112" t="str">
        <f t="shared" si="7"/>
        <v>2024-H1</v>
      </c>
      <c r="V774" s="1" t="str">
        <f>VLOOKUP(B774,Bounties!A:E,2,FALSE)</f>
        <v>Anti-Scam Bounty</v>
      </c>
    </row>
    <row r="775" hidden="1">
      <c r="A775" s="109">
        <f>HYPERLINK("https://polkadot.subsquare.io/treasury/child-bounties/773", 773)</f>
        <v>773</v>
      </c>
      <c r="B775" s="183">
        <v>11.0</v>
      </c>
      <c r="C775" s="27" t="s">
        <v>3404</v>
      </c>
      <c r="D775" s="27" t="s">
        <v>1350</v>
      </c>
      <c r="E775" s="129">
        <v>28.94</v>
      </c>
      <c r="F775" s="66">
        <v>270.02143072128297</v>
      </c>
      <c r="G775" s="27" t="s">
        <v>3486</v>
      </c>
      <c r="H775" s="167">
        <v>45354.0</v>
      </c>
      <c r="I775" s="167">
        <v>45379.0</v>
      </c>
      <c r="J775" s="66">
        <v>279.05759090423584</v>
      </c>
      <c r="K775" s="1"/>
      <c r="L775" s="1"/>
      <c r="M775" s="1" t="str">
        <f>VLOOKUP(B775,Bounties!A:D,3,FALSE)</f>
        <v>Research</v>
      </c>
      <c r="N775" s="1" t="str">
        <f>VLOOKUP(B775,Bounties!A:D,4,FALSE)</f>
        <v>Anti-Scam</v>
      </c>
      <c r="O775" s="1" t="str">
        <f t="shared" ref="O775:P775" si="779">IF(ISBLANK(K775),M775,K775)</f>
        <v>Research</v>
      </c>
      <c r="P775" s="1" t="str">
        <f t="shared" si="779"/>
        <v>Anti-Scam</v>
      </c>
      <c r="Q775" s="108" t="str">
        <f t="shared" si="3"/>
        <v>2024</v>
      </c>
      <c r="R775" s="110">
        <f t="shared" si="4"/>
        <v>3</v>
      </c>
      <c r="S775" s="108" t="str">
        <f t="shared" si="5"/>
        <v>2024-Q1</v>
      </c>
      <c r="T775" s="111" t="str">
        <f t="shared" si="6"/>
        <v>2024-03</v>
      </c>
      <c r="U775" s="112" t="str">
        <f t="shared" si="7"/>
        <v>2024-H1</v>
      </c>
      <c r="V775" s="1" t="str">
        <f>VLOOKUP(B775,Bounties!A:E,2,FALSE)</f>
        <v>Anti-Scam Bounty</v>
      </c>
    </row>
    <row r="776" hidden="1">
      <c r="A776" s="109">
        <f>HYPERLINK("https://polkadot.subsquare.io/treasury/child-bounties/774", 774)</f>
        <v>774</v>
      </c>
      <c r="B776" s="183">
        <v>11.0</v>
      </c>
      <c r="C776" s="27" t="s">
        <v>3404</v>
      </c>
      <c r="D776" s="27" t="s">
        <v>1351</v>
      </c>
      <c r="E776" s="129">
        <v>312.6046667411</v>
      </c>
      <c r="F776" s="66">
        <v>3286.796400320013</v>
      </c>
      <c r="G776" s="27" t="s">
        <v>3409</v>
      </c>
      <c r="H776" s="167">
        <v>45354.0</v>
      </c>
      <c r="I776" s="167">
        <v>45364.0</v>
      </c>
      <c r="J776" s="66">
        <v>3031.278122372464</v>
      </c>
      <c r="K776" s="1"/>
      <c r="L776" s="1"/>
      <c r="M776" s="1" t="str">
        <f>VLOOKUP(B776,Bounties!A:D,3,FALSE)</f>
        <v>Research</v>
      </c>
      <c r="N776" s="1" t="str">
        <f>VLOOKUP(B776,Bounties!A:D,4,FALSE)</f>
        <v>Anti-Scam</v>
      </c>
      <c r="O776" s="1" t="str">
        <f t="shared" ref="O776:P776" si="780">IF(ISBLANK(K776),M776,K776)</f>
        <v>Research</v>
      </c>
      <c r="P776" s="1" t="str">
        <f t="shared" si="780"/>
        <v>Anti-Scam</v>
      </c>
      <c r="Q776" s="108" t="str">
        <f t="shared" si="3"/>
        <v>2024</v>
      </c>
      <c r="R776" s="110">
        <f t="shared" si="4"/>
        <v>3</v>
      </c>
      <c r="S776" s="108" t="str">
        <f t="shared" si="5"/>
        <v>2024-Q1</v>
      </c>
      <c r="T776" s="111" t="str">
        <f t="shared" si="6"/>
        <v>2024-03</v>
      </c>
      <c r="U776" s="112" t="str">
        <f t="shared" si="7"/>
        <v>2024-H1</v>
      </c>
      <c r="V776" s="1" t="str">
        <f>VLOOKUP(B776,Bounties!A:E,2,FALSE)</f>
        <v>Anti-Scam Bounty</v>
      </c>
    </row>
    <row r="777" hidden="1">
      <c r="A777" s="109">
        <f>HYPERLINK("https://polkadot.subsquare.io/treasury/child-bounties/775", 775)</f>
        <v>775</v>
      </c>
      <c r="B777" s="183">
        <v>11.0</v>
      </c>
      <c r="C777" s="27" t="s">
        <v>3427</v>
      </c>
      <c r="D777" s="27" t="s">
        <v>1352</v>
      </c>
      <c r="E777" s="129">
        <v>883.6099360018</v>
      </c>
      <c r="F777" s="66">
        <v>9209.040836989096</v>
      </c>
      <c r="H777" s="167">
        <v>45355.0</v>
      </c>
      <c r="I777" s="167">
        <v>45355.0</v>
      </c>
      <c r="J777" s="66">
        <v>9209.040836989096</v>
      </c>
      <c r="K777" s="1"/>
      <c r="L777" s="1"/>
      <c r="M777" s="1" t="str">
        <f>VLOOKUP(B777,Bounties!A:D,3,FALSE)</f>
        <v>Research</v>
      </c>
      <c r="N777" s="1" t="str">
        <f>VLOOKUP(B777,Bounties!A:D,4,FALSE)</f>
        <v>Anti-Scam</v>
      </c>
      <c r="O777" s="1" t="str">
        <f t="shared" ref="O777:P777" si="781">IF(ISBLANK(K777),M777,K777)</f>
        <v>Research</v>
      </c>
      <c r="P777" s="1" t="str">
        <f t="shared" si="781"/>
        <v>Anti-Scam</v>
      </c>
      <c r="Q777" s="108" t="str">
        <f t="shared" si="3"/>
        <v>2024</v>
      </c>
      <c r="R777" s="110">
        <f t="shared" si="4"/>
        <v>3</v>
      </c>
      <c r="S777" s="108" t="str">
        <f t="shared" si="5"/>
        <v>2024-Q1</v>
      </c>
      <c r="T777" s="111" t="str">
        <f t="shared" si="6"/>
        <v>2024-03</v>
      </c>
      <c r="U777" s="112" t="str">
        <f t="shared" si="7"/>
        <v>2024-H1</v>
      </c>
      <c r="V777" s="1" t="str">
        <f>VLOOKUP(B777,Bounties!A:E,2,FALSE)</f>
        <v>Anti-Scam Bounty</v>
      </c>
    </row>
    <row r="778" hidden="1">
      <c r="A778" s="109">
        <f>HYPERLINK("https://polkadot.subsquare.io/treasury/child-bounties/776", 776)</f>
        <v>776</v>
      </c>
      <c r="B778" s="183">
        <v>11.0</v>
      </c>
      <c r="C778" s="27" t="s">
        <v>3427</v>
      </c>
      <c r="D778" s="27" t="s">
        <v>1353</v>
      </c>
      <c r="E778" s="129">
        <v>883.6099360018</v>
      </c>
      <c r="F778" s="66">
        <v>9209.040836989096</v>
      </c>
      <c r="H778" s="167">
        <v>45355.0</v>
      </c>
      <c r="I778" s="167">
        <v>45355.0</v>
      </c>
      <c r="J778" s="66">
        <v>9209.040836989096</v>
      </c>
      <c r="K778" s="1"/>
      <c r="L778" s="1"/>
      <c r="M778" s="1" t="str">
        <f>VLOOKUP(B778,Bounties!A:D,3,FALSE)</f>
        <v>Research</v>
      </c>
      <c r="N778" s="1" t="str">
        <f>VLOOKUP(B778,Bounties!A:D,4,FALSE)</f>
        <v>Anti-Scam</v>
      </c>
      <c r="O778" s="1" t="str">
        <f t="shared" ref="O778:P778" si="782">IF(ISBLANK(K778),M778,K778)</f>
        <v>Research</v>
      </c>
      <c r="P778" s="1" t="str">
        <f t="shared" si="782"/>
        <v>Anti-Scam</v>
      </c>
      <c r="Q778" s="108" t="str">
        <f t="shared" si="3"/>
        <v>2024</v>
      </c>
      <c r="R778" s="110">
        <f t="shared" si="4"/>
        <v>3</v>
      </c>
      <c r="S778" s="108" t="str">
        <f t="shared" si="5"/>
        <v>2024-Q1</v>
      </c>
      <c r="T778" s="111" t="str">
        <f t="shared" si="6"/>
        <v>2024-03</v>
      </c>
      <c r="U778" s="112" t="str">
        <f t="shared" si="7"/>
        <v>2024-H1</v>
      </c>
      <c r="V778" s="1" t="str">
        <f>VLOOKUP(B778,Bounties!A:E,2,FALSE)</f>
        <v>Anti-Scam Bounty</v>
      </c>
    </row>
    <row r="779" hidden="1">
      <c r="A779" s="109">
        <f>HYPERLINK("https://polkadot.subsquare.io/treasury/child-bounties/777", 777)</f>
        <v>777</v>
      </c>
      <c r="B779" s="183">
        <v>11.0</v>
      </c>
      <c r="C779" s="27" t="s">
        <v>3427</v>
      </c>
      <c r="D779" s="27" t="s">
        <v>1354</v>
      </c>
      <c r="E779" s="129">
        <v>883.0675778284</v>
      </c>
      <c r="F779" s="66">
        <v>9203.38834445408</v>
      </c>
      <c r="H779" s="167">
        <v>45355.0</v>
      </c>
      <c r="I779" s="167">
        <v>45355.0</v>
      </c>
      <c r="J779" s="66">
        <v>9203.38834445408</v>
      </c>
      <c r="K779" s="1"/>
      <c r="L779" s="1"/>
      <c r="M779" s="1" t="str">
        <f>VLOOKUP(B779,Bounties!A:D,3,FALSE)</f>
        <v>Research</v>
      </c>
      <c r="N779" s="1" t="str">
        <f>VLOOKUP(B779,Bounties!A:D,4,FALSE)</f>
        <v>Anti-Scam</v>
      </c>
      <c r="O779" s="1" t="str">
        <f t="shared" ref="O779:P779" si="783">IF(ISBLANK(K779),M779,K779)</f>
        <v>Research</v>
      </c>
      <c r="P779" s="1" t="str">
        <f t="shared" si="783"/>
        <v>Anti-Scam</v>
      </c>
      <c r="Q779" s="108" t="str">
        <f t="shared" si="3"/>
        <v>2024</v>
      </c>
      <c r="R779" s="110">
        <f t="shared" si="4"/>
        <v>3</v>
      </c>
      <c r="S779" s="108" t="str">
        <f t="shared" si="5"/>
        <v>2024-Q1</v>
      </c>
      <c r="T779" s="111" t="str">
        <f t="shared" si="6"/>
        <v>2024-03</v>
      </c>
      <c r="U779" s="112" t="str">
        <f t="shared" si="7"/>
        <v>2024-H1</v>
      </c>
      <c r="V779" s="1" t="str">
        <f>VLOOKUP(B779,Bounties!A:E,2,FALSE)</f>
        <v>Anti-Scam Bounty</v>
      </c>
    </row>
    <row r="780" hidden="1">
      <c r="A780" s="109">
        <f>HYPERLINK("https://polkadot.subsquare.io/treasury/child-bounties/778", 778)</f>
        <v>778</v>
      </c>
      <c r="B780" s="183">
        <v>11.0</v>
      </c>
      <c r="C780" s="27" t="s">
        <v>3404</v>
      </c>
      <c r="D780" s="27" t="s">
        <v>1352</v>
      </c>
      <c r="E780" s="129">
        <v>289.2576924468</v>
      </c>
      <c r="F780" s="66">
        <v>3014.6626849954155</v>
      </c>
      <c r="G780" s="27" t="s">
        <v>3526</v>
      </c>
      <c r="H780" s="167">
        <v>45355.0</v>
      </c>
      <c r="I780" s="167">
        <v>45366.0</v>
      </c>
      <c r="J780" s="66">
        <v>2865.791148390172</v>
      </c>
      <c r="K780" s="1"/>
      <c r="L780" s="1"/>
      <c r="M780" s="1" t="str">
        <f>VLOOKUP(B780,Bounties!A:D,3,FALSE)</f>
        <v>Research</v>
      </c>
      <c r="N780" s="1" t="str">
        <f>VLOOKUP(B780,Bounties!A:D,4,FALSE)</f>
        <v>Anti-Scam</v>
      </c>
      <c r="O780" s="1" t="str">
        <f t="shared" ref="O780:P780" si="784">IF(ISBLANK(K780),M780,K780)</f>
        <v>Research</v>
      </c>
      <c r="P780" s="1" t="str">
        <f t="shared" si="784"/>
        <v>Anti-Scam</v>
      </c>
      <c r="Q780" s="108" t="str">
        <f t="shared" si="3"/>
        <v>2024</v>
      </c>
      <c r="R780" s="110">
        <f t="shared" si="4"/>
        <v>3</v>
      </c>
      <c r="S780" s="108" t="str">
        <f t="shared" si="5"/>
        <v>2024-Q1</v>
      </c>
      <c r="T780" s="111" t="str">
        <f t="shared" si="6"/>
        <v>2024-03</v>
      </c>
      <c r="U780" s="112" t="str">
        <f t="shared" si="7"/>
        <v>2024-H1</v>
      </c>
      <c r="V780" s="1" t="str">
        <f>VLOOKUP(B780,Bounties!A:E,2,FALSE)</f>
        <v>Anti-Scam Bounty</v>
      </c>
    </row>
    <row r="781" hidden="1">
      <c r="A781" s="109">
        <f>HYPERLINK("https://polkadot.subsquare.io/treasury/child-bounties/779", 779)</f>
        <v>779</v>
      </c>
      <c r="B781" s="183">
        <v>11.0</v>
      </c>
      <c r="C781" s="27" t="s">
        <v>3404</v>
      </c>
      <c r="D781" s="27" t="s">
        <v>1353</v>
      </c>
      <c r="E781" s="129">
        <v>289.2576924468</v>
      </c>
      <c r="F781" s="66">
        <v>3014.6626849954155</v>
      </c>
      <c r="G781" s="27" t="s">
        <v>3578</v>
      </c>
      <c r="H781" s="167">
        <v>45355.0</v>
      </c>
      <c r="I781" s="167">
        <v>45365.0</v>
      </c>
      <c r="J781" s="66">
        <v>2926.017765920468</v>
      </c>
      <c r="K781" s="1"/>
      <c r="L781" s="1"/>
      <c r="M781" s="1" t="str">
        <f>VLOOKUP(B781,Bounties!A:D,3,FALSE)</f>
        <v>Research</v>
      </c>
      <c r="N781" s="1" t="str">
        <f>VLOOKUP(B781,Bounties!A:D,4,FALSE)</f>
        <v>Anti-Scam</v>
      </c>
      <c r="O781" s="1" t="str">
        <f t="shared" ref="O781:P781" si="785">IF(ISBLANK(K781),M781,K781)</f>
        <v>Research</v>
      </c>
      <c r="P781" s="1" t="str">
        <f t="shared" si="785"/>
        <v>Anti-Scam</v>
      </c>
      <c r="Q781" s="108" t="str">
        <f t="shared" si="3"/>
        <v>2024</v>
      </c>
      <c r="R781" s="110">
        <f t="shared" si="4"/>
        <v>3</v>
      </c>
      <c r="S781" s="108" t="str">
        <f t="shared" si="5"/>
        <v>2024-Q1</v>
      </c>
      <c r="T781" s="111" t="str">
        <f t="shared" si="6"/>
        <v>2024-03</v>
      </c>
      <c r="U781" s="112" t="str">
        <f t="shared" si="7"/>
        <v>2024-H1</v>
      </c>
      <c r="V781" s="1" t="str">
        <f>VLOOKUP(B781,Bounties!A:E,2,FALSE)</f>
        <v>Anti-Scam Bounty</v>
      </c>
    </row>
    <row r="782" hidden="1">
      <c r="A782" s="109">
        <f>HYPERLINK("https://polkadot.subsquare.io/treasury/child-bounties/780", 780)</f>
        <v>780</v>
      </c>
      <c r="B782" s="183">
        <v>11.0</v>
      </c>
      <c r="C782" s="27" t="s">
        <v>3404</v>
      </c>
      <c r="D782" s="27" t="s">
        <v>1354</v>
      </c>
      <c r="E782" s="129">
        <v>288.7153342734</v>
      </c>
      <c r="F782" s="66">
        <v>3009.0101924604005</v>
      </c>
      <c r="G782" s="27" t="s">
        <v>3577</v>
      </c>
      <c r="H782" s="167">
        <v>45355.0</v>
      </c>
      <c r="I782" s="167">
        <v>45365.0</v>
      </c>
      <c r="J782" s="66">
        <v>2920.531482608738</v>
      </c>
      <c r="K782" s="1"/>
      <c r="L782" s="1"/>
      <c r="M782" s="1" t="str">
        <f>VLOOKUP(B782,Bounties!A:D,3,FALSE)</f>
        <v>Research</v>
      </c>
      <c r="N782" s="1" t="str">
        <f>VLOOKUP(B782,Bounties!A:D,4,FALSE)</f>
        <v>Anti-Scam</v>
      </c>
      <c r="O782" s="1" t="str">
        <f t="shared" ref="O782:P782" si="786">IF(ISBLANK(K782),M782,K782)</f>
        <v>Research</v>
      </c>
      <c r="P782" s="1" t="str">
        <f t="shared" si="786"/>
        <v>Anti-Scam</v>
      </c>
      <c r="Q782" s="108" t="str">
        <f t="shared" si="3"/>
        <v>2024</v>
      </c>
      <c r="R782" s="110">
        <f t="shared" si="4"/>
        <v>3</v>
      </c>
      <c r="S782" s="108" t="str">
        <f t="shared" si="5"/>
        <v>2024-Q1</v>
      </c>
      <c r="T782" s="111" t="str">
        <f t="shared" si="6"/>
        <v>2024-03</v>
      </c>
      <c r="U782" s="112" t="str">
        <f t="shared" si="7"/>
        <v>2024-H1</v>
      </c>
      <c r="V782" s="1" t="str">
        <f>VLOOKUP(B782,Bounties!A:E,2,FALSE)</f>
        <v>Anti-Scam Bounty</v>
      </c>
    </row>
    <row r="783" hidden="1">
      <c r="A783" s="109">
        <f>HYPERLINK("https://polkadot.subsquare.io/treasury/child-bounties/781", 781)</f>
        <v>781</v>
      </c>
      <c r="B783" s="183">
        <v>33.0</v>
      </c>
      <c r="C783" s="27" t="s">
        <v>3404</v>
      </c>
      <c r="D783" s="27" t="s">
        <v>1355</v>
      </c>
      <c r="E783" s="129">
        <v>37059.8</v>
      </c>
      <c r="F783" s="66">
        <v>395247.64291744237</v>
      </c>
      <c r="G783" s="27" t="s">
        <v>3611</v>
      </c>
      <c r="H783" s="167">
        <v>45356.0</v>
      </c>
      <c r="I783" s="167">
        <v>45365.0</v>
      </c>
      <c r="J783" s="66">
        <v>359363.0323265076</v>
      </c>
      <c r="K783" s="1" t="s">
        <v>137</v>
      </c>
      <c r="L783" s="1" t="s">
        <v>296</v>
      </c>
      <c r="M783" s="1" t="str">
        <f>VLOOKUP(B783,Bounties!A:D,3,FALSE)</f>
        <v>Outreach</v>
      </c>
      <c r="N783" s="1" t="str">
        <f>VLOOKUP(B783,Bounties!A:D,4,FALSE)</f>
        <v>Advertising</v>
      </c>
      <c r="O783" s="1" t="str">
        <f t="shared" ref="O783:P783" si="787">IF(ISBLANK(K783),M783,K783)</f>
        <v>Outreach</v>
      </c>
      <c r="P783" s="1" t="str">
        <f t="shared" si="787"/>
        <v>Advertising/Influencers</v>
      </c>
      <c r="Q783" s="108" t="str">
        <f t="shared" si="3"/>
        <v>2024</v>
      </c>
      <c r="R783" s="110">
        <f t="shared" si="4"/>
        <v>3</v>
      </c>
      <c r="S783" s="108" t="str">
        <f t="shared" si="5"/>
        <v>2024-Q1</v>
      </c>
      <c r="T783" s="111" t="str">
        <f t="shared" si="6"/>
        <v>2024-03</v>
      </c>
      <c r="U783" s="112" t="str">
        <f t="shared" si="7"/>
        <v>2024-H1</v>
      </c>
      <c r="V783" s="1" t="str">
        <f>VLOOKUP(B783,Bounties!A:E,2,FALSE)</f>
        <v>Marketing Bounty</v>
      </c>
    </row>
    <row r="784" hidden="1">
      <c r="A784" s="109">
        <f>HYPERLINK("https://polkadot.subsquare.io/treasury/child-bounties/782", 782)</f>
        <v>782</v>
      </c>
      <c r="B784" s="183">
        <v>33.0</v>
      </c>
      <c r="C784" s="27" t="s">
        <v>3404</v>
      </c>
      <c r="D784" s="27" t="s">
        <v>1356</v>
      </c>
      <c r="E784" s="129">
        <v>10534.174</v>
      </c>
      <c r="F784" s="66">
        <v>112348.35167977716</v>
      </c>
      <c r="G784" s="27" t="s">
        <v>3586</v>
      </c>
      <c r="H784" s="167">
        <v>45357.0</v>
      </c>
      <c r="I784" s="167">
        <v>45367.0</v>
      </c>
      <c r="J784" s="66">
        <v>92325.28769958306</v>
      </c>
      <c r="K784" s="1" t="s">
        <v>137</v>
      </c>
      <c r="L784" s="1" t="s">
        <v>296</v>
      </c>
      <c r="M784" s="1" t="str">
        <f>VLOOKUP(B784,Bounties!A:D,3,FALSE)</f>
        <v>Outreach</v>
      </c>
      <c r="N784" s="1" t="str">
        <f>VLOOKUP(B784,Bounties!A:D,4,FALSE)</f>
        <v>Advertising</v>
      </c>
      <c r="O784" s="1" t="str">
        <f t="shared" ref="O784:P784" si="788">IF(ISBLANK(K784),M784,K784)</f>
        <v>Outreach</v>
      </c>
      <c r="P784" s="1" t="str">
        <f t="shared" si="788"/>
        <v>Advertising/Influencers</v>
      </c>
      <c r="Q784" s="108" t="str">
        <f t="shared" si="3"/>
        <v>2024</v>
      </c>
      <c r="R784" s="110">
        <f t="shared" si="4"/>
        <v>3</v>
      </c>
      <c r="S784" s="108" t="str">
        <f t="shared" si="5"/>
        <v>2024-Q1</v>
      </c>
      <c r="T784" s="111" t="str">
        <f t="shared" si="6"/>
        <v>2024-03</v>
      </c>
      <c r="U784" s="112" t="str">
        <f t="shared" si="7"/>
        <v>2024-H1</v>
      </c>
      <c r="V784" s="1" t="str">
        <f>VLOOKUP(B784,Bounties!A:E,2,FALSE)</f>
        <v>Marketing Bounty</v>
      </c>
    </row>
    <row r="785" hidden="1">
      <c r="A785" s="109">
        <f>HYPERLINK("https://polkadot.subsquare.io/treasury/child-bounties/783", 783)</f>
        <v>783</v>
      </c>
      <c r="B785" s="183">
        <v>19.0</v>
      </c>
      <c r="C785" s="27" t="s">
        <v>3404</v>
      </c>
      <c r="D785" s="27" t="s">
        <v>1357</v>
      </c>
      <c r="E785" s="129">
        <v>19520.0</v>
      </c>
      <c r="F785" s="66">
        <v>200642.43682861328</v>
      </c>
      <c r="G785" s="27" t="s">
        <v>3552</v>
      </c>
      <c r="H785" s="167">
        <v>45359.0</v>
      </c>
      <c r="I785" s="167">
        <v>45367.0</v>
      </c>
      <c r="J785" s="66">
        <v>193392.41333007812</v>
      </c>
      <c r="K785" s="1"/>
      <c r="L785" s="1"/>
      <c r="M785" s="1" t="str">
        <f>VLOOKUP(B785,Bounties!A:D,3,FALSE)</f>
        <v>Development</v>
      </c>
      <c r="N785" s="1" t="str">
        <f>VLOOKUP(B785,Bounties!A:D,4,FALSE)</f>
        <v>Smart Contracts</v>
      </c>
      <c r="O785" s="1" t="str">
        <f t="shared" ref="O785:P785" si="789">IF(ISBLANK(K785),M785,K785)</f>
        <v>Development</v>
      </c>
      <c r="P785" s="1" t="str">
        <f t="shared" si="789"/>
        <v>Smart Contracts</v>
      </c>
      <c r="Q785" s="108" t="str">
        <f t="shared" si="3"/>
        <v>2024</v>
      </c>
      <c r="R785" s="110">
        <f t="shared" si="4"/>
        <v>3</v>
      </c>
      <c r="S785" s="108" t="str">
        <f t="shared" si="5"/>
        <v>2024-Q1</v>
      </c>
      <c r="T785" s="111" t="str">
        <f t="shared" si="6"/>
        <v>2024-03</v>
      </c>
      <c r="U785" s="112" t="str">
        <f t="shared" si="7"/>
        <v>2024-H1</v>
      </c>
      <c r="V785" s="1" t="str">
        <f>VLOOKUP(B785,Bounties!A:E,2,FALSE)</f>
        <v>Wasm Smart Contracts Bounty</v>
      </c>
    </row>
    <row r="786" hidden="1">
      <c r="A786" s="109">
        <f>HYPERLINK("https://polkadot.subsquare.io/treasury/child-bounties/784", 784)</f>
        <v>784</v>
      </c>
      <c r="B786" s="183">
        <v>32.0</v>
      </c>
      <c r="C786" s="27" t="s">
        <v>3404</v>
      </c>
      <c r="D786" s="27" t="s">
        <v>1249</v>
      </c>
      <c r="E786" s="129">
        <v>2.5365632916</v>
      </c>
      <c r="F786" s="66">
        <v>27.994468651557128</v>
      </c>
      <c r="G786" s="27" t="s">
        <v>3598</v>
      </c>
      <c r="H786" s="167">
        <v>45359.0</v>
      </c>
      <c r="I786" s="167">
        <v>45424.0</v>
      </c>
      <c r="J786" s="66">
        <v>17.6633077389534</v>
      </c>
      <c r="K786" s="1"/>
      <c r="L786" s="1"/>
      <c r="M786" s="1" t="str">
        <f>VLOOKUP(B786,Bounties!A:D,3,FALSE)</f>
        <v>Operations</v>
      </c>
      <c r="N786" s="1" t="str">
        <f>VLOOKUP(B786,Bounties!A:D,4,FALSE)</f>
        <v>RPCs and Nodes</v>
      </c>
      <c r="O786" s="1" t="str">
        <f t="shared" ref="O786:P786" si="790">IF(ISBLANK(K786),M786,K786)</f>
        <v>Operations</v>
      </c>
      <c r="P786" s="1" t="str">
        <f t="shared" si="790"/>
        <v>RPCs and Nodes</v>
      </c>
      <c r="Q786" s="108" t="str">
        <f t="shared" si="3"/>
        <v>2024</v>
      </c>
      <c r="R786" s="110">
        <f t="shared" si="4"/>
        <v>5</v>
      </c>
      <c r="S786" s="108" t="str">
        <f t="shared" si="5"/>
        <v>2024-Q2</v>
      </c>
      <c r="T786" s="111" t="str">
        <f t="shared" si="6"/>
        <v>2024-05</v>
      </c>
      <c r="U786" s="112" t="str">
        <f t="shared" si="7"/>
        <v>2024-H1</v>
      </c>
      <c r="V786" s="1" t="str">
        <f>VLOOKUP(B786,Bounties!A:E,2,FALSE)</f>
        <v>System Parachains Collator Bounty</v>
      </c>
    </row>
    <row r="787" hidden="1">
      <c r="A787" s="109">
        <f>HYPERLINK("https://polkadot.subsquare.io/treasury/child-bounties/785", 785)</f>
        <v>785</v>
      </c>
      <c r="B787" s="183">
        <v>32.0</v>
      </c>
      <c r="C787" s="27" t="s">
        <v>3404</v>
      </c>
      <c r="D787" s="27" t="s">
        <v>1358</v>
      </c>
      <c r="E787" s="129">
        <v>44.4222864294</v>
      </c>
      <c r="F787" s="66">
        <v>490.26109815454765</v>
      </c>
      <c r="G787" s="27" t="s">
        <v>3600</v>
      </c>
      <c r="H787" s="167">
        <v>45359.0</v>
      </c>
      <c r="I787" s="167">
        <v>45367.0</v>
      </c>
      <c r="J787" s="66">
        <v>389.33288693234414</v>
      </c>
      <c r="K787" s="1"/>
      <c r="L787" s="1"/>
      <c r="M787" s="1" t="str">
        <f>VLOOKUP(B787,Bounties!A:D,3,FALSE)</f>
        <v>Operations</v>
      </c>
      <c r="N787" s="1" t="str">
        <f>VLOOKUP(B787,Bounties!A:D,4,FALSE)</f>
        <v>RPCs and Nodes</v>
      </c>
      <c r="O787" s="1" t="str">
        <f t="shared" ref="O787:P787" si="791">IF(ISBLANK(K787),M787,K787)</f>
        <v>Operations</v>
      </c>
      <c r="P787" s="1" t="str">
        <f t="shared" si="791"/>
        <v>RPCs and Nodes</v>
      </c>
      <c r="Q787" s="108" t="str">
        <f t="shared" si="3"/>
        <v>2024</v>
      </c>
      <c r="R787" s="110">
        <f t="shared" si="4"/>
        <v>3</v>
      </c>
      <c r="S787" s="108" t="str">
        <f t="shared" si="5"/>
        <v>2024-Q1</v>
      </c>
      <c r="T787" s="111" t="str">
        <f t="shared" si="6"/>
        <v>2024-03</v>
      </c>
      <c r="U787" s="112" t="str">
        <f t="shared" si="7"/>
        <v>2024-H1</v>
      </c>
      <c r="V787" s="1" t="str">
        <f>VLOOKUP(B787,Bounties!A:E,2,FALSE)</f>
        <v>System Parachains Collator Bounty</v>
      </c>
    </row>
    <row r="788" hidden="1">
      <c r="A788" s="109">
        <f>HYPERLINK("https://polkadot.subsquare.io/treasury/child-bounties/786", 786)</f>
        <v>786</v>
      </c>
      <c r="B788" s="183">
        <v>32.0</v>
      </c>
      <c r="C788" s="27" t="s">
        <v>3404</v>
      </c>
      <c r="D788" s="27" t="s">
        <v>1359</v>
      </c>
      <c r="E788" s="129">
        <v>30.4084681572</v>
      </c>
      <c r="F788" s="66">
        <v>335.5993171499575</v>
      </c>
      <c r="G788" s="27" t="s">
        <v>3587</v>
      </c>
      <c r="H788" s="167">
        <v>45359.0</v>
      </c>
      <c r="I788" s="167">
        <v>45367.0</v>
      </c>
      <c r="J788" s="66">
        <v>266.5107459889214</v>
      </c>
      <c r="K788" s="1"/>
      <c r="L788" s="1"/>
      <c r="M788" s="1" t="str">
        <f>VLOOKUP(B788,Bounties!A:D,3,FALSE)</f>
        <v>Operations</v>
      </c>
      <c r="N788" s="1" t="str">
        <f>VLOOKUP(B788,Bounties!A:D,4,FALSE)</f>
        <v>RPCs and Nodes</v>
      </c>
      <c r="O788" s="1" t="str">
        <f t="shared" ref="O788:P788" si="792">IF(ISBLANK(K788),M788,K788)</f>
        <v>Operations</v>
      </c>
      <c r="P788" s="1" t="str">
        <f t="shared" si="792"/>
        <v>RPCs and Nodes</v>
      </c>
      <c r="Q788" s="108" t="str">
        <f t="shared" si="3"/>
        <v>2024</v>
      </c>
      <c r="R788" s="110">
        <f t="shared" si="4"/>
        <v>3</v>
      </c>
      <c r="S788" s="108" t="str">
        <f t="shared" si="5"/>
        <v>2024-Q1</v>
      </c>
      <c r="T788" s="111" t="str">
        <f t="shared" si="6"/>
        <v>2024-03</v>
      </c>
      <c r="U788" s="112" t="str">
        <f t="shared" si="7"/>
        <v>2024-H1</v>
      </c>
      <c r="V788" s="1" t="str">
        <f>VLOOKUP(B788,Bounties!A:E,2,FALSE)</f>
        <v>System Parachains Collator Bounty</v>
      </c>
    </row>
    <row r="789" hidden="1">
      <c r="A789" s="109">
        <f>HYPERLINK("https://polkadot.subsquare.io/treasury/child-bounties/787", 787)</f>
        <v>787</v>
      </c>
      <c r="B789" s="183">
        <v>32.0</v>
      </c>
      <c r="C789" s="27" t="s">
        <v>3404</v>
      </c>
      <c r="D789" s="27" t="s">
        <v>1360</v>
      </c>
      <c r="E789" s="129">
        <v>29.9399620732</v>
      </c>
      <c r="F789" s="66">
        <v>330.42870740210105</v>
      </c>
      <c r="G789" s="27" t="s">
        <v>3601</v>
      </c>
      <c r="H789" s="167">
        <v>45359.0</v>
      </c>
      <c r="I789" s="167">
        <v>45367.0</v>
      </c>
      <c r="J789" s="66">
        <v>262.40459025290403</v>
      </c>
      <c r="K789" s="1"/>
      <c r="L789" s="1"/>
      <c r="M789" s="1" t="str">
        <f>VLOOKUP(B789,Bounties!A:D,3,FALSE)</f>
        <v>Operations</v>
      </c>
      <c r="N789" s="1" t="str">
        <f>VLOOKUP(B789,Bounties!A:D,4,FALSE)</f>
        <v>RPCs and Nodes</v>
      </c>
      <c r="O789" s="1" t="str">
        <f t="shared" ref="O789:P789" si="793">IF(ISBLANK(K789),M789,K789)</f>
        <v>Operations</v>
      </c>
      <c r="P789" s="1" t="str">
        <f t="shared" si="793"/>
        <v>RPCs and Nodes</v>
      </c>
      <c r="Q789" s="108" t="str">
        <f t="shared" si="3"/>
        <v>2024</v>
      </c>
      <c r="R789" s="110">
        <f t="shared" si="4"/>
        <v>3</v>
      </c>
      <c r="S789" s="108" t="str">
        <f t="shared" si="5"/>
        <v>2024-Q1</v>
      </c>
      <c r="T789" s="111" t="str">
        <f t="shared" si="6"/>
        <v>2024-03</v>
      </c>
      <c r="U789" s="112" t="str">
        <f t="shared" si="7"/>
        <v>2024-H1</v>
      </c>
      <c r="V789" s="1" t="str">
        <f>VLOOKUP(B789,Bounties!A:E,2,FALSE)</f>
        <v>System Parachains Collator Bounty</v>
      </c>
    </row>
    <row r="790" hidden="1">
      <c r="A790" s="109">
        <f>HYPERLINK("https://polkadot.subsquare.io/treasury/child-bounties/788", 788)</f>
        <v>788</v>
      </c>
      <c r="B790" s="183">
        <v>32.0</v>
      </c>
      <c r="C790" s="27" t="s">
        <v>3404</v>
      </c>
      <c r="D790" s="27" t="s">
        <v>1361</v>
      </c>
      <c r="E790" s="129">
        <v>30.1903704974</v>
      </c>
      <c r="F790" s="66">
        <v>333.1923091638103</v>
      </c>
      <c r="G790" s="27" t="s">
        <v>3602</v>
      </c>
      <c r="H790" s="167">
        <v>45359.0</v>
      </c>
      <c r="I790" s="167">
        <v>45367.0</v>
      </c>
      <c r="J790" s="66">
        <v>264.5992596979563</v>
      </c>
      <c r="K790" s="1"/>
      <c r="L790" s="1"/>
      <c r="M790" s="1" t="str">
        <f>VLOOKUP(B790,Bounties!A:D,3,FALSE)</f>
        <v>Operations</v>
      </c>
      <c r="N790" s="1" t="str">
        <f>VLOOKUP(B790,Bounties!A:D,4,FALSE)</f>
        <v>RPCs and Nodes</v>
      </c>
      <c r="O790" s="1" t="str">
        <f t="shared" ref="O790:P790" si="794">IF(ISBLANK(K790),M790,K790)</f>
        <v>Operations</v>
      </c>
      <c r="P790" s="1" t="str">
        <f t="shared" si="794"/>
        <v>RPCs and Nodes</v>
      </c>
      <c r="Q790" s="108" t="str">
        <f t="shared" si="3"/>
        <v>2024</v>
      </c>
      <c r="R790" s="110">
        <f t="shared" si="4"/>
        <v>3</v>
      </c>
      <c r="S790" s="108" t="str">
        <f t="shared" si="5"/>
        <v>2024-Q1</v>
      </c>
      <c r="T790" s="111" t="str">
        <f t="shared" si="6"/>
        <v>2024-03</v>
      </c>
      <c r="U790" s="112" t="str">
        <f t="shared" si="7"/>
        <v>2024-H1</v>
      </c>
      <c r="V790" s="1" t="str">
        <f>VLOOKUP(B790,Bounties!A:E,2,FALSE)</f>
        <v>System Parachains Collator Bounty</v>
      </c>
    </row>
    <row r="791" hidden="1">
      <c r="A791" s="109">
        <f>HYPERLINK("https://polkadot.subsquare.io/treasury/child-bounties/789", 789)</f>
        <v>789</v>
      </c>
      <c r="B791" s="183">
        <v>32.0</v>
      </c>
      <c r="C791" s="27" t="s">
        <v>3404</v>
      </c>
      <c r="D791" s="27" t="s">
        <v>1362</v>
      </c>
      <c r="E791" s="129">
        <v>30.3054775956</v>
      </c>
      <c r="F791" s="66">
        <v>334.46267448952585</v>
      </c>
      <c r="G791" s="27" t="s">
        <v>3589</v>
      </c>
      <c r="H791" s="167">
        <v>45359.0</v>
      </c>
      <c r="I791" s="167">
        <v>45367.0</v>
      </c>
      <c r="J791" s="66">
        <v>265.6080996846111</v>
      </c>
      <c r="K791" s="1"/>
      <c r="L791" s="1"/>
      <c r="M791" s="1" t="str">
        <f>VLOOKUP(B791,Bounties!A:D,3,FALSE)</f>
        <v>Operations</v>
      </c>
      <c r="N791" s="1" t="str">
        <f>VLOOKUP(B791,Bounties!A:D,4,FALSE)</f>
        <v>RPCs and Nodes</v>
      </c>
      <c r="O791" s="1" t="str">
        <f t="shared" ref="O791:P791" si="795">IF(ISBLANK(K791),M791,K791)</f>
        <v>Operations</v>
      </c>
      <c r="P791" s="1" t="str">
        <f t="shared" si="795"/>
        <v>RPCs and Nodes</v>
      </c>
      <c r="Q791" s="108" t="str">
        <f t="shared" si="3"/>
        <v>2024</v>
      </c>
      <c r="R791" s="110">
        <f t="shared" si="4"/>
        <v>3</v>
      </c>
      <c r="S791" s="108" t="str">
        <f t="shared" si="5"/>
        <v>2024-Q1</v>
      </c>
      <c r="T791" s="111" t="str">
        <f t="shared" si="6"/>
        <v>2024-03</v>
      </c>
      <c r="U791" s="112" t="str">
        <f t="shared" si="7"/>
        <v>2024-H1</v>
      </c>
      <c r="V791" s="1" t="str">
        <f>VLOOKUP(B791,Bounties!A:E,2,FALSE)</f>
        <v>System Parachains Collator Bounty</v>
      </c>
    </row>
    <row r="792" hidden="1">
      <c r="A792" s="109">
        <f>HYPERLINK("https://polkadot.subsquare.io/treasury/child-bounties/790", 790)</f>
        <v>790</v>
      </c>
      <c r="B792" s="183">
        <v>32.0</v>
      </c>
      <c r="C792" s="27" t="s">
        <v>3404</v>
      </c>
      <c r="D792" s="27" t="s">
        <v>1363</v>
      </c>
      <c r="E792" s="129">
        <v>30.4387594988</v>
      </c>
      <c r="F792" s="66">
        <v>335.933623814271</v>
      </c>
      <c r="G792" s="27" t="s">
        <v>3592</v>
      </c>
      <c r="H792" s="167">
        <v>45359.0</v>
      </c>
      <c r="I792" s="167">
        <v>45367.0</v>
      </c>
      <c r="J792" s="66">
        <v>266.776230195659</v>
      </c>
      <c r="K792" s="1"/>
      <c r="L792" s="1"/>
      <c r="M792" s="1" t="str">
        <f>VLOOKUP(B792,Bounties!A:D,3,FALSE)</f>
        <v>Operations</v>
      </c>
      <c r="N792" s="1" t="str">
        <f>VLOOKUP(B792,Bounties!A:D,4,FALSE)</f>
        <v>RPCs and Nodes</v>
      </c>
      <c r="O792" s="1" t="str">
        <f t="shared" ref="O792:P792" si="796">IF(ISBLANK(K792),M792,K792)</f>
        <v>Operations</v>
      </c>
      <c r="P792" s="1" t="str">
        <f t="shared" si="796"/>
        <v>RPCs and Nodes</v>
      </c>
      <c r="Q792" s="108" t="str">
        <f t="shared" si="3"/>
        <v>2024</v>
      </c>
      <c r="R792" s="110">
        <f t="shared" si="4"/>
        <v>3</v>
      </c>
      <c r="S792" s="108" t="str">
        <f t="shared" si="5"/>
        <v>2024-Q1</v>
      </c>
      <c r="T792" s="111" t="str">
        <f t="shared" si="6"/>
        <v>2024-03</v>
      </c>
      <c r="U792" s="112" t="str">
        <f t="shared" si="7"/>
        <v>2024-H1</v>
      </c>
      <c r="V792" s="1" t="str">
        <f>VLOOKUP(B792,Bounties!A:E,2,FALSE)</f>
        <v>System Parachains Collator Bounty</v>
      </c>
    </row>
    <row r="793" hidden="1">
      <c r="A793" s="109">
        <f>HYPERLINK("https://polkadot.subsquare.io/treasury/child-bounties/791", 791)</f>
        <v>791</v>
      </c>
      <c r="B793" s="183">
        <v>32.0</v>
      </c>
      <c r="C793" s="27" t="s">
        <v>3404</v>
      </c>
      <c r="D793" s="27" t="s">
        <v>1364</v>
      </c>
      <c r="E793" s="129">
        <v>44.5289212437</v>
      </c>
      <c r="F793" s="66">
        <v>491.4379601614889</v>
      </c>
      <c r="G793" s="27" t="s">
        <v>3596</v>
      </c>
      <c r="H793" s="167">
        <v>45359.0</v>
      </c>
      <c r="I793" s="167">
        <v>45367.0</v>
      </c>
      <c r="J793" s="66">
        <v>390.26747277733193</v>
      </c>
      <c r="K793" s="1"/>
      <c r="L793" s="1"/>
      <c r="M793" s="1" t="str">
        <f>VLOOKUP(B793,Bounties!A:D,3,FALSE)</f>
        <v>Operations</v>
      </c>
      <c r="N793" s="1" t="str">
        <f>VLOOKUP(B793,Bounties!A:D,4,FALSE)</f>
        <v>RPCs and Nodes</v>
      </c>
      <c r="O793" s="1" t="str">
        <f t="shared" ref="O793:P793" si="797">IF(ISBLANK(K793),M793,K793)</f>
        <v>Operations</v>
      </c>
      <c r="P793" s="1" t="str">
        <f t="shared" si="797"/>
        <v>RPCs and Nodes</v>
      </c>
      <c r="Q793" s="108" t="str">
        <f t="shared" si="3"/>
        <v>2024</v>
      </c>
      <c r="R793" s="110">
        <f t="shared" si="4"/>
        <v>3</v>
      </c>
      <c r="S793" s="108" t="str">
        <f t="shared" si="5"/>
        <v>2024-Q1</v>
      </c>
      <c r="T793" s="111" t="str">
        <f t="shared" si="6"/>
        <v>2024-03</v>
      </c>
      <c r="U793" s="112" t="str">
        <f t="shared" si="7"/>
        <v>2024-H1</v>
      </c>
      <c r="V793" s="1" t="str">
        <f>VLOOKUP(B793,Bounties!A:E,2,FALSE)</f>
        <v>System Parachains Collator Bounty</v>
      </c>
    </row>
    <row r="794" hidden="1">
      <c r="A794" s="109">
        <f>HYPERLINK("https://polkadot.subsquare.io/treasury/child-bounties/792", 792)</f>
        <v>792</v>
      </c>
      <c r="B794" s="183">
        <v>32.0</v>
      </c>
      <c r="C794" s="27" t="s">
        <v>3404</v>
      </c>
      <c r="D794" s="27" t="s">
        <v>1365</v>
      </c>
      <c r="E794" s="129">
        <v>44.5022625401</v>
      </c>
      <c r="F794" s="66">
        <v>491.14374465947765</v>
      </c>
      <c r="G794" s="27" t="s">
        <v>3594</v>
      </c>
      <c r="H794" s="167">
        <v>45359.0</v>
      </c>
      <c r="I794" s="167">
        <v>45367.0</v>
      </c>
      <c r="J794" s="66">
        <v>390.0338263158659</v>
      </c>
      <c r="K794" s="1"/>
      <c r="L794" s="1"/>
      <c r="M794" s="1" t="str">
        <f>VLOOKUP(B794,Bounties!A:D,3,FALSE)</f>
        <v>Operations</v>
      </c>
      <c r="N794" s="1" t="str">
        <f>VLOOKUP(B794,Bounties!A:D,4,FALSE)</f>
        <v>RPCs and Nodes</v>
      </c>
      <c r="O794" s="1" t="str">
        <f t="shared" ref="O794:P794" si="798">IF(ISBLANK(K794),M794,K794)</f>
        <v>Operations</v>
      </c>
      <c r="P794" s="1" t="str">
        <f t="shared" si="798"/>
        <v>RPCs and Nodes</v>
      </c>
      <c r="Q794" s="108" t="str">
        <f t="shared" si="3"/>
        <v>2024</v>
      </c>
      <c r="R794" s="110">
        <f t="shared" si="4"/>
        <v>3</v>
      </c>
      <c r="S794" s="108" t="str">
        <f t="shared" si="5"/>
        <v>2024-Q1</v>
      </c>
      <c r="T794" s="111" t="str">
        <f t="shared" si="6"/>
        <v>2024-03</v>
      </c>
      <c r="U794" s="112" t="str">
        <f t="shared" si="7"/>
        <v>2024-H1</v>
      </c>
      <c r="V794" s="1" t="str">
        <f>VLOOKUP(B794,Bounties!A:E,2,FALSE)</f>
        <v>System Parachains Collator Bounty</v>
      </c>
    </row>
    <row r="795" hidden="1">
      <c r="A795" s="109">
        <f>HYPERLINK("https://polkadot.subsquare.io/treasury/child-bounties/793", 793)</f>
        <v>793</v>
      </c>
      <c r="B795" s="183">
        <v>32.0</v>
      </c>
      <c r="C795" s="27" t="s">
        <v>3404</v>
      </c>
      <c r="D795" s="27" t="s">
        <v>1366</v>
      </c>
      <c r="E795" s="129">
        <v>44.549655791</v>
      </c>
      <c r="F795" s="66">
        <v>491.6667944414441</v>
      </c>
      <c r="G795" s="27" t="s">
        <v>3591</v>
      </c>
      <c r="H795" s="167">
        <v>45359.0</v>
      </c>
      <c r="I795" s="167">
        <v>45367.0</v>
      </c>
      <c r="J795" s="66">
        <v>390.4491978034036</v>
      </c>
      <c r="K795" s="1"/>
      <c r="L795" s="1"/>
      <c r="M795" s="1" t="str">
        <f>VLOOKUP(B795,Bounties!A:D,3,FALSE)</f>
        <v>Operations</v>
      </c>
      <c r="N795" s="1" t="str">
        <f>VLOOKUP(B795,Bounties!A:D,4,FALSE)</f>
        <v>RPCs and Nodes</v>
      </c>
      <c r="O795" s="1" t="str">
        <f t="shared" ref="O795:P795" si="799">IF(ISBLANK(K795),M795,K795)</f>
        <v>Operations</v>
      </c>
      <c r="P795" s="1" t="str">
        <f t="shared" si="799"/>
        <v>RPCs and Nodes</v>
      </c>
      <c r="Q795" s="108" t="str">
        <f t="shared" si="3"/>
        <v>2024</v>
      </c>
      <c r="R795" s="110">
        <f t="shared" si="4"/>
        <v>3</v>
      </c>
      <c r="S795" s="108" t="str">
        <f t="shared" si="5"/>
        <v>2024-Q1</v>
      </c>
      <c r="T795" s="111" t="str">
        <f t="shared" si="6"/>
        <v>2024-03</v>
      </c>
      <c r="U795" s="112" t="str">
        <f t="shared" si="7"/>
        <v>2024-H1</v>
      </c>
      <c r="V795" s="1" t="str">
        <f>VLOOKUP(B795,Bounties!A:E,2,FALSE)</f>
        <v>System Parachains Collator Bounty</v>
      </c>
    </row>
    <row r="796" hidden="1">
      <c r="A796" s="109">
        <f>HYPERLINK("https://polkadot.subsquare.io/treasury/child-bounties/794", 794)</f>
        <v>794</v>
      </c>
      <c r="B796" s="183">
        <v>32.0</v>
      </c>
      <c r="C796" s="27" t="s">
        <v>3404</v>
      </c>
      <c r="D796" s="27" t="s">
        <v>1367</v>
      </c>
      <c r="E796" s="129">
        <v>44.5881628073</v>
      </c>
      <c r="F796" s="66">
        <v>492.091772388671</v>
      </c>
      <c r="G796" s="27" t="s">
        <v>3590</v>
      </c>
      <c r="H796" s="167">
        <v>45359.0</v>
      </c>
      <c r="I796" s="167">
        <v>45367.0</v>
      </c>
      <c r="J796" s="66">
        <v>390.786687136535</v>
      </c>
      <c r="K796" s="1"/>
      <c r="L796" s="1"/>
      <c r="M796" s="1" t="str">
        <f>VLOOKUP(B796,Bounties!A:D,3,FALSE)</f>
        <v>Operations</v>
      </c>
      <c r="N796" s="1" t="str">
        <f>VLOOKUP(B796,Bounties!A:D,4,FALSE)</f>
        <v>RPCs and Nodes</v>
      </c>
      <c r="O796" s="1" t="str">
        <f t="shared" ref="O796:P796" si="800">IF(ISBLANK(K796),M796,K796)</f>
        <v>Operations</v>
      </c>
      <c r="P796" s="1" t="str">
        <f t="shared" si="800"/>
        <v>RPCs and Nodes</v>
      </c>
      <c r="Q796" s="108" t="str">
        <f t="shared" si="3"/>
        <v>2024</v>
      </c>
      <c r="R796" s="110">
        <f t="shared" si="4"/>
        <v>3</v>
      </c>
      <c r="S796" s="108" t="str">
        <f t="shared" si="5"/>
        <v>2024-Q1</v>
      </c>
      <c r="T796" s="111" t="str">
        <f t="shared" si="6"/>
        <v>2024-03</v>
      </c>
      <c r="U796" s="112" t="str">
        <f t="shared" si="7"/>
        <v>2024-H1</v>
      </c>
      <c r="V796" s="1" t="str">
        <f>VLOOKUP(B796,Bounties!A:E,2,FALSE)</f>
        <v>System Parachains Collator Bounty</v>
      </c>
    </row>
    <row r="797" hidden="1">
      <c r="A797" s="109">
        <f>HYPERLINK("https://polkadot.subsquare.io/treasury/child-bounties/795", 795)</f>
        <v>795</v>
      </c>
      <c r="B797" s="183">
        <v>32.0</v>
      </c>
      <c r="C797" s="27" t="s">
        <v>3404</v>
      </c>
      <c r="D797" s="27" t="s">
        <v>1368</v>
      </c>
      <c r="E797" s="129">
        <v>44.5259591656</v>
      </c>
      <c r="F797" s="66">
        <v>491.4052695510127</v>
      </c>
      <c r="G797" s="27" t="s">
        <v>3595</v>
      </c>
      <c r="H797" s="167">
        <v>45359.0</v>
      </c>
      <c r="I797" s="167">
        <v>45367.0</v>
      </c>
      <c r="J797" s="66">
        <v>390.241512060073</v>
      </c>
      <c r="K797" s="1"/>
      <c r="L797" s="1"/>
      <c r="M797" s="1" t="str">
        <f>VLOOKUP(B797,Bounties!A:D,3,FALSE)</f>
        <v>Operations</v>
      </c>
      <c r="N797" s="1" t="str">
        <f>VLOOKUP(B797,Bounties!A:D,4,FALSE)</f>
        <v>RPCs and Nodes</v>
      </c>
      <c r="O797" s="1" t="str">
        <f t="shared" ref="O797:P797" si="801">IF(ISBLANK(K797),M797,K797)</f>
        <v>Operations</v>
      </c>
      <c r="P797" s="1" t="str">
        <f t="shared" si="801"/>
        <v>RPCs and Nodes</v>
      </c>
      <c r="Q797" s="108" t="str">
        <f t="shared" si="3"/>
        <v>2024</v>
      </c>
      <c r="R797" s="110">
        <f t="shared" si="4"/>
        <v>3</v>
      </c>
      <c r="S797" s="108" t="str">
        <f t="shared" si="5"/>
        <v>2024-Q1</v>
      </c>
      <c r="T797" s="111" t="str">
        <f t="shared" si="6"/>
        <v>2024-03</v>
      </c>
      <c r="U797" s="112" t="str">
        <f t="shared" si="7"/>
        <v>2024-H1</v>
      </c>
      <c r="V797" s="1" t="str">
        <f>VLOOKUP(B797,Bounties!A:E,2,FALSE)</f>
        <v>System Parachains Collator Bounty</v>
      </c>
    </row>
    <row r="798" hidden="1">
      <c r="A798" s="109">
        <f>HYPERLINK("https://polkadot.subsquare.io/treasury/child-bounties/796", 796)</f>
        <v>796</v>
      </c>
      <c r="B798" s="183">
        <v>32.0</v>
      </c>
      <c r="C798" s="27" t="s">
        <v>3404</v>
      </c>
      <c r="D798" s="27" t="s">
        <v>1369</v>
      </c>
      <c r="E798" s="129">
        <v>44.6148215109</v>
      </c>
      <c r="F798" s="66">
        <v>492.38598789068226</v>
      </c>
      <c r="G798" s="27" t="s">
        <v>3599</v>
      </c>
      <c r="H798" s="167">
        <v>45359.0</v>
      </c>
      <c r="I798" s="167">
        <v>45367.0</v>
      </c>
      <c r="J798" s="66">
        <v>391.02033359800106</v>
      </c>
      <c r="K798" s="1"/>
      <c r="L798" s="1"/>
      <c r="M798" s="1" t="str">
        <f>VLOOKUP(B798,Bounties!A:D,3,FALSE)</f>
        <v>Operations</v>
      </c>
      <c r="N798" s="1" t="str">
        <f>VLOOKUP(B798,Bounties!A:D,4,FALSE)</f>
        <v>RPCs and Nodes</v>
      </c>
      <c r="O798" s="1" t="str">
        <f t="shared" ref="O798:P798" si="802">IF(ISBLANK(K798),M798,K798)</f>
        <v>Operations</v>
      </c>
      <c r="P798" s="1" t="str">
        <f t="shared" si="802"/>
        <v>RPCs and Nodes</v>
      </c>
      <c r="Q798" s="108" t="str">
        <f t="shared" si="3"/>
        <v>2024</v>
      </c>
      <c r="R798" s="110">
        <f t="shared" si="4"/>
        <v>3</v>
      </c>
      <c r="S798" s="108" t="str">
        <f t="shared" si="5"/>
        <v>2024-Q1</v>
      </c>
      <c r="T798" s="111" t="str">
        <f t="shared" si="6"/>
        <v>2024-03</v>
      </c>
      <c r="U798" s="112" t="str">
        <f t="shared" si="7"/>
        <v>2024-H1</v>
      </c>
      <c r="V798" s="1" t="str">
        <f>VLOOKUP(B798,Bounties!A:E,2,FALSE)</f>
        <v>System Parachains Collator Bounty</v>
      </c>
    </row>
    <row r="799" hidden="1">
      <c r="A799" s="109">
        <f>HYPERLINK("https://polkadot.subsquare.io/treasury/child-bounties/797", 797)</f>
        <v>797</v>
      </c>
      <c r="B799" s="183">
        <v>32.0</v>
      </c>
      <c r="C799" s="27" t="s">
        <v>3404</v>
      </c>
      <c r="D799" s="27" t="s">
        <v>1370</v>
      </c>
      <c r="E799" s="129">
        <v>7.7862511851</v>
      </c>
      <c r="F799" s="66">
        <v>85.93200313047986</v>
      </c>
      <c r="G799" s="27" t="s">
        <v>3407</v>
      </c>
      <c r="H799" s="167">
        <v>45359.0</v>
      </c>
      <c r="I799" s="167">
        <v>45367.0</v>
      </c>
      <c r="J799" s="66">
        <v>68.24150434249302</v>
      </c>
      <c r="K799" s="1"/>
      <c r="L799" s="1"/>
      <c r="M799" s="1" t="str">
        <f>VLOOKUP(B799,Bounties!A:D,3,FALSE)</f>
        <v>Operations</v>
      </c>
      <c r="N799" s="1" t="str">
        <f>VLOOKUP(B799,Bounties!A:D,4,FALSE)</f>
        <v>RPCs and Nodes</v>
      </c>
      <c r="O799" s="1" t="str">
        <f t="shared" ref="O799:P799" si="803">IF(ISBLANK(K799),M799,K799)</f>
        <v>Operations</v>
      </c>
      <c r="P799" s="1" t="str">
        <f t="shared" si="803"/>
        <v>RPCs and Nodes</v>
      </c>
      <c r="Q799" s="108" t="str">
        <f t="shared" si="3"/>
        <v>2024</v>
      </c>
      <c r="R799" s="110">
        <f t="shared" si="4"/>
        <v>3</v>
      </c>
      <c r="S799" s="108" t="str">
        <f t="shared" si="5"/>
        <v>2024-Q1</v>
      </c>
      <c r="T799" s="111" t="str">
        <f t="shared" si="6"/>
        <v>2024-03</v>
      </c>
      <c r="U799" s="112" t="str">
        <f t="shared" si="7"/>
        <v>2024-H1</v>
      </c>
      <c r="V799" s="1" t="str">
        <f>VLOOKUP(B799,Bounties!A:E,2,FALSE)</f>
        <v>System Parachains Collator Bounty</v>
      </c>
    </row>
    <row r="800" hidden="1">
      <c r="A800" s="109">
        <f>HYPERLINK("https://polkadot.subsquare.io/treasury/child-bounties/798", 798)</f>
        <v>798</v>
      </c>
      <c r="B800" s="183">
        <v>32.0</v>
      </c>
      <c r="C800" s="27" t="s">
        <v>3404</v>
      </c>
      <c r="D800" s="27" t="s">
        <v>1371</v>
      </c>
      <c r="E800" s="129">
        <v>7.7862511851</v>
      </c>
      <c r="F800" s="66">
        <v>85.93200313047986</v>
      </c>
      <c r="G800" s="27" t="s">
        <v>3406</v>
      </c>
      <c r="H800" s="167">
        <v>45359.0</v>
      </c>
      <c r="I800" s="167">
        <v>45367.0</v>
      </c>
      <c r="J800" s="66">
        <v>68.24150434249302</v>
      </c>
      <c r="K800" s="1"/>
      <c r="L800" s="1"/>
      <c r="M800" s="1" t="str">
        <f>VLOOKUP(B800,Bounties!A:D,3,FALSE)</f>
        <v>Operations</v>
      </c>
      <c r="N800" s="1" t="str">
        <f>VLOOKUP(B800,Bounties!A:D,4,FALSE)</f>
        <v>RPCs and Nodes</v>
      </c>
      <c r="O800" s="1" t="str">
        <f t="shared" ref="O800:P800" si="804">IF(ISBLANK(K800),M800,K800)</f>
        <v>Operations</v>
      </c>
      <c r="P800" s="1" t="str">
        <f t="shared" si="804"/>
        <v>RPCs and Nodes</v>
      </c>
      <c r="Q800" s="108" t="str">
        <f t="shared" si="3"/>
        <v>2024</v>
      </c>
      <c r="R800" s="110">
        <f t="shared" si="4"/>
        <v>3</v>
      </c>
      <c r="S800" s="108" t="str">
        <f t="shared" si="5"/>
        <v>2024-Q1</v>
      </c>
      <c r="T800" s="111" t="str">
        <f t="shared" si="6"/>
        <v>2024-03</v>
      </c>
      <c r="U800" s="112" t="str">
        <f t="shared" si="7"/>
        <v>2024-H1</v>
      </c>
      <c r="V800" s="1" t="str">
        <f>VLOOKUP(B800,Bounties!A:E,2,FALSE)</f>
        <v>System Parachains Collator Bounty</v>
      </c>
    </row>
    <row r="801" hidden="1">
      <c r="A801" s="109">
        <f>HYPERLINK("https://polkadot.subsquare.io/treasury/child-bounties/799", 799)</f>
        <v>799</v>
      </c>
      <c r="B801" s="183">
        <v>32.0</v>
      </c>
      <c r="C801" s="27" t="s">
        <v>3404</v>
      </c>
      <c r="D801" s="27" t="s">
        <v>1372</v>
      </c>
      <c r="E801" s="129">
        <v>7.7862511851</v>
      </c>
      <c r="F801" s="66">
        <v>85.93200313047986</v>
      </c>
      <c r="G801" s="27" t="s">
        <v>3411</v>
      </c>
      <c r="H801" s="167">
        <v>45359.0</v>
      </c>
      <c r="I801" s="167">
        <v>45367.0</v>
      </c>
      <c r="J801" s="66">
        <v>68.24150434249302</v>
      </c>
      <c r="K801" s="1"/>
      <c r="L801" s="1"/>
      <c r="M801" s="1" t="str">
        <f>VLOOKUP(B801,Bounties!A:D,3,FALSE)</f>
        <v>Operations</v>
      </c>
      <c r="N801" s="1" t="str">
        <f>VLOOKUP(B801,Bounties!A:D,4,FALSE)</f>
        <v>RPCs and Nodes</v>
      </c>
      <c r="O801" s="1" t="str">
        <f t="shared" ref="O801:P801" si="805">IF(ISBLANK(K801),M801,K801)</f>
        <v>Operations</v>
      </c>
      <c r="P801" s="1" t="str">
        <f t="shared" si="805"/>
        <v>RPCs and Nodes</v>
      </c>
      <c r="Q801" s="108" t="str">
        <f t="shared" si="3"/>
        <v>2024</v>
      </c>
      <c r="R801" s="110">
        <f t="shared" si="4"/>
        <v>3</v>
      </c>
      <c r="S801" s="108" t="str">
        <f t="shared" si="5"/>
        <v>2024-Q1</v>
      </c>
      <c r="T801" s="111" t="str">
        <f t="shared" si="6"/>
        <v>2024-03</v>
      </c>
      <c r="U801" s="112" t="str">
        <f t="shared" si="7"/>
        <v>2024-H1</v>
      </c>
      <c r="V801" s="1" t="str">
        <f>VLOOKUP(B801,Bounties!A:E,2,FALSE)</f>
        <v>System Parachains Collator Bounty</v>
      </c>
    </row>
    <row r="802" hidden="1">
      <c r="A802" s="109">
        <f>HYPERLINK("https://polkadot.subsquare.io/treasury/child-bounties/800", 800)</f>
        <v>800</v>
      </c>
      <c r="B802" s="183">
        <v>32.0</v>
      </c>
      <c r="C802" s="27" t="s">
        <v>3404</v>
      </c>
      <c r="D802" s="27" t="s">
        <v>1373</v>
      </c>
      <c r="E802" s="129">
        <v>1.6234005066</v>
      </c>
      <c r="F802" s="66">
        <v>17.916459936731687</v>
      </c>
      <c r="G802" s="27" t="s">
        <v>3598</v>
      </c>
      <c r="H802" s="167">
        <v>45359.0</v>
      </c>
      <c r="I802" s="167">
        <v>45367.0</v>
      </c>
      <c r="J802" s="66">
        <v>14.228065610411777</v>
      </c>
      <c r="K802" s="1"/>
      <c r="L802" s="1"/>
      <c r="M802" s="1" t="str">
        <f>VLOOKUP(B802,Bounties!A:D,3,FALSE)</f>
        <v>Operations</v>
      </c>
      <c r="N802" s="1" t="str">
        <f>VLOOKUP(B802,Bounties!A:D,4,FALSE)</f>
        <v>RPCs and Nodes</v>
      </c>
      <c r="O802" s="1" t="str">
        <f t="shared" ref="O802:P802" si="806">IF(ISBLANK(K802),M802,K802)</f>
        <v>Operations</v>
      </c>
      <c r="P802" s="1" t="str">
        <f t="shared" si="806"/>
        <v>RPCs and Nodes</v>
      </c>
      <c r="Q802" s="108" t="str">
        <f t="shared" si="3"/>
        <v>2024</v>
      </c>
      <c r="R802" s="110">
        <f t="shared" si="4"/>
        <v>3</v>
      </c>
      <c r="S802" s="108" t="str">
        <f t="shared" si="5"/>
        <v>2024-Q1</v>
      </c>
      <c r="T802" s="111" t="str">
        <f t="shared" si="6"/>
        <v>2024-03</v>
      </c>
      <c r="U802" s="112" t="str">
        <f t="shared" si="7"/>
        <v>2024-H1</v>
      </c>
      <c r="V802" s="1" t="str">
        <f>VLOOKUP(B802,Bounties!A:E,2,FALSE)</f>
        <v>System Parachains Collator Bounty</v>
      </c>
    </row>
    <row r="803" hidden="1">
      <c r="A803" s="109">
        <f>HYPERLINK("https://polkadot.subsquare.io/treasury/child-bounties/801", 801)</f>
        <v>801</v>
      </c>
      <c r="B803" s="183">
        <v>32.0</v>
      </c>
      <c r="C803" s="27" t="s">
        <v>3404</v>
      </c>
      <c r="D803" s="27" t="s">
        <v>1249</v>
      </c>
      <c r="E803" s="129">
        <v>2.5365632916</v>
      </c>
      <c r="F803" s="66">
        <v>27.994468651557128</v>
      </c>
      <c r="G803" s="27" t="s">
        <v>3598</v>
      </c>
      <c r="H803" s="167">
        <v>45359.0</v>
      </c>
      <c r="I803" s="167">
        <v>45367.0</v>
      </c>
      <c r="J803" s="66">
        <v>22.231352516597063</v>
      </c>
      <c r="K803" s="1"/>
      <c r="L803" s="1"/>
      <c r="M803" s="1" t="str">
        <f>VLOOKUP(B803,Bounties!A:D,3,FALSE)</f>
        <v>Operations</v>
      </c>
      <c r="N803" s="1" t="str">
        <f>VLOOKUP(B803,Bounties!A:D,4,FALSE)</f>
        <v>RPCs and Nodes</v>
      </c>
      <c r="O803" s="1" t="str">
        <f t="shared" ref="O803:P803" si="807">IF(ISBLANK(K803),M803,K803)</f>
        <v>Operations</v>
      </c>
      <c r="P803" s="1" t="str">
        <f t="shared" si="807"/>
        <v>RPCs and Nodes</v>
      </c>
      <c r="Q803" s="108" t="str">
        <f t="shared" si="3"/>
        <v>2024</v>
      </c>
      <c r="R803" s="110">
        <f t="shared" si="4"/>
        <v>3</v>
      </c>
      <c r="S803" s="108" t="str">
        <f t="shared" si="5"/>
        <v>2024-Q1</v>
      </c>
      <c r="T803" s="111" t="str">
        <f t="shared" si="6"/>
        <v>2024-03</v>
      </c>
      <c r="U803" s="112" t="str">
        <f t="shared" si="7"/>
        <v>2024-H1</v>
      </c>
      <c r="V803" s="1" t="str">
        <f>VLOOKUP(B803,Bounties!A:E,2,FALSE)</f>
        <v>System Parachains Collator Bounty</v>
      </c>
    </row>
    <row r="804" hidden="1">
      <c r="A804" s="109">
        <f>HYPERLINK("https://polkadot.subsquare.io/treasury/child-bounties/802", 802)</f>
        <v>802</v>
      </c>
      <c r="B804" s="183">
        <v>32.0</v>
      </c>
      <c r="C804" s="27" t="s">
        <v>3404</v>
      </c>
      <c r="D804" s="27" t="s">
        <v>1374</v>
      </c>
      <c r="E804" s="129">
        <v>1.6234005066</v>
      </c>
      <c r="F804" s="66">
        <v>17.916459936731687</v>
      </c>
      <c r="G804" s="27" t="s">
        <v>3598</v>
      </c>
      <c r="H804" s="167">
        <v>45359.0</v>
      </c>
      <c r="I804" s="167">
        <v>45367.0</v>
      </c>
      <c r="J804" s="66">
        <v>14.228065610411777</v>
      </c>
      <c r="K804" s="1"/>
      <c r="L804" s="1"/>
      <c r="M804" s="1" t="str">
        <f>VLOOKUP(B804,Bounties!A:D,3,FALSE)</f>
        <v>Operations</v>
      </c>
      <c r="N804" s="1" t="str">
        <f>VLOOKUP(B804,Bounties!A:D,4,FALSE)</f>
        <v>RPCs and Nodes</v>
      </c>
      <c r="O804" s="1" t="str">
        <f t="shared" ref="O804:P804" si="808">IF(ISBLANK(K804),M804,K804)</f>
        <v>Operations</v>
      </c>
      <c r="P804" s="1" t="str">
        <f t="shared" si="808"/>
        <v>RPCs and Nodes</v>
      </c>
      <c r="Q804" s="108" t="str">
        <f t="shared" si="3"/>
        <v>2024</v>
      </c>
      <c r="R804" s="110">
        <f t="shared" si="4"/>
        <v>3</v>
      </c>
      <c r="S804" s="108" t="str">
        <f t="shared" si="5"/>
        <v>2024-Q1</v>
      </c>
      <c r="T804" s="111" t="str">
        <f t="shared" si="6"/>
        <v>2024-03</v>
      </c>
      <c r="U804" s="112" t="str">
        <f t="shared" si="7"/>
        <v>2024-H1</v>
      </c>
      <c r="V804" s="1" t="str">
        <f>VLOOKUP(B804,Bounties!A:E,2,FALSE)</f>
        <v>System Parachains Collator Bounty</v>
      </c>
    </row>
    <row r="805" hidden="1">
      <c r="A805" s="109">
        <f>HYPERLINK("https://polkadot.subsquare.io/treasury/child-bounties/803", 803)</f>
        <v>803</v>
      </c>
      <c r="B805" s="183">
        <v>32.0</v>
      </c>
      <c r="C805" s="27" t="s">
        <v>3404</v>
      </c>
      <c r="D805" s="27" t="s">
        <v>1375</v>
      </c>
      <c r="E805" s="129">
        <v>44.5762861851</v>
      </c>
      <c r="F805" s="66">
        <v>491.960697509142</v>
      </c>
      <c r="G805" s="27" t="s">
        <v>3593</v>
      </c>
      <c r="H805" s="167">
        <v>45359.0</v>
      </c>
      <c r="I805" s="167">
        <v>45367.0</v>
      </c>
      <c r="J805" s="66">
        <v>390.68259615023516</v>
      </c>
      <c r="K805" s="1"/>
      <c r="L805" s="1"/>
      <c r="M805" s="1" t="str">
        <f>VLOOKUP(B805,Bounties!A:D,3,FALSE)</f>
        <v>Operations</v>
      </c>
      <c r="N805" s="1" t="str">
        <f>VLOOKUP(B805,Bounties!A:D,4,FALSE)</f>
        <v>RPCs and Nodes</v>
      </c>
      <c r="O805" s="1" t="str">
        <f t="shared" ref="O805:P805" si="809">IF(ISBLANK(K805),M805,K805)</f>
        <v>Operations</v>
      </c>
      <c r="P805" s="1" t="str">
        <f t="shared" si="809"/>
        <v>RPCs and Nodes</v>
      </c>
      <c r="Q805" s="108" t="str">
        <f t="shared" si="3"/>
        <v>2024</v>
      </c>
      <c r="R805" s="110">
        <f t="shared" si="4"/>
        <v>3</v>
      </c>
      <c r="S805" s="108" t="str">
        <f t="shared" si="5"/>
        <v>2024-Q1</v>
      </c>
      <c r="T805" s="111" t="str">
        <f t="shared" si="6"/>
        <v>2024-03</v>
      </c>
      <c r="U805" s="112" t="str">
        <f t="shared" si="7"/>
        <v>2024-H1</v>
      </c>
      <c r="V805" s="1" t="str">
        <f>VLOOKUP(B805,Bounties!A:E,2,FALSE)</f>
        <v>System Parachains Collator Bounty</v>
      </c>
    </row>
    <row r="806" hidden="1">
      <c r="A806" s="109">
        <f>HYPERLINK("https://polkadot.subsquare.io/treasury/child-bounties/804", 804)</f>
        <v>804</v>
      </c>
      <c r="B806" s="183">
        <v>32.0</v>
      </c>
      <c r="C806" s="27" t="s">
        <v>3404</v>
      </c>
      <c r="D806" s="27" t="s">
        <v>1376</v>
      </c>
      <c r="E806" s="129">
        <v>30.345829059</v>
      </c>
      <c r="F806" s="66">
        <v>334.9080084502185</v>
      </c>
      <c r="G806" s="27" t="s">
        <v>3594</v>
      </c>
      <c r="H806" s="167">
        <v>45359.0</v>
      </c>
      <c r="I806" s="167">
        <v>45367.0</v>
      </c>
      <c r="J806" s="66">
        <v>265.961754415158</v>
      </c>
      <c r="K806" s="1"/>
      <c r="L806" s="1"/>
      <c r="M806" s="1" t="str">
        <f>VLOOKUP(B806,Bounties!A:D,3,FALSE)</f>
        <v>Operations</v>
      </c>
      <c r="N806" s="1" t="str">
        <f>VLOOKUP(B806,Bounties!A:D,4,FALSE)</f>
        <v>RPCs and Nodes</v>
      </c>
      <c r="O806" s="1" t="str">
        <f t="shared" ref="O806:P806" si="810">IF(ISBLANK(K806),M806,K806)</f>
        <v>Operations</v>
      </c>
      <c r="P806" s="1" t="str">
        <f t="shared" si="810"/>
        <v>RPCs and Nodes</v>
      </c>
      <c r="Q806" s="108" t="str">
        <f t="shared" si="3"/>
        <v>2024</v>
      </c>
      <c r="R806" s="110">
        <f t="shared" si="4"/>
        <v>3</v>
      </c>
      <c r="S806" s="108" t="str">
        <f t="shared" si="5"/>
        <v>2024-Q1</v>
      </c>
      <c r="T806" s="111" t="str">
        <f t="shared" si="6"/>
        <v>2024-03</v>
      </c>
      <c r="U806" s="112" t="str">
        <f t="shared" si="7"/>
        <v>2024-H1</v>
      </c>
      <c r="V806" s="1" t="str">
        <f>VLOOKUP(B806,Bounties!A:E,2,FALSE)</f>
        <v>System Parachains Collator Bounty</v>
      </c>
    </row>
    <row r="807" hidden="1">
      <c r="A807" s="109">
        <f>HYPERLINK("https://polkadot.subsquare.io/treasury/child-bounties/805", 805)</f>
        <v>805</v>
      </c>
      <c r="B807" s="183">
        <v>32.0</v>
      </c>
      <c r="C807" s="27" t="s">
        <v>3404</v>
      </c>
      <c r="D807" s="27" t="s">
        <v>1377</v>
      </c>
      <c r="E807" s="129">
        <v>30.4064358675</v>
      </c>
      <c r="F807" s="66">
        <v>335.57688803475037</v>
      </c>
      <c r="G807" s="27" t="s">
        <v>3595</v>
      </c>
      <c r="H807" s="167">
        <v>45359.0</v>
      </c>
      <c r="I807" s="167">
        <v>45367.0</v>
      </c>
      <c r="J807" s="66">
        <v>266.49293427143493</v>
      </c>
      <c r="K807" s="1"/>
      <c r="L807" s="1"/>
      <c r="M807" s="1" t="str">
        <f>VLOOKUP(B807,Bounties!A:D,3,FALSE)</f>
        <v>Operations</v>
      </c>
      <c r="N807" s="1" t="str">
        <f>VLOOKUP(B807,Bounties!A:D,4,FALSE)</f>
        <v>RPCs and Nodes</v>
      </c>
      <c r="O807" s="1" t="str">
        <f t="shared" ref="O807:P807" si="811">IF(ISBLANK(K807),M807,K807)</f>
        <v>Operations</v>
      </c>
      <c r="P807" s="1" t="str">
        <f t="shared" si="811"/>
        <v>RPCs and Nodes</v>
      </c>
      <c r="Q807" s="108" t="str">
        <f t="shared" si="3"/>
        <v>2024</v>
      </c>
      <c r="R807" s="110">
        <f t="shared" si="4"/>
        <v>3</v>
      </c>
      <c r="S807" s="108" t="str">
        <f t="shared" si="5"/>
        <v>2024-Q1</v>
      </c>
      <c r="T807" s="111" t="str">
        <f t="shared" si="6"/>
        <v>2024-03</v>
      </c>
      <c r="U807" s="112" t="str">
        <f t="shared" si="7"/>
        <v>2024-H1</v>
      </c>
      <c r="V807" s="1" t="str">
        <f>VLOOKUP(B807,Bounties!A:E,2,FALSE)</f>
        <v>System Parachains Collator Bounty</v>
      </c>
    </row>
    <row r="808" hidden="1">
      <c r="A808" s="109">
        <f>HYPERLINK("https://polkadot.subsquare.io/treasury/child-bounties/806", 806)</f>
        <v>806</v>
      </c>
      <c r="B808" s="183">
        <v>32.0</v>
      </c>
      <c r="C808" s="27" t="s">
        <v>3404</v>
      </c>
      <c r="D808" s="27" t="s">
        <v>1378</v>
      </c>
      <c r="E808" s="129">
        <v>30.4084560945</v>
      </c>
      <c r="F808" s="66">
        <v>335.59918402145325</v>
      </c>
      <c r="G808" s="27" t="s">
        <v>3596</v>
      </c>
      <c r="H808" s="167">
        <v>45359.0</v>
      </c>
      <c r="I808" s="167">
        <v>45367.0</v>
      </c>
      <c r="J808" s="66">
        <v>266.51064026708235</v>
      </c>
      <c r="K808" s="1"/>
      <c r="L808" s="1"/>
      <c r="M808" s="1" t="str">
        <f>VLOOKUP(B808,Bounties!A:D,3,FALSE)</f>
        <v>Operations</v>
      </c>
      <c r="N808" s="1" t="str">
        <f>VLOOKUP(B808,Bounties!A:D,4,FALSE)</f>
        <v>RPCs and Nodes</v>
      </c>
      <c r="O808" s="1" t="str">
        <f t="shared" ref="O808:P808" si="812">IF(ISBLANK(K808),M808,K808)</f>
        <v>Operations</v>
      </c>
      <c r="P808" s="1" t="str">
        <f t="shared" si="812"/>
        <v>RPCs and Nodes</v>
      </c>
      <c r="Q808" s="108" t="str">
        <f t="shared" si="3"/>
        <v>2024</v>
      </c>
      <c r="R808" s="110">
        <f t="shared" si="4"/>
        <v>3</v>
      </c>
      <c r="S808" s="108" t="str">
        <f t="shared" si="5"/>
        <v>2024-Q1</v>
      </c>
      <c r="T808" s="111" t="str">
        <f t="shared" si="6"/>
        <v>2024-03</v>
      </c>
      <c r="U808" s="112" t="str">
        <f t="shared" si="7"/>
        <v>2024-H1</v>
      </c>
      <c r="V808" s="1" t="str">
        <f>VLOOKUP(B808,Bounties!A:E,2,FALSE)</f>
        <v>System Parachains Collator Bounty</v>
      </c>
    </row>
    <row r="809" hidden="1">
      <c r="A809" s="109">
        <f>HYPERLINK("https://polkadot.subsquare.io/treasury/child-bounties/807", 807)</f>
        <v>807</v>
      </c>
      <c r="B809" s="183">
        <v>32.0</v>
      </c>
      <c r="C809" s="27" t="s">
        <v>3404</v>
      </c>
      <c r="D809" s="27" t="s">
        <v>1379</v>
      </c>
      <c r="E809" s="129">
        <v>30.3943145058</v>
      </c>
      <c r="F809" s="66">
        <v>335.443112117844</v>
      </c>
      <c r="G809" s="27" t="s">
        <v>3597</v>
      </c>
      <c r="H809" s="167">
        <v>45359.0</v>
      </c>
      <c r="I809" s="167">
        <v>45367.0</v>
      </c>
      <c r="J809" s="66">
        <v>266.38669830017955</v>
      </c>
      <c r="K809" s="1"/>
      <c r="L809" s="1"/>
      <c r="M809" s="1" t="str">
        <f>VLOOKUP(B809,Bounties!A:D,3,FALSE)</f>
        <v>Operations</v>
      </c>
      <c r="N809" s="1" t="str">
        <f>VLOOKUP(B809,Bounties!A:D,4,FALSE)</f>
        <v>RPCs and Nodes</v>
      </c>
      <c r="O809" s="1" t="str">
        <f t="shared" ref="O809:P809" si="813">IF(ISBLANK(K809),M809,K809)</f>
        <v>Operations</v>
      </c>
      <c r="P809" s="1" t="str">
        <f t="shared" si="813"/>
        <v>RPCs and Nodes</v>
      </c>
      <c r="Q809" s="108" t="str">
        <f t="shared" si="3"/>
        <v>2024</v>
      </c>
      <c r="R809" s="110">
        <f t="shared" si="4"/>
        <v>3</v>
      </c>
      <c r="S809" s="108" t="str">
        <f t="shared" si="5"/>
        <v>2024-Q1</v>
      </c>
      <c r="T809" s="111" t="str">
        <f t="shared" si="6"/>
        <v>2024-03</v>
      </c>
      <c r="U809" s="112" t="str">
        <f t="shared" si="7"/>
        <v>2024-H1</v>
      </c>
      <c r="V809" s="1" t="str">
        <f>VLOOKUP(B809,Bounties!A:E,2,FALSE)</f>
        <v>System Parachains Collator Bounty</v>
      </c>
    </row>
    <row r="810" hidden="1">
      <c r="A810" s="109">
        <f>HYPERLINK("https://polkadot.subsquare.io/treasury/child-bounties/808", 808)</f>
        <v>808</v>
      </c>
      <c r="B810" s="183">
        <v>32.0</v>
      </c>
      <c r="C810" s="27" t="s">
        <v>3404</v>
      </c>
      <c r="D810" s="27" t="s">
        <v>1380</v>
      </c>
      <c r="E810" s="129">
        <v>30.4185572293</v>
      </c>
      <c r="F810" s="66">
        <v>335.71066395276034</v>
      </c>
      <c r="G810" s="27" t="s">
        <v>3599</v>
      </c>
      <c r="H810" s="167">
        <v>45359.0</v>
      </c>
      <c r="I810" s="167">
        <v>45367.0</v>
      </c>
      <c r="J810" s="66">
        <v>266.59917024356673</v>
      </c>
      <c r="K810" s="1"/>
      <c r="L810" s="1"/>
      <c r="M810" s="1" t="str">
        <f>VLOOKUP(B810,Bounties!A:D,3,FALSE)</f>
        <v>Operations</v>
      </c>
      <c r="N810" s="1" t="str">
        <f>VLOOKUP(B810,Bounties!A:D,4,FALSE)</f>
        <v>RPCs and Nodes</v>
      </c>
      <c r="O810" s="1" t="str">
        <f t="shared" ref="O810:P810" si="814">IF(ISBLANK(K810),M810,K810)</f>
        <v>Operations</v>
      </c>
      <c r="P810" s="1" t="str">
        <f t="shared" si="814"/>
        <v>RPCs and Nodes</v>
      </c>
      <c r="Q810" s="108" t="str">
        <f t="shared" si="3"/>
        <v>2024</v>
      </c>
      <c r="R810" s="110">
        <f t="shared" si="4"/>
        <v>3</v>
      </c>
      <c r="S810" s="108" t="str">
        <f t="shared" si="5"/>
        <v>2024-Q1</v>
      </c>
      <c r="T810" s="111" t="str">
        <f t="shared" si="6"/>
        <v>2024-03</v>
      </c>
      <c r="U810" s="112" t="str">
        <f t="shared" si="7"/>
        <v>2024-H1</v>
      </c>
      <c r="V810" s="1" t="str">
        <f>VLOOKUP(B810,Bounties!A:E,2,FALSE)</f>
        <v>System Parachains Collator Bounty</v>
      </c>
    </row>
    <row r="811" hidden="1">
      <c r="A811" s="109">
        <f>HYPERLINK("https://polkadot.subsquare.io/treasury/child-bounties/809", 809)</f>
        <v>809</v>
      </c>
      <c r="B811" s="183">
        <v>32.0</v>
      </c>
      <c r="C811" s="27" t="s">
        <v>3404</v>
      </c>
      <c r="D811" s="27" t="s">
        <v>1381</v>
      </c>
      <c r="E811" s="129">
        <v>44.4133070094</v>
      </c>
      <c r="F811" s="66">
        <v>490.1619978906072</v>
      </c>
      <c r="G811" s="27" t="s">
        <v>3587</v>
      </c>
      <c r="H811" s="167">
        <v>45359.0</v>
      </c>
      <c r="I811" s="167">
        <v>45367.0</v>
      </c>
      <c r="J811" s="66">
        <v>389.25418806759444</v>
      </c>
      <c r="K811" s="1"/>
      <c r="L811" s="1"/>
      <c r="M811" s="1" t="str">
        <f>VLOOKUP(B811,Bounties!A:D,3,FALSE)</f>
        <v>Operations</v>
      </c>
      <c r="N811" s="1" t="str">
        <f>VLOOKUP(B811,Bounties!A:D,4,FALSE)</f>
        <v>RPCs and Nodes</v>
      </c>
      <c r="O811" s="1" t="str">
        <f t="shared" ref="O811:P811" si="815">IF(ISBLANK(K811),M811,K811)</f>
        <v>Operations</v>
      </c>
      <c r="P811" s="1" t="str">
        <f t="shared" si="815"/>
        <v>RPCs and Nodes</v>
      </c>
      <c r="Q811" s="108" t="str">
        <f t="shared" si="3"/>
        <v>2024</v>
      </c>
      <c r="R811" s="110">
        <f t="shared" si="4"/>
        <v>3</v>
      </c>
      <c r="S811" s="108" t="str">
        <f t="shared" si="5"/>
        <v>2024-Q1</v>
      </c>
      <c r="T811" s="111" t="str">
        <f t="shared" si="6"/>
        <v>2024-03</v>
      </c>
      <c r="U811" s="112" t="str">
        <f t="shared" si="7"/>
        <v>2024-H1</v>
      </c>
      <c r="V811" s="1" t="str">
        <f>VLOOKUP(B811,Bounties!A:E,2,FALSE)</f>
        <v>System Parachains Collator Bounty</v>
      </c>
    </row>
    <row r="812" hidden="1">
      <c r="A812" s="109">
        <f>HYPERLINK("https://polkadot.subsquare.io/treasury/child-bounties/810", 810)</f>
        <v>810</v>
      </c>
      <c r="B812" s="183">
        <v>32.0</v>
      </c>
      <c r="C812" s="27" t="s">
        <v>3404</v>
      </c>
      <c r="D812" s="27" t="s">
        <v>1382</v>
      </c>
      <c r="E812" s="129">
        <v>43.9777081216</v>
      </c>
      <c r="F812" s="66">
        <v>485.3545643644844</v>
      </c>
      <c r="G812" s="27" t="s">
        <v>3588</v>
      </c>
      <c r="H812" s="167">
        <v>45359.0</v>
      </c>
      <c r="I812" s="167">
        <v>45367.0</v>
      </c>
      <c r="J812" s="66">
        <v>385.43644282836135</v>
      </c>
      <c r="K812" s="1"/>
      <c r="L812" s="1"/>
      <c r="M812" s="1" t="str">
        <f>VLOOKUP(B812,Bounties!A:D,3,FALSE)</f>
        <v>Operations</v>
      </c>
      <c r="N812" s="1" t="str">
        <f>VLOOKUP(B812,Bounties!A:D,4,FALSE)</f>
        <v>RPCs and Nodes</v>
      </c>
      <c r="O812" s="1" t="str">
        <f t="shared" ref="O812:P812" si="816">IF(ISBLANK(K812),M812,K812)</f>
        <v>Operations</v>
      </c>
      <c r="P812" s="1" t="str">
        <f t="shared" si="816"/>
        <v>RPCs and Nodes</v>
      </c>
      <c r="Q812" s="108" t="str">
        <f t="shared" si="3"/>
        <v>2024</v>
      </c>
      <c r="R812" s="110">
        <f t="shared" si="4"/>
        <v>3</v>
      </c>
      <c r="S812" s="108" t="str">
        <f t="shared" si="5"/>
        <v>2024-Q1</v>
      </c>
      <c r="T812" s="111" t="str">
        <f t="shared" si="6"/>
        <v>2024-03</v>
      </c>
      <c r="U812" s="112" t="str">
        <f t="shared" si="7"/>
        <v>2024-H1</v>
      </c>
      <c r="V812" s="1" t="str">
        <f>VLOOKUP(B812,Bounties!A:E,2,FALSE)</f>
        <v>System Parachains Collator Bounty</v>
      </c>
    </row>
    <row r="813" hidden="1">
      <c r="A813" s="109">
        <f>HYPERLINK("https://polkadot.subsquare.io/treasury/child-bounties/811", 811)</f>
        <v>811</v>
      </c>
      <c r="B813" s="183">
        <v>32.0</v>
      </c>
      <c r="C813" s="27" t="s">
        <v>3404</v>
      </c>
      <c r="D813" s="27" t="s">
        <v>1383</v>
      </c>
      <c r="E813" s="129">
        <v>44.2947766998</v>
      </c>
      <c r="F813" s="66">
        <v>488.853852713491</v>
      </c>
      <c r="G813" s="27" t="s">
        <v>3589</v>
      </c>
      <c r="H813" s="167">
        <v>45359.0</v>
      </c>
      <c r="I813" s="167">
        <v>45367.0</v>
      </c>
      <c r="J813" s="66">
        <v>388.215345825674</v>
      </c>
      <c r="K813" s="1"/>
      <c r="L813" s="1"/>
      <c r="M813" s="1" t="str">
        <f>VLOOKUP(B813,Bounties!A:D,3,FALSE)</f>
        <v>Operations</v>
      </c>
      <c r="N813" s="1" t="str">
        <f>VLOOKUP(B813,Bounties!A:D,4,FALSE)</f>
        <v>RPCs and Nodes</v>
      </c>
      <c r="O813" s="1" t="str">
        <f t="shared" ref="O813:P813" si="817">IF(ISBLANK(K813),M813,K813)</f>
        <v>Operations</v>
      </c>
      <c r="P813" s="1" t="str">
        <f t="shared" si="817"/>
        <v>RPCs and Nodes</v>
      </c>
      <c r="Q813" s="108" t="str">
        <f t="shared" si="3"/>
        <v>2024</v>
      </c>
      <c r="R813" s="110">
        <f t="shared" si="4"/>
        <v>3</v>
      </c>
      <c r="S813" s="108" t="str">
        <f t="shared" si="5"/>
        <v>2024-Q1</v>
      </c>
      <c r="T813" s="111" t="str">
        <f t="shared" si="6"/>
        <v>2024-03</v>
      </c>
      <c r="U813" s="112" t="str">
        <f t="shared" si="7"/>
        <v>2024-H1</v>
      </c>
      <c r="V813" s="1" t="str">
        <f>VLOOKUP(B813,Bounties!A:E,2,FALSE)</f>
        <v>System Parachains Collator Bounty</v>
      </c>
    </row>
    <row r="814" hidden="1">
      <c r="A814" s="109">
        <f>HYPERLINK("https://polkadot.subsquare.io/treasury/child-bounties/812", 812)</f>
        <v>812</v>
      </c>
      <c r="B814" s="183">
        <v>32.0</v>
      </c>
      <c r="C814" s="27" t="s">
        <v>3404</v>
      </c>
      <c r="D814" s="27" t="s">
        <v>1384</v>
      </c>
      <c r="E814" s="129">
        <v>44.6474043708</v>
      </c>
      <c r="F814" s="66">
        <v>492.7455846147495</v>
      </c>
      <c r="G814" s="27" t="s">
        <v>3590</v>
      </c>
      <c r="H814" s="167">
        <v>45359.0</v>
      </c>
      <c r="I814" s="167">
        <v>45367.0</v>
      </c>
      <c r="J814" s="66">
        <v>391.30590149486153</v>
      </c>
      <c r="K814" s="1"/>
      <c r="L814" s="1"/>
      <c r="M814" s="1" t="str">
        <f>VLOOKUP(B814,Bounties!A:D,3,FALSE)</f>
        <v>Operations</v>
      </c>
      <c r="N814" s="1" t="str">
        <f>VLOOKUP(B814,Bounties!A:D,4,FALSE)</f>
        <v>RPCs and Nodes</v>
      </c>
      <c r="O814" s="1" t="str">
        <f t="shared" ref="O814:P814" si="818">IF(ISBLANK(K814),M814,K814)</f>
        <v>Operations</v>
      </c>
      <c r="P814" s="1" t="str">
        <f t="shared" si="818"/>
        <v>RPCs and Nodes</v>
      </c>
      <c r="Q814" s="108" t="str">
        <f t="shared" si="3"/>
        <v>2024</v>
      </c>
      <c r="R814" s="110">
        <f t="shared" si="4"/>
        <v>3</v>
      </c>
      <c r="S814" s="108" t="str">
        <f t="shared" si="5"/>
        <v>2024-Q1</v>
      </c>
      <c r="T814" s="111" t="str">
        <f t="shared" si="6"/>
        <v>2024-03</v>
      </c>
      <c r="U814" s="112" t="str">
        <f t="shared" si="7"/>
        <v>2024-H1</v>
      </c>
      <c r="V814" s="1" t="str">
        <f>VLOOKUP(B814,Bounties!A:E,2,FALSE)</f>
        <v>System Parachains Collator Bounty</v>
      </c>
    </row>
    <row r="815" hidden="1">
      <c r="A815" s="109">
        <f>HYPERLINK("https://polkadot.subsquare.io/treasury/child-bounties/813", 813)</f>
        <v>813</v>
      </c>
      <c r="B815" s="183">
        <v>32.0</v>
      </c>
      <c r="C815" s="27" t="s">
        <v>3404</v>
      </c>
      <c r="D815" s="27" t="s">
        <v>1385</v>
      </c>
      <c r="E815" s="129">
        <v>44.5436903499</v>
      </c>
      <c r="F815" s="66">
        <v>491.6009575847728</v>
      </c>
      <c r="G815" s="27" t="s">
        <v>3591</v>
      </c>
      <c r="H815" s="167">
        <v>45359.0</v>
      </c>
      <c r="I815" s="167">
        <v>45367.0</v>
      </c>
      <c r="J815" s="66">
        <v>390.39691453318113</v>
      </c>
      <c r="K815" s="1"/>
      <c r="L815" s="1"/>
      <c r="M815" s="1" t="str">
        <f>VLOOKUP(B815,Bounties!A:D,3,FALSE)</f>
        <v>Operations</v>
      </c>
      <c r="N815" s="1" t="str">
        <f>VLOOKUP(B815,Bounties!A:D,4,FALSE)</f>
        <v>RPCs and Nodes</v>
      </c>
      <c r="O815" s="1" t="str">
        <f t="shared" ref="O815:P815" si="819">IF(ISBLANK(K815),M815,K815)</f>
        <v>Operations</v>
      </c>
      <c r="P815" s="1" t="str">
        <f t="shared" si="819"/>
        <v>RPCs and Nodes</v>
      </c>
      <c r="Q815" s="108" t="str">
        <f t="shared" si="3"/>
        <v>2024</v>
      </c>
      <c r="R815" s="110">
        <f t="shared" si="4"/>
        <v>3</v>
      </c>
      <c r="S815" s="108" t="str">
        <f t="shared" si="5"/>
        <v>2024-Q1</v>
      </c>
      <c r="T815" s="111" t="str">
        <f t="shared" si="6"/>
        <v>2024-03</v>
      </c>
      <c r="U815" s="112" t="str">
        <f t="shared" si="7"/>
        <v>2024-H1</v>
      </c>
      <c r="V815" s="1" t="str">
        <f>VLOOKUP(B815,Bounties!A:E,2,FALSE)</f>
        <v>System Parachains Collator Bounty</v>
      </c>
    </row>
    <row r="816" hidden="1">
      <c r="A816" s="109">
        <f>HYPERLINK("https://polkadot.subsquare.io/treasury/child-bounties/814", 814)</f>
        <v>814</v>
      </c>
      <c r="B816" s="183">
        <v>32.0</v>
      </c>
      <c r="C816" s="27" t="s">
        <v>3404</v>
      </c>
      <c r="D816" s="27" t="s">
        <v>1386</v>
      </c>
      <c r="E816" s="129">
        <v>44.599992247</v>
      </c>
      <c r="F816" s="66">
        <v>492.2223265443445</v>
      </c>
      <c r="G816" s="27" t="s">
        <v>3592</v>
      </c>
      <c r="H816" s="167">
        <v>45359.0</v>
      </c>
      <c r="I816" s="167">
        <v>45367.0</v>
      </c>
      <c r="J816" s="66">
        <v>390.89036459844397</v>
      </c>
      <c r="K816" s="1"/>
      <c r="L816" s="1"/>
      <c r="M816" s="1" t="str">
        <f>VLOOKUP(B816,Bounties!A:D,3,FALSE)</f>
        <v>Operations</v>
      </c>
      <c r="N816" s="1" t="str">
        <f>VLOOKUP(B816,Bounties!A:D,4,FALSE)</f>
        <v>RPCs and Nodes</v>
      </c>
      <c r="O816" s="1" t="str">
        <f t="shared" ref="O816:P816" si="820">IF(ISBLANK(K816),M816,K816)</f>
        <v>Operations</v>
      </c>
      <c r="P816" s="1" t="str">
        <f t="shared" si="820"/>
        <v>RPCs and Nodes</v>
      </c>
      <c r="Q816" s="108" t="str">
        <f t="shared" si="3"/>
        <v>2024</v>
      </c>
      <c r="R816" s="110">
        <f t="shared" si="4"/>
        <v>3</v>
      </c>
      <c r="S816" s="108" t="str">
        <f t="shared" si="5"/>
        <v>2024-Q1</v>
      </c>
      <c r="T816" s="111" t="str">
        <f t="shared" si="6"/>
        <v>2024-03</v>
      </c>
      <c r="U816" s="112" t="str">
        <f t="shared" si="7"/>
        <v>2024-H1</v>
      </c>
      <c r="V816" s="1" t="str">
        <f>VLOOKUP(B816,Bounties!A:E,2,FALSE)</f>
        <v>System Parachains Collator Bounty</v>
      </c>
    </row>
    <row r="817" hidden="1">
      <c r="A817" s="109">
        <f>HYPERLINK("https://polkadot.subsquare.io/treasury/child-bounties/815", 815)</f>
        <v>815</v>
      </c>
      <c r="B817" s="183">
        <v>32.0</v>
      </c>
      <c r="C817" s="27" t="s">
        <v>3404</v>
      </c>
      <c r="D817" s="27" t="s">
        <v>1387</v>
      </c>
      <c r="E817" s="129">
        <v>7.786445359</v>
      </c>
      <c r="F817" s="66">
        <v>85.93414610683472</v>
      </c>
      <c r="G817" s="27" t="s">
        <v>3407</v>
      </c>
      <c r="H817" s="167">
        <v>45359.0</v>
      </c>
      <c r="I817" s="167">
        <v>45367.0</v>
      </c>
      <c r="J817" s="66">
        <v>68.24320615235312</v>
      </c>
      <c r="K817" s="1"/>
      <c r="L817" s="1"/>
      <c r="M817" s="1" t="str">
        <f>VLOOKUP(B817,Bounties!A:D,3,FALSE)</f>
        <v>Operations</v>
      </c>
      <c r="N817" s="1" t="str">
        <f>VLOOKUP(B817,Bounties!A:D,4,FALSE)</f>
        <v>RPCs and Nodes</v>
      </c>
      <c r="O817" s="1" t="str">
        <f t="shared" ref="O817:P817" si="821">IF(ISBLANK(K817),M817,K817)</f>
        <v>Operations</v>
      </c>
      <c r="P817" s="1" t="str">
        <f t="shared" si="821"/>
        <v>RPCs and Nodes</v>
      </c>
      <c r="Q817" s="108" t="str">
        <f t="shared" si="3"/>
        <v>2024</v>
      </c>
      <c r="R817" s="110">
        <f t="shared" si="4"/>
        <v>3</v>
      </c>
      <c r="S817" s="108" t="str">
        <f t="shared" si="5"/>
        <v>2024-Q1</v>
      </c>
      <c r="T817" s="111" t="str">
        <f t="shared" si="6"/>
        <v>2024-03</v>
      </c>
      <c r="U817" s="112" t="str">
        <f t="shared" si="7"/>
        <v>2024-H1</v>
      </c>
      <c r="V817" s="1" t="str">
        <f>VLOOKUP(B817,Bounties!A:E,2,FALSE)</f>
        <v>System Parachains Collator Bounty</v>
      </c>
    </row>
    <row r="818" hidden="1">
      <c r="A818" s="109">
        <f>HYPERLINK("https://polkadot.subsquare.io/treasury/child-bounties/816", 816)</f>
        <v>816</v>
      </c>
      <c r="B818" s="183">
        <v>32.0</v>
      </c>
      <c r="C818" s="27" t="s">
        <v>3404</v>
      </c>
      <c r="D818" s="27" t="s">
        <v>1388</v>
      </c>
      <c r="E818" s="129">
        <v>7.786445359</v>
      </c>
      <c r="F818" s="66">
        <v>85.93414610683472</v>
      </c>
      <c r="G818" s="27" t="s">
        <v>3406</v>
      </c>
      <c r="H818" s="167">
        <v>45359.0</v>
      </c>
      <c r="I818" s="167">
        <v>45367.0</v>
      </c>
      <c r="J818" s="66">
        <v>68.24320615235312</v>
      </c>
      <c r="K818" s="1"/>
      <c r="L818" s="1"/>
      <c r="M818" s="1" t="str">
        <f>VLOOKUP(B818,Bounties!A:D,3,FALSE)</f>
        <v>Operations</v>
      </c>
      <c r="N818" s="1" t="str">
        <f>VLOOKUP(B818,Bounties!A:D,4,FALSE)</f>
        <v>RPCs and Nodes</v>
      </c>
      <c r="O818" s="1" t="str">
        <f t="shared" ref="O818:P818" si="822">IF(ISBLANK(K818),M818,K818)</f>
        <v>Operations</v>
      </c>
      <c r="P818" s="1" t="str">
        <f t="shared" si="822"/>
        <v>RPCs and Nodes</v>
      </c>
      <c r="Q818" s="108" t="str">
        <f t="shared" si="3"/>
        <v>2024</v>
      </c>
      <c r="R818" s="110">
        <f t="shared" si="4"/>
        <v>3</v>
      </c>
      <c r="S818" s="108" t="str">
        <f t="shared" si="5"/>
        <v>2024-Q1</v>
      </c>
      <c r="T818" s="111" t="str">
        <f t="shared" si="6"/>
        <v>2024-03</v>
      </c>
      <c r="U818" s="112" t="str">
        <f t="shared" si="7"/>
        <v>2024-H1</v>
      </c>
      <c r="V818" s="1" t="str">
        <f>VLOOKUP(B818,Bounties!A:E,2,FALSE)</f>
        <v>System Parachains Collator Bounty</v>
      </c>
    </row>
    <row r="819" hidden="1">
      <c r="A819" s="109">
        <f>HYPERLINK("https://polkadot.subsquare.io/treasury/child-bounties/817", 817)</f>
        <v>817</v>
      </c>
      <c r="B819" s="183">
        <v>32.0</v>
      </c>
      <c r="C819" s="27" t="s">
        <v>3404</v>
      </c>
      <c r="D819" s="27" t="s">
        <v>1389</v>
      </c>
      <c r="E819" s="129">
        <v>7.786445359</v>
      </c>
      <c r="F819" s="66">
        <v>85.93414610683472</v>
      </c>
      <c r="G819" s="27" t="s">
        <v>3411</v>
      </c>
      <c r="H819" s="167">
        <v>45359.0</v>
      </c>
      <c r="I819" s="167">
        <v>45367.0</v>
      </c>
      <c r="J819" s="66">
        <v>68.24320615235312</v>
      </c>
      <c r="K819" s="1"/>
      <c r="L819" s="1"/>
      <c r="M819" s="1" t="str">
        <f>VLOOKUP(B819,Bounties!A:D,3,FALSE)</f>
        <v>Operations</v>
      </c>
      <c r="N819" s="1" t="str">
        <f>VLOOKUP(B819,Bounties!A:D,4,FALSE)</f>
        <v>RPCs and Nodes</v>
      </c>
      <c r="O819" s="1" t="str">
        <f t="shared" ref="O819:P819" si="823">IF(ISBLANK(K819),M819,K819)</f>
        <v>Operations</v>
      </c>
      <c r="P819" s="1" t="str">
        <f t="shared" si="823"/>
        <v>RPCs and Nodes</v>
      </c>
      <c r="Q819" s="108" t="str">
        <f t="shared" si="3"/>
        <v>2024</v>
      </c>
      <c r="R819" s="110">
        <f t="shared" si="4"/>
        <v>3</v>
      </c>
      <c r="S819" s="108" t="str">
        <f t="shared" si="5"/>
        <v>2024-Q1</v>
      </c>
      <c r="T819" s="111" t="str">
        <f t="shared" si="6"/>
        <v>2024-03</v>
      </c>
      <c r="U819" s="112" t="str">
        <f t="shared" si="7"/>
        <v>2024-H1</v>
      </c>
      <c r="V819" s="1" t="str">
        <f>VLOOKUP(B819,Bounties!A:E,2,FALSE)</f>
        <v>System Parachains Collator Bounty</v>
      </c>
    </row>
    <row r="820" hidden="1">
      <c r="A820" s="109">
        <f>HYPERLINK("https://polkadot.subsquare.io/treasury/child-bounties/818", 818)</f>
        <v>818</v>
      </c>
      <c r="B820" s="183">
        <v>32.0</v>
      </c>
      <c r="C820" s="27" t="s">
        <v>3404</v>
      </c>
      <c r="D820" s="27" t="s">
        <v>1249</v>
      </c>
      <c r="E820" s="129">
        <v>2.5365632916</v>
      </c>
      <c r="F820" s="66">
        <v>27.994468651557128</v>
      </c>
      <c r="G820" s="27" t="s">
        <v>3598</v>
      </c>
      <c r="H820" s="167">
        <v>45359.0</v>
      </c>
      <c r="I820" s="167">
        <v>45367.0</v>
      </c>
      <c r="J820" s="66">
        <v>22.231352516597063</v>
      </c>
      <c r="K820" s="1"/>
      <c r="L820" s="1"/>
      <c r="M820" s="1" t="str">
        <f>VLOOKUP(B820,Bounties!A:D,3,FALSE)</f>
        <v>Operations</v>
      </c>
      <c r="N820" s="1" t="str">
        <f>VLOOKUP(B820,Bounties!A:D,4,FALSE)</f>
        <v>RPCs and Nodes</v>
      </c>
      <c r="O820" s="1" t="str">
        <f t="shared" ref="O820:P820" si="824">IF(ISBLANK(K820),M820,K820)</f>
        <v>Operations</v>
      </c>
      <c r="P820" s="1" t="str">
        <f t="shared" si="824"/>
        <v>RPCs and Nodes</v>
      </c>
      <c r="Q820" s="108" t="str">
        <f t="shared" si="3"/>
        <v>2024</v>
      </c>
      <c r="R820" s="110">
        <f t="shared" si="4"/>
        <v>3</v>
      </c>
      <c r="S820" s="108" t="str">
        <f t="shared" si="5"/>
        <v>2024-Q1</v>
      </c>
      <c r="T820" s="111" t="str">
        <f t="shared" si="6"/>
        <v>2024-03</v>
      </c>
      <c r="U820" s="112" t="str">
        <f t="shared" si="7"/>
        <v>2024-H1</v>
      </c>
      <c r="V820" s="1" t="str">
        <f>VLOOKUP(B820,Bounties!A:E,2,FALSE)</f>
        <v>System Parachains Collator Bounty</v>
      </c>
    </row>
    <row r="821" hidden="1">
      <c r="A821" s="109">
        <f>HYPERLINK("https://polkadot.subsquare.io/treasury/child-bounties/819", 819)</f>
        <v>819</v>
      </c>
      <c r="B821" s="183">
        <v>32.0</v>
      </c>
      <c r="C821" s="27" t="s">
        <v>3404</v>
      </c>
      <c r="D821" s="27" t="s">
        <v>1374</v>
      </c>
      <c r="E821" s="129">
        <v>1.6234005066</v>
      </c>
      <c r="F821" s="66">
        <v>17.916459936731687</v>
      </c>
      <c r="G821" s="27" t="s">
        <v>3598</v>
      </c>
      <c r="H821" s="167">
        <v>45359.0</v>
      </c>
      <c r="I821" s="167">
        <v>45367.0</v>
      </c>
      <c r="J821" s="66">
        <v>14.228065610411777</v>
      </c>
      <c r="K821" s="1"/>
      <c r="L821" s="1"/>
      <c r="M821" s="1" t="str">
        <f>VLOOKUP(B821,Bounties!A:D,3,FALSE)</f>
        <v>Operations</v>
      </c>
      <c r="N821" s="1" t="str">
        <f>VLOOKUP(B821,Bounties!A:D,4,FALSE)</f>
        <v>RPCs and Nodes</v>
      </c>
      <c r="O821" s="1" t="str">
        <f t="shared" ref="O821:P821" si="825">IF(ISBLANK(K821),M821,K821)</f>
        <v>Operations</v>
      </c>
      <c r="P821" s="1" t="str">
        <f t="shared" si="825"/>
        <v>RPCs and Nodes</v>
      </c>
      <c r="Q821" s="108" t="str">
        <f t="shared" si="3"/>
        <v>2024</v>
      </c>
      <c r="R821" s="110">
        <f t="shared" si="4"/>
        <v>3</v>
      </c>
      <c r="S821" s="108" t="str">
        <f t="shared" si="5"/>
        <v>2024-Q1</v>
      </c>
      <c r="T821" s="111" t="str">
        <f t="shared" si="6"/>
        <v>2024-03</v>
      </c>
      <c r="U821" s="112" t="str">
        <f t="shared" si="7"/>
        <v>2024-H1</v>
      </c>
      <c r="V821" s="1" t="str">
        <f>VLOOKUP(B821,Bounties!A:E,2,FALSE)</f>
        <v>System Parachains Collator Bounty</v>
      </c>
    </row>
    <row r="822" hidden="1">
      <c r="A822" s="109">
        <f>HYPERLINK("https://polkadot.subsquare.io/treasury/child-bounties/820", 820)</f>
        <v>820</v>
      </c>
      <c r="B822" s="183">
        <v>32.0</v>
      </c>
      <c r="C822" s="27" t="s">
        <v>3404</v>
      </c>
      <c r="D822" s="27" t="s">
        <v>1390</v>
      </c>
      <c r="E822" s="129">
        <v>44.478465042</v>
      </c>
      <c r="F822" s="66">
        <v>490.88110649990483</v>
      </c>
      <c r="G822" s="27" t="s">
        <v>3594</v>
      </c>
      <c r="H822" s="167">
        <v>45359.0</v>
      </c>
      <c r="I822" s="167">
        <v>45367.0</v>
      </c>
      <c r="J822" s="66">
        <v>389.82525648793137</v>
      </c>
      <c r="K822" s="1"/>
      <c r="L822" s="1"/>
      <c r="M822" s="1" t="str">
        <f>VLOOKUP(B822,Bounties!A:D,3,FALSE)</f>
        <v>Operations</v>
      </c>
      <c r="N822" s="1" t="str">
        <f>VLOOKUP(B822,Bounties!A:D,4,FALSE)</f>
        <v>RPCs and Nodes</v>
      </c>
      <c r="O822" s="1" t="str">
        <f t="shared" ref="O822:P822" si="826">IF(ISBLANK(K822),M822,K822)</f>
        <v>Operations</v>
      </c>
      <c r="P822" s="1" t="str">
        <f t="shared" si="826"/>
        <v>RPCs and Nodes</v>
      </c>
      <c r="Q822" s="108" t="str">
        <f t="shared" si="3"/>
        <v>2024</v>
      </c>
      <c r="R822" s="110">
        <f t="shared" si="4"/>
        <v>3</v>
      </c>
      <c r="S822" s="108" t="str">
        <f t="shared" si="5"/>
        <v>2024-Q1</v>
      </c>
      <c r="T822" s="111" t="str">
        <f t="shared" si="6"/>
        <v>2024-03</v>
      </c>
      <c r="U822" s="112" t="str">
        <f t="shared" si="7"/>
        <v>2024-H1</v>
      </c>
      <c r="V822" s="1" t="str">
        <f>VLOOKUP(B822,Bounties!A:E,2,FALSE)</f>
        <v>System Parachains Collator Bounty</v>
      </c>
    </row>
    <row r="823" hidden="1">
      <c r="A823" s="109">
        <f>HYPERLINK("https://polkadot.subsquare.io/treasury/child-bounties/821", 821)</f>
        <v>821</v>
      </c>
      <c r="B823" s="183">
        <v>32.0</v>
      </c>
      <c r="C823" s="27" t="s">
        <v>3404</v>
      </c>
      <c r="D823" s="27" t="s">
        <v>1391</v>
      </c>
      <c r="E823" s="129">
        <v>30.3639962154</v>
      </c>
      <c r="F823" s="66">
        <v>335.1085080364153</v>
      </c>
      <c r="G823" s="27" t="s">
        <v>3603</v>
      </c>
      <c r="H823" s="167">
        <v>45359.0</v>
      </c>
      <c r="I823" s="167">
        <v>45367.0</v>
      </c>
      <c r="J823" s="66">
        <v>266.1209779044713</v>
      </c>
      <c r="K823" s="1"/>
      <c r="L823" s="1"/>
      <c r="M823" s="1" t="str">
        <f>VLOOKUP(B823,Bounties!A:D,3,FALSE)</f>
        <v>Operations</v>
      </c>
      <c r="N823" s="1" t="str">
        <f>VLOOKUP(B823,Bounties!A:D,4,FALSE)</f>
        <v>RPCs and Nodes</v>
      </c>
      <c r="O823" s="1" t="str">
        <f t="shared" ref="O823:P823" si="827">IF(ISBLANK(K823),M823,K823)</f>
        <v>Operations</v>
      </c>
      <c r="P823" s="1" t="str">
        <f t="shared" si="827"/>
        <v>RPCs and Nodes</v>
      </c>
      <c r="Q823" s="108" t="str">
        <f t="shared" si="3"/>
        <v>2024</v>
      </c>
      <c r="R823" s="110">
        <f t="shared" si="4"/>
        <v>3</v>
      </c>
      <c r="S823" s="108" t="str">
        <f t="shared" si="5"/>
        <v>2024-Q1</v>
      </c>
      <c r="T823" s="111" t="str">
        <f t="shared" si="6"/>
        <v>2024-03</v>
      </c>
      <c r="U823" s="112" t="str">
        <f t="shared" si="7"/>
        <v>2024-H1</v>
      </c>
      <c r="V823" s="1" t="str">
        <f>VLOOKUP(B823,Bounties!A:E,2,FALSE)</f>
        <v>System Parachains Collator Bounty</v>
      </c>
    </row>
    <row r="824" hidden="1">
      <c r="A824" s="109">
        <f>HYPERLINK("https://polkadot.subsquare.io/treasury/child-bounties/822", 822)</f>
        <v>822</v>
      </c>
      <c r="B824" s="183">
        <v>32.0</v>
      </c>
      <c r="C824" s="27" t="s">
        <v>3404</v>
      </c>
      <c r="D824" s="27" t="s">
        <v>1392</v>
      </c>
      <c r="E824" s="129">
        <v>30.4387594988</v>
      </c>
      <c r="F824" s="66">
        <v>335.933623814271</v>
      </c>
      <c r="G824" s="27" t="s">
        <v>3591</v>
      </c>
      <c r="H824" s="167">
        <v>45359.0</v>
      </c>
      <c r="I824" s="167">
        <v>45367.0</v>
      </c>
      <c r="J824" s="66">
        <v>266.776230195659</v>
      </c>
      <c r="K824" s="1"/>
      <c r="L824" s="1"/>
      <c r="M824" s="1" t="str">
        <f>VLOOKUP(B824,Bounties!A:D,3,FALSE)</f>
        <v>Operations</v>
      </c>
      <c r="N824" s="1" t="str">
        <f>VLOOKUP(B824,Bounties!A:D,4,FALSE)</f>
        <v>RPCs and Nodes</v>
      </c>
      <c r="O824" s="1" t="str">
        <f t="shared" ref="O824:P824" si="828">IF(ISBLANK(K824),M824,K824)</f>
        <v>Operations</v>
      </c>
      <c r="P824" s="1" t="str">
        <f t="shared" si="828"/>
        <v>RPCs and Nodes</v>
      </c>
      <c r="Q824" s="108" t="str">
        <f t="shared" si="3"/>
        <v>2024</v>
      </c>
      <c r="R824" s="110">
        <f t="shared" si="4"/>
        <v>3</v>
      </c>
      <c r="S824" s="108" t="str">
        <f t="shared" si="5"/>
        <v>2024-Q1</v>
      </c>
      <c r="T824" s="111" t="str">
        <f t="shared" si="6"/>
        <v>2024-03</v>
      </c>
      <c r="U824" s="112" t="str">
        <f t="shared" si="7"/>
        <v>2024-H1</v>
      </c>
      <c r="V824" s="1" t="str">
        <f>VLOOKUP(B824,Bounties!A:E,2,FALSE)</f>
        <v>System Parachains Collator Bounty</v>
      </c>
    </row>
    <row r="825" hidden="1">
      <c r="A825" s="109">
        <f>HYPERLINK("https://polkadot.subsquare.io/treasury/child-bounties/823", 823)</f>
        <v>823</v>
      </c>
      <c r="B825" s="183">
        <v>32.0</v>
      </c>
      <c r="C825" s="27" t="s">
        <v>3404</v>
      </c>
      <c r="D825" s="27" t="s">
        <v>1393</v>
      </c>
      <c r="E825" s="129">
        <v>30.432697611</v>
      </c>
      <c r="F825" s="66">
        <v>335.8667225354626</v>
      </c>
      <c r="G825" s="27" t="s">
        <v>3604</v>
      </c>
      <c r="H825" s="167">
        <v>45359.0</v>
      </c>
      <c r="I825" s="167">
        <v>45367.0</v>
      </c>
      <c r="J825" s="66">
        <v>266.7231016318877</v>
      </c>
      <c r="K825" s="1"/>
      <c r="L825" s="1"/>
      <c r="M825" s="1" t="str">
        <f>VLOOKUP(B825,Bounties!A:D,3,FALSE)</f>
        <v>Operations</v>
      </c>
      <c r="N825" s="1" t="str">
        <f>VLOOKUP(B825,Bounties!A:D,4,FALSE)</f>
        <v>RPCs and Nodes</v>
      </c>
      <c r="O825" s="1" t="str">
        <f t="shared" ref="O825:P825" si="829">IF(ISBLANK(K825),M825,K825)</f>
        <v>Operations</v>
      </c>
      <c r="P825" s="1" t="str">
        <f t="shared" si="829"/>
        <v>RPCs and Nodes</v>
      </c>
      <c r="Q825" s="108" t="str">
        <f t="shared" si="3"/>
        <v>2024</v>
      </c>
      <c r="R825" s="110">
        <f t="shared" si="4"/>
        <v>3</v>
      </c>
      <c r="S825" s="108" t="str">
        <f t="shared" si="5"/>
        <v>2024-Q1</v>
      </c>
      <c r="T825" s="111" t="str">
        <f t="shared" si="6"/>
        <v>2024-03</v>
      </c>
      <c r="U825" s="112" t="str">
        <f t="shared" si="7"/>
        <v>2024-H1</v>
      </c>
      <c r="V825" s="1" t="str">
        <f>VLOOKUP(B825,Bounties!A:E,2,FALSE)</f>
        <v>System Parachains Collator Bounty</v>
      </c>
    </row>
    <row r="826" hidden="1">
      <c r="A826" s="109">
        <f>HYPERLINK("https://polkadot.subsquare.io/treasury/child-bounties/824", 824)</f>
        <v>824</v>
      </c>
      <c r="B826" s="183">
        <v>32.0</v>
      </c>
      <c r="C826" s="27" t="s">
        <v>3404</v>
      </c>
      <c r="D826" s="27" t="s">
        <v>1394</v>
      </c>
      <c r="E826" s="129">
        <v>30.4246150938</v>
      </c>
      <c r="F826" s="66">
        <v>335.77752082891334</v>
      </c>
      <c r="G826" s="27" t="s">
        <v>3590</v>
      </c>
      <c r="H826" s="167">
        <v>45359.0</v>
      </c>
      <c r="I826" s="167">
        <v>45367.0</v>
      </c>
      <c r="J826" s="66">
        <v>266.65226354569063</v>
      </c>
      <c r="K826" s="1"/>
      <c r="L826" s="1"/>
      <c r="M826" s="1" t="str">
        <f>VLOOKUP(B826,Bounties!A:D,3,FALSE)</f>
        <v>Operations</v>
      </c>
      <c r="N826" s="1" t="str">
        <f>VLOOKUP(B826,Bounties!A:D,4,FALSE)</f>
        <v>RPCs and Nodes</v>
      </c>
      <c r="O826" s="1" t="str">
        <f t="shared" ref="O826:P826" si="830">IF(ISBLANK(K826),M826,K826)</f>
        <v>Operations</v>
      </c>
      <c r="P826" s="1" t="str">
        <f t="shared" si="830"/>
        <v>RPCs and Nodes</v>
      </c>
      <c r="Q826" s="108" t="str">
        <f t="shared" si="3"/>
        <v>2024</v>
      </c>
      <c r="R826" s="110">
        <f t="shared" si="4"/>
        <v>3</v>
      </c>
      <c r="S826" s="108" t="str">
        <f t="shared" si="5"/>
        <v>2024-Q1</v>
      </c>
      <c r="T826" s="111" t="str">
        <f t="shared" si="6"/>
        <v>2024-03</v>
      </c>
      <c r="U826" s="112" t="str">
        <f t="shared" si="7"/>
        <v>2024-H1</v>
      </c>
      <c r="V826" s="1" t="str">
        <f>VLOOKUP(B826,Bounties!A:E,2,FALSE)</f>
        <v>System Parachains Collator Bounty</v>
      </c>
    </row>
    <row r="827" hidden="1">
      <c r="A827" s="109">
        <f>HYPERLINK("https://polkadot.subsquare.io/treasury/child-bounties/825", 825)</f>
        <v>825</v>
      </c>
      <c r="B827" s="183">
        <v>32.0</v>
      </c>
      <c r="C827" s="27" t="s">
        <v>3404</v>
      </c>
      <c r="D827" s="27" t="s">
        <v>1395</v>
      </c>
      <c r="E827" s="129">
        <v>30.3983469132</v>
      </c>
      <c r="F827" s="66">
        <v>335.487615285939</v>
      </c>
      <c r="G827" s="27" t="s">
        <v>3605</v>
      </c>
      <c r="H827" s="167">
        <v>45359.0</v>
      </c>
      <c r="I827" s="167">
        <v>45367.0</v>
      </c>
      <c r="J827" s="66">
        <v>266.4220397681795</v>
      </c>
      <c r="K827" s="1"/>
      <c r="L827" s="1"/>
      <c r="M827" s="1" t="str">
        <f>VLOOKUP(B827,Bounties!A:D,3,FALSE)</f>
        <v>Operations</v>
      </c>
      <c r="N827" s="1" t="str">
        <f>VLOOKUP(B827,Bounties!A:D,4,FALSE)</f>
        <v>RPCs and Nodes</v>
      </c>
      <c r="O827" s="1" t="str">
        <f t="shared" ref="O827:P827" si="831">IF(ISBLANK(K827),M827,K827)</f>
        <v>Operations</v>
      </c>
      <c r="P827" s="1" t="str">
        <f t="shared" si="831"/>
        <v>RPCs and Nodes</v>
      </c>
      <c r="Q827" s="108" t="str">
        <f t="shared" si="3"/>
        <v>2024</v>
      </c>
      <c r="R827" s="110">
        <f t="shared" si="4"/>
        <v>3</v>
      </c>
      <c r="S827" s="108" t="str">
        <f t="shared" si="5"/>
        <v>2024-Q1</v>
      </c>
      <c r="T827" s="111" t="str">
        <f t="shared" si="6"/>
        <v>2024-03</v>
      </c>
      <c r="U827" s="112" t="str">
        <f t="shared" si="7"/>
        <v>2024-H1</v>
      </c>
      <c r="V827" s="1" t="str">
        <f>VLOOKUP(B827,Bounties!A:E,2,FALSE)</f>
        <v>System Parachains Collator Bounty</v>
      </c>
    </row>
    <row r="828" hidden="1">
      <c r="A828" s="109">
        <f>HYPERLINK("https://polkadot.subsquare.io/treasury/child-bounties/826", 826)</f>
        <v>826</v>
      </c>
      <c r="B828" s="183">
        <v>32.0</v>
      </c>
      <c r="C828" s="27" t="s">
        <v>3404</v>
      </c>
      <c r="D828" s="27" t="s">
        <v>1396</v>
      </c>
      <c r="E828" s="129">
        <v>44.3747303665</v>
      </c>
      <c r="F828" s="66">
        <v>489.7362515179767</v>
      </c>
      <c r="G828" s="27" t="s">
        <v>3589</v>
      </c>
      <c r="H828" s="167">
        <v>45359.0</v>
      </c>
      <c r="I828" s="167">
        <v>45367.0</v>
      </c>
      <c r="J828" s="66">
        <v>388.9160885019117</v>
      </c>
      <c r="K828" s="1"/>
      <c r="L828" s="1"/>
      <c r="M828" s="1" t="str">
        <f>VLOOKUP(B828,Bounties!A:D,3,FALSE)</f>
        <v>Operations</v>
      </c>
      <c r="N828" s="1" t="str">
        <f>VLOOKUP(B828,Bounties!A:D,4,FALSE)</f>
        <v>RPCs and Nodes</v>
      </c>
      <c r="O828" s="1" t="str">
        <f t="shared" ref="O828:P828" si="832">IF(ISBLANK(K828),M828,K828)</f>
        <v>Operations</v>
      </c>
      <c r="P828" s="1" t="str">
        <f t="shared" si="832"/>
        <v>RPCs and Nodes</v>
      </c>
      <c r="Q828" s="108" t="str">
        <f t="shared" si="3"/>
        <v>2024</v>
      </c>
      <c r="R828" s="110">
        <f t="shared" si="4"/>
        <v>3</v>
      </c>
      <c r="S828" s="108" t="str">
        <f t="shared" si="5"/>
        <v>2024-Q1</v>
      </c>
      <c r="T828" s="111" t="str">
        <f t="shared" si="6"/>
        <v>2024-03</v>
      </c>
      <c r="U828" s="112" t="str">
        <f t="shared" si="7"/>
        <v>2024-H1</v>
      </c>
      <c r="V828" s="1" t="str">
        <f>VLOOKUP(B828,Bounties!A:E,2,FALSE)</f>
        <v>System Parachains Collator Bounty</v>
      </c>
    </row>
    <row r="829" hidden="1">
      <c r="A829" s="109">
        <f>HYPERLINK("https://polkadot.subsquare.io/treasury/child-bounties/827", 827)</f>
        <v>827</v>
      </c>
      <c r="B829" s="183">
        <v>32.0</v>
      </c>
      <c r="C829" s="27" t="s">
        <v>3404</v>
      </c>
      <c r="D829" s="27" t="s">
        <v>1397</v>
      </c>
      <c r="E829" s="129">
        <v>44.5110673687</v>
      </c>
      <c r="F829" s="66">
        <v>491.2409180669149</v>
      </c>
      <c r="G829" s="27" t="s">
        <v>3587</v>
      </c>
      <c r="H829" s="167">
        <v>45359.0</v>
      </c>
      <c r="I829" s="167">
        <v>45367.0</v>
      </c>
      <c r="J829" s="66">
        <v>390.1109949988248</v>
      </c>
      <c r="K829" s="1"/>
      <c r="L829" s="1"/>
      <c r="M829" s="1" t="str">
        <f>VLOOKUP(B829,Bounties!A:D,3,FALSE)</f>
        <v>Operations</v>
      </c>
      <c r="N829" s="1" t="str">
        <f>VLOOKUP(B829,Bounties!A:D,4,FALSE)</f>
        <v>RPCs and Nodes</v>
      </c>
      <c r="O829" s="1" t="str">
        <f t="shared" ref="O829:P829" si="833">IF(ISBLANK(K829),M829,K829)</f>
        <v>Operations</v>
      </c>
      <c r="P829" s="1" t="str">
        <f t="shared" si="833"/>
        <v>RPCs and Nodes</v>
      </c>
      <c r="Q829" s="108" t="str">
        <f t="shared" si="3"/>
        <v>2024</v>
      </c>
      <c r="R829" s="110">
        <f t="shared" si="4"/>
        <v>3</v>
      </c>
      <c r="S829" s="108" t="str">
        <f t="shared" si="5"/>
        <v>2024-Q1</v>
      </c>
      <c r="T829" s="111" t="str">
        <f t="shared" si="6"/>
        <v>2024-03</v>
      </c>
      <c r="U829" s="112" t="str">
        <f t="shared" si="7"/>
        <v>2024-H1</v>
      </c>
      <c r="V829" s="1" t="str">
        <f>VLOOKUP(B829,Bounties!A:E,2,FALSE)</f>
        <v>System Parachains Collator Bounty</v>
      </c>
    </row>
    <row r="830" hidden="1">
      <c r="A830" s="109">
        <f>HYPERLINK("https://polkadot.subsquare.io/treasury/child-bounties/828", 828)</f>
        <v>828</v>
      </c>
      <c r="B830" s="183">
        <v>32.0</v>
      </c>
      <c r="C830" s="27" t="s">
        <v>3404</v>
      </c>
      <c r="D830" s="27" t="s">
        <v>1398</v>
      </c>
      <c r="E830" s="129">
        <v>44.5436696953</v>
      </c>
      <c r="F830" s="66">
        <v>491.60072963282136</v>
      </c>
      <c r="G830" s="27" t="s">
        <v>3596</v>
      </c>
      <c r="H830" s="167">
        <v>45359.0</v>
      </c>
      <c r="I830" s="167">
        <v>45367.0</v>
      </c>
      <c r="J830" s="66">
        <v>390.3967335088419</v>
      </c>
      <c r="K830" s="1"/>
      <c r="L830" s="1"/>
      <c r="M830" s="1" t="str">
        <f>VLOOKUP(B830,Bounties!A:D,3,FALSE)</f>
        <v>Operations</v>
      </c>
      <c r="N830" s="1" t="str">
        <f>VLOOKUP(B830,Bounties!A:D,4,FALSE)</f>
        <v>RPCs and Nodes</v>
      </c>
      <c r="O830" s="1" t="str">
        <f t="shared" ref="O830:P830" si="834">IF(ISBLANK(K830),M830,K830)</f>
        <v>Operations</v>
      </c>
      <c r="P830" s="1" t="str">
        <f t="shared" si="834"/>
        <v>RPCs and Nodes</v>
      </c>
      <c r="Q830" s="108" t="str">
        <f t="shared" si="3"/>
        <v>2024</v>
      </c>
      <c r="R830" s="110">
        <f t="shared" si="4"/>
        <v>3</v>
      </c>
      <c r="S830" s="108" t="str">
        <f t="shared" si="5"/>
        <v>2024-Q1</v>
      </c>
      <c r="T830" s="111" t="str">
        <f t="shared" si="6"/>
        <v>2024-03</v>
      </c>
      <c r="U830" s="112" t="str">
        <f t="shared" si="7"/>
        <v>2024-H1</v>
      </c>
      <c r="V830" s="1" t="str">
        <f>VLOOKUP(B830,Bounties!A:E,2,FALSE)</f>
        <v>System Parachains Collator Bounty</v>
      </c>
    </row>
    <row r="831" hidden="1">
      <c r="A831" s="109">
        <f>HYPERLINK("https://polkadot.subsquare.io/treasury/child-bounties/829", 829)</f>
        <v>829</v>
      </c>
      <c r="B831" s="183">
        <v>32.0</v>
      </c>
      <c r="C831" s="27" t="s">
        <v>3404</v>
      </c>
      <c r="D831" s="27" t="s">
        <v>1399</v>
      </c>
      <c r="E831" s="129">
        <v>43.8945870109</v>
      </c>
      <c r="F831" s="66">
        <v>484.4372084540367</v>
      </c>
      <c r="G831" s="27" t="s">
        <v>3606</v>
      </c>
      <c r="H831" s="167">
        <v>45359.0</v>
      </c>
      <c r="I831" s="167">
        <v>45367.0</v>
      </c>
      <c r="J831" s="66">
        <v>384.7079395342932</v>
      </c>
      <c r="K831" s="1"/>
      <c r="L831" s="1"/>
      <c r="M831" s="1" t="str">
        <f>VLOOKUP(B831,Bounties!A:D,3,FALSE)</f>
        <v>Operations</v>
      </c>
      <c r="N831" s="1" t="str">
        <f>VLOOKUP(B831,Bounties!A:D,4,FALSE)</f>
        <v>RPCs and Nodes</v>
      </c>
      <c r="O831" s="1" t="str">
        <f t="shared" ref="O831:P831" si="835">IF(ISBLANK(K831),M831,K831)</f>
        <v>Operations</v>
      </c>
      <c r="P831" s="1" t="str">
        <f t="shared" si="835"/>
        <v>RPCs and Nodes</v>
      </c>
      <c r="Q831" s="108" t="str">
        <f t="shared" si="3"/>
        <v>2024</v>
      </c>
      <c r="R831" s="110">
        <f t="shared" si="4"/>
        <v>3</v>
      </c>
      <c r="S831" s="108" t="str">
        <f t="shared" si="5"/>
        <v>2024-Q1</v>
      </c>
      <c r="T831" s="111" t="str">
        <f t="shared" si="6"/>
        <v>2024-03</v>
      </c>
      <c r="U831" s="112" t="str">
        <f t="shared" si="7"/>
        <v>2024-H1</v>
      </c>
      <c r="V831" s="1" t="str">
        <f>VLOOKUP(B831,Bounties!A:E,2,FALSE)</f>
        <v>System Parachains Collator Bounty</v>
      </c>
    </row>
    <row r="832" hidden="1">
      <c r="A832" s="109">
        <f>HYPERLINK("https://polkadot.subsquare.io/treasury/child-bounties/830", 830)</f>
        <v>830</v>
      </c>
      <c r="B832" s="183">
        <v>32.0</v>
      </c>
      <c r="C832" s="27" t="s">
        <v>3404</v>
      </c>
      <c r="D832" s="27" t="s">
        <v>1400</v>
      </c>
      <c r="E832" s="129">
        <v>44.5762720219</v>
      </c>
      <c r="F832" s="66">
        <v>491.9605411987279</v>
      </c>
      <c r="G832" s="27" t="s">
        <v>3607</v>
      </c>
      <c r="H832" s="167">
        <v>45359.0</v>
      </c>
      <c r="I832" s="167">
        <v>45367.0</v>
      </c>
      <c r="J832" s="66">
        <v>390.6824720188591</v>
      </c>
      <c r="K832" s="1"/>
      <c r="L832" s="1"/>
      <c r="M832" s="1" t="str">
        <f>VLOOKUP(B832,Bounties!A:D,3,FALSE)</f>
        <v>Operations</v>
      </c>
      <c r="N832" s="1" t="str">
        <f>VLOOKUP(B832,Bounties!A:D,4,FALSE)</f>
        <v>RPCs and Nodes</v>
      </c>
      <c r="O832" s="1" t="str">
        <f t="shared" ref="O832:P832" si="836">IF(ISBLANK(K832),M832,K832)</f>
        <v>Operations</v>
      </c>
      <c r="P832" s="1" t="str">
        <f t="shared" si="836"/>
        <v>RPCs and Nodes</v>
      </c>
      <c r="Q832" s="108" t="str">
        <f t="shared" si="3"/>
        <v>2024</v>
      </c>
      <c r="R832" s="110">
        <f t="shared" si="4"/>
        <v>3</v>
      </c>
      <c r="S832" s="108" t="str">
        <f t="shared" si="5"/>
        <v>2024-Q1</v>
      </c>
      <c r="T832" s="111" t="str">
        <f t="shared" si="6"/>
        <v>2024-03</v>
      </c>
      <c r="U832" s="112" t="str">
        <f t="shared" si="7"/>
        <v>2024-H1</v>
      </c>
      <c r="V832" s="1" t="str">
        <f>VLOOKUP(B832,Bounties!A:E,2,FALSE)</f>
        <v>System Parachains Collator Bounty</v>
      </c>
    </row>
    <row r="833" hidden="1">
      <c r="A833" s="109">
        <f>HYPERLINK("https://polkadot.subsquare.io/treasury/child-bounties/831", 831)</f>
        <v>831</v>
      </c>
      <c r="B833" s="183">
        <v>32.0</v>
      </c>
      <c r="C833" s="27" t="s">
        <v>3404</v>
      </c>
      <c r="D833" s="27" t="s">
        <v>1401</v>
      </c>
      <c r="E833" s="129">
        <v>44.6118381964</v>
      </c>
      <c r="F833" s="66">
        <v>492.35306290729056</v>
      </c>
      <c r="G833" s="27" t="s">
        <v>3608</v>
      </c>
      <c r="H833" s="167">
        <v>45359.0</v>
      </c>
      <c r="I833" s="167">
        <v>45367.0</v>
      </c>
      <c r="J833" s="66">
        <v>390.9941867572985</v>
      </c>
      <c r="K833" s="1"/>
      <c r="L833" s="1"/>
      <c r="M833" s="1" t="str">
        <f>VLOOKUP(B833,Bounties!A:D,3,FALSE)</f>
        <v>Operations</v>
      </c>
      <c r="N833" s="1" t="str">
        <f>VLOOKUP(B833,Bounties!A:D,4,FALSE)</f>
        <v>RPCs and Nodes</v>
      </c>
      <c r="O833" s="1" t="str">
        <f t="shared" ref="O833:P833" si="837">IF(ISBLANK(K833),M833,K833)</f>
        <v>Operations</v>
      </c>
      <c r="P833" s="1" t="str">
        <f t="shared" si="837"/>
        <v>RPCs and Nodes</v>
      </c>
      <c r="Q833" s="108" t="str">
        <f t="shared" si="3"/>
        <v>2024</v>
      </c>
      <c r="R833" s="110">
        <f t="shared" si="4"/>
        <v>3</v>
      </c>
      <c r="S833" s="108" t="str">
        <f t="shared" si="5"/>
        <v>2024-Q1</v>
      </c>
      <c r="T833" s="111" t="str">
        <f t="shared" si="6"/>
        <v>2024-03</v>
      </c>
      <c r="U833" s="112" t="str">
        <f t="shared" si="7"/>
        <v>2024-H1</v>
      </c>
      <c r="V833" s="1" t="str">
        <f>VLOOKUP(B833,Bounties!A:E,2,FALSE)</f>
        <v>System Parachains Collator Bounty</v>
      </c>
    </row>
    <row r="834" hidden="1">
      <c r="A834" s="109">
        <f>HYPERLINK("https://polkadot.subsquare.io/treasury/child-bounties/832", 832)</f>
        <v>832</v>
      </c>
      <c r="B834" s="183">
        <v>32.0</v>
      </c>
      <c r="C834" s="27" t="s">
        <v>3404</v>
      </c>
      <c r="D834" s="27" t="s">
        <v>1402</v>
      </c>
      <c r="E834" s="129">
        <v>7.7868168139</v>
      </c>
      <c r="F834" s="66">
        <v>85.9382456231322</v>
      </c>
      <c r="G834" s="27" t="s">
        <v>3407</v>
      </c>
      <c r="H834" s="167">
        <v>45359.0</v>
      </c>
      <c r="I834" s="167">
        <v>45367.0</v>
      </c>
      <c r="J834" s="66">
        <v>68.24646171662516</v>
      </c>
      <c r="K834" s="1"/>
      <c r="L834" s="1"/>
      <c r="M834" s="1" t="str">
        <f>VLOOKUP(B834,Bounties!A:D,3,FALSE)</f>
        <v>Operations</v>
      </c>
      <c r="N834" s="1" t="str">
        <f>VLOOKUP(B834,Bounties!A:D,4,FALSE)</f>
        <v>RPCs and Nodes</v>
      </c>
      <c r="O834" s="1" t="str">
        <f t="shared" ref="O834:P834" si="838">IF(ISBLANK(K834),M834,K834)</f>
        <v>Operations</v>
      </c>
      <c r="P834" s="1" t="str">
        <f t="shared" si="838"/>
        <v>RPCs and Nodes</v>
      </c>
      <c r="Q834" s="108" t="str">
        <f t="shared" si="3"/>
        <v>2024</v>
      </c>
      <c r="R834" s="110">
        <f t="shared" si="4"/>
        <v>3</v>
      </c>
      <c r="S834" s="108" t="str">
        <f t="shared" si="5"/>
        <v>2024-Q1</v>
      </c>
      <c r="T834" s="111" t="str">
        <f t="shared" si="6"/>
        <v>2024-03</v>
      </c>
      <c r="U834" s="112" t="str">
        <f t="shared" si="7"/>
        <v>2024-H1</v>
      </c>
      <c r="V834" s="1" t="str">
        <f>VLOOKUP(B834,Bounties!A:E,2,FALSE)</f>
        <v>System Parachains Collator Bounty</v>
      </c>
    </row>
    <row r="835" hidden="1">
      <c r="A835" s="109">
        <f>HYPERLINK("https://polkadot.subsquare.io/treasury/child-bounties/833", 833)</f>
        <v>833</v>
      </c>
      <c r="B835" s="183">
        <v>32.0</v>
      </c>
      <c r="C835" s="27" t="s">
        <v>3404</v>
      </c>
      <c r="D835" s="27" t="s">
        <v>1403</v>
      </c>
      <c r="E835" s="129">
        <v>7.7868168139</v>
      </c>
      <c r="F835" s="66">
        <v>85.9382456231322</v>
      </c>
      <c r="G835" s="27" t="s">
        <v>3406</v>
      </c>
      <c r="H835" s="167">
        <v>45359.0</v>
      </c>
      <c r="I835" s="167">
        <v>45367.0</v>
      </c>
      <c r="J835" s="66">
        <v>68.24646171662516</v>
      </c>
      <c r="K835" s="1"/>
      <c r="L835" s="1"/>
      <c r="M835" s="1" t="str">
        <f>VLOOKUP(B835,Bounties!A:D,3,FALSE)</f>
        <v>Operations</v>
      </c>
      <c r="N835" s="1" t="str">
        <f>VLOOKUP(B835,Bounties!A:D,4,FALSE)</f>
        <v>RPCs and Nodes</v>
      </c>
      <c r="O835" s="1" t="str">
        <f t="shared" ref="O835:P835" si="839">IF(ISBLANK(K835),M835,K835)</f>
        <v>Operations</v>
      </c>
      <c r="P835" s="1" t="str">
        <f t="shared" si="839"/>
        <v>RPCs and Nodes</v>
      </c>
      <c r="Q835" s="108" t="str">
        <f t="shared" si="3"/>
        <v>2024</v>
      </c>
      <c r="R835" s="110">
        <f t="shared" si="4"/>
        <v>3</v>
      </c>
      <c r="S835" s="108" t="str">
        <f t="shared" si="5"/>
        <v>2024-Q1</v>
      </c>
      <c r="T835" s="111" t="str">
        <f t="shared" si="6"/>
        <v>2024-03</v>
      </c>
      <c r="U835" s="112" t="str">
        <f t="shared" si="7"/>
        <v>2024-H1</v>
      </c>
      <c r="V835" s="1" t="str">
        <f>VLOOKUP(B835,Bounties!A:E,2,FALSE)</f>
        <v>System Parachains Collator Bounty</v>
      </c>
    </row>
    <row r="836" hidden="1">
      <c r="A836" s="109">
        <f>HYPERLINK("https://polkadot.subsquare.io/treasury/child-bounties/834", 834)</f>
        <v>834</v>
      </c>
      <c r="B836" s="183">
        <v>32.0</v>
      </c>
      <c r="C836" s="27" t="s">
        <v>3404</v>
      </c>
      <c r="D836" s="27" t="s">
        <v>1404</v>
      </c>
      <c r="E836" s="129">
        <v>7.7868168139</v>
      </c>
      <c r="F836" s="66">
        <v>85.9382456231322</v>
      </c>
      <c r="G836" s="27" t="s">
        <v>3411</v>
      </c>
      <c r="H836" s="167">
        <v>45359.0</v>
      </c>
      <c r="I836" s="167">
        <v>45367.0</v>
      </c>
      <c r="J836" s="66">
        <v>68.24646171662516</v>
      </c>
      <c r="K836" s="1"/>
      <c r="L836" s="1"/>
      <c r="M836" s="1" t="str">
        <f>VLOOKUP(B836,Bounties!A:D,3,FALSE)</f>
        <v>Operations</v>
      </c>
      <c r="N836" s="1" t="str">
        <f>VLOOKUP(B836,Bounties!A:D,4,FALSE)</f>
        <v>RPCs and Nodes</v>
      </c>
      <c r="O836" s="1" t="str">
        <f t="shared" ref="O836:P836" si="840">IF(ISBLANK(K836),M836,K836)</f>
        <v>Operations</v>
      </c>
      <c r="P836" s="1" t="str">
        <f t="shared" si="840"/>
        <v>RPCs and Nodes</v>
      </c>
      <c r="Q836" s="108" t="str">
        <f t="shared" si="3"/>
        <v>2024</v>
      </c>
      <c r="R836" s="110">
        <f t="shared" si="4"/>
        <v>3</v>
      </c>
      <c r="S836" s="108" t="str">
        <f t="shared" si="5"/>
        <v>2024-Q1</v>
      </c>
      <c r="T836" s="111" t="str">
        <f t="shared" si="6"/>
        <v>2024-03</v>
      </c>
      <c r="U836" s="112" t="str">
        <f t="shared" si="7"/>
        <v>2024-H1</v>
      </c>
      <c r="V836" s="1" t="str">
        <f>VLOOKUP(B836,Bounties!A:E,2,FALSE)</f>
        <v>System Parachains Collator Bounty</v>
      </c>
    </row>
    <row r="837" hidden="1">
      <c r="A837" s="109">
        <f>HYPERLINK("https://polkadot.subsquare.io/treasury/child-bounties/835", 835)</f>
        <v>835</v>
      </c>
      <c r="B837" s="183">
        <v>11.0</v>
      </c>
      <c r="C837" s="27" t="s">
        <v>3404</v>
      </c>
      <c r="D837" s="27" t="s">
        <v>1405</v>
      </c>
      <c r="E837" s="129">
        <v>112.07</v>
      </c>
      <c r="F837" s="66">
        <v>1086.725104637146</v>
      </c>
      <c r="G837" s="27" t="s">
        <v>3470</v>
      </c>
      <c r="H837" s="167">
        <v>45365.0</v>
      </c>
      <c r="I837" s="167">
        <v>45377.0</v>
      </c>
      <c r="J837" s="66">
        <v>1066.5456302261352</v>
      </c>
      <c r="K837" s="1"/>
      <c r="L837" s="1"/>
      <c r="M837" s="1" t="str">
        <f>VLOOKUP(B837,Bounties!A:D,3,FALSE)</f>
        <v>Research</v>
      </c>
      <c r="N837" s="1" t="str">
        <f>VLOOKUP(B837,Bounties!A:D,4,FALSE)</f>
        <v>Anti-Scam</v>
      </c>
      <c r="O837" s="1" t="str">
        <f t="shared" ref="O837:P837" si="841">IF(ISBLANK(K837),M837,K837)</f>
        <v>Research</v>
      </c>
      <c r="P837" s="1" t="str">
        <f t="shared" si="841"/>
        <v>Anti-Scam</v>
      </c>
      <c r="Q837" s="108" t="str">
        <f t="shared" si="3"/>
        <v>2024</v>
      </c>
      <c r="R837" s="110">
        <f t="shared" si="4"/>
        <v>3</v>
      </c>
      <c r="S837" s="108" t="str">
        <f t="shared" si="5"/>
        <v>2024-Q1</v>
      </c>
      <c r="T837" s="111" t="str">
        <f t="shared" si="6"/>
        <v>2024-03</v>
      </c>
      <c r="U837" s="112" t="str">
        <f t="shared" si="7"/>
        <v>2024-H1</v>
      </c>
      <c r="V837" s="1" t="str">
        <f>VLOOKUP(B837,Bounties!A:E,2,FALSE)</f>
        <v>Anti-Scam Bounty</v>
      </c>
    </row>
    <row r="838" hidden="1">
      <c r="A838" s="109">
        <f>HYPERLINK("https://polkadot.subsquare.io/treasury/child-bounties/836", 836)</f>
        <v>836</v>
      </c>
      <c r="B838" s="183">
        <v>11.0</v>
      </c>
      <c r="C838" s="27" t="s">
        <v>3404</v>
      </c>
      <c r="D838" s="27" t="s">
        <v>1406</v>
      </c>
      <c r="E838" s="129">
        <v>75.98</v>
      </c>
      <c r="F838" s="66">
        <v>736.7660698699951</v>
      </c>
      <c r="G838" s="27" t="s">
        <v>3469</v>
      </c>
      <c r="H838" s="167">
        <v>45365.0</v>
      </c>
      <c r="I838" s="167">
        <v>45380.0</v>
      </c>
      <c r="J838" s="66">
        <v>732.646708946228</v>
      </c>
      <c r="K838" s="1"/>
      <c r="L838" s="1"/>
      <c r="M838" s="1" t="str">
        <f>VLOOKUP(B838,Bounties!A:D,3,FALSE)</f>
        <v>Research</v>
      </c>
      <c r="N838" s="1" t="str">
        <f>VLOOKUP(B838,Bounties!A:D,4,FALSE)</f>
        <v>Anti-Scam</v>
      </c>
      <c r="O838" s="1" t="str">
        <f t="shared" ref="O838:P838" si="842">IF(ISBLANK(K838),M838,K838)</f>
        <v>Research</v>
      </c>
      <c r="P838" s="1" t="str">
        <f t="shared" si="842"/>
        <v>Anti-Scam</v>
      </c>
      <c r="Q838" s="108" t="str">
        <f t="shared" si="3"/>
        <v>2024</v>
      </c>
      <c r="R838" s="110">
        <f t="shared" si="4"/>
        <v>3</v>
      </c>
      <c r="S838" s="108" t="str">
        <f t="shared" si="5"/>
        <v>2024-Q1</v>
      </c>
      <c r="T838" s="111" t="str">
        <f t="shared" si="6"/>
        <v>2024-03</v>
      </c>
      <c r="U838" s="112" t="str">
        <f t="shared" si="7"/>
        <v>2024-H1</v>
      </c>
      <c r="V838" s="1" t="str">
        <f>VLOOKUP(B838,Bounties!A:E,2,FALSE)</f>
        <v>Anti-Scam Bounty</v>
      </c>
    </row>
    <row r="839" hidden="1">
      <c r="A839" s="109">
        <f>HYPERLINK("https://polkadot.subsquare.io/treasury/child-bounties/837", 837)</f>
        <v>837</v>
      </c>
      <c r="B839" s="183">
        <v>11.0</v>
      </c>
      <c r="C839" s="27" t="s">
        <v>3404</v>
      </c>
      <c r="D839" s="27" t="s">
        <v>1407</v>
      </c>
      <c r="E839" s="129">
        <v>151.96</v>
      </c>
      <c r="F839" s="66">
        <v>1473.5321397399903</v>
      </c>
      <c r="G839" s="27" t="s">
        <v>3424</v>
      </c>
      <c r="H839" s="167">
        <v>45365.0</v>
      </c>
      <c r="I839" s="167">
        <v>45379.0</v>
      </c>
      <c r="J839" s="66">
        <v>1433.5506443023683</v>
      </c>
      <c r="K839" s="1"/>
      <c r="L839" s="1"/>
      <c r="M839" s="1" t="str">
        <f>VLOOKUP(B839,Bounties!A:D,3,FALSE)</f>
        <v>Research</v>
      </c>
      <c r="N839" s="1" t="str">
        <f>VLOOKUP(B839,Bounties!A:D,4,FALSE)</f>
        <v>Anti-Scam</v>
      </c>
      <c r="O839" s="1" t="str">
        <f t="shared" ref="O839:P839" si="843">IF(ISBLANK(K839),M839,K839)</f>
        <v>Research</v>
      </c>
      <c r="P839" s="1" t="str">
        <f t="shared" si="843"/>
        <v>Anti-Scam</v>
      </c>
      <c r="Q839" s="108" t="str">
        <f t="shared" si="3"/>
        <v>2024</v>
      </c>
      <c r="R839" s="110">
        <f t="shared" si="4"/>
        <v>3</v>
      </c>
      <c r="S839" s="108" t="str">
        <f t="shared" si="5"/>
        <v>2024-Q1</v>
      </c>
      <c r="T839" s="111" t="str">
        <f t="shared" si="6"/>
        <v>2024-03</v>
      </c>
      <c r="U839" s="112" t="str">
        <f t="shared" si="7"/>
        <v>2024-H1</v>
      </c>
      <c r="V839" s="1" t="str">
        <f>VLOOKUP(B839,Bounties!A:E,2,FALSE)</f>
        <v>Anti-Scam Bounty</v>
      </c>
    </row>
    <row r="840" hidden="1">
      <c r="A840" s="109">
        <f>HYPERLINK("https://polkadot.subsquare.io/treasury/child-bounties/838", 838)</f>
        <v>838</v>
      </c>
      <c r="B840" s="183">
        <v>11.0</v>
      </c>
      <c r="C840" s="27" t="s">
        <v>3404</v>
      </c>
      <c r="D840" s="27" t="s">
        <v>1408</v>
      </c>
      <c r="E840" s="129">
        <v>28.49</v>
      </c>
      <c r="F840" s="66">
        <v>276.26303409576417</v>
      </c>
      <c r="G840" s="27" t="s">
        <v>3562</v>
      </c>
      <c r="H840" s="167">
        <v>45365.0</v>
      </c>
      <c r="I840" s="167">
        <v>45377.0</v>
      </c>
      <c r="J840" s="66">
        <v>271.1330865097046</v>
      </c>
      <c r="K840" s="1"/>
      <c r="L840" s="1"/>
      <c r="M840" s="1" t="str">
        <f>VLOOKUP(B840,Bounties!A:D,3,FALSE)</f>
        <v>Research</v>
      </c>
      <c r="N840" s="1" t="str">
        <f>VLOOKUP(B840,Bounties!A:D,4,FALSE)</f>
        <v>Anti-Scam</v>
      </c>
      <c r="O840" s="1" t="str">
        <f t="shared" ref="O840:P840" si="844">IF(ISBLANK(K840),M840,K840)</f>
        <v>Research</v>
      </c>
      <c r="P840" s="1" t="str">
        <f t="shared" si="844"/>
        <v>Anti-Scam</v>
      </c>
      <c r="Q840" s="108" t="str">
        <f t="shared" si="3"/>
        <v>2024</v>
      </c>
      <c r="R840" s="110">
        <f t="shared" si="4"/>
        <v>3</v>
      </c>
      <c r="S840" s="108" t="str">
        <f t="shared" si="5"/>
        <v>2024-Q1</v>
      </c>
      <c r="T840" s="111" t="str">
        <f t="shared" si="6"/>
        <v>2024-03</v>
      </c>
      <c r="U840" s="112" t="str">
        <f t="shared" si="7"/>
        <v>2024-H1</v>
      </c>
      <c r="V840" s="1" t="str">
        <f>VLOOKUP(B840,Bounties!A:E,2,FALSE)</f>
        <v>Anti-Scam Bounty</v>
      </c>
    </row>
    <row r="841" hidden="1">
      <c r="A841" s="109">
        <f>HYPERLINK("https://polkadot.subsquare.io/treasury/child-bounties/839", 839)</f>
        <v>839</v>
      </c>
      <c r="B841" s="183">
        <v>11.0</v>
      </c>
      <c r="C841" s="27" t="s">
        <v>3404</v>
      </c>
      <c r="D841" s="27" t="s">
        <v>1409</v>
      </c>
      <c r="E841" s="129">
        <v>56.98</v>
      </c>
      <c r="F841" s="66">
        <v>552.5260681915283</v>
      </c>
      <c r="G841" s="27" t="s">
        <v>3423</v>
      </c>
      <c r="H841" s="167">
        <v>45365.0</v>
      </c>
      <c r="I841" s="167">
        <v>45378.0</v>
      </c>
      <c r="J841" s="66">
        <v>546.7934859848023</v>
      </c>
      <c r="K841" s="1"/>
      <c r="L841" s="1"/>
      <c r="M841" s="1" t="str">
        <f>VLOOKUP(B841,Bounties!A:D,3,FALSE)</f>
        <v>Research</v>
      </c>
      <c r="N841" s="1" t="str">
        <f>VLOOKUP(B841,Bounties!A:D,4,FALSE)</f>
        <v>Anti-Scam</v>
      </c>
      <c r="O841" s="1" t="str">
        <f t="shared" ref="O841:P841" si="845">IF(ISBLANK(K841),M841,K841)</f>
        <v>Research</v>
      </c>
      <c r="P841" s="1" t="str">
        <f t="shared" si="845"/>
        <v>Anti-Scam</v>
      </c>
      <c r="Q841" s="108" t="str">
        <f t="shared" si="3"/>
        <v>2024</v>
      </c>
      <c r="R841" s="110">
        <f t="shared" si="4"/>
        <v>3</v>
      </c>
      <c r="S841" s="108" t="str">
        <f t="shared" si="5"/>
        <v>2024-Q1</v>
      </c>
      <c r="T841" s="111" t="str">
        <f t="shared" si="6"/>
        <v>2024-03</v>
      </c>
      <c r="U841" s="112" t="str">
        <f t="shared" si="7"/>
        <v>2024-H1</v>
      </c>
      <c r="V841" s="1" t="str">
        <f>VLOOKUP(B841,Bounties!A:E,2,FALSE)</f>
        <v>Anti-Scam Bounty</v>
      </c>
    </row>
    <row r="842" hidden="1">
      <c r="A842" s="109">
        <f>HYPERLINK("https://polkadot.subsquare.io/treasury/child-bounties/840", 840)</f>
        <v>840</v>
      </c>
      <c r="B842" s="183">
        <v>33.0</v>
      </c>
      <c r="C842" s="27" t="s">
        <v>3427</v>
      </c>
      <c r="D842" s="27" t="s">
        <v>3629</v>
      </c>
      <c r="E842" s="129">
        <v>9310.98</v>
      </c>
      <c r="F842" s="66">
        <v>92247.58671455384</v>
      </c>
      <c r="H842" s="167">
        <v>45366.0</v>
      </c>
      <c r="I842" s="167">
        <v>45377.0</v>
      </c>
      <c r="J842" s="66">
        <v>88610.55618919373</v>
      </c>
      <c r="K842" s="1"/>
      <c r="L842" s="1"/>
      <c r="M842" s="1" t="str">
        <f>VLOOKUP(B842,Bounties!A:D,3,FALSE)</f>
        <v>Outreach</v>
      </c>
      <c r="N842" s="1" t="str">
        <f>VLOOKUP(B842,Bounties!A:D,4,FALSE)</f>
        <v>Advertising</v>
      </c>
      <c r="O842" s="1" t="str">
        <f t="shared" ref="O842:P842" si="846">IF(ISBLANK(K842),M842,K842)</f>
        <v>Outreach</v>
      </c>
      <c r="P842" s="1" t="str">
        <f t="shared" si="846"/>
        <v>Advertising</v>
      </c>
      <c r="Q842" s="108" t="str">
        <f t="shared" si="3"/>
        <v>2024</v>
      </c>
      <c r="R842" s="110">
        <f t="shared" si="4"/>
        <v>3</v>
      </c>
      <c r="S842" s="108" t="str">
        <f t="shared" si="5"/>
        <v>2024-Q1</v>
      </c>
      <c r="T842" s="111" t="str">
        <f t="shared" si="6"/>
        <v>2024-03</v>
      </c>
      <c r="U842" s="112" t="str">
        <f t="shared" si="7"/>
        <v>2024-H1</v>
      </c>
      <c r="V842" s="1" t="str">
        <f>VLOOKUP(B842,Bounties!A:E,2,FALSE)</f>
        <v>Marketing Bounty</v>
      </c>
    </row>
    <row r="843" hidden="1">
      <c r="A843" s="109">
        <f>HYPERLINK("https://polkadot.subsquare.io/treasury/child-bounties/841", 841)</f>
        <v>841</v>
      </c>
      <c r="B843" s="183">
        <v>33.0</v>
      </c>
      <c r="C843" s="27" t="s">
        <v>3404</v>
      </c>
      <c r="D843" s="27" t="s">
        <v>1410</v>
      </c>
      <c r="E843" s="129">
        <v>33100.0</v>
      </c>
      <c r="F843" s="66">
        <v>327934.88121032715</v>
      </c>
      <c r="G843" s="27" t="s">
        <v>3611</v>
      </c>
      <c r="H843" s="167">
        <v>45366.0</v>
      </c>
      <c r="I843" s="167">
        <v>45375.0</v>
      </c>
      <c r="J843" s="66">
        <v>320758.0207824707</v>
      </c>
      <c r="K843" s="1" t="s">
        <v>137</v>
      </c>
      <c r="L843" s="1" t="s">
        <v>254</v>
      </c>
      <c r="M843" s="1" t="str">
        <f>VLOOKUP(B843,Bounties!A:D,3,FALSE)</f>
        <v>Outreach</v>
      </c>
      <c r="N843" s="1" t="str">
        <f>VLOOKUP(B843,Bounties!A:D,4,FALSE)</f>
        <v>Advertising</v>
      </c>
      <c r="O843" s="1" t="str">
        <f t="shared" ref="O843:P843" si="847">IF(ISBLANK(K843),M843,K843)</f>
        <v>Outreach</v>
      </c>
      <c r="P843" s="1" t="str">
        <f t="shared" si="847"/>
        <v>Advertising/Digital Ads</v>
      </c>
      <c r="Q843" s="108" t="str">
        <f t="shared" si="3"/>
        <v>2024</v>
      </c>
      <c r="R843" s="110">
        <f t="shared" si="4"/>
        <v>3</v>
      </c>
      <c r="S843" s="108" t="str">
        <f t="shared" si="5"/>
        <v>2024-Q1</v>
      </c>
      <c r="T843" s="111" t="str">
        <f t="shared" si="6"/>
        <v>2024-03</v>
      </c>
      <c r="U843" s="112" t="str">
        <f t="shared" si="7"/>
        <v>2024-H1</v>
      </c>
      <c r="V843" s="1" t="str">
        <f>VLOOKUP(B843,Bounties!A:E,2,FALSE)</f>
        <v>Marketing Bounty</v>
      </c>
    </row>
    <row r="844" hidden="1">
      <c r="A844" s="109">
        <f>HYPERLINK("https://polkadot.subsquare.io/treasury/child-bounties/842", 842)</f>
        <v>842</v>
      </c>
      <c r="B844" s="183">
        <v>17.0</v>
      </c>
      <c r="C844" s="27" t="s">
        <v>3404</v>
      </c>
      <c r="D844" s="27" t="s">
        <v>1411</v>
      </c>
      <c r="E844" s="129">
        <v>508.8</v>
      </c>
      <c r="F844" s="66">
        <v>4459.306100463868</v>
      </c>
      <c r="G844" s="27" t="s">
        <v>3630</v>
      </c>
      <c r="H844" s="167">
        <v>45367.0</v>
      </c>
      <c r="I844" s="167">
        <v>45387.0</v>
      </c>
      <c r="J844" s="66">
        <v>4601.917474365235</v>
      </c>
      <c r="K844" s="1"/>
      <c r="L844" s="1" t="s">
        <v>266</v>
      </c>
      <c r="M844" s="1" t="str">
        <f>VLOOKUP(B844,Bounties!A:D,3,FALSE)</f>
        <v>Outreach</v>
      </c>
      <c r="N844" s="1" t="str">
        <f>VLOOKUP(B844,Bounties!A:D,4,FALSE)</f>
        <v>Events/Meetups</v>
      </c>
      <c r="O844" s="1" t="str">
        <f t="shared" ref="O844:P844" si="848">IF(ISBLANK(K844),M844,K844)</f>
        <v>Outreach</v>
      </c>
      <c r="P844" s="1" t="str">
        <f t="shared" si="848"/>
        <v>Events/Conference Attendance &amp; Side Events</v>
      </c>
      <c r="Q844" s="108" t="str">
        <f t="shared" si="3"/>
        <v>2024</v>
      </c>
      <c r="R844" s="110">
        <f t="shared" si="4"/>
        <v>4</v>
      </c>
      <c r="S844" s="108" t="str">
        <f t="shared" si="5"/>
        <v>2024-Q2</v>
      </c>
      <c r="T844" s="111" t="str">
        <f t="shared" si="6"/>
        <v>2024-04</v>
      </c>
      <c r="U844" s="112" t="str">
        <f t="shared" si="7"/>
        <v>2024-H1</v>
      </c>
      <c r="V844" s="1" t="str">
        <f>VLOOKUP(B844,Bounties!A:E,2,FALSE)</f>
        <v>Events Bounty</v>
      </c>
    </row>
    <row r="845" hidden="1">
      <c r="A845" s="109">
        <f>HYPERLINK("https://polkadot.subsquare.io/treasury/child-bounties/843", 843)</f>
        <v>843</v>
      </c>
      <c r="B845" s="183">
        <v>17.0</v>
      </c>
      <c r="C845" s="27" t="s">
        <v>3404</v>
      </c>
      <c r="D845" s="27" t="s">
        <v>1412</v>
      </c>
      <c r="E845" s="129">
        <v>275.6</v>
      </c>
      <c r="F845" s="66">
        <v>2415.457471084595</v>
      </c>
      <c r="G845" s="27" t="s">
        <v>3631</v>
      </c>
      <c r="H845" s="167">
        <v>45367.0</v>
      </c>
      <c r="I845" s="167">
        <v>45384.0</v>
      </c>
      <c r="J845" s="66">
        <v>2312.0181079864506</v>
      </c>
      <c r="K845" s="1"/>
      <c r="L845" s="1" t="s">
        <v>266</v>
      </c>
      <c r="M845" s="1" t="str">
        <f>VLOOKUP(B845,Bounties!A:D,3,FALSE)</f>
        <v>Outreach</v>
      </c>
      <c r="N845" s="1" t="str">
        <f>VLOOKUP(B845,Bounties!A:D,4,FALSE)</f>
        <v>Events/Meetups</v>
      </c>
      <c r="O845" s="1" t="str">
        <f t="shared" ref="O845:P845" si="849">IF(ISBLANK(K845),M845,K845)</f>
        <v>Outreach</v>
      </c>
      <c r="P845" s="1" t="str">
        <f t="shared" si="849"/>
        <v>Events/Conference Attendance &amp; Side Events</v>
      </c>
      <c r="Q845" s="108" t="str">
        <f t="shared" si="3"/>
        <v>2024</v>
      </c>
      <c r="R845" s="110">
        <f t="shared" si="4"/>
        <v>4</v>
      </c>
      <c r="S845" s="108" t="str">
        <f t="shared" si="5"/>
        <v>2024-Q2</v>
      </c>
      <c r="T845" s="111" t="str">
        <f t="shared" si="6"/>
        <v>2024-04</v>
      </c>
      <c r="U845" s="112" t="str">
        <f t="shared" si="7"/>
        <v>2024-H1</v>
      </c>
      <c r="V845" s="1" t="str">
        <f>VLOOKUP(B845,Bounties!A:E,2,FALSE)</f>
        <v>Events Bounty</v>
      </c>
    </row>
    <row r="846" hidden="1">
      <c r="A846" s="109">
        <f>HYPERLINK("https://polkadot.subsquare.io/treasury/child-bounties/844", 844)</f>
        <v>844</v>
      </c>
      <c r="B846" s="183">
        <v>17.0</v>
      </c>
      <c r="C846" s="27" t="s">
        <v>3404</v>
      </c>
      <c r="D846" s="27" t="s">
        <v>1413</v>
      </c>
      <c r="E846" s="129">
        <v>8722.9</v>
      </c>
      <c r="F846" s="66">
        <v>76450.6312573433</v>
      </c>
      <c r="G846" s="27" t="s">
        <v>3632</v>
      </c>
      <c r="H846" s="167">
        <v>45367.0</v>
      </c>
      <c r="I846" s="167">
        <v>45386.0</v>
      </c>
      <c r="J846" s="66">
        <v>75947.90087280273</v>
      </c>
      <c r="K846" s="1"/>
      <c r="L846" s="1" t="s">
        <v>266</v>
      </c>
      <c r="M846" s="1" t="str">
        <f>VLOOKUP(B846,Bounties!A:D,3,FALSE)</f>
        <v>Outreach</v>
      </c>
      <c r="N846" s="1" t="str">
        <f>VLOOKUP(B846,Bounties!A:D,4,FALSE)</f>
        <v>Events/Meetups</v>
      </c>
      <c r="O846" s="1" t="str">
        <f t="shared" ref="O846:P846" si="850">IF(ISBLANK(K846),M846,K846)</f>
        <v>Outreach</v>
      </c>
      <c r="P846" s="1" t="str">
        <f t="shared" si="850"/>
        <v>Events/Conference Attendance &amp; Side Events</v>
      </c>
      <c r="Q846" s="108" t="str">
        <f t="shared" si="3"/>
        <v>2024</v>
      </c>
      <c r="R846" s="110">
        <f t="shared" si="4"/>
        <v>4</v>
      </c>
      <c r="S846" s="108" t="str">
        <f t="shared" si="5"/>
        <v>2024-Q2</v>
      </c>
      <c r="T846" s="111" t="str">
        <f t="shared" si="6"/>
        <v>2024-04</v>
      </c>
      <c r="U846" s="112" t="str">
        <f t="shared" si="7"/>
        <v>2024-H1</v>
      </c>
      <c r="V846" s="1" t="str">
        <f>VLOOKUP(B846,Bounties!A:E,2,FALSE)</f>
        <v>Events Bounty</v>
      </c>
    </row>
    <row r="847" hidden="1">
      <c r="A847" s="109">
        <f>HYPERLINK("https://polkadot.subsquare.io/treasury/child-bounties/845", 845)</f>
        <v>845</v>
      </c>
      <c r="B847" s="183">
        <v>17.0</v>
      </c>
      <c r="C847" s="27" t="s">
        <v>3404</v>
      </c>
      <c r="D847" s="27" t="s">
        <v>1414</v>
      </c>
      <c r="E847" s="129">
        <v>6865.6</v>
      </c>
      <c r="F847" s="66">
        <v>60172.58640594483</v>
      </c>
      <c r="G847" s="27" t="s">
        <v>3633</v>
      </c>
      <c r="H847" s="167">
        <v>45367.0</v>
      </c>
      <c r="I847" s="167">
        <v>45388.0</v>
      </c>
      <c r="J847" s="66">
        <v>59456.45506744385</v>
      </c>
      <c r="K847" s="1"/>
      <c r="L847" s="1" t="s">
        <v>266</v>
      </c>
      <c r="M847" s="1" t="str">
        <f>VLOOKUP(B847,Bounties!A:D,3,FALSE)</f>
        <v>Outreach</v>
      </c>
      <c r="N847" s="1" t="str">
        <f>VLOOKUP(B847,Bounties!A:D,4,FALSE)</f>
        <v>Events/Meetups</v>
      </c>
      <c r="O847" s="1" t="str">
        <f t="shared" ref="O847:P847" si="851">IF(ISBLANK(K847),M847,K847)</f>
        <v>Outreach</v>
      </c>
      <c r="P847" s="1" t="str">
        <f t="shared" si="851"/>
        <v>Events/Conference Attendance &amp; Side Events</v>
      </c>
      <c r="Q847" s="108" t="str">
        <f t="shared" si="3"/>
        <v>2024</v>
      </c>
      <c r="R847" s="110">
        <f t="shared" si="4"/>
        <v>4</v>
      </c>
      <c r="S847" s="108" t="str">
        <f t="shared" si="5"/>
        <v>2024-Q2</v>
      </c>
      <c r="T847" s="111" t="str">
        <f t="shared" si="6"/>
        <v>2024-04</v>
      </c>
      <c r="U847" s="112" t="str">
        <f t="shared" si="7"/>
        <v>2024-H1</v>
      </c>
      <c r="V847" s="1" t="str">
        <f>VLOOKUP(B847,Bounties!A:E,2,FALSE)</f>
        <v>Events Bounty</v>
      </c>
    </row>
    <row r="848" hidden="1">
      <c r="A848" s="109">
        <f>HYPERLINK("https://polkadot.subsquare.io/treasury/child-bounties/846", 846)</f>
        <v>846</v>
      </c>
      <c r="B848" s="183">
        <v>17.0</v>
      </c>
      <c r="C848" s="27" t="s">
        <v>3404</v>
      </c>
      <c r="D848" s="27" t="s">
        <v>1415</v>
      </c>
      <c r="E848" s="129">
        <v>4854.9</v>
      </c>
      <c r="F848" s="66">
        <v>42550.08881120681</v>
      </c>
      <c r="G848" s="27" t="s">
        <v>3634</v>
      </c>
      <c r="H848" s="167">
        <v>45367.0</v>
      </c>
      <c r="I848" s="167">
        <v>45389.0</v>
      </c>
      <c r="J848" s="66">
        <v>40872.924617958066</v>
      </c>
      <c r="K848" s="1"/>
      <c r="L848" s="1"/>
      <c r="M848" s="1" t="str">
        <f>VLOOKUP(B848,Bounties!A:D,3,FALSE)</f>
        <v>Outreach</v>
      </c>
      <c r="N848" s="1" t="str">
        <f>VLOOKUP(B848,Bounties!A:D,4,FALSE)</f>
        <v>Events/Meetups</v>
      </c>
      <c r="O848" s="1" t="str">
        <f t="shared" ref="O848:P848" si="852">IF(ISBLANK(K848),M848,K848)</f>
        <v>Outreach</v>
      </c>
      <c r="P848" s="1" t="str">
        <f t="shared" si="852"/>
        <v>Events/Meetups</v>
      </c>
      <c r="Q848" s="108" t="str">
        <f t="shared" si="3"/>
        <v>2024</v>
      </c>
      <c r="R848" s="110">
        <f t="shared" si="4"/>
        <v>4</v>
      </c>
      <c r="S848" s="108" t="str">
        <f t="shared" si="5"/>
        <v>2024-Q2</v>
      </c>
      <c r="T848" s="111" t="str">
        <f t="shared" si="6"/>
        <v>2024-04</v>
      </c>
      <c r="U848" s="112" t="str">
        <f t="shared" si="7"/>
        <v>2024-H1</v>
      </c>
      <c r="V848" s="1" t="str">
        <f>VLOOKUP(B848,Bounties!A:E,2,FALSE)</f>
        <v>Events Bounty</v>
      </c>
    </row>
    <row r="849" hidden="1">
      <c r="A849" s="109">
        <f>HYPERLINK("https://polkadot.subsquare.io/treasury/child-bounties/847", 847)</f>
        <v>847</v>
      </c>
      <c r="B849" s="183">
        <v>17.0</v>
      </c>
      <c r="C849" s="27" t="s">
        <v>3404</v>
      </c>
      <c r="D849" s="27" t="s">
        <v>1416</v>
      </c>
      <c r="E849" s="129">
        <v>289.7</v>
      </c>
      <c r="F849" s="66">
        <v>2539.034939670563</v>
      </c>
      <c r="G849" s="27" t="s">
        <v>3635</v>
      </c>
      <c r="H849" s="167">
        <v>45367.0</v>
      </c>
      <c r="I849" s="167">
        <v>45409.0</v>
      </c>
      <c r="J849" s="66">
        <v>1860.5223118305205</v>
      </c>
      <c r="K849" s="1"/>
      <c r="L849" s="1"/>
      <c r="M849" s="1" t="str">
        <f>VLOOKUP(B849,Bounties!A:D,3,FALSE)</f>
        <v>Outreach</v>
      </c>
      <c r="N849" s="1" t="str">
        <f>VLOOKUP(B849,Bounties!A:D,4,FALSE)</f>
        <v>Events/Meetups</v>
      </c>
      <c r="O849" s="1" t="str">
        <f t="shared" ref="O849:P849" si="853">IF(ISBLANK(K849),M849,K849)</f>
        <v>Outreach</v>
      </c>
      <c r="P849" s="1" t="str">
        <f t="shared" si="853"/>
        <v>Events/Meetups</v>
      </c>
      <c r="Q849" s="108" t="str">
        <f t="shared" si="3"/>
        <v>2024</v>
      </c>
      <c r="R849" s="110">
        <f t="shared" si="4"/>
        <v>4</v>
      </c>
      <c r="S849" s="108" t="str">
        <f t="shared" si="5"/>
        <v>2024-Q2</v>
      </c>
      <c r="T849" s="111" t="str">
        <f t="shared" si="6"/>
        <v>2024-04</v>
      </c>
      <c r="U849" s="112" t="str">
        <f t="shared" si="7"/>
        <v>2024-H1</v>
      </c>
      <c r="V849" s="1" t="str">
        <f>VLOOKUP(B849,Bounties!A:E,2,FALSE)</f>
        <v>Events Bounty</v>
      </c>
    </row>
    <row r="850" hidden="1">
      <c r="A850" s="109">
        <f>HYPERLINK("https://polkadot.subsquare.io/treasury/child-bounties/848", 848)</f>
        <v>848</v>
      </c>
      <c r="B850" s="183">
        <v>17.0</v>
      </c>
      <c r="C850" s="27" t="s">
        <v>3404</v>
      </c>
      <c r="D850" s="27" t="s">
        <v>1417</v>
      </c>
      <c r="E850" s="129">
        <v>135.3</v>
      </c>
      <c r="F850" s="66">
        <v>1185.8178368568422</v>
      </c>
      <c r="G850" s="27" t="s">
        <v>3636</v>
      </c>
      <c r="H850" s="167">
        <v>45367.0</v>
      </c>
      <c r="I850" s="167">
        <v>45385.0</v>
      </c>
      <c r="J850" s="66">
        <v>1149.2634201049805</v>
      </c>
      <c r="K850" s="1"/>
      <c r="L850" s="1"/>
      <c r="M850" s="1" t="str">
        <f>VLOOKUP(B850,Bounties!A:D,3,FALSE)</f>
        <v>Outreach</v>
      </c>
      <c r="N850" s="1" t="str">
        <f>VLOOKUP(B850,Bounties!A:D,4,FALSE)</f>
        <v>Events/Meetups</v>
      </c>
      <c r="O850" s="1" t="str">
        <f t="shared" ref="O850:P850" si="854">IF(ISBLANK(K850),M850,K850)</f>
        <v>Outreach</v>
      </c>
      <c r="P850" s="1" t="str">
        <f t="shared" si="854"/>
        <v>Events/Meetups</v>
      </c>
      <c r="Q850" s="108" t="str">
        <f t="shared" si="3"/>
        <v>2024</v>
      </c>
      <c r="R850" s="110">
        <f t="shared" si="4"/>
        <v>4</v>
      </c>
      <c r="S850" s="108" t="str">
        <f t="shared" si="5"/>
        <v>2024-Q2</v>
      </c>
      <c r="T850" s="111" t="str">
        <f t="shared" si="6"/>
        <v>2024-04</v>
      </c>
      <c r="U850" s="112" t="str">
        <f t="shared" si="7"/>
        <v>2024-H1</v>
      </c>
      <c r="V850" s="1" t="str">
        <f>VLOOKUP(B850,Bounties!A:E,2,FALSE)</f>
        <v>Events Bounty</v>
      </c>
    </row>
    <row r="851" hidden="1">
      <c r="A851" s="109">
        <f>HYPERLINK("https://polkadot.subsquare.io/treasury/child-bounties/849", 849)</f>
        <v>849</v>
      </c>
      <c r="B851" s="183">
        <v>17.0</v>
      </c>
      <c r="C851" s="27" t="s">
        <v>3404</v>
      </c>
      <c r="D851" s="27" t="s">
        <v>1418</v>
      </c>
      <c r="E851" s="129">
        <v>18.7</v>
      </c>
      <c r="F851" s="66">
        <v>163.89352216720582</v>
      </c>
      <c r="G851" s="27" t="s">
        <v>3463</v>
      </c>
      <c r="H851" s="167">
        <v>45367.0</v>
      </c>
      <c r="I851" s="167">
        <v>45388.0</v>
      </c>
      <c r="J851" s="66">
        <v>169.134938621521</v>
      </c>
      <c r="K851" s="1"/>
      <c r="L851" s="1" t="s">
        <v>266</v>
      </c>
      <c r="M851" s="1" t="str">
        <f>VLOOKUP(B851,Bounties!A:D,3,FALSE)</f>
        <v>Outreach</v>
      </c>
      <c r="N851" s="1" t="str">
        <f>VLOOKUP(B851,Bounties!A:D,4,FALSE)</f>
        <v>Events/Meetups</v>
      </c>
      <c r="O851" s="1" t="str">
        <f t="shared" ref="O851:P851" si="855">IF(ISBLANK(K851),M851,K851)</f>
        <v>Outreach</v>
      </c>
      <c r="P851" s="1" t="str">
        <f t="shared" si="855"/>
        <v>Events/Conference Attendance &amp; Side Events</v>
      </c>
      <c r="Q851" s="108" t="str">
        <f t="shared" si="3"/>
        <v>2024</v>
      </c>
      <c r="R851" s="110">
        <f t="shared" si="4"/>
        <v>4</v>
      </c>
      <c r="S851" s="108" t="str">
        <f t="shared" si="5"/>
        <v>2024-Q2</v>
      </c>
      <c r="T851" s="111" t="str">
        <f t="shared" si="6"/>
        <v>2024-04</v>
      </c>
      <c r="U851" s="112" t="str">
        <f t="shared" si="7"/>
        <v>2024-H1</v>
      </c>
      <c r="V851" s="1" t="str">
        <f>VLOOKUP(B851,Bounties!A:E,2,FALSE)</f>
        <v>Events Bounty</v>
      </c>
    </row>
    <row r="852" hidden="1">
      <c r="A852" s="109">
        <f>HYPERLINK("https://polkadot.subsquare.io/treasury/child-bounties/850", 850)</f>
        <v>850</v>
      </c>
      <c r="B852" s="183">
        <v>17.0</v>
      </c>
      <c r="C852" s="27" t="s">
        <v>3404</v>
      </c>
      <c r="D852" s="27" t="s">
        <v>1419</v>
      </c>
      <c r="E852" s="129">
        <v>699.6</v>
      </c>
      <c r="F852" s="66">
        <v>6131.545888137817</v>
      </c>
      <c r="G852" s="27" t="s">
        <v>3637</v>
      </c>
      <c r="H852" s="167">
        <v>45367.0</v>
      </c>
      <c r="I852" s="167">
        <v>45384.0</v>
      </c>
      <c r="J852" s="66">
        <v>5868.96904335022</v>
      </c>
      <c r="K852" s="1"/>
      <c r="L852" s="1"/>
      <c r="M852" s="1" t="str">
        <f>VLOOKUP(B852,Bounties!A:D,3,FALSE)</f>
        <v>Outreach</v>
      </c>
      <c r="N852" s="1" t="str">
        <f>VLOOKUP(B852,Bounties!A:D,4,FALSE)</f>
        <v>Events/Meetups</v>
      </c>
      <c r="O852" s="1" t="str">
        <f t="shared" ref="O852:P852" si="856">IF(ISBLANK(K852),M852,K852)</f>
        <v>Outreach</v>
      </c>
      <c r="P852" s="1" t="str">
        <f t="shared" si="856"/>
        <v>Events/Meetups</v>
      </c>
      <c r="Q852" s="108" t="str">
        <f t="shared" si="3"/>
        <v>2024</v>
      </c>
      <c r="R852" s="110">
        <f t="shared" si="4"/>
        <v>4</v>
      </c>
      <c r="S852" s="108" t="str">
        <f t="shared" si="5"/>
        <v>2024-Q2</v>
      </c>
      <c r="T852" s="111" t="str">
        <f t="shared" si="6"/>
        <v>2024-04</v>
      </c>
      <c r="U852" s="112" t="str">
        <f t="shared" si="7"/>
        <v>2024-H1</v>
      </c>
      <c r="V852" s="1" t="str">
        <f>VLOOKUP(B852,Bounties!A:E,2,FALSE)</f>
        <v>Events Bounty</v>
      </c>
    </row>
    <row r="853" hidden="1">
      <c r="A853" s="109">
        <f>HYPERLINK("https://polkadot.subsquare.io/treasury/child-bounties/851", 851)</f>
        <v>851</v>
      </c>
      <c r="B853" s="183">
        <v>33.0</v>
      </c>
      <c r="C853" s="27" t="s">
        <v>3404</v>
      </c>
      <c r="D853" s="27" t="s">
        <v>1420</v>
      </c>
      <c r="E853" s="129">
        <v>22826.0</v>
      </c>
      <c r="F853" s="66">
        <v>217230.0397567749</v>
      </c>
      <c r="G853" s="27" t="s">
        <v>3621</v>
      </c>
      <c r="H853" s="167">
        <v>45377.0</v>
      </c>
      <c r="I853" s="167">
        <v>45385.0</v>
      </c>
      <c r="J853" s="66">
        <v>193888.29879760742</v>
      </c>
      <c r="K853" s="1" t="s">
        <v>137</v>
      </c>
      <c r="L853" s="1" t="s">
        <v>368</v>
      </c>
      <c r="M853" s="1" t="str">
        <f>VLOOKUP(B853,Bounties!A:D,3,FALSE)</f>
        <v>Outreach</v>
      </c>
      <c r="N853" s="1" t="str">
        <f>VLOOKUP(B853,Bounties!A:D,4,FALSE)</f>
        <v>Advertising</v>
      </c>
      <c r="O853" s="1" t="str">
        <f t="shared" ref="O853:P853" si="857">IF(ISBLANK(K853),M853,K853)</f>
        <v>Outreach</v>
      </c>
      <c r="P853" s="1" t="str">
        <f t="shared" si="857"/>
        <v>Advertising/Physical Ads</v>
      </c>
      <c r="Q853" s="108" t="str">
        <f t="shared" si="3"/>
        <v>2024</v>
      </c>
      <c r="R853" s="110">
        <f t="shared" si="4"/>
        <v>4</v>
      </c>
      <c r="S853" s="108" t="str">
        <f t="shared" si="5"/>
        <v>2024-Q2</v>
      </c>
      <c r="T853" s="111" t="str">
        <f t="shared" si="6"/>
        <v>2024-04</v>
      </c>
      <c r="U853" s="112" t="str">
        <f t="shared" si="7"/>
        <v>2024-H1</v>
      </c>
      <c r="V853" s="1" t="str">
        <f>VLOOKUP(B853,Bounties!A:E,2,FALSE)</f>
        <v>Marketing Bounty</v>
      </c>
    </row>
    <row r="854" hidden="1">
      <c r="A854" s="109">
        <f>HYPERLINK("https://polkadot.subsquare.io/treasury/child-bounties/852", 852)</f>
        <v>852</v>
      </c>
      <c r="B854" s="183">
        <v>33.0</v>
      </c>
      <c r="C854" s="27" t="s">
        <v>3404</v>
      </c>
      <c r="D854" s="27" t="s">
        <v>1421</v>
      </c>
      <c r="E854" s="129">
        <v>67438.67</v>
      </c>
      <c r="F854" s="66">
        <v>641799.043426094</v>
      </c>
      <c r="G854" s="27" t="s">
        <v>3611</v>
      </c>
      <c r="H854" s="167">
        <v>45377.0</v>
      </c>
      <c r="I854" s="167">
        <v>45385.0</v>
      </c>
      <c r="J854" s="66">
        <v>572836.6336402893</v>
      </c>
      <c r="K854" s="1" t="s">
        <v>137</v>
      </c>
      <c r="L854" s="1" t="s">
        <v>254</v>
      </c>
      <c r="M854" s="1" t="str">
        <f>VLOOKUP(B854,Bounties!A:D,3,FALSE)</f>
        <v>Outreach</v>
      </c>
      <c r="N854" s="1" t="str">
        <f>VLOOKUP(B854,Bounties!A:D,4,FALSE)</f>
        <v>Advertising</v>
      </c>
      <c r="O854" s="1" t="str">
        <f t="shared" ref="O854:P854" si="858">IF(ISBLANK(K854),M854,K854)</f>
        <v>Outreach</v>
      </c>
      <c r="P854" s="1" t="str">
        <f t="shared" si="858"/>
        <v>Advertising/Digital Ads</v>
      </c>
      <c r="Q854" s="108" t="str">
        <f t="shared" si="3"/>
        <v>2024</v>
      </c>
      <c r="R854" s="110">
        <f t="shared" si="4"/>
        <v>4</v>
      </c>
      <c r="S854" s="108" t="str">
        <f t="shared" si="5"/>
        <v>2024-Q2</v>
      </c>
      <c r="T854" s="111" t="str">
        <f t="shared" si="6"/>
        <v>2024-04</v>
      </c>
      <c r="U854" s="112" t="str">
        <f t="shared" si="7"/>
        <v>2024-H1</v>
      </c>
      <c r="V854" s="1" t="str">
        <f>VLOOKUP(B854,Bounties!A:E,2,FALSE)</f>
        <v>Marketing Bounty</v>
      </c>
    </row>
    <row r="855" hidden="1">
      <c r="A855" s="109">
        <f>HYPERLINK("https://polkadot.subsquare.io/treasury/child-bounties/853", 853)</f>
        <v>853</v>
      </c>
      <c r="B855" s="183">
        <v>33.0</v>
      </c>
      <c r="C855" s="27" t="s">
        <v>3404</v>
      </c>
      <c r="D855" s="27" t="s">
        <v>1422</v>
      </c>
      <c r="E855" s="129">
        <v>10493.0</v>
      </c>
      <c r="F855" s="66">
        <v>99859.58149337769</v>
      </c>
      <c r="G855" s="27" t="s">
        <v>3638</v>
      </c>
      <c r="H855" s="167">
        <v>45377.0</v>
      </c>
      <c r="I855" s="167">
        <v>45385.0</v>
      </c>
      <c r="J855" s="66">
        <v>89129.4979095459</v>
      </c>
      <c r="K855" s="1" t="s">
        <v>137</v>
      </c>
      <c r="L855" s="1" t="s">
        <v>296</v>
      </c>
      <c r="M855" s="1" t="str">
        <f>VLOOKUP(B855,Bounties!A:D,3,FALSE)</f>
        <v>Outreach</v>
      </c>
      <c r="N855" s="1" t="str">
        <f>VLOOKUP(B855,Bounties!A:D,4,FALSE)</f>
        <v>Advertising</v>
      </c>
      <c r="O855" s="1" t="str">
        <f t="shared" ref="O855:P855" si="859">IF(ISBLANK(K855),M855,K855)</f>
        <v>Outreach</v>
      </c>
      <c r="P855" s="1" t="str">
        <f t="shared" si="859"/>
        <v>Advertising/Influencers</v>
      </c>
      <c r="Q855" s="108" t="str">
        <f t="shared" si="3"/>
        <v>2024</v>
      </c>
      <c r="R855" s="110">
        <f t="shared" si="4"/>
        <v>4</v>
      </c>
      <c r="S855" s="108" t="str">
        <f t="shared" si="5"/>
        <v>2024-Q2</v>
      </c>
      <c r="T855" s="111" t="str">
        <f t="shared" si="6"/>
        <v>2024-04</v>
      </c>
      <c r="U855" s="112" t="str">
        <f t="shared" si="7"/>
        <v>2024-H1</v>
      </c>
      <c r="V855" s="1" t="str">
        <f>VLOOKUP(B855,Bounties!A:E,2,FALSE)</f>
        <v>Marketing Bounty</v>
      </c>
    </row>
    <row r="856" hidden="1">
      <c r="A856" s="109">
        <f>HYPERLINK("https://polkadot.subsquare.io/treasury/child-bounties/854", 854)</f>
        <v>854</v>
      </c>
      <c r="B856" s="183">
        <v>33.0</v>
      </c>
      <c r="C856" s="27" t="s">
        <v>3404</v>
      </c>
      <c r="D856" s="27" t="s">
        <v>1423</v>
      </c>
      <c r="E856" s="129">
        <v>38028.0</v>
      </c>
      <c r="F856" s="66">
        <v>361904.142288208</v>
      </c>
      <c r="G856" s="27" t="s">
        <v>3586</v>
      </c>
      <c r="H856" s="167">
        <v>45377.0</v>
      </c>
      <c r="I856" s="167">
        <v>45387.0</v>
      </c>
      <c r="J856" s="66">
        <v>331099.3791503906</v>
      </c>
      <c r="K856" s="1" t="s">
        <v>137</v>
      </c>
      <c r="L856" s="1" t="s">
        <v>296</v>
      </c>
      <c r="M856" s="1" t="str">
        <f>VLOOKUP(B856,Bounties!A:D,3,FALSE)</f>
        <v>Outreach</v>
      </c>
      <c r="N856" s="1" t="str">
        <f>VLOOKUP(B856,Bounties!A:D,4,FALSE)</f>
        <v>Advertising</v>
      </c>
      <c r="O856" s="1" t="str">
        <f t="shared" ref="O856:P856" si="860">IF(ISBLANK(K856),M856,K856)</f>
        <v>Outreach</v>
      </c>
      <c r="P856" s="1" t="str">
        <f t="shared" si="860"/>
        <v>Advertising/Influencers</v>
      </c>
      <c r="Q856" s="108" t="str">
        <f t="shared" si="3"/>
        <v>2024</v>
      </c>
      <c r="R856" s="110">
        <f t="shared" si="4"/>
        <v>4</v>
      </c>
      <c r="S856" s="108" t="str">
        <f t="shared" si="5"/>
        <v>2024-Q2</v>
      </c>
      <c r="T856" s="111" t="str">
        <f t="shared" si="6"/>
        <v>2024-04</v>
      </c>
      <c r="U856" s="112" t="str">
        <f t="shared" si="7"/>
        <v>2024-H1</v>
      </c>
      <c r="V856" s="1" t="str">
        <f>VLOOKUP(B856,Bounties!A:E,2,FALSE)</f>
        <v>Marketing Bounty</v>
      </c>
    </row>
    <row r="857" hidden="1">
      <c r="A857" s="109">
        <f>HYPERLINK("https://polkadot.subsquare.io/treasury/child-bounties/855", 855)</f>
        <v>855</v>
      </c>
      <c r="B857" s="183">
        <v>24.0</v>
      </c>
      <c r="C857" s="27" t="s">
        <v>3404</v>
      </c>
      <c r="D857" s="27" t="s">
        <v>1424</v>
      </c>
      <c r="E857" s="129">
        <v>161.2564</v>
      </c>
      <c r="F857" s="66">
        <v>1547.4543540428162</v>
      </c>
      <c r="G857" s="27" t="s">
        <v>3409</v>
      </c>
      <c r="H857" s="167">
        <v>45377.0</v>
      </c>
      <c r="I857" s="167">
        <v>45386.0</v>
      </c>
      <c r="J857" s="66">
        <v>1369.741920013428</v>
      </c>
      <c r="K857" s="1"/>
      <c r="L857" s="1"/>
      <c r="M857" s="1" t="str">
        <f>VLOOKUP(B857,Bounties!A:D,3,FALSE)</f>
        <v>Outreach</v>
      </c>
      <c r="N857" s="1" t="str">
        <f>VLOOKUP(B857,Bounties!A:D,4,FALSE)</f>
        <v>Community Building</v>
      </c>
      <c r="O857" s="1" t="str">
        <f t="shared" ref="O857:P857" si="861">IF(ISBLANK(K857),M857,K857)</f>
        <v>Outreach</v>
      </c>
      <c r="P857" s="1" t="str">
        <f t="shared" si="861"/>
        <v>Community Building</v>
      </c>
      <c r="Q857" s="108" t="str">
        <f t="shared" si="3"/>
        <v>2024</v>
      </c>
      <c r="R857" s="110">
        <f t="shared" si="4"/>
        <v>4</v>
      </c>
      <c r="S857" s="108" t="str">
        <f t="shared" si="5"/>
        <v>2024-Q2</v>
      </c>
      <c r="T857" s="111" t="str">
        <f t="shared" si="6"/>
        <v>2024-04</v>
      </c>
      <c r="U857" s="112" t="str">
        <f t="shared" si="7"/>
        <v>2024-H1</v>
      </c>
      <c r="V857" s="1" t="str">
        <f>VLOOKUP(B857,Bounties!A:E,2,FALSE)</f>
        <v>Moderation Team Bounty</v>
      </c>
    </row>
    <row r="858" hidden="1">
      <c r="A858" s="109">
        <f>HYPERLINK("https://polkadot.subsquare.io/treasury/child-bounties/856", 856)</f>
        <v>856</v>
      </c>
      <c r="B858" s="183">
        <v>24.0</v>
      </c>
      <c r="C858" s="27" t="s">
        <v>3404</v>
      </c>
      <c r="D858" s="27" t="s">
        <v>1425</v>
      </c>
      <c r="E858" s="129">
        <v>147.0742</v>
      </c>
      <c r="F858" s="66">
        <v>1411.3586261219023</v>
      </c>
      <c r="G858" s="27" t="s">
        <v>3549</v>
      </c>
      <c r="H858" s="167">
        <v>45377.0</v>
      </c>
      <c r="I858" s="167">
        <v>45385.0</v>
      </c>
      <c r="J858" s="66">
        <v>1249.275669631958</v>
      </c>
      <c r="K858" s="1"/>
      <c r="L858" s="1"/>
      <c r="M858" s="1" t="str">
        <f>VLOOKUP(B858,Bounties!A:D,3,FALSE)</f>
        <v>Outreach</v>
      </c>
      <c r="N858" s="1" t="str">
        <f>VLOOKUP(B858,Bounties!A:D,4,FALSE)</f>
        <v>Community Building</v>
      </c>
      <c r="O858" s="1" t="str">
        <f t="shared" ref="O858:P858" si="862">IF(ISBLANK(K858),M858,K858)</f>
        <v>Outreach</v>
      </c>
      <c r="P858" s="1" t="str">
        <f t="shared" si="862"/>
        <v>Community Building</v>
      </c>
      <c r="Q858" s="108" t="str">
        <f t="shared" si="3"/>
        <v>2024</v>
      </c>
      <c r="R858" s="110">
        <f t="shared" si="4"/>
        <v>4</v>
      </c>
      <c r="S858" s="108" t="str">
        <f t="shared" si="5"/>
        <v>2024-Q2</v>
      </c>
      <c r="T858" s="111" t="str">
        <f t="shared" si="6"/>
        <v>2024-04</v>
      </c>
      <c r="U858" s="112" t="str">
        <f t="shared" si="7"/>
        <v>2024-H1</v>
      </c>
      <c r="V858" s="1" t="str">
        <f>VLOOKUP(B858,Bounties!A:E,2,FALSE)</f>
        <v>Moderation Team Bounty</v>
      </c>
    </row>
    <row r="859" hidden="1">
      <c r="A859" s="109">
        <f>HYPERLINK("https://polkadot.subsquare.io/treasury/child-bounties/857", 857)</f>
        <v>857</v>
      </c>
      <c r="B859" s="183">
        <v>24.0</v>
      </c>
      <c r="C859" s="27" t="s">
        <v>3404</v>
      </c>
      <c r="D859" s="27" t="s">
        <v>1426</v>
      </c>
      <c r="E859" s="129">
        <v>147.0742</v>
      </c>
      <c r="F859" s="66">
        <v>1411.3586261219023</v>
      </c>
      <c r="G859" s="27" t="s">
        <v>3408</v>
      </c>
      <c r="H859" s="167">
        <v>45377.0</v>
      </c>
      <c r="I859" s="167">
        <v>45386.0</v>
      </c>
      <c r="J859" s="66">
        <v>1249.275669631958</v>
      </c>
      <c r="K859" s="1"/>
      <c r="L859" s="1"/>
      <c r="M859" s="1" t="str">
        <f>VLOOKUP(B859,Bounties!A:D,3,FALSE)</f>
        <v>Outreach</v>
      </c>
      <c r="N859" s="1" t="str">
        <f>VLOOKUP(B859,Bounties!A:D,4,FALSE)</f>
        <v>Community Building</v>
      </c>
      <c r="O859" s="1" t="str">
        <f t="shared" ref="O859:P859" si="863">IF(ISBLANK(K859),M859,K859)</f>
        <v>Outreach</v>
      </c>
      <c r="P859" s="1" t="str">
        <f t="shared" si="863"/>
        <v>Community Building</v>
      </c>
      <c r="Q859" s="108" t="str">
        <f t="shared" si="3"/>
        <v>2024</v>
      </c>
      <c r="R859" s="110">
        <f t="shared" si="4"/>
        <v>4</v>
      </c>
      <c r="S859" s="108" t="str">
        <f t="shared" si="5"/>
        <v>2024-Q2</v>
      </c>
      <c r="T859" s="111" t="str">
        <f t="shared" si="6"/>
        <v>2024-04</v>
      </c>
      <c r="U859" s="112" t="str">
        <f t="shared" si="7"/>
        <v>2024-H1</v>
      </c>
      <c r="V859" s="1" t="str">
        <f>VLOOKUP(B859,Bounties!A:E,2,FALSE)</f>
        <v>Moderation Team Bounty</v>
      </c>
    </row>
    <row r="860" hidden="1">
      <c r="A860" s="109">
        <f>HYPERLINK("https://polkadot.subsquare.io/treasury/child-bounties/858", 858)</f>
        <v>858</v>
      </c>
      <c r="B860" s="183">
        <v>24.0</v>
      </c>
      <c r="C860" s="27" t="s">
        <v>3404</v>
      </c>
      <c r="D860" s="27" t="s">
        <v>1427</v>
      </c>
      <c r="E860" s="129">
        <v>173.3375</v>
      </c>
      <c r="F860" s="66">
        <v>1663.387432026863</v>
      </c>
      <c r="G860" s="27" t="s">
        <v>3550</v>
      </c>
      <c r="H860" s="167">
        <v>45377.0</v>
      </c>
      <c r="I860" s="167">
        <v>45387.0</v>
      </c>
      <c r="J860" s="66">
        <v>1567.776867556572</v>
      </c>
      <c r="K860" s="1"/>
      <c r="L860" s="1"/>
      <c r="M860" s="1" t="str">
        <f>VLOOKUP(B860,Bounties!A:D,3,FALSE)</f>
        <v>Outreach</v>
      </c>
      <c r="N860" s="1" t="str">
        <f>VLOOKUP(B860,Bounties!A:D,4,FALSE)</f>
        <v>Community Building</v>
      </c>
      <c r="O860" s="1" t="str">
        <f t="shared" ref="O860:P860" si="864">IF(ISBLANK(K860),M860,K860)</f>
        <v>Outreach</v>
      </c>
      <c r="P860" s="1" t="str">
        <f t="shared" si="864"/>
        <v>Community Building</v>
      </c>
      <c r="Q860" s="108" t="str">
        <f t="shared" si="3"/>
        <v>2024</v>
      </c>
      <c r="R860" s="110">
        <f t="shared" si="4"/>
        <v>4</v>
      </c>
      <c r="S860" s="108" t="str">
        <f t="shared" si="5"/>
        <v>2024-Q2</v>
      </c>
      <c r="T860" s="111" t="str">
        <f t="shared" si="6"/>
        <v>2024-04</v>
      </c>
      <c r="U860" s="112" t="str">
        <f t="shared" si="7"/>
        <v>2024-H1</v>
      </c>
      <c r="V860" s="1" t="str">
        <f>VLOOKUP(B860,Bounties!A:E,2,FALSE)</f>
        <v>Moderation Team Bounty</v>
      </c>
    </row>
    <row r="861" hidden="1">
      <c r="A861" s="109">
        <f>HYPERLINK("https://polkadot.subsquare.io/treasury/child-bounties/859", 859)</f>
        <v>859</v>
      </c>
      <c r="B861" s="183">
        <v>24.0</v>
      </c>
      <c r="C861" s="27" t="s">
        <v>3404</v>
      </c>
      <c r="D861" s="27" t="s">
        <v>1428</v>
      </c>
      <c r="E861" s="129">
        <v>147.0742</v>
      </c>
      <c r="F861" s="66">
        <v>1411.3586261219023</v>
      </c>
      <c r="G861" s="27" t="s">
        <v>3406</v>
      </c>
      <c r="H861" s="167">
        <v>45377.0</v>
      </c>
      <c r="I861" s="167">
        <v>45396.0</v>
      </c>
      <c r="J861" s="66">
        <v>985.4040548617362</v>
      </c>
      <c r="K861" s="1"/>
      <c r="L861" s="1"/>
      <c r="M861" s="1" t="str">
        <f>VLOOKUP(B861,Bounties!A:D,3,FALSE)</f>
        <v>Outreach</v>
      </c>
      <c r="N861" s="1" t="str">
        <f>VLOOKUP(B861,Bounties!A:D,4,FALSE)</f>
        <v>Community Building</v>
      </c>
      <c r="O861" s="1" t="str">
        <f t="shared" ref="O861:P861" si="865">IF(ISBLANK(K861),M861,K861)</f>
        <v>Outreach</v>
      </c>
      <c r="P861" s="1" t="str">
        <f t="shared" si="865"/>
        <v>Community Building</v>
      </c>
      <c r="Q861" s="108" t="str">
        <f t="shared" si="3"/>
        <v>2024</v>
      </c>
      <c r="R861" s="110">
        <f t="shared" si="4"/>
        <v>4</v>
      </c>
      <c r="S861" s="108" t="str">
        <f t="shared" si="5"/>
        <v>2024-Q2</v>
      </c>
      <c r="T861" s="111" t="str">
        <f t="shared" si="6"/>
        <v>2024-04</v>
      </c>
      <c r="U861" s="112" t="str">
        <f t="shared" si="7"/>
        <v>2024-H1</v>
      </c>
      <c r="V861" s="1" t="str">
        <f>VLOOKUP(B861,Bounties!A:E,2,FALSE)</f>
        <v>Moderation Team Bounty</v>
      </c>
    </row>
    <row r="862" hidden="1">
      <c r="A862" s="109">
        <f>HYPERLINK("https://polkadot.subsquare.io/treasury/child-bounties/860", 860)</f>
        <v>860</v>
      </c>
      <c r="B862" s="183">
        <v>24.0</v>
      </c>
      <c r="C862" s="27" t="s">
        <v>3427</v>
      </c>
      <c r="D862" s="27" t="s">
        <v>3639</v>
      </c>
      <c r="E862" s="129">
        <v>161.26</v>
      </c>
      <c r="F862" s="66">
        <v>1547.488900489807</v>
      </c>
      <c r="H862" s="167">
        <v>45378.0</v>
      </c>
      <c r="I862" s="167">
        <v>45379.0</v>
      </c>
      <c r="J862" s="66">
        <v>1554.9698379135132</v>
      </c>
      <c r="K862" s="1"/>
      <c r="L862" s="1"/>
      <c r="M862" s="1" t="str">
        <f>VLOOKUP(B862,Bounties!A:D,3,FALSE)</f>
        <v>Outreach</v>
      </c>
      <c r="N862" s="1" t="str">
        <f>VLOOKUP(B862,Bounties!A:D,4,FALSE)</f>
        <v>Community Building</v>
      </c>
      <c r="O862" s="1" t="str">
        <f t="shared" ref="O862:P862" si="866">IF(ISBLANK(K862),M862,K862)</f>
        <v>Outreach</v>
      </c>
      <c r="P862" s="1" t="str">
        <f t="shared" si="866"/>
        <v>Community Building</v>
      </c>
      <c r="Q862" s="108" t="str">
        <f t="shared" si="3"/>
        <v>2024</v>
      </c>
      <c r="R862" s="110">
        <f t="shared" si="4"/>
        <v>3</v>
      </c>
      <c r="S862" s="108" t="str">
        <f t="shared" si="5"/>
        <v>2024-Q1</v>
      </c>
      <c r="T862" s="111" t="str">
        <f t="shared" si="6"/>
        <v>2024-03</v>
      </c>
      <c r="U862" s="112" t="str">
        <f t="shared" si="7"/>
        <v>2024-H1</v>
      </c>
      <c r="V862" s="1" t="str">
        <f>VLOOKUP(B862,Bounties!A:E,2,FALSE)</f>
        <v>Moderation Team Bounty</v>
      </c>
    </row>
    <row r="863" hidden="1">
      <c r="A863" s="109">
        <f>HYPERLINK("https://polkadot.subsquare.io/treasury/child-bounties/861", 861)</f>
        <v>861</v>
      </c>
      <c r="B863" s="183">
        <v>24.0</v>
      </c>
      <c r="C863" s="27" t="s">
        <v>3404</v>
      </c>
      <c r="D863" s="27" t="s">
        <v>1429</v>
      </c>
      <c r="E863" s="129">
        <v>147.07</v>
      </c>
      <c r="F863" s="66">
        <v>1411.3183219337463</v>
      </c>
      <c r="G863" s="27" t="s">
        <v>3407</v>
      </c>
      <c r="H863" s="167">
        <v>45378.0</v>
      </c>
      <c r="I863" s="167">
        <v>45387.0</v>
      </c>
      <c r="J863" s="66">
        <v>1330.1965466880797</v>
      </c>
      <c r="K863" s="1"/>
      <c r="L863" s="1"/>
      <c r="M863" s="1" t="str">
        <f>VLOOKUP(B863,Bounties!A:D,3,FALSE)</f>
        <v>Outreach</v>
      </c>
      <c r="N863" s="1" t="str">
        <f>VLOOKUP(B863,Bounties!A:D,4,FALSE)</f>
        <v>Community Building</v>
      </c>
      <c r="O863" s="1" t="str">
        <f t="shared" ref="O863:P863" si="867">IF(ISBLANK(K863),M863,K863)</f>
        <v>Outreach</v>
      </c>
      <c r="P863" s="1" t="str">
        <f t="shared" si="867"/>
        <v>Community Building</v>
      </c>
      <c r="Q863" s="108" t="str">
        <f t="shared" si="3"/>
        <v>2024</v>
      </c>
      <c r="R863" s="110">
        <f t="shared" si="4"/>
        <v>4</v>
      </c>
      <c r="S863" s="108" t="str">
        <f t="shared" si="5"/>
        <v>2024-Q2</v>
      </c>
      <c r="T863" s="111" t="str">
        <f t="shared" si="6"/>
        <v>2024-04</v>
      </c>
      <c r="U863" s="112" t="str">
        <f t="shared" si="7"/>
        <v>2024-H1</v>
      </c>
      <c r="V863" s="1" t="str">
        <f>VLOOKUP(B863,Bounties!A:E,2,FALSE)</f>
        <v>Moderation Team Bounty</v>
      </c>
    </row>
    <row r="864" hidden="1">
      <c r="A864" s="109">
        <f>HYPERLINK("https://polkadot.subsquare.io/treasury/child-bounties/862", 862)</f>
        <v>862</v>
      </c>
      <c r="B864" s="183">
        <v>24.0</v>
      </c>
      <c r="C864" s="27" t="s">
        <v>3404</v>
      </c>
      <c r="D864" s="27" t="s">
        <v>1430</v>
      </c>
      <c r="E864" s="129">
        <v>161.26</v>
      </c>
      <c r="F864" s="66">
        <v>1547.488900489807</v>
      </c>
      <c r="G864" s="27" t="s">
        <v>3486</v>
      </c>
      <c r="H864" s="167">
        <v>45378.0</v>
      </c>
      <c r="I864" s="167">
        <v>45387.0</v>
      </c>
      <c r="J864" s="66">
        <v>1458.5401177597046</v>
      </c>
      <c r="K864" s="1"/>
      <c r="L864" s="1"/>
      <c r="M864" s="1" t="str">
        <f>VLOOKUP(B864,Bounties!A:D,3,FALSE)</f>
        <v>Outreach</v>
      </c>
      <c r="N864" s="1" t="str">
        <f>VLOOKUP(B864,Bounties!A:D,4,FALSE)</f>
        <v>Community Building</v>
      </c>
      <c r="O864" s="1" t="str">
        <f t="shared" ref="O864:P864" si="868">IF(ISBLANK(K864),M864,K864)</f>
        <v>Outreach</v>
      </c>
      <c r="P864" s="1" t="str">
        <f t="shared" si="868"/>
        <v>Community Building</v>
      </c>
      <c r="Q864" s="108" t="str">
        <f t="shared" si="3"/>
        <v>2024</v>
      </c>
      <c r="R864" s="110">
        <f t="shared" si="4"/>
        <v>4</v>
      </c>
      <c r="S864" s="108" t="str">
        <f t="shared" si="5"/>
        <v>2024-Q2</v>
      </c>
      <c r="T864" s="111" t="str">
        <f t="shared" si="6"/>
        <v>2024-04</v>
      </c>
      <c r="U864" s="112" t="str">
        <f t="shared" si="7"/>
        <v>2024-H1</v>
      </c>
      <c r="V864" s="1" t="str">
        <f>VLOOKUP(B864,Bounties!A:E,2,FALSE)</f>
        <v>Moderation Team Bounty</v>
      </c>
    </row>
    <row r="865" hidden="1">
      <c r="A865" s="109">
        <f>HYPERLINK("https://polkadot.subsquare.io/treasury/child-bounties/863", 863)</f>
        <v>863</v>
      </c>
      <c r="B865" s="183">
        <v>24.0</v>
      </c>
      <c r="C865" s="27" t="s">
        <v>3404</v>
      </c>
      <c r="D865" s="27" t="s">
        <v>1431</v>
      </c>
      <c r="E865" s="129">
        <v>147.07</v>
      </c>
      <c r="F865" s="66">
        <v>1411.3183219337463</v>
      </c>
      <c r="G865" s="27" t="s">
        <v>3526</v>
      </c>
      <c r="H865" s="167">
        <v>45378.0</v>
      </c>
      <c r="I865" s="167">
        <v>45390.0</v>
      </c>
      <c r="J865" s="66">
        <v>1238.167835292816</v>
      </c>
      <c r="K865" s="1"/>
      <c r="L865" s="1"/>
      <c r="M865" s="1" t="str">
        <f>VLOOKUP(B865,Bounties!A:D,3,FALSE)</f>
        <v>Outreach</v>
      </c>
      <c r="N865" s="1" t="str">
        <f>VLOOKUP(B865,Bounties!A:D,4,FALSE)</f>
        <v>Community Building</v>
      </c>
      <c r="O865" s="1" t="str">
        <f t="shared" ref="O865:P865" si="869">IF(ISBLANK(K865),M865,K865)</f>
        <v>Outreach</v>
      </c>
      <c r="P865" s="1" t="str">
        <f t="shared" si="869"/>
        <v>Community Building</v>
      </c>
      <c r="Q865" s="108" t="str">
        <f t="shared" si="3"/>
        <v>2024</v>
      </c>
      <c r="R865" s="110">
        <f t="shared" si="4"/>
        <v>4</v>
      </c>
      <c r="S865" s="108" t="str">
        <f t="shared" si="5"/>
        <v>2024-Q2</v>
      </c>
      <c r="T865" s="111" t="str">
        <f t="shared" si="6"/>
        <v>2024-04</v>
      </c>
      <c r="U865" s="112" t="str">
        <f t="shared" si="7"/>
        <v>2024-H1</v>
      </c>
      <c r="V865" s="1" t="str">
        <f>VLOOKUP(B865,Bounties!A:E,2,FALSE)</f>
        <v>Moderation Team Bounty</v>
      </c>
    </row>
    <row r="866" hidden="1">
      <c r="A866" s="109">
        <f>HYPERLINK("https://polkadot.subsquare.io/treasury/child-bounties/864", 864)</f>
        <v>864</v>
      </c>
      <c r="B866" s="183">
        <v>24.0</v>
      </c>
      <c r="C866" s="27" t="s">
        <v>3404</v>
      </c>
      <c r="D866" s="27" t="s">
        <v>1432</v>
      </c>
      <c r="E866" s="129">
        <v>147.07</v>
      </c>
      <c r="F866" s="66">
        <v>1411.3183219337463</v>
      </c>
      <c r="G866" s="27" t="s">
        <v>3424</v>
      </c>
      <c r="H866" s="167">
        <v>45378.0</v>
      </c>
      <c r="I866" s="167">
        <v>45396.0</v>
      </c>
      <c r="J866" s="66">
        <v>967.6657483386992</v>
      </c>
      <c r="K866" s="1"/>
      <c r="L866" s="1"/>
      <c r="M866" s="1" t="str">
        <f>VLOOKUP(B866,Bounties!A:D,3,FALSE)</f>
        <v>Outreach</v>
      </c>
      <c r="N866" s="1" t="str">
        <f>VLOOKUP(B866,Bounties!A:D,4,FALSE)</f>
        <v>Community Building</v>
      </c>
      <c r="O866" s="1" t="str">
        <f t="shared" ref="O866:P866" si="870">IF(ISBLANK(K866),M866,K866)</f>
        <v>Outreach</v>
      </c>
      <c r="P866" s="1" t="str">
        <f t="shared" si="870"/>
        <v>Community Building</v>
      </c>
      <c r="Q866" s="108" t="str">
        <f t="shared" si="3"/>
        <v>2024</v>
      </c>
      <c r="R866" s="110">
        <f t="shared" si="4"/>
        <v>4</v>
      </c>
      <c r="S866" s="108" t="str">
        <f t="shared" si="5"/>
        <v>2024-Q2</v>
      </c>
      <c r="T866" s="111" t="str">
        <f t="shared" si="6"/>
        <v>2024-04</v>
      </c>
      <c r="U866" s="112" t="str">
        <f t="shared" si="7"/>
        <v>2024-H1</v>
      </c>
      <c r="V866" s="1" t="str">
        <f>VLOOKUP(B866,Bounties!A:E,2,FALSE)</f>
        <v>Moderation Team Bounty</v>
      </c>
    </row>
    <row r="867" hidden="1">
      <c r="A867" s="109">
        <f>HYPERLINK("https://polkadot.subsquare.io/treasury/child-bounties/865", 865)</f>
        <v>865</v>
      </c>
      <c r="B867" s="183">
        <v>24.0</v>
      </c>
      <c r="C867" s="27" t="s">
        <v>3404</v>
      </c>
      <c r="D867" s="27" t="s">
        <v>1433</v>
      </c>
      <c r="E867" s="129">
        <v>147.0742</v>
      </c>
      <c r="F867" s="66">
        <v>1387.459293039322</v>
      </c>
      <c r="G867" s="27" t="s">
        <v>3457</v>
      </c>
      <c r="H867" s="167">
        <v>45378.0</v>
      </c>
      <c r="I867" s="167">
        <v>45387.0</v>
      </c>
      <c r="J867" s="66">
        <v>1280.5347719848633</v>
      </c>
      <c r="K867" s="1"/>
      <c r="L867" s="1"/>
      <c r="M867" s="1" t="str">
        <f>VLOOKUP(B867,Bounties!A:D,3,FALSE)</f>
        <v>Outreach</v>
      </c>
      <c r="N867" s="1" t="str">
        <f>VLOOKUP(B867,Bounties!A:D,4,FALSE)</f>
        <v>Community Building</v>
      </c>
      <c r="O867" s="1" t="str">
        <f t="shared" ref="O867:P867" si="871">IF(ISBLANK(K867),M867,K867)</f>
        <v>Outreach</v>
      </c>
      <c r="P867" s="1" t="str">
        <f t="shared" si="871"/>
        <v>Community Building</v>
      </c>
      <c r="Q867" s="108" t="str">
        <f t="shared" si="3"/>
        <v>2024</v>
      </c>
      <c r="R867" s="110">
        <f t="shared" si="4"/>
        <v>4</v>
      </c>
      <c r="S867" s="108" t="str">
        <f t="shared" si="5"/>
        <v>2024-Q2</v>
      </c>
      <c r="T867" s="111" t="str">
        <f t="shared" si="6"/>
        <v>2024-04</v>
      </c>
      <c r="U867" s="112" t="str">
        <f t="shared" si="7"/>
        <v>2024-H1</v>
      </c>
      <c r="V867" s="1" t="str">
        <f>VLOOKUP(B867,Bounties!A:E,2,FALSE)</f>
        <v>Moderation Team Bounty</v>
      </c>
    </row>
    <row r="868" hidden="1">
      <c r="A868" s="109">
        <f>HYPERLINK("https://polkadot.subsquare.io/treasury/child-bounties/866", 866)</f>
        <v>866</v>
      </c>
      <c r="B868" s="183">
        <v>24.0</v>
      </c>
      <c r="C868" s="27" t="s">
        <v>3404</v>
      </c>
      <c r="D868" s="27" t="s">
        <v>1434</v>
      </c>
      <c r="E868" s="129">
        <v>147.0742</v>
      </c>
      <c r="F868" s="66">
        <v>1387.459293039322</v>
      </c>
      <c r="G868" s="27" t="s">
        <v>3548</v>
      </c>
      <c r="H868" s="167">
        <v>45378.0</v>
      </c>
      <c r="I868" s="167">
        <v>45387.0</v>
      </c>
      <c r="J868" s="66">
        <v>1280.5347719848633</v>
      </c>
      <c r="K868" s="1"/>
      <c r="L868" s="1"/>
      <c r="M868" s="1" t="str">
        <f>VLOOKUP(B868,Bounties!A:D,3,FALSE)</f>
        <v>Outreach</v>
      </c>
      <c r="N868" s="1" t="str">
        <f>VLOOKUP(B868,Bounties!A:D,4,FALSE)</f>
        <v>Community Building</v>
      </c>
      <c r="O868" s="1" t="str">
        <f t="shared" ref="O868:P868" si="872">IF(ISBLANK(K868),M868,K868)</f>
        <v>Outreach</v>
      </c>
      <c r="P868" s="1" t="str">
        <f t="shared" si="872"/>
        <v>Community Building</v>
      </c>
      <c r="Q868" s="108" t="str">
        <f t="shared" si="3"/>
        <v>2024</v>
      </c>
      <c r="R868" s="110">
        <f t="shared" si="4"/>
        <v>4</v>
      </c>
      <c r="S868" s="108" t="str">
        <f t="shared" si="5"/>
        <v>2024-Q2</v>
      </c>
      <c r="T868" s="111" t="str">
        <f t="shared" si="6"/>
        <v>2024-04</v>
      </c>
      <c r="U868" s="112" t="str">
        <f t="shared" si="7"/>
        <v>2024-H1</v>
      </c>
      <c r="V868" s="1" t="str">
        <f>VLOOKUP(B868,Bounties!A:E,2,FALSE)</f>
        <v>Moderation Team Bounty</v>
      </c>
    </row>
    <row r="869" hidden="1">
      <c r="A869" s="109">
        <f>HYPERLINK("https://polkadot.subsquare.io/treasury/child-bounties/867", 867)</f>
        <v>867</v>
      </c>
      <c r="B869" s="183">
        <v>24.0</v>
      </c>
      <c r="C869" s="27" t="s">
        <v>3404</v>
      </c>
      <c r="D869" s="27" t="s">
        <v>1435</v>
      </c>
      <c r="E869" s="129">
        <v>147.0742</v>
      </c>
      <c r="F869" s="66">
        <v>1387.459293039322</v>
      </c>
      <c r="G869" s="27" t="s">
        <v>3469</v>
      </c>
      <c r="H869" s="167">
        <v>45378.0</v>
      </c>
      <c r="I869" s="167">
        <v>45423.0</v>
      </c>
      <c r="J869" s="66">
        <v>952.879308393669</v>
      </c>
      <c r="K869" s="1"/>
      <c r="L869" s="1"/>
      <c r="M869" s="1" t="str">
        <f>VLOOKUP(B869,Bounties!A:D,3,FALSE)</f>
        <v>Outreach</v>
      </c>
      <c r="N869" s="1" t="str">
        <f>VLOOKUP(B869,Bounties!A:D,4,FALSE)</f>
        <v>Community Building</v>
      </c>
      <c r="O869" s="1" t="str">
        <f t="shared" ref="O869:P869" si="873">IF(ISBLANK(K869),M869,K869)</f>
        <v>Outreach</v>
      </c>
      <c r="P869" s="1" t="str">
        <f t="shared" si="873"/>
        <v>Community Building</v>
      </c>
      <c r="Q869" s="108" t="str">
        <f t="shared" si="3"/>
        <v>2024</v>
      </c>
      <c r="R869" s="110">
        <f t="shared" si="4"/>
        <v>5</v>
      </c>
      <c r="S869" s="108" t="str">
        <f t="shared" si="5"/>
        <v>2024-Q2</v>
      </c>
      <c r="T869" s="111" t="str">
        <f t="shared" si="6"/>
        <v>2024-05</v>
      </c>
      <c r="U869" s="112" t="str">
        <f t="shared" si="7"/>
        <v>2024-H1</v>
      </c>
      <c r="V869" s="1" t="str">
        <f>VLOOKUP(B869,Bounties!A:E,2,FALSE)</f>
        <v>Moderation Team Bounty</v>
      </c>
    </row>
    <row r="870" hidden="1">
      <c r="A870" s="109">
        <f>HYPERLINK("https://polkadot.subsquare.io/treasury/child-bounties/868", 868)</f>
        <v>868</v>
      </c>
      <c r="B870" s="183">
        <v>24.0</v>
      </c>
      <c r="C870" s="27" t="s">
        <v>3404</v>
      </c>
      <c r="D870" s="27" t="s">
        <v>1436</v>
      </c>
      <c r="E870" s="129">
        <v>147.0742</v>
      </c>
      <c r="F870" s="66">
        <v>1387.459293039322</v>
      </c>
      <c r="G870" s="27" t="s">
        <v>3411</v>
      </c>
      <c r="H870" s="167">
        <v>45378.0</v>
      </c>
      <c r="I870" s="167">
        <v>45387.0</v>
      </c>
      <c r="J870" s="66">
        <v>1280.5347719848633</v>
      </c>
      <c r="K870" s="1"/>
      <c r="L870" s="1"/>
      <c r="M870" s="1" t="str">
        <f>VLOOKUP(B870,Bounties!A:D,3,FALSE)</f>
        <v>Outreach</v>
      </c>
      <c r="N870" s="1" t="str">
        <f>VLOOKUP(B870,Bounties!A:D,4,FALSE)</f>
        <v>Community Building</v>
      </c>
      <c r="O870" s="1" t="str">
        <f t="shared" ref="O870:P870" si="874">IF(ISBLANK(K870),M870,K870)</f>
        <v>Outreach</v>
      </c>
      <c r="P870" s="1" t="str">
        <f t="shared" si="874"/>
        <v>Community Building</v>
      </c>
      <c r="Q870" s="108" t="str">
        <f t="shared" si="3"/>
        <v>2024</v>
      </c>
      <c r="R870" s="110">
        <f t="shared" si="4"/>
        <v>4</v>
      </c>
      <c r="S870" s="108" t="str">
        <f t="shared" si="5"/>
        <v>2024-Q2</v>
      </c>
      <c r="T870" s="111" t="str">
        <f t="shared" si="6"/>
        <v>2024-04</v>
      </c>
      <c r="U870" s="112" t="str">
        <f t="shared" si="7"/>
        <v>2024-H1</v>
      </c>
      <c r="V870" s="1" t="str">
        <f>VLOOKUP(B870,Bounties!A:E,2,FALSE)</f>
        <v>Moderation Team Bounty</v>
      </c>
    </row>
    <row r="871" hidden="1">
      <c r="A871" s="109">
        <f>HYPERLINK("https://polkadot.subsquare.io/treasury/child-bounties/869", 869)</f>
        <v>869</v>
      </c>
      <c r="B871" s="183">
        <v>17.0</v>
      </c>
      <c r="C871" s="27" t="s">
        <v>3404</v>
      </c>
      <c r="D871" s="27" t="s">
        <v>1437</v>
      </c>
      <c r="E871" s="129">
        <v>11867.5</v>
      </c>
      <c r="F871" s="66">
        <v>108718.8948225975</v>
      </c>
      <c r="G871" s="27" t="s">
        <v>3640</v>
      </c>
      <c r="H871" s="167">
        <v>45380.0</v>
      </c>
      <c r="I871" s="167">
        <v>45396.0</v>
      </c>
      <c r="J871" s="66">
        <v>79512.80796408653</v>
      </c>
      <c r="K871" s="1"/>
      <c r="L871" s="1" t="s">
        <v>266</v>
      </c>
      <c r="M871" s="1" t="str">
        <f>VLOOKUP(B871,Bounties!A:D,3,FALSE)</f>
        <v>Outreach</v>
      </c>
      <c r="N871" s="1" t="str">
        <f>VLOOKUP(B871,Bounties!A:D,4,FALSE)</f>
        <v>Events/Meetups</v>
      </c>
      <c r="O871" s="1" t="str">
        <f t="shared" ref="O871:P871" si="875">IF(ISBLANK(K871),M871,K871)</f>
        <v>Outreach</v>
      </c>
      <c r="P871" s="1" t="str">
        <f t="shared" si="875"/>
        <v>Events/Conference Attendance &amp; Side Events</v>
      </c>
      <c r="Q871" s="108" t="str">
        <f t="shared" si="3"/>
        <v>2024</v>
      </c>
      <c r="R871" s="110">
        <f t="shared" si="4"/>
        <v>4</v>
      </c>
      <c r="S871" s="108" t="str">
        <f t="shared" si="5"/>
        <v>2024-Q2</v>
      </c>
      <c r="T871" s="111" t="str">
        <f t="shared" si="6"/>
        <v>2024-04</v>
      </c>
      <c r="U871" s="112" t="str">
        <f t="shared" si="7"/>
        <v>2024-H1</v>
      </c>
      <c r="V871" s="1" t="str">
        <f>VLOOKUP(B871,Bounties!A:E,2,FALSE)</f>
        <v>Events Bounty</v>
      </c>
    </row>
    <row r="872" hidden="1">
      <c r="A872" s="109">
        <f>HYPERLINK("https://polkadot.subsquare.io/treasury/child-bounties/870", 870)</f>
        <v>870</v>
      </c>
      <c r="B872" s="183">
        <v>17.0</v>
      </c>
      <c r="C872" s="27" t="s">
        <v>3404</v>
      </c>
      <c r="D872" s="27" t="s">
        <v>1438</v>
      </c>
      <c r="E872" s="129">
        <v>406.9</v>
      </c>
      <c r="F872" s="66">
        <v>3727.635837650299</v>
      </c>
      <c r="G872" s="27" t="s">
        <v>3641</v>
      </c>
      <c r="H872" s="167">
        <v>45380.0</v>
      </c>
      <c r="I872" s="167">
        <v>45402.0</v>
      </c>
      <c r="J872" s="66">
        <v>2947.822427749634</v>
      </c>
      <c r="K872" s="1"/>
      <c r="L872" s="1" t="s">
        <v>266</v>
      </c>
      <c r="M872" s="1" t="str">
        <f>VLOOKUP(B872,Bounties!A:D,3,FALSE)</f>
        <v>Outreach</v>
      </c>
      <c r="N872" s="1" t="str">
        <f>VLOOKUP(B872,Bounties!A:D,4,FALSE)</f>
        <v>Events/Meetups</v>
      </c>
      <c r="O872" s="1" t="str">
        <f t="shared" ref="O872:P872" si="876">IF(ISBLANK(K872),M872,K872)</f>
        <v>Outreach</v>
      </c>
      <c r="P872" s="1" t="str">
        <f t="shared" si="876"/>
        <v>Events/Conference Attendance &amp; Side Events</v>
      </c>
      <c r="Q872" s="108" t="str">
        <f t="shared" si="3"/>
        <v>2024</v>
      </c>
      <c r="R872" s="110">
        <f t="shared" si="4"/>
        <v>4</v>
      </c>
      <c r="S872" s="108" t="str">
        <f t="shared" si="5"/>
        <v>2024-Q2</v>
      </c>
      <c r="T872" s="111" t="str">
        <f t="shared" si="6"/>
        <v>2024-04</v>
      </c>
      <c r="U872" s="112" t="str">
        <f t="shared" si="7"/>
        <v>2024-H1</v>
      </c>
      <c r="V872" s="1" t="str">
        <f>VLOOKUP(B872,Bounties!A:E,2,FALSE)</f>
        <v>Events Bounty</v>
      </c>
    </row>
    <row r="873" hidden="1">
      <c r="A873" s="109">
        <f>HYPERLINK("https://polkadot.subsquare.io/treasury/child-bounties/871", 871)</f>
        <v>871</v>
      </c>
      <c r="B873" s="183">
        <v>17.0</v>
      </c>
      <c r="C873" s="27" t="s">
        <v>3404</v>
      </c>
      <c r="D873" s="27" t="s">
        <v>1439</v>
      </c>
      <c r="E873" s="129">
        <v>55.0</v>
      </c>
      <c r="F873" s="66">
        <v>503.8583707809448</v>
      </c>
      <c r="G873" s="27" t="s">
        <v>3424</v>
      </c>
      <c r="H873" s="167">
        <v>45380.0</v>
      </c>
      <c r="I873" s="167">
        <v>45555.0</v>
      </c>
      <c r="J873" s="66">
        <v>245.05085468292236</v>
      </c>
      <c r="K873" s="1"/>
      <c r="L873" s="1"/>
      <c r="M873" s="1" t="str">
        <f>VLOOKUP(B873,Bounties!A:D,3,FALSE)</f>
        <v>Outreach</v>
      </c>
      <c r="N873" s="1" t="str">
        <f>VLOOKUP(B873,Bounties!A:D,4,FALSE)</f>
        <v>Events/Meetups</v>
      </c>
      <c r="O873" s="1" t="str">
        <f t="shared" ref="O873:P873" si="877">IF(ISBLANK(K873),M873,K873)</f>
        <v>Outreach</v>
      </c>
      <c r="P873" s="1" t="str">
        <f t="shared" si="877"/>
        <v>Events/Meetups</v>
      </c>
      <c r="Q873" s="108" t="str">
        <f t="shared" si="3"/>
        <v>2024</v>
      </c>
      <c r="R873" s="110">
        <f t="shared" si="4"/>
        <v>9</v>
      </c>
      <c r="S873" s="108" t="str">
        <f t="shared" si="5"/>
        <v>2024-Q3</v>
      </c>
      <c r="T873" s="111" t="str">
        <f t="shared" si="6"/>
        <v>2024-09</v>
      </c>
      <c r="U873" s="112" t="str">
        <f t="shared" si="7"/>
        <v>2024-H2</v>
      </c>
      <c r="V873" s="1" t="str">
        <f>VLOOKUP(B873,Bounties!A:E,2,FALSE)</f>
        <v>Events Bounty</v>
      </c>
    </row>
    <row r="874" hidden="1">
      <c r="A874" s="109">
        <f>HYPERLINK("https://polkadot.subsquare.io/treasury/child-bounties/872", 872)</f>
        <v>872</v>
      </c>
      <c r="B874" s="183">
        <v>17.0</v>
      </c>
      <c r="C874" s="27" t="s">
        <v>3404</v>
      </c>
      <c r="D874" s="27" t="s">
        <v>1440</v>
      </c>
      <c r="E874" s="129">
        <v>942.1</v>
      </c>
      <c r="F874" s="66">
        <v>8630.635838413238</v>
      </c>
      <c r="G874" s="27" t="s">
        <v>3417</v>
      </c>
      <c r="H874" s="167">
        <v>45380.0</v>
      </c>
      <c r="I874" s="167">
        <v>45461.0</v>
      </c>
      <c r="J874" s="66">
        <v>5314.168479442596</v>
      </c>
      <c r="K874" s="1"/>
      <c r="L874" s="1" t="s">
        <v>266</v>
      </c>
      <c r="M874" s="1" t="str">
        <f>VLOOKUP(B874,Bounties!A:D,3,FALSE)</f>
        <v>Outreach</v>
      </c>
      <c r="N874" s="1" t="str">
        <f>VLOOKUP(B874,Bounties!A:D,4,FALSE)</f>
        <v>Events/Meetups</v>
      </c>
      <c r="O874" s="1" t="str">
        <f t="shared" ref="O874:P874" si="878">IF(ISBLANK(K874),M874,K874)</f>
        <v>Outreach</v>
      </c>
      <c r="P874" s="1" t="str">
        <f t="shared" si="878"/>
        <v>Events/Conference Attendance &amp; Side Events</v>
      </c>
      <c r="Q874" s="108" t="str">
        <f t="shared" si="3"/>
        <v>2024</v>
      </c>
      <c r="R874" s="110">
        <f t="shared" si="4"/>
        <v>6</v>
      </c>
      <c r="S874" s="108" t="str">
        <f t="shared" si="5"/>
        <v>2024-Q2</v>
      </c>
      <c r="T874" s="111" t="str">
        <f t="shared" si="6"/>
        <v>2024-06</v>
      </c>
      <c r="U874" s="112" t="str">
        <f t="shared" si="7"/>
        <v>2024-H1</v>
      </c>
      <c r="V874" s="1" t="str">
        <f>VLOOKUP(B874,Bounties!A:E,2,FALSE)</f>
        <v>Events Bounty</v>
      </c>
    </row>
    <row r="875" hidden="1">
      <c r="A875" s="109">
        <f>HYPERLINK("https://polkadot.subsquare.io/treasury/child-bounties/873", 873)</f>
        <v>873</v>
      </c>
      <c r="B875" s="183">
        <v>17.0</v>
      </c>
      <c r="C875" s="27" t="s">
        <v>3404</v>
      </c>
      <c r="D875" s="27" t="s">
        <v>1441</v>
      </c>
      <c r="E875" s="129">
        <v>2064.7</v>
      </c>
      <c r="F875" s="66">
        <v>18914.843239116668</v>
      </c>
      <c r="G875" s="27" t="s">
        <v>3642</v>
      </c>
      <c r="H875" s="167">
        <v>45380.0</v>
      </c>
      <c r="I875" s="167">
        <v>45410.0</v>
      </c>
      <c r="J875" s="66">
        <v>13259.994536542892</v>
      </c>
      <c r="K875" s="1"/>
      <c r="L875" s="1"/>
      <c r="M875" s="1" t="str">
        <f>VLOOKUP(B875,Bounties!A:D,3,FALSE)</f>
        <v>Outreach</v>
      </c>
      <c r="N875" s="1" t="str">
        <f>VLOOKUP(B875,Bounties!A:D,4,FALSE)</f>
        <v>Events/Meetups</v>
      </c>
      <c r="O875" s="1" t="str">
        <f t="shared" ref="O875:P875" si="879">IF(ISBLANK(K875),M875,K875)</f>
        <v>Outreach</v>
      </c>
      <c r="P875" s="1" t="str">
        <f t="shared" si="879"/>
        <v>Events/Meetups</v>
      </c>
      <c r="Q875" s="108" t="str">
        <f t="shared" si="3"/>
        <v>2024</v>
      </c>
      <c r="R875" s="110">
        <f t="shared" si="4"/>
        <v>4</v>
      </c>
      <c r="S875" s="108" t="str">
        <f t="shared" si="5"/>
        <v>2024-Q2</v>
      </c>
      <c r="T875" s="111" t="str">
        <f t="shared" si="6"/>
        <v>2024-04</v>
      </c>
      <c r="U875" s="112" t="str">
        <f t="shared" si="7"/>
        <v>2024-H1</v>
      </c>
      <c r="V875" s="1" t="str">
        <f>VLOOKUP(B875,Bounties!A:E,2,FALSE)</f>
        <v>Events Bounty</v>
      </c>
    </row>
    <row r="876" hidden="1">
      <c r="A876" s="109">
        <f>HYPERLINK("https://polkadot.subsquare.io/treasury/child-bounties/874", 874)</f>
        <v>874</v>
      </c>
      <c r="B876" s="183">
        <v>17.0</v>
      </c>
      <c r="C876" s="27" t="s">
        <v>3404</v>
      </c>
      <c r="D876" s="27" t="s">
        <v>1442</v>
      </c>
      <c r="E876" s="129">
        <v>15.8</v>
      </c>
      <c r="F876" s="66">
        <v>144.74476833343508</v>
      </c>
      <c r="G876" s="27" t="s">
        <v>3494</v>
      </c>
      <c r="H876" s="167">
        <v>45380.0</v>
      </c>
      <c r="I876" s="167">
        <v>45414.0</v>
      </c>
      <c r="J876" s="66">
        <v>115.447189617157</v>
      </c>
      <c r="K876" s="1"/>
      <c r="L876" s="1" t="s">
        <v>266</v>
      </c>
      <c r="M876" s="1" t="str">
        <f>VLOOKUP(B876,Bounties!A:D,3,FALSE)</f>
        <v>Outreach</v>
      </c>
      <c r="N876" s="1" t="str">
        <f>VLOOKUP(B876,Bounties!A:D,4,FALSE)</f>
        <v>Events/Meetups</v>
      </c>
      <c r="O876" s="1" t="str">
        <f t="shared" ref="O876:P876" si="880">IF(ISBLANK(K876),M876,K876)</f>
        <v>Outreach</v>
      </c>
      <c r="P876" s="1" t="str">
        <f t="shared" si="880"/>
        <v>Events/Conference Attendance &amp; Side Events</v>
      </c>
      <c r="Q876" s="108" t="str">
        <f t="shared" si="3"/>
        <v>2024</v>
      </c>
      <c r="R876" s="110">
        <f t="shared" si="4"/>
        <v>5</v>
      </c>
      <c r="S876" s="108" t="str">
        <f t="shared" si="5"/>
        <v>2024-Q2</v>
      </c>
      <c r="T876" s="111" t="str">
        <f t="shared" si="6"/>
        <v>2024-05</v>
      </c>
      <c r="U876" s="112" t="str">
        <f t="shared" si="7"/>
        <v>2024-H1</v>
      </c>
      <c r="V876" s="1" t="str">
        <f>VLOOKUP(B876,Bounties!A:E,2,FALSE)</f>
        <v>Events Bounty</v>
      </c>
    </row>
    <row r="877" hidden="1">
      <c r="A877" s="109">
        <f>HYPERLINK("https://polkadot.subsquare.io/treasury/child-bounties/875", 875)</f>
        <v>875</v>
      </c>
      <c r="B877" s="183">
        <v>17.0</v>
      </c>
      <c r="C877" s="27" t="s">
        <v>3404</v>
      </c>
      <c r="D877" s="27" t="s">
        <v>1443</v>
      </c>
      <c r="E877" s="129">
        <v>15.8</v>
      </c>
      <c r="F877" s="66">
        <v>144.74476833343508</v>
      </c>
      <c r="G877" s="27" t="s">
        <v>3494</v>
      </c>
      <c r="H877" s="167">
        <v>45380.0</v>
      </c>
      <c r="I877" s="167">
        <v>45414.0</v>
      </c>
      <c r="J877" s="66">
        <v>115.447189617157</v>
      </c>
      <c r="K877" s="1"/>
      <c r="L877" s="1" t="s">
        <v>266</v>
      </c>
      <c r="M877" s="1" t="str">
        <f>VLOOKUP(B877,Bounties!A:D,3,FALSE)</f>
        <v>Outreach</v>
      </c>
      <c r="N877" s="1" t="str">
        <f>VLOOKUP(B877,Bounties!A:D,4,FALSE)</f>
        <v>Events/Meetups</v>
      </c>
      <c r="O877" s="1" t="str">
        <f t="shared" ref="O877:P877" si="881">IF(ISBLANK(K877),M877,K877)</f>
        <v>Outreach</v>
      </c>
      <c r="P877" s="1" t="str">
        <f t="shared" si="881"/>
        <v>Events/Conference Attendance &amp; Side Events</v>
      </c>
      <c r="Q877" s="108" t="str">
        <f t="shared" si="3"/>
        <v>2024</v>
      </c>
      <c r="R877" s="110">
        <f t="shared" si="4"/>
        <v>5</v>
      </c>
      <c r="S877" s="108" t="str">
        <f t="shared" si="5"/>
        <v>2024-Q2</v>
      </c>
      <c r="T877" s="111" t="str">
        <f t="shared" si="6"/>
        <v>2024-05</v>
      </c>
      <c r="U877" s="112" t="str">
        <f t="shared" si="7"/>
        <v>2024-H1</v>
      </c>
      <c r="V877" s="1" t="str">
        <f>VLOOKUP(B877,Bounties!A:E,2,FALSE)</f>
        <v>Events Bounty</v>
      </c>
    </row>
    <row r="878" hidden="1">
      <c r="A878" s="109">
        <f>HYPERLINK("https://polkadot.subsquare.io/treasury/child-bounties/876", 876)</f>
        <v>876</v>
      </c>
      <c r="B878" s="183">
        <v>17.0</v>
      </c>
      <c r="C878" s="27" t="s">
        <v>3404</v>
      </c>
      <c r="D878" s="27" t="s">
        <v>1444</v>
      </c>
      <c r="E878" s="129">
        <v>21.0</v>
      </c>
      <c r="F878" s="66">
        <v>192.38228702545166</v>
      </c>
      <c r="G878" s="27" t="s">
        <v>3495</v>
      </c>
      <c r="H878" s="167">
        <v>45380.0</v>
      </c>
      <c r="I878" s="167">
        <v>45409.0</v>
      </c>
      <c r="J878" s="66">
        <v>134.86699533462524</v>
      </c>
      <c r="K878" s="1"/>
      <c r="L878" s="1" t="s">
        <v>266</v>
      </c>
      <c r="M878" s="1" t="str">
        <f>VLOOKUP(B878,Bounties!A:D,3,FALSE)</f>
        <v>Outreach</v>
      </c>
      <c r="N878" s="1" t="str">
        <f>VLOOKUP(B878,Bounties!A:D,4,FALSE)</f>
        <v>Events/Meetups</v>
      </c>
      <c r="O878" s="1" t="str">
        <f t="shared" ref="O878:P878" si="882">IF(ISBLANK(K878),M878,K878)</f>
        <v>Outreach</v>
      </c>
      <c r="P878" s="1" t="str">
        <f t="shared" si="882"/>
        <v>Events/Conference Attendance &amp; Side Events</v>
      </c>
      <c r="Q878" s="108" t="str">
        <f t="shared" si="3"/>
        <v>2024</v>
      </c>
      <c r="R878" s="110">
        <f t="shared" si="4"/>
        <v>4</v>
      </c>
      <c r="S878" s="108" t="str">
        <f t="shared" si="5"/>
        <v>2024-Q2</v>
      </c>
      <c r="T878" s="111" t="str">
        <f t="shared" si="6"/>
        <v>2024-04</v>
      </c>
      <c r="U878" s="112" t="str">
        <f t="shared" si="7"/>
        <v>2024-H1</v>
      </c>
      <c r="V878" s="1" t="str">
        <f>VLOOKUP(B878,Bounties!A:E,2,FALSE)</f>
        <v>Events Bounty</v>
      </c>
    </row>
    <row r="879" hidden="1">
      <c r="A879" s="109">
        <f>HYPERLINK("https://polkadot.subsquare.io/treasury/child-bounties/877", 877)</f>
        <v>877</v>
      </c>
      <c r="B879" s="183">
        <v>17.0</v>
      </c>
      <c r="C879" s="27" t="s">
        <v>3404</v>
      </c>
      <c r="D879" s="27" t="s">
        <v>1445</v>
      </c>
      <c r="E879" s="129">
        <v>15.8</v>
      </c>
      <c r="F879" s="66">
        <v>144.74476833343508</v>
      </c>
      <c r="G879" s="27" t="s">
        <v>3497</v>
      </c>
      <c r="H879" s="167">
        <v>45380.0</v>
      </c>
      <c r="I879" s="167">
        <v>45404.0</v>
      </c>
      <c r="J879" s="66">
        <v>108.42543115615845</v>
      </c>
      <c r="K879" s="1"/>
      <c r="L879" s="1" t="s">
        <v>266</v>
      </c>
      <c r="M879" s="1" t="str">
        <f>VLOOKUP(B879,Bounties!A:D,3,FALSE)</f>
        <v>Outreach</v>
      </c>
      <c r="N879" s="1" t="str">
        <f>VLOOKUP(B879,Bounties!A:D,4,FALSE)</f>
        <v>Events/Meetups</v>
      </c>
      <c r="O879" s="1" t="str">
        <f t="shared" ref="O879:P879" si="883">IF(ISBLANK(K879),M879,K879)</f>
        <v>Outreach</v>
      </c>
      <c r="P879" s="1" t="str">
        <f t="shared" si="883"/>
        <v>Events/Conference Attendance &amp; Side Events</v>
      </c>
      <c r="Q879" s="108" t="str">
        <f t="shared" si="3"/>
        <v>2024</v>
      </c>
      <c r="R879" s="110">
        <f t="shared" si="4"/>
        <v>4</v>
      </c>
      <c r="S879" s="108" t="str">
        <f t="shared" si="5"/>
        <v>2024-Q2</v>
      </c>
      <c r="T879" s="111" t="str">
        <f t="shared" si="6"/>
        <v>2024-04</v>
      </c>
      <c r="U879" s="112" t="str">
        <f t="shared" si="7"/>
        <v>2024-H1</v>
      </c>
      <c r="V879" s="1" t="str">
        <f>VLOOKUP(B879,Bounties!A:E,2,FALSE)</f>
        <v>Events Bounty</v>
      </c>
    </row>
    <row r="880" hidden="1">
      <c r="A880" s="109">
        <f>HYPERLINK("https://polkadot.subsquare.io/treasury/child-bounties/878", 878)</f>
        <v>878</v>
      </c>
      <c r="B880" s="183">
        <v>17.0</v>
      </c>
      <c r="C880" s="27" t="s">
        <v>3404</v>
      </c>
      <c r="D880" s="27" t="s">
        <v>1446</v>
      </c>
      <c r="E880" s="129">
        <v>15.8</v>
      </c>
      <c r="F880" s="66">
        <v>144.74476833343508</v>
      </c>
      <c r="G880" s="27" t="s">
        <v>3505</v>
      </c>
      <c r="H880" s="167">
        <v>45380.0</v>
      </c>
      <c r="I880" s="167">
        <v>45416.0</v>
      </c>
      <c r="J880" s="66">
        <v>112.53173961639405</v>
      </c>
      <c r="K880" s="1"/>
      <c r="L880" s="1" t="s">
        <v>266</v>
      </c>
      <c r="M880" s="1" t="str">
        <f>VLOOKUP(B880,Bounties!A:D,3,FALSE)</f>
        <v>Outreach</v>
      </c>
      <c r="N880" s="1" t="str">
        <f>VLOOKUP(B880,Bounties!A:D,4,FALSE)</f>
        <v>Events/Meetups</v>
      </c>
      <c r="O880" s="1" t="str">
        <f t="shared" ref="O880:P880" si="884">IF(ISBLANK(K880),M880,K880)</f>
        <v>Outreach</v>
      </c>
      <c r="P880" s="1" t="str">
        <f t="shared" si="884"/>
        <v>Events/Conference Attendance &amp; Side Events</v>
      </c>
      <c r="Q880" s="108" t="str">
        <f t="shared" si="3"/>
        <v>2024</v>
      </c>
      <c r="R880" s="110">
        <f t="shared" si="4"/>
        <v>5</v>
      </c>
      <c r="S880" s="108" t="str">
        <f t="shared" si="5"/>
        <v>2024-Q2</v>
      </c>
      <c r="T880" s="111" t="str">
        <f t="shared" si="6"/>
        <v>2024-05</v>
      </c>
      <c r="U880" s="112" t="str">
        <f t="shared" si="7"/>
        <v>2024-H1</v>
      </c>
      <c r="V880" s="1" t="str">
        <f>VLOOKUP(B880,Bounties!A:E,2,FALSE)</f>
        <v>Events Bounty</v>
      </c>
    </row>
    <row r="881" hidden="1">
      <c r="A881" s="109">
        <f>HYPERLINK("https://polkadot.subsquare.io/treasury/child-bounties/879", 879)</f>
        <v>879</v>
      </c>
      <c r="B881" s="183">
        <v>17.0</v>
      </c>
      <c r="C881" s="27" t="s">
        <v>3404</v>
      </c>
      <c r="D881" s="27" t="s">
        <v>1447</v>
      </c>
      <c r="E881" s="129">
        <v>15.8</v>
      </c>
      <c r="F881" s="66">
        <v>144.74476833343508</v>
      </c>
      <c r="G881" s="27" t="s">
        <v>3478</v>
      </c>
      <c r="H881" s="167">
        <v>45380.0</v>
      </c>
      <c r="I881" s="167">
        <v>45529.0</v>
      </c>
      <c r="J881" s="66">
        <v>69.2176986694336</v>
      </c>
      <c r="K881" s="1"/>
      <c r="L881" s="1"/>
      <c r="M881" s="1" t="str">
        <f>VLOOKUP(B881,Bounties!A:D,3,FALSE)</f>
        <v>Outreach</v>
      </c>
      <c r="N881" s="1" t="str">
        <f>VLOOKUP(B881,Bounties!A:D,4,FALSE)</f>
        <v>Events/Meetups</v>
      </c>
      <c r="O881" s="1" t="str">
        <f t="shared" ref="O881:P881" si="885">IF(ISBLANK(K881),M881,K881)</f>
        <v>Outreach</v>
      </c>
      <c r="P881" s="1" t="str">
        <f t="shared" si="885"/>
        <v>Events/Meetups</v>
      </c>
      <c r="Q881" s="108" t="str">
        <f t="shared" si="3"/>
        <v>2024</v>
      </c>
      <c r="R881" s="110">
        <f t="shared" si="4"/>
        <v>8</v>
      </c>
      <c r="S881" s="108" t="str">
        <f t="shared" si="5"/>
        <v>2024-Q3</v>
      </c>
      <c r="T881" s="111" t="str">
        <f t="shared" si="6"/>
        <v>2024-08</v>
      </c>
      <c r="U881" s="112" t="str">
        <f t="shared" si="7"/>
        <v>2024-H2</v>
      </c>
      <c r="V881" s="1" t="str">
        <f>VLOOKUP(B881,Bounties!A:E,2,FALSE)</f>
        <v>Events Bounty</v>
      </c>
    </row>
    <row r="882" hidden="1">
      <c r="A882" s="109">
        <f>HYPERLINK("https://polkadot.subsquare.io/treasury/child-bounties/880", 880)</f>
        <v>880</v>
      </c>
      <c r="B882" s="183">
        <v>17.0</v>
      </c>
      <c r="C882" s="27" t="s">
        <v>3404</v>
      </c>
      <c r="D882" s="27" t="s">
        <v>1448</v>
      </c>
      <c r="E882" s="129">
        <v>21.0</v>
      </c>
      <c r="F882" s="66">
        <v>192.38228702545166</v>
      </c>
      <c r="G882" s="27" t="s">
        <v>3494</v>
      </c>
      <c r="H882" s="167">
        <v>45380.0</v>
      </c>
      <c r="I882" s="167">
        <v>45414.0</v>
      </c>
      <c r="J882" s="66">
        <v>153.442467212677</v>
      </c>
      <c r="K882" s="1"/>
      <c r="L882" s="1" t="s">
        <v>266</v>
      </c>
      <c r="M882" s="1" t="str">
        <f>VLOOKUP(B882,Bounties!A:D,3,FALSE)</f>
        <v>Outreach</v>
      </c>
      <c r="N882" s="1" t="str">
        <f>VLOOKUP(B882,Bounties!A:D,4,FALSE)</f>
        <v>Events/Meetups</v>
      </c>
      <c r="O882" s="1" t="str">
        <f t="shared" ref="O882:P882" si="886">IF(ISBLANK(K882),M882,K882)</f>
        <v>Outreach</v>
      </c>
      <c r="P882" s="1" t="str">
        <f t="shared" si="886"/>
        <v>Events/Conference Attendance &amp; Side Events</v>
      </c>
      <c r="Q882" s="108" t="str">
        <f t="shared" si="3"/>
        <v>2024</v>
      </c>
      <c r="R882" s="110">
        <f t="shared" si="4"/>
        <v>5</v>
      </c>
      <c r="S882" s="108" t="str">
        <f t="shared" si="5"/>
        <v>2024-Q2</v>
      </c>
      <c r="T882" s="111" t="str">
        <f t="shared" si="6"/>
        <v>2024-05</v>
      </c>
      <c r="U882" s="112" t="str">
        <f t="shared" si="7"/>
        <v>2024-H1</v>
      </c>
      <c r="V882" s="1" t="str">
        <f>VLOOKUP(B882,Bounties!A:E,2,FALSE)</f>
        <v>Events Bounty</v>
      </c>
    </row>
    <row r="883" hidden="1">
      <c r="A883" s="109">
        <f>HYPERLINK("https://polkadot.subsquare.io/treasury/child-bounties/881", 881)</f>
        <v>881</v>
      </c>
      <c r="B883" s="183">
        <v>17.0</v>
      </c>
      <c r="C883" s="27" t="s">
        <v>3404</v>
      </c>
      <c r="D883" s="27" t="s">
        <v>1449</v>
      </c>
      <c r="E883" s="129">
        <v>21.0</v>
      </c>
      <c r="F883" s="66">
        <v>192.38228702545166</v>
      </c>
      <c r="G883" s="27" t="s">
        <v>3431</v>
      </c>
      <c r="H883" s="167">
        <v>45380.0</v>
      </c>
      <c r="I883" s="167">
        <v>45417.0</v>
      </c>
      <c r="J883" s="66">
        <v>146.792498588562</v>
      </c>
      <c r="K883" s="1"/>
      <c r="L883" s="1" t="s">
        <v>266</v>
      </c>
      <c r="M883" s="1" t="str">
        <f>VLOOKUP(B883,Bounties!A:D,3,FALSE)</f>
        <v>Outreach</v>
      </c>
      <c r="N883" s="1" t="str">
        <f>VLOOKUP(B883,Bounties!A:D,4,FALSE)</f>
        <v>Events/Meetups</v>
      </c>
      <c r="O883" s="1" t="str">
        <f t="shared" ref="O883:P883" si="887">IF(ISBLANK(K883),M883,K883)</f>
        <v>Outreach</v>
      </c>
      <c r="P883" s="1" t="str">
        <f t="shared" si="887"/>
        <v>Events/Conference Attendance &amp; Side Events</v>
      </c>
      <c r="Q883" s="108" t="str">
        <f t="shared" si="3"/>
        <v>2024</v>
      </c>
      <c r="R883" s="110">
        <f t="shared" si="4"/>
        <v>5</v>
      </c>
      <c r="S883" s="108" t="str">
        <f t="shared" si="5"/>
        <v>2024-Q2</v>
      </c>
      <c r="T883" s="111" t="str">
        <f t="shared" si="6"/>
        <v>2024-05</v>
      </c>
      <c r="U883" s="112" t="str">
        <f t="shared" si="7"/>
        <v>2024-H1</v>
      </c>
      <c r="V883" s="1" t="str">
        <f>VLOOKUP(B883,Bounties!A:E,2,FALSE)</f>
        <v>Events Bounty</v>
      </c>
    </row>
    <row r="884" hidden="1">
      <c r="A884" s="109">
        <f>HYPERLINK("https://polkadot.subsquare.io/treasury/child-bounties/882", 882)</f>
        <v>882</v>
      </c>
      <c r="B884" s="183">
        <v>17.0</v>
      </c>
      <c r="C884" s="27" t="s">
        <v>3404</v>
      </c>
      <c r="D884" s="27" t="s">
        <v>1450</v>
      </c>
      <c r="E884" s="129">
        <v>15.8</v>
      </c>
      <c r="F884" s="66">
        <v>144.74476833343508</v>
      </c>
      <c r="G884" s="27" t="s">
        <v>3439</v>
      </c>
      <c r="H884" s="167">
        <v>45380.0</v>
      </c>
      <c r="I884" s="167">
        <v>45406.0</v>
      </c>
      <c r="J884" s="66">
        <v>106.77982635498047</v>
      </c>
      <c r="K884" s="1"/>
      <c r="L884" s="1" t="s">
        <v>266</v>
      </c>
      <c r="M884" s="1" t="str">
        <f>VLOOKUP(B884,Bounties!A:D,3,FALSE)</f>
        <v>Outreach</v>
      </c>
      <c r="N884" s="1" t="str">
        <f>VLOOKUP(B884,Bounties!A:D,4,FALSE)</f>
        <v>Events/Meetups</v>
      </c>
      <c r="O884" s="1" t="str">
        <f t="shared" ref="O884:P884" si="888">IF(ISBLANK(K884),M884,K884)</f>
        <v>Outreach</v>
      </c>
      <c r="P884" s="1" t="str">
        <f t="shared" si="888"/>
        <v>Events/Conference Attendance &amp; Side Events</v>
      </c>
      <c r="Q884" s="108" t="str">
        <f t="shared" si="3"/>
        <v>2024</v>
      </c>
      <c r="R884" s="110">
        <f t="shared" si="4"/>
        <v>4</v>
      </c>
      <c r="S884" s="108" t="str">
        <f t="shared" si="5"/>
        <v>2024-Q2</v>
      </c>
      <c r="T884" s="111" t="str">
        <f t="shared" si="6"/>
        <v>2024-04</v>
      </c>
      <c r="U884" s="112" t="str">
        <f t="shared" si="7"/>
        <v>2024-H1</v>
      </c>
      <c r="V884" s="1" t="str">
        <f>VLOOKUP(B884,Bounties!A:E,2,FALSE)</f>
        <v>Events Bounty</v>
      </c>
    </row>
    <row r="885" hidden="1">
      <c r="A885" s="109">
        <f>HYPERLINK("https://polkadot.subsquare.io/treasury/child-bounties/883", 883)</f>
        <v>883</v>
      </c>
      <c r="B885" s="183">
        <v>17.0</v>
      </c>
      <c r="C885" s="27" t="s">
        <v>3404</v>
      </c>
      <c r="D885" s="27" t="s">
        <v>1451</v>
      </c>
      <c r="E885" s="129">
        <v>21.0</v>
      </c>
      <c r="F885" s="66">
        <v>192.38228702545166</v>
      </c>
      <c r="G885" s="27" t="s">
        <v>3498</v>
      </c>
      <c r="H885" s="167">
        <v>45380.0</v>
      </c>
      <c r="I885" s="167">
        <v>45439.0</v>
      </c>
      <c r="J885" s="66">
        <v>146.95505905151367</v>
      </c>
      <c r="K885" s="1"/>
      <c r="L885" s="1" t="s">
        <v>266</v>
      </c>
      <c r="M885" s="1" t="str">
        <f>VLOOKUP(B885,Bounties!A:D,3,FALSE)</f>
        <v>Outreach</v>
      </c>
      <c r="N885" s="1" t="str">
        <f>VLOOKUP(B885,Bounties!A:D,4,FALSE)</f>
        <v>Events/Meetups</v>
      </c>
      <c r="O885" s="1" t="str">
        <f t="shared" ref="O885:P885" si="889">IF(ISBLANK(K885),M885,K885)</f>
        <v>Outreach</v>
      </c>
      <c r="P885" s="1" t="str">
        <f t="shared" si="889"/>
        <v>Events/Conference Attendance &amp; Side Events</v>
      </c>
      <c r="Q885" s="108" t="str">
        <f t="shared" si="3"/>
        <v>2024</v>
      </c>
      <c r="R885" s="110">
        <f t="shared" si="4"/>
        <v>5</v>
      </c>
      <c r="S885" s="108" t="str">
        <f t="shared" si="5"/>
        <v>2024-Q2</v>
      </c>
      <c r="T885" s="111" t="str">
        <f t="shared" si="6"/>
        <v>2024-05</v>
      </c>
      <c r="U885" s="112" t="str">
        <f t="shared" si="7"/>
        <v>2024-H1</v>
      </c>
      <c r="V885" s="1" t="str">
        <f>VLOOKUP(B885,Bounties!A:E,2,FALSE)</f>
        <v>Events Bounty</v>
      </c>
    </row>
    <row r="886" hidden="1">
      <c r="A886" s="109">
        <f>HYPERLINK("https://polkadot.subsquare.io/treasury/child-bounties/884", 884)</f>
        <v>884</v>
      </c>
      <c r="B886" s="183">
        <v>17.0</v>
      </c>
      <c r="C886" s="27" t="s">
        <v>3404</v>
      </c>
      <c r="D886" s="27" t="s">
        <v>1452</v>
      </c>
      <c r="E886" s="129">
        <v>21.0</v>
      </c>
      <c r="F886" s="66">
        <v>192.38228702545166</v>
      </c>
      <c r="G886" s="27" t="s">
        <v>3481</v>
      </c>
      <c r="H886" s="167">
        <v>45380.0</v>
      </c>
      <c r="I886" s="167">
        <v>45406.0</v>
      </c>
      <c r="J886" s="66">
        <v>142.77133512496948</v>
      </c>
      <c r="K886" s="1"/>
      <c r="L886" s="1" t="s">
        <v>266</v>
      </c>
      <c r="M886" s="1" t="str">
        <f>VLOOKUP(B886,Bounties!A:D,3,FALSE)</f>
        <v>Outreach</v>
      </c>
      <c r="N886" s="1" t="str">
        <f>VLOOKUP(B886,Bounties!A:D,4,FALSE)</f>
        <v>Events/Meetups</v>
      </c>
      <c r="O886" s="1" t="str">
        <f t="shared" ref="O886:P886" si="890">IF(ISBLANK(K886),M886,K886)</f>
        <v>Outreach</v>
      </c>
      <c r="P886" s="1" t="str">
        <f t="shared" si="890"/>
        <v>Events/Conference Attendance &amp; Side Events</v>
      </c>
      <c r="Q886" s="108" t="str">
        <f t="shared" si="3"/>
        <v>2024</v>
      </c>
      <c r="R886" s="110">
        <f t="shared" si="4"/>
        <v>4</v>
      </c>
      <c r="S886" s="108" t="str">
        <f t="shared" si="5"/>
        <v>2024-Q2</v>
      </c>
      <c r="T886" s="111" t="str">
        <f t="shared" si="6"/>
        <v>2024-04</v>
      </c>
      <c r="U886" s="112" t="str">
        <f t="shared" si="7"/>
        <v>2024-H1</v>
      </c>
      <c r="V886" s="1" t="str">
        <f>VLOOKUP(B886,Bounties!A:E,2,FALSE)</f>
        <v>Events Bounty</v>
      </c>
    </row>
    <row r="887" hidden="1">
      <c r="A887" s="109">
        <f>HYPERLINK("https://polkadot.subsquare.io/treasury/child-bounties/885", 885)</f>
        <v>885</v>
      </c>
      <c r="B887" s="183">
        <v>17.0</v>
      </c>
      <c r="C887" s="27" t="s">
        <v>3404</v>
      </c>
      <c r="D887" s="27" t="s">
        <v>1453</v>
      </c>
      <c r="E887" s="129">
        <v>15.8</v>
      </c>
      <c r="F887" s="66">
        <v>144.74476833343508</v>
      </c>
      <c r="G887" s="27" t="s">
        <v>3502</v>
      </c>
      <c r="H887" s="167">
        <v>45380.0</v>
      </c>
      <c r="I887" s="167">
        <v>45450.0</v>
      </c>
      <c r="J887" s="66">
        <v>102.8176589012146</v>
      </c>
      <c r="K887" s="1"/>
      <c r="L887" s="1" t="s">
        <v>266</v>
      </c>
      <c r="M887" s="1" t="str">
        <f>VLOOKUP(B887,Bounties!A:D,3,FALSE)</f>
        <v>Outreach</v>
      </c>
      <c r="N887" s="1" t="str">
        <f>VLOOKUP(B887,Bounties!A:D,4,FALSE)</f>
        <v>Events/Meetups</v>
      </c>
      <c r="O887" s="1" t="str">
        <f t="shared" ref="O887:P887" si="891">IF(ISBLANK(K887),M887,K887)</f>
        <v>Outreach</v>
      </c>
      <c r="P887" s="1" t="str">
        <f t="shared" si="891"/>
        <v>Events/Conference Attendance &amp; Side Events</v>
      </c>
      <c r="Q887" s="108" t="str">
        <f t="shared" si="3"/>
        <v>2024</v>
      </c>
      <c r="R887" s="110">
        <f t="shared" si="4"/>
        <v>6</v>
      </c>
      <c r="S887" s="108" t="str">
        <f t="shared" si="5"/>
        <v>2024-Q2</v>
      </c>
      <c r="T887" s="111" t="str">
        <f t="shared" si="6"/>
        <v>2024-06</v>
      </c>
      <c r="U887" s="112" t="str">
        <f t="shared" si="7"/>
        <v>2024-H1</v>
      </c>
      <c r="V887" s="1" t="str">
        <f>VLOOKUP(B887,Bounties!A:E,2,FALSE)</f>
        <v>Events Bounty</v>
      </c>
    </row>
    <row r="888" hidden="1">
      <c r="A888" s="109">
        <f>HYPERLINK("https://polkadot.subsquare.io/treasury/child-bounties/886", 886)</f>
        <v>886</v>
      </c>
      <c r="B888" s="183">
        <v>17.0</v>
      </c>
      <c r="C888" s="27" t="s">
        <v>3404</v>
      </c>
      <c r="D888" s="27" t="s">
        <v>1454</v>
      </c>
      <c r="E888" s="129">
        <v>15.8</v>
      </c>
      <c r="F888" s="66">
        <v>144.74476833343508</v>
      </c>
      <c r="G888" s="27" t="s">
        <v>3506</v>
      </c>
      <c r="H888" s="167">
        <v>45380.0</v>
      </c>
      <c r="I888" s="167">
        <v>45421.0</v>
      </c>
      <c r="J888" s="66">
        <v>104.60198774337769</v>
      </c>
      <c r="K888" s="1"/>
      <c r="L888" s="1" t="s">
        <v>266</v>
      </c>
      <c r="M888" s="1" t="str">
        <f>VLOOKUP(B888,Bounties!A:D,3,FALSE)</f>
        <v>Outreach</v>
      </c>
      <c r="N888" s="1" t="str">
        <f>VLOOKUP(B888,Bounties!A:D,4,FALSE)</f>
        <v>Events/Meetups</v>
      </c>
      <c r="O888" s="1" t="str">
        <f t="shared" ref="O888:P888" si="892">IF(ISBLANK(K888),M888,K888)</f>
        <v>Outreach</v>
      </c>
      <c r="P888" s="1" t="str">
        <f t="shared" si="892"/>
        <v>Events/Conference Attendance &amp; Side Events</v>
      </c>
      <c r="Q888" s="108" t="str">
        <f t="shared" si="3"/>
        <v>2024</v>
      </c>
      <c r="R888" s="110">
        <f t="shared" si="4"/>
        <v>5</v>
      </c>
      <c r="S888" s="108" t="str">
        <f t="shared" si="5"/>
        <v>2024-Q2</v>
      </c>
      <c r="T888" s="111" t="str">
        <f t="shared" si="6"/>
        <v>2024-05</v>
      </c>
      <c r="U888" s="112" t="str">
        <f t="shared" si="7"/>
        <v>2024-H1</v>
      </c>
      <c r="V888" s="1" t="str">
        <f>VLOOKUP(B888,Bounties!A:E,2,FALSE)</f>
        <v>Events Bounty</v>
      </c>
    </row>
    <row r="889" hidden="1">
      <c r="A889" s="109">
        <f>HYPERLINK("https://polkadot.subsquare.io/treasury/child-bounties/887", 887)</f>
        <v>887</v>
      </c>
      <c r="B889" s="183">
        <v>17.0</v>
      </c>
      <c r="C889" s="27" t="s">
        <v>3404</v>
      </c>
      <c r="D889" s="27" t="s">
        <v>1455</v>
      </c>
      <c r="E889" s="129">
        <v>15.8</v>
      </c>
      <c r="F889" s="66">
        <v>144.74476833343508</v>
      </c>
      <c r="G889" s="27" t="s">
        <v>3507</v>
      </c>
      <c r="H889" s="167">
        <v>45380.0</v>
      </c>
      <c r="I889" s="167">
        <v>45406.0</v>
      </c>
      <c r="J889" s="66">
        <v>106.77982635498047</v>
      </c>
      <c r="K889" s="1"/>
      <c r="L889" s="1" t="s">
        <v>266</v>
      </c>
      <c r="M889" s="1" t="str">
        <f>VLOOKUP(B889,Bounties!A:D,3,FALSE)</f>
        <v>Outreach</v>
      </c>
      <c r="N889" s="1" t="str">
        <f>VLOOKUP(B889,Bounties!A:D,4,FALSE)</f>
        <v>Events/Meetups</v>
      </c>
      <c r="O889" s="1" t="str">
        <f t="shared" ref="O889:P889" si="893">IF(ISBLANK(K889),M889,K889)</f>
        <v>Outreach</v>
      </c>
      <c r="P889" s="1" t="str">
        <f t="shared" si="893"/>
        <v>Events/Conference Attendance &amp; Side Events</v>
      </c>
      <c r="Q889" s="108" t="str">
        <f t="shared" si="3"/>
        <v>2024</v>
      </c>
      <c r="R889" s="110">
        <f t="shared" si="4"/>
        <v>4</v>
      </c>
      <c r="S889" s="108" t="str">
        <f t="shared" si="5"/>
        <v>2024-Q2</v>
      </c>
      <c r="T889" s="111" t="str">
        <f t="shared" si="6"/>
        <v>2024-04</v>
      </c>
      <c r="U889" s="112" t="str">
        <f t="shared" si="7"/>
        <v>2024-H1</v>
      </c>
      <c r="V889" s="1" t="str">
        <f>VLOOKUP(B889,Bounties!A:E,2,FALSE)</f>
        <v>Events Bounty</v>
      </c>
    </row>
    <row r="890" hidden="1">
      <c r="A890" s="109">
        <f>HYPERLINK("https://polkadot.subsquare.io/treasury/child-bounties/888", 888)</f>
        <v>888</v>
      </c>
      <c r="B890" s="183">
        <v>17.0</v>
      </c>
      <c r="C890" s="27" t="s">
        <v>3404</v>
      </c>
      <c r="D890" s="27" t="s">
        <v>1456</v>
      </c>
      <c r="E890" s="129">
        <v>21.0</v>
      </c>
      <c r="F890" s="66">
        <v>192.38228702545166</v>
      </c>
      <c r="G890" s="27" t="s">
        <v>3508</v>
      </c>
      <c r="H890" s="167">
        <v>45380.0</v>
      </c>
      <c r="I890" s="167">
        <v>45555.0</v>
      </c>
      <c r="J890" s="66">
        <v>93.5648717880249</v>
      </c>
      <c r="K890" s="1"/>
      <c r="L890" s="1"/>
      <c r="M890" s="1" t="str">
        <f>VLOOKUP(B890,Bounties!A:D,3,FALSE)</f>
        <v>Outreach</v>
      </c>
      <c r="N890" s="1" t="str">
        <f>VLOOKUP(B890,Bounties!A:D,4,FALSE)</f>
        <v>Events/Meetups</v>
      </c>
      <c r="O890" s="1" t="str">
        <f t="shared" ref="O890:P890" si="894">IF(ISBLANK(K890),M890,K890)</f>
        <v>Outreach</v>
      </c>
      <c r="P890" s="1" t="str">
        <f t="shared" si="894"/>
        <v>Events/Meetups</v>
      </c>
      <c r="Q890" s="108" t="str">
        <f t="shared" si="3"/>
        <v>2024</v>
      </c>
      <c r="R890" s="110">
        <f t="shared" si="4"/>
        <v>9</v>
      </c>
      <c r="S890" s="108" t="str">
        <f t="shared" si="5"/>
        <v>2024-Q3</v>
      </c>
      <c r="T890" s="111" t="str">
        <f t="shared" si="6"/>
        <v>2024-09</v>
      </c>
      <c r="U890" s="112" t="str">
        <f t="shared" si="7"/>
        <v>2024-H2</v>
      </c>
      <c r="V890" s="1" t="str">
        <f>VLOOKUP(B890,Bounties!A:E,2,FALSE)</f>
        <v>Events Bounty</v>
      </c>
    </row>
    <row r="891" hidden="1">
      <c r="A891" s="109">
        <f>HYPERLINK("https://polkadot.subsquare.io/treasury/child-bounties/889", 889)</f>
        <v>889</v>
      </c>
      <c r="B891" s="183">
        <v>17.0</v>
      </c>
      <c r="C891" s="27" t="s">
        <v>3404</v>
      </c>
      <c r="D891" s="27" t="s">
        <v>1457</v>
      </c>
      <c r="E891" s="129">
        <v>21.0</v>
      </c>
      <c r="F891" s="66">
        <v>192.38228702545166</v>
      </c>
      <c r="G891" s="27" t="s">
        <v>3509</v>
      </c>
      <c r="H891" s="167">
        <v>45380.0</v>
      </c>
      <c r="I891" s="167">
        <v>45404.0</v>
      </c>
      <c r="J891" s="66">
        <v>144.1097502708435</v>
      </c>
      <c r="K891" s="1"/>
      <c r="L891" s="1" t="s">
        <v>266</v>
      </c>
      <c r="M891" s="1" t="str">
        <f>VLOOKUP(B891,Bounties!A:D,3,FALSE)</f>
        <v>Outreach</v>
      </c>
      <c r="N891" s="1" t="str">
        <f>VLOOKUP(B891,Bounties!A:D,4,FALSE)</f>
        <v>Events/Meetups</v>
      </c>
      <c r="O891" s="1" t="str">
        <f t="shared" ref="O891:P891" si="895">IF(ISBLANK(K891),M891,K891)</f>
        <v>Outreach</v>
      </c>
      <c r="P891" s="1" t="str">
        <f t="shared" si="895"/>
        <v>Events/Conference Attendance &amp; Side Events</v>
      </c>
      <c r="Q891" s="108" t="str">
        <f t="shared" si="3"/>
        <v>2024</v>
      </c>
      <c r="R891" s="110">
        <f t="shared" si="4"/>
        <v>4</v>
      </c>
      <c r="S891" s="108" t="str">
        <f t="shared" si="5"/>
        <v>2024-Q2</v>
      </c>
      <c r="T891" s="111" t="str">
        <f t="shared" si="6"/>
        <v>2024-04</v>
      </c>
      <c r="U891" s="112" t="str">
        <f t="shared" si="7"/>
        <v>2024-H1</v>
      </c>
      <c r="V891" s="1" t="str">
        <f>VLOOKUP(B891,Bounties!A:E,2,FALSE)</f>
        <v>Events Bounty</v>
      </c>
    </row>
    <row r="892" hidden="1">
      <c r="A892" s="109">
        <f>HYPERLINK("https://polkadot.subsquare.io/treasury/child-bounties/890", 890)</f>
        <v>890</v>
      </c>
      <c r="B892" s="183">
        <v>17.0</v>
      </c>
      <c r="C892" s="27" t="s">
        <v>3404</v>
      </c>
      <c r="D892" s="27" t="s">
        <v>1458</v>
      </c>
      <c r="E892" s="129">
        <v>15.8</v>
      </c>
      <c r="F892" s="66">
        <v>144.74476833343508</v>
      </c>
      <c r="G892" s="27" t="s">
        <v>3443</v>
      </c>
      <c r="H892" s="167">
        <v>45380.0</v>
      </c>
      <c r="I892" s="167">
        <v>45444.0</v>
      </c>
      <c r="J892" s="66">
        <v>113.56100072860718</v>
      </c>
      <c r="K892" s="1"/>
      <c r="L892" s="1" t="s">
        <v>266</v>
      </c>
      <c r="M892" s="1" t="str">
        <f>VLOOKUP(B892,Bounties!A:D,3,FALSE)</f>
        <v>Outreach</v>
      </c>
      <c r="N892" s="1" t="str">
        <f>VLOOKUP(B892,Bounties!A:D,4,FALSE)</f>
        <v>Events/Meetups</v>
      </c>
      <c r="O892" s="1" t="str">
        <f t="shared" ref="O892:P892" si="896">IF(ISBLANK(K892),M892,K892)</f>
        <v>Outreach</v>
      </c>
      <c r="P892" s="1" t="str">
        <f t="shared" si="896"/>
        <v>Events/Conference Attendance &amp; Side Events</v>
      </c>
      <c r="Q892" s="108" t="str">
        <f t="shared" si="3"/>
        <v>2024</v>
      </c>
      <c r="R892" s="110">
        <f t="shared" si="4"/>
        <v>6</v>
      </c>
      <c r="S892" s="108" t="str">
        <f t="shared" si="5"/>
        <v>2024-Q2</v>
      </c>
      <c r="T892" s="111" t="str">
        <f t="shared" si="6"/>
        <v>2024-06</v>
      </c>
      <c r="U892" s="112" t="str">
        <f t="shared" si="7"/>
        <v>2024-H1</v>
      </c>
      <c r="V892" s="1" t="str">
        <f>VLOOKUP(B892,Bounties!A:E,2,FALSE)</f>
        <v>Events Bounty</v>
      </c>
    </row>
    <row r="893" hidden="1">
      <c r="A893" s="109">
        <f>HYPERLINK("https://polkadot.subsquare.io/treasury/child-bounties/891", 891)</f>
        <v>891</v>
      </c>
      <c r="B893" s="183">
        <v>17.0</v>
      </c>
      <c r="C893" s="27" t="s">
        <v>3404</v>
      </c>
      <c r="D893" s="27" t="s">
        <v>1459</v>
      </c>
      <c r="E893" s="129">
        <v>21.0</v>
      </c>
      <c r="F893" s="66">
        <v>192.38228702545166</v>
      </c>
      <c r="G893" s="27" t="s">
        <v>3417</v>
      </c>
      <c r="H893" s="167">
        <v>45380.0</v>
      </c>
      <c r="I893" s="167">
        <v>45461.0</v>
      </c>
      <c r="J893" s="66">
        <v>118.45614910125732</v>
      </c>
      <c r="K893" s="1"/>
      <c r="L893" s="1" t="s">
        <v>266</v>
      </c>
      <c r="M893" s="1" t="str">
        <f>VLOOKUP(B893,Bounties!A:D,3,FALSE)</f>
        <v>Outreach</v>
      </c>
      <c r="N893" s="1" t="str">
        <f>VLOOKUP(B893,Bounties!A:D,4,FALSE)</f>
        <v>Events/Meetups</v>
      </c>
      <c r="O893" s="1" t="str">
        <f t="shared" ref="O893:P893" si="897">IF(ISBLANK(K893),M893,K893)</f>
        <v>Outreach</v>
      </c>
      <c r="P893" s="1" t="str">
        <f t="shared" si="897"/>
        <v>Events/Conference Attendance &amp; Side Events</v>
      </c>
      <c r="Q893" s="108" t="str">
        <f t="shared" si="3"/>
        <v>2024</v>
      </c>
      <c r="R893" s="110">
        <f t="shared" si="4"/>
        <v>6</v>
      </c>
      <c r="S893" s="108" t="str">
        <f t="shared" si="5"/>
        <v>2024-Q2</v>
      </c>
      <c r="T893" s="111" t="str">
        <f t="shared" si="6"/>
        <v>2024-06</v>
      </c>
      <c r="U893" s="112" t="str">
        <f t="shared" si="7"/>
        <v>2024-H1</v>
      </c>
      <c r="V893" s="1" t="str">
        <f>VLOOKUP(B893,Bounties!A:E,2,FALSE)</f>
        <v>Events Bounty</v>
      </c>
    </row>
    <row r="894" hidden="1">
      <c r="A894" s="109">
        <f>HYPERLINK("https://polkadot.subsquare.io/treasury/child-bounties/892", 892)</f>
        <v>892</v>
      </c>
      <c r="B894" s="183">
        <v>17.0</v>
      </c>
      <c r="C894" s="27" t="s">
        <v>3404</v>
      </c>
      <c r="D894" s="27" t="s">
        <v>1460</v>
      </c>
      <c r="E894" s="129">
        <v>15.8</v>
      </c>
      <c r="F894" s="66">
        <v>144.74476833343508</v>
      </c>
      <c r="G894" s="27" t="s">
        <v>3480</v>
      </c>
      <c r="H894" s="167">
        <v>45380.0</v>
      </c>
      <c r="I894" s="167">
        <v>45405.0</v>
      </c>
      <c r="J894" s="66">
        <v>108.42543115615845</v>
      </c>
      <c r="K894" s="1"/>
      <c r="L894" s="1" t="s">
        <v>266</v>
      </c>
      <c r="M894" s="1" t="str">
        <f>VLOOKUP(B894,Bounties!A:D,3,FALSE)</f>
        <v>Outreach</v>
      </c>
      <c r="N894" s="1" t="str">
        <f>VLOOKUP(B894,Bounties!A:D,4,FALSE)</f>
        <v>Events/Meetups</v>
      </c>
      <c r="O894" s="1" t="str">
        <f t="shared" ref="O894:P894" si="898">IF(ISBLANK(K894),M894,K894)</f>
        <v>Outreach</v>
      </c>
      <c r="P894" s="1" t="str">
        <f t="shared" si="898"/>
        <v>Events/Conference Attendance &amp; Side Events</v>
      </c>
      <c r="Q894" s="108" t="str">
        <f t="shared" si="3"/>
        <v>2024</v>
      </c>
      <c r="R894" s="110">
        <f t="shared" si="4"/>
        <v>4</v>
      </c>
      <c r="S894" s="108" t="str">
        <f t="shared" si="5"/>
        <v>2024-Q2</v>
      </c>
      <c r="T894" s="111" t="str">
        <f t="shared" si="6"/>
        <v>2024-04</v>
      </c>
      <c r="U894" s="112" t="str">
        <f t="shared" si="7"/>
        <v>2024-H1</v>
      </c>
      <c r="V894" s="1" t="str">
        <f>VLOOKUP(B894,Bounties!A:E,2,FALSE)</f>
        <v>Events Bounty</v>
      </c>
    </row>
    <row r="895" hidden="1">
      <c r="A895" s="109">
        <f>HYPERLINK("https://polkadot.subsquare.io/treasury/child-bounties/893", 893)</f>
        <v>893</v>
      </c>
      <c r="B895" s="183">
        <v>17.0</v>
      </c>
      <c r="C895" s="27" t="s">
        <v>3404</v>
      </c>
      <c r="D895" s="27" t="s">
        <v>1461</v>
      </c>
      <c r="E895" s="129">
        <v>15.8</v>
      </c>
      <c r="F895" s="66">
        <v>144.74476833343508</v>
      </c>
      <c r="G895" s="27" t="s">
        <v>3512</v>
      </c>
      <c r="H895" s="167">
        <v>45380.0</v>
      </c>
      <c r="I895" s="167">
        <v>45439.0</v>
      </c>
      <c r="J895" s="66">
        <v>110.56618728637696</v>
      </c>
      <c r="K895" s="1"/>
      <c r="L895" s="1" t="s">
        <v>266</v>
      </c>
      <c r="M895" s="1" t="str">
        <f>VLOOKUP(B895,Bounties!A:D,3,FALSE)</f>
        <v>Outreach</v>
      </c>
      <c r="N895" s="1" t="str">
        <f>VLOOKUP(B895,Bounties!A:D,4,FALSE)</f>
        <v>Events/Meetups</v>
      </c>
      <c r="O895" s="1" t="str">
        <f t="shared" ref="O895:P895" si="899">IF(ISBLANK(K895),M895,K895)</f>
        <v>Outreach</v>
      </c>
      <c r="P895" s="1" t="str">
        <f t="shared" si="899"/>
        <v>Events/Conference Attendance &amp; Side Events</v>
      </c>
      <c r="Q895" s="108" t="str">
        <f t="shared" si="3"/>
        <v>2024</v>
      </c>
      <c r="R895" s="110">
        <f t="shared" si="4"/>
        <v>5</v>
      </c>
      <c r="S895" s="108" t="str">
        <f t="shared" si="5"/>
        <v>2024-Q2</v>
      </c>
      <c r="T895" s="111" t="str">
        <f t="shared" si="6"/>
        <v>2024-05</v>
      </c>
      <c r="U895" s="112" t="str">
        <f t="shared" si="7"/>
        <v>2024-H1</v>
      </c>
      <c r="V895" s="1" t="str">
        <f>VLOOKUP(B895,Bounties!A:E,2,FALSE)</f>
        <v>Events Bounty</v>
      </c>
    </row>
    <row r="896" hidden="1">
      <c r="A896" s="109">
        <f>HYPERLINK("https://polkadot.subsquare.io/treasury/child-bounties/894", 894)</f>
        <v>894</v>
      </c>
      <c r="B896" s="183">
        <v>24.0</v>
      </c>
      <c r="C896" s="27" t="s">
        <v>3404</v>
      </c>
      <c r="D896" s="27" t="s">
        <v>1462</v>
      </c>
      <c r="E896" s="129">
        <v>14.18</v>
      </c>
      <c r="F896" s="66">
        <v>121.64473632812499</v>
      </c>
      <c r="G896" s="27" t="s">
        <v>3524</v>
      </c>
      <c r="H896" s="167">
        <v>45381.0</v>
      </c>
      <c r="I896" s="167">
        <v>45402.0</v>
      </c>
      <c r="J896" s="66">
        <v>106.03677791595459</v>
      </c>
      <c r="K896" s="1"/>
      <c r="L896" s="1"/>
      <c r="M896" s="1" t="str">
        <f>VLOOKUP(B896,Bounties!A:D,3,FALSE)</f>
        <v>Outreach</v>
      </c>
      <c r="N896" s="1" t="str">
        <f>VLOOKUP(B896,Bounties!A:D,4,FALSE)</f>
        <v>Community Building</v>
      </c>
      <c r="O896" s="1" t="str">
        <f t="shared" ref="O896:P896" si="900">IF(ISBLANK(K896),M896,K896)</f>
        <v>Outreach</v>
      </c>
      <c r="P896" s="1" t="str">
        <f t="shared" si="900"/>
        <v>Community Building</v>
      </c>
      <c r="Q896" s="108" t="str">
        <f t="shared" si="3"/>
        <v>2024</v>
      </c>
      <c r="R896" s="110">
        <f t="shared" si="4"/>
        <v>4</v>
      </c>
      <c r="S896" s="108" t="str">
        <f t="shared" si="5"/>
        <v>2024-Q2</v>
      </c>
      <c r="T896" s="111" t="str">
        <f t="shared" si="6"/>
        <v>2024-04</v>
      </c>
      <c r="U896" s="112" t="str">
        <f t="shared" si="7"/>
        <v>2024-H1</v>
      </c>
      <c r="V896" s="1" t="str">
        <f>VLOOKUP(B896,Bounties!A:E,2,FALSE)</f>
        <v>Moderation Team Bounty</v>
      </c>
    </row>
    <row r="897" hidden="1">
      <c r="A897" s="109">
        <f>HYPERLINK("https://polkadot.subsquare.io/treasury/child-bounties/895", 895)</f>
        <v>895</v>
      </c>
      <c r="B897" s="183">
        <v>33.0</v>
      </c>
      <c r="C897" s="27" t="s">
        <v>3404</v>
      </c>
      <c r="D897" s="27" t="s">
        <v>1463</v>
      </c>
      <c r="E897" s="129">
        <v>25073.0</v>
      </c>
      <c r="F897" s="66">
        <v>211454.51572322845</v>
      </c>
      <c r="G897" s="27" t="s">
        <v>3638</v>
      </c>
      <c r="H897" s="167">
        <v>45382.0</v>
      </c>
      <c r="I897" s="167">
        <v>45390.0</v>
      </c>
      <c r="J897" s="66">
        <v>210097.73074436188</v>
      </c>
      <c r="K897" s="1" t="s">
        <v>137</v>
      </c>
      <c r="L897" s="1" t="s">
        <v>296</v>
      </c>
      <c r="M897" s="1" t="str">
        <f>VLOOKUP(B897,Bounties!A:D,3,FALSE)</f>
        <v>Outreach</v>
      </c>
      <c r="N897" s="1" t="str">
        <f>VLOOKUP(B897,Bounties!A:D,4,FALSE)</f>
        <v>Advertising</v>
      </c>
      <c r="O897" s="1" t="str">
        <f t="shared" ref="O897:P897" si="901">IF(ISBLANK(K897),M897,K897)</f>
        <v>Outreach</v>
      </c>
      <c r="P897" s="1" t="str">
        <f t="shared" si="901"/>
        <v>Advertising/Influencers</v>
      </c>
      <c r="Q897" s="108" t="str">
        <f t="shared" si="3"/>
        <v>2024</v>
      </c>
      <c r="R897" s="110">
        <f t="shared" si="4"/>
        <v>4</v>
      </c>
      <c r="S897" s="108" t="str">
        <f t="shared" si="5"/>
        <v>2024-Q2</v>
      </c>
      <c r="T897" s="111" t="str">
        <f t="shared" si="6"/>
        <v>2024-04</v>
      </c>
      <c r="U897" s="112" t="str">
        <f t="shared" si="7"/>
        <v>2024-H1</v>
      </c>
      <c r="V897" s="1" t="str">
        <f>VLOOKUP(B897,Bounties!A:E,2,FALSE)</f>
        <v>Marketing Bounty</v>
      </c>
    </row>
    <row r="898" hidden="1">
      <c r="A898" s="109">
        <f>HYPERLINK("https://polkadot.subsquare.io/treasury/child-bounties/896", 896)</f>
        <v>896</v>
      </c>
      <c r="B898" s="183">
        <v>11.0</v>
      </c>
      <c r="C898" s="27" t="s">
        <v>3404</v>
      </c>
      <c r="D898" s="27" t="s">
        <v>1464</v>
      </c>
      <c r="E898" s="129">
        <v>43.1499</v>
      </c>
      <c r="F898" s="66">
        <v>361.9860310515404</v>
      </c>
      <c r="G898" s="27" t="s">
        <v>3407</v>
      </c>
      <c r="H898" s="167">
        <v>45384.0</v>
      </c>
      <c r="I898" s="167">
        <v>45392.0</v>
      </c>
      <c r="J898" s="66">
        <v>276.93510069966317</v>
      </c>
      <c r="K898" s="1"/>
      <c r="L898" s="1"/>
      <c r="M898" s="1" t="str">
        <f>VLOOKUP(B898,Bounties!A:D,3,FALSE)</f>
        <v>Research</v>
      </c>
      <c r="N898" s="1" t="str">
        <f>VLOOKUP(B898,Bounties!A:D,4,FALSE)</f>
        <v>Anti-Scam</v>
      </c>
      <c r="O898" s="1" t="str">
        <f t="shared" ref="O898:P898" si="902">IF(ISBLANK(K898),M898,K898)</f>
        <v>Research</v>
      </c>
      <c r="P898" s="1" t="str">
        <f t="shared" si="902"/>
        <v>Anti-Scam</v>
      </c>
      <c r="Q898" s="108" t="str">
        <f t="shared" si="3"/>
        <v>2024</v>
      </c>
      <c r="R898" s="110">
        <f t="shared" si="4"/>
        <v>4</v>
      </c>
      <c r="S898" s="108" t="str">
        <f t="shared" si="5"/>
        <v>2024-Q2</v>
      </c>
      <c r="T898" s="111" t="str">
        <f t="shared" si="6"/>
        <v>2024-04</v>
      </c>
      <c r="U898" s="112" t="str">
        <f t="shared" si="7"/>
        <v>2024-H1</v>
      </c>
      <c r="V898" s="1" t="str">
        <f>VLOOKUP(B898,Bounties!A:E,2,FALSE)</f>
        <v>Anti-Scam Bounty</v>
      </c>
    </row>
    <row r="899" hidden="1">
      <c r="A899" s="109">
        <f>HYPERLINK("https://polkadot.subsquare.io/treasury/child-bounties/897", 897)</f>
        <v>897</v>
      </c>
      <c r="B899" s="183">
        <v>11.0</v>
      </c>
      <c r="C899" s="27" t="s">
        <v>3404</v>
      </c>
      <c r="D899" s="27" t="s">
        <v>1465</v>
      </c>
      <c r="E899" s="129">
        <v>43.1499</v>
      </c>
      <c r="F899" s="66">
        <v>361.9860310515404</v>
      </c>
      <c r="G899" s="27" t="s">
        <v>3406</v>
      </c>
      <c r="H899" s="167">
        <v>45384.0</v>
      </c>
      <c r="I899" s="167">
        <v>45396.0</v>
      </c>
      <c r="J899" s="66">
        <v>289.1063587419033</v>
      </c>
      <c r="K899" s="1"/>
      <c r="L899" s="1"/>
      <c r="M899" s="1" t="str">
        <f>VLOOKUP(B899,Bounties!A:D,3,FALSE)</f>
        <v>Research</v>
      </c>
      <c r="N899" s="1" t="str">
        <f>VLOOKUP(B899,Bounties!A:D,4,FALSE)</f>
        <v>Anti-Scam</v>
      </c>
      <c r="O899" s="1" t="str">
        <f t="shared" ref="O899:P899" si="903">IF(ISBLANK(K899),M899,K899)</f>
        <v>Research</v>
      </c>
      <c r="P899" s="1" t="str">
        <f t="shared" si="903"/>
        <v>Anti-Scam</v>
      </c>
      <c r="Q899" s="108" t="str">
        <f t="shared" si="3"/>
        <v>2024</v>
      </c>
      <c r="R899" s="110">
        <f t="shared" si="4"/>
        <v>4</v>
      </c>
      <c r="S899" s="108" t="str">
        <f t="shared" si="5"/>
        <v>2024-Q2</v>
      </c>
      <c r="T899" s="111" t="str">
        <f t="shared" si="6"/>
        <v>2024-04</v>
      </c>
      <c r="U899" s="112" t="str">
        <f t="shared" si="7"/>
        <v>2024-H1</v>
      </c>
      <c r="V899" s="1" t="str">
        <f>VLOOKUP(B899,Bounties!A:E,2,FALSE)</f>
        <v>Anti-Scam Bounty</v>
      </c>
    </row>
    <row r="900" hidden="1">
      <c r="A900" s="109">
        <f>HYPERLINK("https://polkadot.subsquare.io/treasury/child-bounties/898", 898)</f>
        <v>898</v>
      </c>
      <c r="B900" s="183">
        <v>11.0</v>
      </c>
      <c r="C900" s="27" t="s">
        <v>3404</v>
      </c>
      <c r="D900" s="27" t="s">
        <v>1466</v>
      </c>
      <c r="E900" s="129">
        <v>43.1499</v>
      </c>
      <c r="F900" s="66">
        <v>361.9860310515404</v>
      </c>
      <c r="G900" s="27" t="s">
        <v>3562</v>
      </c>
      <c r="H900" s="167">
        <v>45384.0</v>
      </c>
      <c r="I900" s="167">
        <v>45395.0</v>
      </c>
      <c r="J900" s="66">
        <v>289.6450452710152</v>
      </c>
      <c r="K900" s="1"/>
      <c r="L900" s="1"/>
      <c r="M900" s="1" t="str">
        <f>VLOOKUP(B900,Bounties!A:D,3,FALSE)</f>
        <v>Research</v>
      </c>
      <c r="N900" s="1" t="str">
        <f>VLOOKUP(B900,Bounties!A:D,4,FALSE)</f>
        <v>Anti-Scam</v>
      </c>
      <c r="O900" s="1" t="str">
        <f t="shared" ref="O900:P900" si="904">IF(ISBLANK(K900),M900,K900)</f>
        <v>Research</v>
      </c>
      <c r="P900" s="1" t="str">
        <f t="shared" si="904"/>
        <v>Anti-Scam</v>
      </c>
      <c r="Q900" s="108" t="str">
        <f t="shared" si="3"/>
        <v>2024</v>
      </c>
      <c r="R900" s="110">
        <f t="shared" si="4"/>
        <v>4</v>
      </c>
      <c r="S900" s="108" t="str">
        <f t="shared" si="5"/>
        <v>2024-Q2</v>
      </c>
      <c r="T900" s="111" t="str">
        <f t="shared" si="6"/>
        <v>2024-04</v>
      </c>
      <c r="U900" s="112" t="str">
        <f t="shared" si="7"/>
        <v>2024-H1</v>
      </c>
      <c r="V900" s="1" t="str">
        <f>VLOOKUP(B900,Bounties!A:E,2,FALSE)</f>
        <v>Anti-Scam Bounty</v>
      </c>
    </row>
    <row r="901" hidden="1">
      <c r="A901" s="109">
        <f>HYPERLINK("https://polkadot.subsquare.io/treasury/child-bounties/899", 899)</f>
        <v>899</v>
      </c>
      <c r="B901" s="183">
        <v>11.0</v>
      </c>
      <c r="C901" s="27" t="s">
        <v>3404</v>
      </c>
      <c r="D901" s="27" t="s">
        <v>1467</v>
      </c>
      <c r="E901" s="129">
        <v>158.2417582418</v>
      </c>
      <c r="F901" s="66">
        <v>1327.4956839428726</v>
      </c>
      <c r="G901" s="27" t="s">
        <v>3409</v>
      </c>
      <c r="H901" s="167">
        <v>45384.0</v>
      </c>
      <c r="I901" s="167">
        <v>45392.0</v>
      </c>
      <c r="J901" s="66">
        <v>1015.5920929963833</v>
      </c>
      <c r="K901" s="1"/>
      <c r="L901" s="1"/>
      <c r="M901" s="1" t="str">
        <f>VLOOKUP(B901,Bounties!A:D,3,FALSE)</f>
        <v>Research</v>
      </c>
      <c r="N901" s="1" t="str">
        <f>VLOOKUP(B901,Bounties!A:D,4,FALSE)</f>
        <v>Anti-Scam</v>
      </c>
      <c r="O901" s="1" t="str">
        <f t="shared" ref="O901:P901" si="905">IF(ISBLANK(K901),M901,K901)</f>
        <v>Research</v>
      </c>
      <c r="P901" s="1" t="str">
        <f t="shared" si="905"/>
        <v>Anti-Scam</v>
      </c>
      <c r="Q901" s="108" t="str">
        <f t="shared" si="3"/>
        <v>2024</v>
      </c>
      <c r="R901" s="110">
        <f t="shared" si="4"/>
        <v>4</v>
      </c>
      <c r="S901" s="108" t="str">
        <f t="shared" si="5"/>
        <v>2024-Q2</v>
      </c>
      <c r="T901" s="111" t="str">
        <f t="shared" si="6"/>
        <v>2024-04</v>
      </c>
      <c r="U901" s="112" t="str">
        <f t="shared" si="7"/>
        <v>2024-H1</v>
      </c>
      <c r="V901" s="1" t="str">
        <f>VLOOKUP(B901,Bounties!A:E,2,FALSE)</f>
        <v>Anti-Scam Bounty</v>
      </c>
    </row>
    <row r="902" hidden="1">
      <c r="A902" s="109">
        <f>HYPERLINK("https://polkadot.subsquare.io/treasury/child-bounties/900", 900)</f>
        <v>900</v>
      </c>
      <c r="B902" s="183">
        <v>11.0</v>
      </c>
      <c r="C902" s="27" t="s">
        <v>3404</v>
      </c>
      <c r="D902" s="27" t="s">
        <v>1468</v>
      </c>
      <c r="E902" s="129">
        <v>54.9450549451</v>
      </c>
      <c r="F902" s="66">
        <v>460.9360013693093</v>
      </c>
      <c r="G902" s="27" t="s">
        <v>3409</v>
      </c>
      <c r="H902" s="167">
        <v>45384.0</v>
      </c>
      <c r="I902" s="167">
        <v>45392.0</v>
      </c>
      <c r="J902" s="66">
        <v>352.636143401718</v>
      </c>
      <c r="K902" s="1"/>
      <c r="L902" s="1"/>
      <c r="M902" s="1" t="str">
        <f>VLOOKUP(B902,Bounties!A:D,3,FALSE)</f>
        <v>Research</v>
      </c>
      <c r="N902" s="1" t="str">
        <f>VLOOKUP(B902,Bounties!A:D,4,FALSE)</f>
        <v>Anti-Scam</v>
      </c>
      <c r="O902" s="1" t="str">
        <f t="shared" ref="O902:P902" si="906">IF(ISBLANK(K902),M902,K902)</f>
        <v>Research</v>
      </c>
      <c r="P902" s="1" t="str">
        <f t="shared" si="906"/>
        <v>Anti-Scam</v>
      </c>
      <c r="Q902" s="108" t="str">
        <f t="shared" si="3"/>
        <v>2024</v>
      </c>
      <c r="R902" s="110">
        <f t="shared" si="4"/>
        <v>4</v>
      </c>
      <c r="S902" s="108" t="str">
        <f t="shared" si="5"/>
        <v>2024-Q2</v>
      </c>
      <c r="T902" s="111" t="str">
        <f t="shared" si="6"/>
        <v>2024-04</v>
      </c>
      <c r="U902" s="112" t="str">
        <f t="shared" si="7"/>
        <v>2024-H1</v>
      </c>
      <c r="V902" s="1" t="str">
        <f>VLOOKUP(B902,Bounties!A:E,2,FALSE)</f>
        <v>Anti-Scam Bounty</v>
      </c>
    </row>
    <row r="903" hidden="1">
      <c r="A903" s="109">
        <f>HYPERLINK("https://polkadot.subsquare.io/treasury/child-bounties/901", 901)</f>
        <v>901</v>
      </c>
      <c r="B903" s="183">
        <v>11.0</v>
      </c>
      <c r="C903" s="27" t="s">
        <v>3404</v>
      </c>
      <c r="D903" s="27" t="s">
        <v>1469</v>
      </c>
      <c r="E903" s="129">
        <v>79.1208791209</v>
      </c>
      <c r="F903" s="66">
        <v>663.7478419714363</v>
      </c>
      <c r="G903" s="27" t="s">
        <v>3469</v>
      </c>
      <c r="H903" s="167">
        <v>45384.0</v>
      </c>
      <c r="I903" s="167">
        <v>45422.0</v>
      </c>
      <c r="J903" s="66">
        <v>523.8102043069398</v>
      </c>
      <c r="K903" s="1"/>
      <c r="L903" s="1"/>
      <c r="M903" s="1" t="str">
        <f>VLOOKUP(B903,Bounties!A:D,3,FALSE)</f>
        <v>Research</v>
      </c>
      <c r="N903" s="1" t="str">
        <f>VLOOKUP(B903,Bounties!A:D,4,FALSE)</f>
        <v>Anti-Scam</v>
      </c>
      <c r="O903" s="1" t="str">
        <f t="shared" ref="O903:P903" si="907">IF(ISBLANK(K903),M903,K903)</f>
        <v>Research</v>
      </c>
      <c r="P903" s="1" t="str">
        <f t="shared" si="907"/>
        <v>Anti-Scam</v>
      </c>
      <c r="Q903" s="108" t="str">
        <f t="shared" si="3"/>
        <v>2024</v>
      </c>
      <c r="R903" s="110">
        <f t="shared" si="4"/>
        <v>5</v>
      </c>
      <c r="S903" s="108" t="str">
        <f t="shared" si="5"/>
        <v>2024-Q2</v>
      </c>
      <c r="T903" s="111" t="str">
        <f t="shared" si="6"/>
        <v>2024-05</v>
      </c>
      <c r="U903" s="112" t="str">
        <f t="shared" si="7"/>
        <v>2024-H1</v>
      </c>
      <c r="V903" s="1" t="str">
        <f>VLOOKUP(B903,Bounties!A:E,2,FALSE)</f>
        <v>Anti-Scam Bounty</v>
      </c>
    </row>
    <row r="904" hidden="1">
      <c r="A904" s="109">
        <f>HYPERLINK("https://polkadot.subsquare.io/treasury/child-bounties/902", 902)</f>
        <v>902</v>
      </c>
      <c r="B904" s="183">
        <v>11.0</v>
      </c>
      <c r="C904" s="27" t="s">
        <v>3404</v>
      </c>
      <c r="D904" s="27" t="s">
        <v>1470</v>
      </c>
      <c r="E904" s="129">
        <v>79.121</v>
      </c>
      <c r="F904" s="66">
        <v>663.7488560304641</v>
      </c>
      <c r="G904" s="27" t="s">
        <v>3406</v>
      </c>
      <c r="H904" s="167">
        <v>45384.0</v>
      </c>
      <c r="I904" s="167">
        <v>45396.0</v>
      </c>
      <c r="J904" s="66">
        <v>530.1144199643135</v>
      </c>
      <c r="K904" s="1"/>
      <c r="L904" s="1"/>
      <c r="M904" s="1" t="str">
        <f>VLOOKUP(B904,Bounties!A:D,3,FALSE)</f>
        <v>Research</v>
      </c>
      <c r="N904" s="1" t="str">
        <f>VLOOKUP(B904,Bounties!A:D,4,FALSE)</f>
        <v>Anti-Scam</v>
      </c>
      <c r="O904" s="1" t="str">
        <f t="shared" ref="O904:P904" si="908">IF(ISBLANK(K904),M904,K904)</f>
        <v>Research</v>
      </c>
      <c r="P904" s="1" t="str">
        <f t="shared" si="908"/>
        <v>Anti-Scam</v>
      </c>
      <c r="Q904" s="108" t="str">
        <f t="shared" si="3"/>
        <v>2024</v>
      </c>
      <c r="R904" s="110">
        <f t="shared" si="4"/>
        <v>4</v>
      </c>
      <c r="S904" s="108" t="str">
        <f t="shared" si="5"/>
        <v>2024-Q2</v>
      </c>
      <c r="T904" s="111" t="str">
        <f t="shared" si="6"/>
        <v>2024-04</v>
      </c>
      <c r="U904" s="112" t="str">
        <f t="shared" si="7"/>
        <v>2024-H1</v>
      </c>
      <c r="V904" s="1" t="str">
        <f>VLOOKUP(B904,Bounties!A:E,2,FALSE)</f>
        <v>Anti-Scam Bounty</v>
      </c>
    </row>
    <row r="905" hidden="1">
      <c r="A905" s="109">
        <f>HYPERLINK("https://polkadot.subsquare.io/treasury/child-bounties/903", 903)</f>
        <v>903</v>
      </c>
      <c r="B905" s="183">
        <v>11.0</v>
      </c>
      <c r="C905" s="27" t="s">
        <v>3404</v>
      </c>
      <c r="D905" s="27" t="s">
        <v>1471</v>
      </c>
      <c r="E905" s="129">
        <v>54.945</v>
      </c>
      <c r="F905" s="66">
        <v>460.93554043293</v>
      </c>
      <c r="G905" s="27" t="s">
        <v>3439</v>
      </c>
      <c r="H905" s="167">
        <v>45384.0</v>
      </c>
      <c r="I905" s="167">
        <v>45398.0</v>
      </c>
      <c r="J905" s="66">
        <v>372.8305578160286</v>
      </c>
      <c r="K905" s="1"/>
      <c r="L905" s="1"/>
      <c r="M905" s="1" t="str">
        <f>VLOOKUP(B905,Bounties!A:D,3,FALSE)</f>
        <v>Research</v>
      </c>
      <c r="N905" s="1" t="str">
        <f>VLOOKUP(B905,Bounties!A:D,4,FALSE)</f>
        <v>Anti-Scam</v>
      </c>
      <c r="O905" s="1" t="str">
        <f t="shared" ref="O905:P905" si="909">IF(ISBLANK(K905),M905,K905)</f>
        <v>Research</v>
      </c>
      <c r="P905" s="1" t="str">
        <f t="shared" si="909"/>
        <v>Anti-Scam</v>
      </c>
      <c r="Q905" s="108" t="str">
        <f t="shared" si="3"/>
        <v>2024</v>
      </c>
      <c r="R905" s="110">
        <f t="shared" si="4"/>
        <v>4</v>
      </c>
      <c r="S905" s="108" t="str">
        <f t="shared" si="5"/>
        <v>2024-Q2</v>
      </c>
      <c r="T905" s="111" t="str">
        <f t="shared" si="6"/>
        <v>2024-04</v>
      </c>
      <c r="U905" s="112" t="str">
        <f t="shared" si="7"/>
        <v>2024-H1</v>
      </c>
      <c r="V905" s="1" t="str">
        <f>VLOOKUP(B905,Bounties!A:E,2,FALSE)</f>
        <v>Anti-Scam Bounty</v>
      </c>
    </row>
    <row r="906" hidden="1">
      <c r="A906" s="109">
        <f>HYPERLINK("https://polkadot.subsquare.io/treasury/child-bounties/904", 904)</f>
        <v>904</v>
      </c>
      <c r="B906" s="183">
        <v>11.0</v>
      </c>
      <c r="C906" s="27" t="s">
        <v>3404</v>
      </c>
      <c r="D906" s="27" t="s">
        <v>1472</v>
      </c>
      <c r="E906" s="129">
        <v>54.945</v>
      </c>
      <c r="F906" s="66">
        <v>460.93554043293</v>
      </c>
      <c r="G906" s="27" t="s">
        <v>3439</v>
      </c>
      <c r="H906" s="167">
        <v>45384.0</v>
      </c>
      <c r="I906" s="167">
        <v>45398.0</v>
      </c>
      <c r="J906" s="66">
        <v>367.45335963964465</v>
      </c>
      <c r="K906" s="1"/>
      <c r="L906" s="1"/>
      <c r="M906" s="1" t="str">
        <f>VLOOKUP(B906,Bounties!A:D,3,FALSE)</f>
        <v>Research</v>
      </c>
      <c r="N906" s="1" t="str">
        <f>VLOOKUP(B906,Bounties!A:D,4,FALSE)</f>
        <v>Anti-Scam</v>
      </c>
      <c r="O906" s="1" t="str">
        <f t="shared" ref="O906:P906" si="910">IF(ISBLANK(K906),M906,K906)</f>
        <v>Research</v>
      </c>
      <c r="P906" s="1" t="str">
        <f t="shared" si="910"/>
        <v>Anti-Scam</v>
      </c>
      <c r="Q906" s="108" t="str">
        <f t="shared" si="3"/>
        <v>2024</v>
      </c>
      <c r="R906" s="110">
        <f t="shared" si="4"/>
        <v>4</v>
      </c>
      <c r="S906" s="108" t="str">
        <f t="shared" si="5"/>
        <v>2024-Q2</v>
      </c>
      <c r="T906" s="111" t="str">
        <f t="shared" si="6"/>
        <v>2024-04</v>
      </c>
      <c r="U906" s="112" t="str">
        <f t="shared" si="7"/>
        <v>2024-H1</v>
      </c>
      <c r="V906" s="1" t="str">
        <f>VLOOKUP(B906,Bounties!A:E,2,FALSE)</f>
        <v>Anti-Scam Bounty</v>
      </c>
    </row>
    <row r="907" hidden="1">
      <c r="A907" s="109">
        <f>HYPERLINK("https://polkadot.subsquare.io/treasury/child-bounties/905", 905)</f>
        <v>905</v>
      </c>
      <c r="B907" s="183">
        <v>32.0</v>
      </c>
      <c r="C907" s="27" t="s">
        <v>3404</v>
      </c>
      <c r="D907" s="27" t="s">
        <v>1249</v>
      </c>
      <c r="E907" s="129">
        <v>2.6399155227</v>
      </c>
      <c r="F907" s="66">
        <v>22.14634431072901</v>
      </c>
      <c r="G907" s="27" t="s">
        <v>3598</v>
      </c>
      <c r="H907" s="167">
        <v>45384.0</v>
      </c>
      <c r="I907" s="167">
        <v>45393.0</v>
      </c>
      <c r="J907" s="66">
        <v>16.942919244715014</v>
      </c>
      <c r="K907" s="1"/>
      <c r="L907" s="1"/>
      <c r="M907" s="1" t="str">
        <f>VLOOKUP(B907,Bounties!A:D,3,FALSE)</f>
        <v>Operations</v>
      </c>
      <c r="N907" s="1" t="str">
        <f>VLOOKUP(B907,Bounties!A:D,4,FALSE)</f>
        <v>RPCs and Nodes</v>
      </c>
      <c r="O907" s="1" t="str">
        <f t="shared" ref="O907:P907" si="911">IF(ISBLANK(K907),M907,K907)</f>
        <v>Operations</v>
      </c>
      <c r="P907" s="1" t="str">
        <f t="shared" si="911"/>
        <v>RPCs and Nodes</v>
      </c>
      <c r="Q907" s="108" t="str">
        <f t="shared" si="3"/>
        <v>2024</v>
      </c>
      <c r="R907" s="110">
        <f t="shared" si="4"/>
        <v>4</v>
      </c>
      <c r="S907" s="108" t="str">
        <f t="shared" si="5"/>
        <v>2024-Q2</v>
      </c>
      <c r="T907" s="111" t="str">
        <f t="shared" si="6"/>
        <v>2024-04</v>
      </c>
      <c r="U907" s="112" t="str">
        <f t="shared" si="7"/>
        <v>2024-H1</v>
      </c>
      <c r="V907" s="1" t="str">
        <f>VLOOKUP(B907,Bounties!A:E,2,FALSE)</f>
        <v>System Parachains Collator Bounty</v>
      </c>
    </row>
    <row r="908" hidden="1">
      <c r="A908" s="109">
        <f>HYPERLINK("https://polkadot.subsquare.io/treasury/child-bounties/906", 906)</f>
        <v>906</v>
      </c>
      <c r="B908" s="183">
        <v>32.0</v>
      </c>
      <c r="C908" s="27" t="s">
        <v>3404</v>
      </c>
      <c r="D908" s="27" t="s">
        <v>1473</v>
      </c>
      <c r="E908" s="129">
        <v>1.6895459345</v>
      </c>
      <c r="F908" s="66">
        <v>14.173660358631672</v>
      </c>
      <c r="G908" s="27" t="s">
        <v>3598</v>
      </c>
      <c r="H908" s="167">
        <v>45384.0</v>
      </c>
      <c r="I908" s="167">
        <v>45393.0</v>
      </c>
      <c r="J908" s="66">
        <v>10.843468316437905</v>
      </c>
      <c r="K908" s="1"/>
      <c r="L908" s="1"/>
      <c r="M908" s="1" t="str">
        <f>VLOOKUP(B908,Bounties!A:D,3,FALSE)</f>
        <v>Operations</v>
      </c>
      <c r="N908" s="1" t="str">
        <f>VLOOKUP(B908,Bounties!A:D,4,FALSE)</f>
        <v>RPCs and Nodes</v>
      </c>
      <c r="O908" s="1" t="str">
        <f t="shared" ref="O908:P908" si="912">IF(ISBLANK(K908),M908,K908)</f>
        <v>Operations</v>
      </c>
      <c r="P908" s="1" t="str">
        <f t="shared" si="912"/>
        <v>RPCs and Nodes</v>
      </c>
      <c r="Q908" s="108" t="str">
        <f t="shared" si="3"/>
        <v>2024</v>
      </c>
      <c r="R908" s="110">
        <f t="shared" si="4"/>
        <v>4</v>
      </c>
      <c r="S908" s="108" t="str">
        <f t="shared" si="5"/>
        <v>2024-Q2</v>
      </c>
      <c r="T908" s="111" t="str">
        <f t="shared" si="6"/>
        <v>2024-04</v>
      </c>
      <c r="U908" s="112" t="str">
        <f t="shared" si="7"/>
        <v>2024-H1</v>
      </c>
      <c r="V908" s="1" t="str">
        <f>VLOOKUP(B908,Bounties!A:E,2,FALSE)</f>
        <v>System Parachains Collator Bounty</v>
      </c>
    </row>
    <row r="909" hidden="1">
      <c r="A909" s="109">
        <f>HYPERLINK("https://polkadot.subsquare.io/treasury/child-bounties/907", 907)</f>
        <v>907</v>
      </c>
      <c r="B909" s="183">
        <v>32.0</v>
      </c>
      <c r="C909" s="27" t="s">
        <v>3404</v>
      </c>
      <c r="D909" s="27" t="s">
        <v>1474</v>
      </c>
      <c r="E909" s="129">
        <v>27.5771940352</v>
      </c>
      <c r="F909" s="66">
        <v>231.34605216559626</v>
      </c>
      <c r="G909" s="27" t="s">
        <v>3589</v>
      </c>
      <c r="H909" s="167">
        <v>45384.0</v>
      </c>
      <c r="I909" s="167">
        <v>45393.0</v>
      </c>
      <c r="J909" s="66">
        <v>189.43729144778987</v>
      </c>
      <c r="K909" s="1"/>
      <c r="L909" s="1"/>
      <c r="M909" s="1" t="str">
        <f>VLOOKUP(B909,Bounties!A:D,3,FALSE)</f>
        <v>Operations</v>
      </c>
      <c r="N909" s="1" t="str">
        <f>VLOOKUP(B909,Bounties!A:D,4,FALSE)</f>
        <v>RPCs and Nodes</v>
      </c>
      <c r="O909" s="1" t="str">
        <f t="shared" ref="O909:P909" si="913">IF(ISBLANK(K909),M909,K909)</f>
        <v>Operations</v>
      </c>
      <c r="P909" s="1" t="str">
        <f t="shared" si="913"/>
        <v>RPCs and Nodes</v>
      </c>
      <c r="Q909" s="108" t="str">
        <f t="shared" si="3"/>
        <v>2024</v>
      </c>
      <c r="R909" s="110">
        <f t="shared" si="4"/>
        <v>4</v>
      </c>
      <c r="S909" s="108" t="str">
        <f t="shared" si="5"/>
        <v>2024-Q2</v>
      </c>
      <c r="T909" s="111" t="str">
        <f t="shared" si="6"/>
        <v>2024-04</v>
      </c>
      <c r="U909" s="112" t="str">
        <f t="shared" si="7"/>
        <v>2024-H1</v>
      </c>
      <c r="V909" s="1" t="str">
        <f>VLOOKUP(B909,Bounties!A:E,2,FALSE)</f>
        <v>System Parachains Collator Bounty</v>
      </c>
    </row>
    <row r="910" hidden="1">
      <c r="A910" s="109">
        <f>HYPERLINK("https://polkadot.subsquare.io/treasury/child-bounties/908", 908)</f>
        <v>908</v>
      </c>
      <c r="B910" s="183">
        <v>32.0</v>
      </c>
      <c r="C910" s="27" t="s">
        <v>3404</v>
      </c>
      <c r="D910" s="27" t="s">
        <v>1475</v>
      </c>
      <c r="E910" s="129">
        <v>28.303513257</v>
      </c>
      <c r="F910" s="66">
        <v>237.43916970180896</v>
      </c>
      <c r="G910" s="27" t="s">
        <v>3592</v>
      </c>
      <c r="H910" s="167">
        <v>45384.0</v>
      </c>
      <c r="I910" s="167">
        <v>45393.0</v>
      </c>
      <c r="J910" s="66">
        <v>194.4266295917879</v>
      </c>
      <c r="K910" s="1"/>
      <c r="L910" s="1"/>
      <c r="M910" s="1" t="str">
        <f>VLOOKUP(B910,Bounties!A:D,3,FALSE)</f>
        <v>Operations</v>
      </c>
      <c r="N910" s="1" t="str">
        <f>VLOOKUP(B910,Bounties!A:D,4,FALSE)</f>
        <v>RPCs and Nodes</v>
      </c>
      <c r="O910" s="1" t="str">
        <f t="shared" ref="O910:P910" si="914">IF(ISBLANK(K910),M910,K910)</f>
        <v>Operations</v>
      </c>
      <c r="P910" s="1" t="str">
        <f t="shared" si="914"/>
        <v>RPCs and Nodes</v>
      </c>
      <c r="Q910" s="108" t="str">
        <f t="shared" si="3"/>
        <v>2024</v>
      </c>
      <c r="R910" s="110">
        <f t="shared" si="4"/>
        <v>4</v>
      </c>
      <c r="S910" s="108" t="str">
        <f t="shared" si="5"/>
        <v>2024-Q2</v>
      </c>
      <c r="T910" s="111" t="str">
        <f t="shared" si="6"/>
        <v>2024-04</v>
      </c>
      <c r="U910" s="112" t="str">
        <f t="shared" si="7"/>
        <v>2024-H1</v>
      </c>
      <c r="V910" s="1" t="str">
        <f>VLOOKUP(B910,Bounties!A:E,2,FALSE)</f>
        <v>System Parachains Collator Bounty</v>
      </c>
    </row>
    <row r="911" hidden="1">
      <c r="A911" s="109">
        <f>HYPERLINK("https://polkadot.subsquare.io/treasury/child-bounties/909", 909)</f>
        <v>909</v>
      </c>
      <c r="B911" s="183">
        <v>32.0</v>
      </c>
      <c r="C911" s="27" t="s">
        <v>3404</v>
      </c>
      <c r="D911" s="27" t="s">
        <v>1476</v>
      </c>
      <c r="E911" s="129">
        <v>46.4031161503</v>
      </c>
      <c r="F911" s="66">
        <v>389.277375930668</v>
      </c>
      <c r="G911" s="27" t="s">
        <v>3596</v>
      </c>
      <c r="H911" s="167">
        <v>45384.0</v>
      </c>
      <c r="I911" s="167">
        <v>45393.0</v>
      </c>
      <c r="J911" s="66">
        <v>318.7590668952652</v>
      </c>
      <c r="K911" s="1"/>
      <c r="L911" s="1"/>
      <c r="M911" s="1" t="str">
        <f>VLOOKUP(B911,Bounties!A:D,3,FALSE)</f>
        <v>Operations</v>
      </c>
      <c r="N911" s="1" t="str">
        <f>VLOOKUP(B911,Bounties!A:D,4,FALSE)</f>
        <v>RPCs and Nodes</v>
      </c>
      <c r="O911" s="1" t="str">
        <f t="shared" ref="O911:P911" si="915">IF(ISBLANK(K911),M911,K911)</f>
        <v>Operations</v>
      </c>
      <c r="P911" s="1" t="str">
        <f t="shared" si="915"/>
        <v>RPCs and Nodes</v>
      </c>
      <c r="Q911" s="108" t="str">
        <f t="shared" si="3"/>
        <v>2024</v>
      </c>
      <c r="R911" s="110">
        <f t="shared" si="4"/>
        <v>4</v>
      </c>
      <c r="S911" s="108" t="str">
        <f t="shared" si="5"/>
        <v>2024-Q2</v>
      </c>
      <c r="T911" s="111" t="str">
        <f t="shared" si="6"/>
        <v>2024-04</v>
      </c>
      <c r="U911" s="112" t="str">
        <f t="shared" si="7"/>
        <v>2024-H1</v>
      </c>
      <c r="V911" s="1" t="str">
        <f>VLOOKUP(B911,Bounties!A:E,2,FALSE)</f>
        <v>System Parachains Collator Bounty</v>
      </c>
    </row>
    <row r="912" hidden="1">
      <c r="A912" s="109">
        <f>HYPERLINK("https://polkadot.subsquare.io/treasury/child-bounties/910", 910)</f>
        <v>910</v>
      </c>
      <c r="B912" s="183">
        <v>32.0</v>
      </c>
      <c r="C912" s="27" t="s">
        <v>3404</v>
      </c>
      <c r="D912" s="27" t="s">
        <v>1477</v>
      </c>
      <c r="E912" s="129">
        <v>41.6005479566</v>
      </c>
      <c r="F912" s="66">
        <v>348.98846218366447</v>
      </c>
      <c r="G912" s="27" t="s">
        <v>3594</v>
      </c>
      <c r="H912" s="167">
        <v>45384.0</v>
      </c>
      <c r="I912" s="167">
        <v>45393.0</v>
      </c>
      <c r="J912" s="66">
        <v>285.76856360306783</v>
      </c>
      <c r="K912" s="1"/>
      <c r="L912" s="1"/>
      <c r="M912" s="1" t="str">
        <f>VLOOKUP(B912,Bounties!A:D,3,FALSE)</f>
        <v>Operations</v>
      </c>
      <c r="N912" s="1" t="str">
        <f>VLOOKUP(B912,Bounties!A:D,4,FALSE)</f>
        <v>RPCs and Nodes</v>
      </c>
      <c r="O912" s="1" t="str">
        <f t="shared" ref="O912:P912" si="916">IF(ISBLANK(K912),M912,K912)</f>
        <v>Operations</v>
      </c>
      <c r="P912" s="1" t="str">
        <f t="shared" si="916"/>
        <v>RPCs and Nodes</v>
      </c>
      <c r="Q912" s="108" t="str">
        <f t="shared" si="3"/>
        <v>2024</v>
      </c>
      <c r="R912" s="110">
        <f t="shared" si="4"/>
        <v>4</v>
      </c>
      <c r="S912" s="108" t="str">
        <f t="shared" si="5"/>
        <v>2024-Q2</v>
      </c>
      <c r="T912" s="111" t="str">
        <f t="shared" si="6"/>
        <v>2024-04</v>
      </c>
      <c r="U912" s="112" t="str">
        <f t="shared" si="7"/>
        <v>2024-H1</v>
      </c>
      <c r="V912" s="1" t="str">
        <f>VLOOKUP(B912,Bounties!A:E,2,FALSE)</f>
        <v>System Parachains Collator Bounty</v>
      </c>
    </row>
    <row r="913" hidden="1">
      <c r="A913" s="109">
        <f>HYPERLINK("https://polkadot.subsquare.io/treasury/child-bounties/911", 911)</f>
        <v>911</v>
      </c>
      <c r="B913" s="183">
        <v>32.0</v>
      </c>
      <c r="C913" s="27" t="s">
        <v>3404</v>
      </c>
      <c r="D913" s="27" t="s">
        <v>1478</v>
      </c>
      <c r="E913" s="129">
        <v>46.9326446009</v>
      </c>
      <c r="F913" s="66">
        <v>393.7196087553458</v>
      </c>
      <c r="G913" s="27" t="s">
        <v>3591</v>
      </c>
      <c r="H913" s="167">
        <v>45384.0</v>
      </c>
      <c r="I913" s="167">
        <v>45393.0</v>
      </c>
      <c r="J913" s="66">
        <v>322.3965811143757</v>
      </c>
      <c r="K913" s="1"/>
      <c r="L913" s="1"/>
      <c r="M913" s="1" t="str">
        <f>VLOOKUP(B913,Bounties!A:D,3,FALSE)</f>
        <v>Operations</v>
      </c>
      <c r="N913" s="1" t="str">
        <f>VLOOKUP(B913,Bounties!A:D,4,FALSE)</f>
        <v>RPCs and Nodes</v>
      </c>
      <c r="O913" s="1" t="str">
        <f t="shared" ref="O913:P913" si="917">IF(ISBLANK(K913),M913,K913)</f>
        <v>Operations</v>
      </c>
      <c r="P913" s="1" t="str">
        <f t="shared" si="917"/>
        <v>RPCs and Nodes</v>
      </c>
      <c r="Q913" s="108" t="str">
        <f t="shared" si="3"/>
        <v>2024</v>
      </c>
      <c r="R913" s="110">
        <f t="shared" si="4"/>
        <v>4</v>
      </c>
      <c r="S913" s="108" t="str">
        <f t="shared" si="5"/>
        <v>2024-Q2</v>
      </c>
      <c r="T913" s="111" t="str">
        <f t="shared" si="6"/>
        <v>2024-04</v>
      </c>
      <c r="U913" s="112" t="str">
        <f t="shared" si="7"/>
        <v>2024-H1</v>
      </c>
      <c r="V913" s="1" t="str">
        <f>VLOOKUP(B913,Bounties!A:E,2,FALSE)</f>
        <v>System Parachains Collator Bounty</v>
      </c>
    </row>
    <row r="914" hidden="1">
      <c r="A914" s="109">
        <f>HYPERLINK("https://polkadot.subsquare.io/treasury/child-bounties/912", 912)</f>
        <v>912</v>
      </c>
      <c r="B914" s="183">
        <v>32.0</v>
      </c>
      <c r="C914" s="27" t="s">
        <v>3404</v>
      </c>
      <c r="D914" s="27" t="s">
        <v>1479</v>
      </c>
      <c r="E914" s="129">
        <v>44.5058751775</v>
      </c>
      <c r="F914" s="66">
        <v>373.36135457969766</v>
      </c>
      <c r="G914" s="27" t="s">
        <v>3590</v>
      </c>
      <c r="H914" s="167">
        <v>45384.0</v>
      </c>
      <c r="I914" s="167">
        <v>45393.0</v>
      </c>
      <c r="J914" s="66">
        <v>305.72626193866785</v>
      </c>
      <c r="K914" s="1"/>
      <c r="L914" s="1"/>
      <c r="M914" s="1" t="str">
        <f>VLOOKUP(B914,Bounties!A:D,3,FALSE)</f>
        <v>Operations</v>
      </c>
      <c r="N914" s="1" t="str">
        <f>VLOOKUP(B914,Bounties!A:D,4,FALSE)</f>
        <v>RPCs and Nodes</v>
      </c>
      <c r="O914" s="1" t="str">
        <f t="shared" ref="O914:P914" si="918">IF(ISBLANK(K914),M914,K914)</f>
        <v>Operations</v>
      </c>
      <c r="P914" s="1" t="str">
        <f t="shared" si="918"/>
        <v>RPCs and Nodes</v>
      </c>
      <c r="Q914" s="108" t="str">
        <f t="shared" si="3"/>
        <v>2024</v>
      </c>
      <c r="R914" s="110">
        <f t="shared" si="4"/>
        <v>4</v>
      </c>
      <c r="S914" s="108" t="str">
        <f t="shared" si="5"/>
        <v>2024-Q2</v>
      </c>
      <c r="T914" s="111" t="str">
        <f t="shared" si="6"/>
        <v>2024-04</v>
      </c>
      <c r="U914" s="112" t="str">
        <f t="shared" si="7"/>
        <v>2024-H1</v>
      </c>
      <c r="V914" s="1" t="str">
        <f>VLOOKUP(B914,Bounties!A:E,2,FALSE)</f>
        <v>System Parachains Collator Bounty</v>
      </c>
    </row>
    <row r="915" hidden="1">
      <c r="A915" s="109">
        <f>HYPERLINK("https://polkadot.subsquare.io/treasury/child-bounties/913", 913)</f>
        <v>913</v>
      </c>
      <c r="B915" s="183">
        <v>32.0</v>
      </c>
      <c r="C915" s="27" t="s">
        <v>3404</v>
      </c>
      <c r="D915" s="27" t="s">
        <v>1480</v>
      </c>
      <c r="E915" s="129">
        <v>42.0309668041</v>
      </c>
      <c r="F915" s="66">
        <v>352.59926105680904</v>
      </c>
      <c r="G915" s="27" t="s">
        <v>3595</v>
      </c>
      <c r="H915" s="167">
        <v>45384.0</v>
      </c>
      <c r="I915" s="167">
        <v>45393.0</v>
      </c>
      <c r="J915" s="66">
        <v>288.72525965250645</v>
      </c>
      <c r="K915" s="1"/>
      <c r="L915" s="1"/>
      <c r="M915" s="1" t="str">
        <f>VLOOKUP(B915,Bounties!A:D,3,FALSE)</f>
        <v>Operations</v>
      </c>
      <c r="N915" s="1" t="str">
        <f>VLOOKUP(B915,Bounties!A:D,4,FALSE)</f>
        <v>RPCs and Nodes</v>
      </c>
      <c r="O915" s="1" t="str">
        <f t="shared" ref="O915:P915" si="919">IF(ISBLANK(K915),M915,K915)</f>
        <v>Operations</v>
      </c>
      <c r="P915" s="1" t="str">
        <f t="shared" si="919"/>
        <v>RPCs and Nodes</v>
      </c>
      <c r="Q915" s="108" t="str">
        <f t="shared" si="3"/>
        <v>2024</v>
      </c>
      <c r="R915" s="110">
        <f t="shared" si="4"/>
        <v>4</v>
      </c>
      <c r="S915" s="108" t="str">
        <f t="shared" si="5"/>
        <v>2024-Q2</v>
      </c>
      <c r="T915" s="111" t="str">
        <f t="shared" si="6"/>
        <v>2024-04</v>
      </c>
      <c r="U915" s="112" t="str">
        <f t="shared" si="7"/>
        <v>2024-H1</v>
      </c>
      <c r="V915" s="1" t="str">
        <f>VLOOKUP(B915,Bounties!A:E,2,FALSE)</f>
        <v>System Parachains Collator Bounty</v>
      </c>
    </row>
    <row r="916" hidden="1">
      <c r="A916" s="109">
        <f>HYPERLINK("https://polkadot.subsquare.io/treasury/child-bounties/914", 914)</f>
        <v>914</v>
      </c>
      <c r="B916" s="183">
        <v>32.0</v>
      </c>
      <c r="C916" s="27" t="s">
        <v>3404</v>
      </c>
      <c r="D916" s="27" t="s">
        <v>1481</v>
      </c>
      <c r="E916" s="129">
        <v>41.6232015801</v>
      </c>
      <c r="F916" s="66">
        <v>349.1785042291779</v>
      </c>
      <c r="G916" s="27" t="s">
        <v>3599</v>
      </c>
      <c r="H916" s="167">
        <v>45384.0</v>
      </c>
      <c r="I916" s="167">
        <v>45393.0</v>
      </c>
      <c r="J916" s="66">
        <v>267.13678411832643</v>
      </c>
      <c r="K916" s="1"/>
      <c r="L916" s="1"/>
      <c r="M916" s="1" t="str">
        <f>VLOOKUP(B916,Bounties!A:D,3,FALSE)</f>
        <v>Operations</v>
      </c>
      <c r="N916" s="1" t="str">
        <f>VLOOKUP(B916,Bounties!A:D,4,FALSE)</f>
        <v>RPCs and Nodes</v>
      </c>
      <c r="O916" s="1" t="str">
        <f t="shared" ref="O916:P916" si="920">IF(ISBLANK(K916),M916,K916)</f>
        <v>Operations</v>
      </c>
      <c r="P916" s="1" t="str">
        <f t="shared" si="920"/>
        <v>RPCs and Nodes</v>
      </c>
      <c r="Q916" s="108" t="str">
        <f t="shared" si="3"/>
        <v>2024</v>
      </c>
      <c r="R916" s="110">
        <f t="shared" si="4"/>
        <v>4</v>
      </c>
      <c r="S916" s="108" t="str">
        <f t="shared" si="5"/>
        <v>2024-Q2</v>
      </c>
      <c r="T916" s="111" t="str">
        <f t="shared" si="6"/>
        <v>2024-04</v>
      </c>
      <c r="U916" s="112" t="str">
        <f t="shared" si="7"/>
        <v>2024-H1</v>
      </c>
      <c r="V916" s="1" t="str">
        <f>VLOOKUP(B916,Bounties!A:E,2,FALSE)</f>
        <v>System Parachains Collator Bounty</v>
      </c>
    </row>
    <row r="917" hidden="1">
      <c r="A917" s="109">
        <f>HYPERLINK("https://polkadot.subsquare.io/treasury/child-bounties/915", 915)</f>
        <v>915</v>
      </c>
      <c r="B917" s="183">
        <v>32.0</v>
      </c>
      <c r="C917" s="27" t="s">
        <v>3404</v>
      </c>
      <c r="D917" s="27" t="s">
        <v>1482</v>
      </c>
      <c r="E917" s="129">
        <v>40.7255517467</v>
      </c>
      <c r="F917" s="66">
        <v>341.6480881571466</v>
      </c>
      <c r="G917" s="27" t="s">
        <v>3600</v>
      </c>
      <c r="H917" s="167">
        <v>45384.0</v>
      </c>
      <c r="I917" s="167">
        <v>45392.0</v>
      </c>
      <c r="J917" s="66">
        <v>261.37568740649937</v>
      </c>
      <c r="K917" s="1"/>
      <c r="L917" s="1"/>
      <c r="M917" s="1" t="str">
        <f>VLOOKUP(B917,Bounties!A:D,3,FALSE)</f>
        <v>Operations</v>
      </c>
      <c r="N917" s="1" t="str">
        <f>VLOOKUP(B917,Bounties!A:D,4,FALSE)</f>
        <v>RPCs and Nodes</v>
      </c>
      <c r="O917" s="1" t="str">
        <f t="shared" ref="O917:P917" si="921">IF(ISBLANK(K917),M917,K917)</f>
        <v>Operations</v>
      </c>
      <c r="P917" s="1" t="str">
        <f t="shared" si="921"/>
        <v>RPCs and Nodes</v>
      </c>
      <c r="Q917" s="108" t="str">
        <f t="shared" si="3"/>
        <v>2024</v>
      </c>
      <c r="R917" s="110">
        <f t="shared" si="4"/>
        <v>4</v>
      </c>
      <c r="S917" s="108" t="str">
        <f t="shared" si="5"/>
        <v>2024-Q2</v>
      </c>
      <c r="T917" s="111" t="str">
        <f t="shared" si="6"/>
        <v>2024-04</v>
      </c>
      <c r="U917" s="112" t="str">
        <f t="shared" si="7"/>
        <v>2024-H1</v>
      </c>
      <c r="V917" s="1" t="str">
        <f>VLOOKUP(B917,Bounties!A:E,2,FALSE)</f>
        <v>System Parachains Collator Bounty</v>
      </c>
    </row>
    <row r="918" hidden="1">
      <c r="A918" s="109">
        <f>HYPERLINK("https://polkadot.subsquare.io/treasury/child-bounties/916", 916)</f>
        <v>916</v>
      </c>
      <c r="B918" s="183">
        <v>32.0</v>
      </c>
      <c r="C918" s="27" t="s">
        <v>3404</v>
      </c>
      <c r="D918" s="27" t="s">
        <v>1483</v>
      </c>
      <c r="E918" s="129">
        <v>29.7332153043</v>
      </c>
      <c r="F918" s="66">
        <v>249.43299053774112</v>
      </c>
      <c r="G918" s="27" t="s">
        <v>3587</v>
      </c>
      <c r="H918" s="167">
        <v>45384.0</v>
      </c>
      <c r="I918" s="167">
        <v>45393.0</v>
      </c>
      <c r="J918" s="66">
        <v>190.82711604015506</v>
      </c>
      <c r="K918" s="1"/>
      <c r="L918" s="1"/>
      <c r="M918" s="1" t="str">
        <f>VLOOKUP(B918,Bounties!A:D,3,FALSE)</f>
        <v>Operations</v>
      </c>
      <c r="N918" s="1" t="str">
        <f>VLOOKUP(B918,Bounties!A:D,4,FALSE)</f>
        <v>RPCs and Nodes</v>
      </c>
      <c r="O918" s="1" t="str">
        <f t="shared" ref="O918:P918" si="922">IF(ISBLANK(K918),M918,K918)</f>
        <v>Operations</v>
      </c>
      <c r="P918" s="1" t="str">
        <f t="shared" si="922"/>
        <v>RPCs and Nodes</v>
      </c>
      <c r="Q918" s="108" t="str">
        <f t="shared" si="3"/>
        <v>2024</v>
      </c>
      <c r="R918" s="110">
        <f t="shared" si="4"/>
        <v>4</v>
      </c>
      <c r="S918" s="108" t="str">
        <f t="shared" si="5"/>
        <v>2024-Q2</v>
      </c>
      <c r="T918" s="111" t="str">
        <f t="shared" si="6"/>
        <v>2024-04</v>
      </c>
      <c r="U918" s="112" t="str">
        <f t="shared" si="7"/>
        <v>2024-H1</v>
      </c>
      <c r="V918" s="1" t="str">
        <f>VLOOKUP(B918,Bounties!A:E,2,FALSE)</f>
        <v>System Parachains Collator Bounty</v>
      </c>
    </row>
    <row r="919" hidden="1">
      <c r="A919" s="109">
        <f>HYPERLINK("https://polkadot.subsquare.io/treasury/child-bounties/917", 917)</f>
        <v>917</v>
      </c>
      <c r="B919" s="183">
        <v>32.0</v>
      </c>
      <c r="C919" s="27" t="s">
        <v>3404</v>
      </c>
      <c r="D919" s="27" t="s">
        <v>1484</v>
      </c>
      <c r="E919" s="129">
        <v>27.647914591</v>
      </c>
      <c r="F919" s="66">
        <v>231.93932939932796</v>
      </c>
      <c r="G919" s="27" t="s">
        <v>3601</v>
      </c>
      <c r="H919" s="167">
        <v>45384.0</v>
      </c>
      <c r="I919" s="167">
        <v>45393.0</v>
      </c>
      <c r="J919" s="66">
        <v>189.92309542492163</v>
      </c>
      <c r="K919" s="1"/>
      <c r="L919" s="1"/>
      <c r="M919" s="1" t="str">
        <f>VLOOKUP(B919,Bounties!A:D,3,FALSE)</f>
        <v>Operations</v>
      </c>
      <c r="N919" s="1" t="str">
        <f>VLOOKUP(B919,Bounties!A:D,4,FALSE)</f>
        <v>RPCs and Nodes</v>
      </c>
      <c r="O919" s="1" t="str">
        <f t="shared" ref="O919:P919" si="923">IF(ISBLANK(K919),M919,K919)</f>
        <v>Operations</v>
      </c>
      <c r="P919" s="1" t="str">
        <f t="shared" si="923"/>
        <v>RPCs and Nodes</v>
      </c>
      <c r="Q919" s="108" t="str">
        <f t="shared" si="3"/>
        <v>2024</v>
      </c>
      <c r="R919" s="110">
        <f t="shared" si="4"/>
        <v>4</v>
      </c>
      <c r="S919" s="108" t="str">
        <f t="shared" si="5"/>
        <v>2024-Q2</v>
      </c>
      <c r="T919" s="111" t="str">
        <f t="shared" si="6"/>
        <v>2024-04</v>
      </c>
      <c r="U919" s="112" t="str">
        <f t="shared" si="7"/>
        <v>2024-H1</v>
      </c>
      <c r="V919" s="1" t="str">
        <f>VLOOKUP(B919,Bounties!A:E,2,FALSE)</f>
        <v>System Parachains Collator Bounty</v>
      </c>
    </row>
    <row r="920" hidden="1">
      <c r="A920" s="109">
        <f>HYPERLINK("https://polkadot.subsquare.io/treasury/child-bounties/918", 918)</f>
        <v>918</v>
      </c>
      <c r="B920" s="183">
        <v>32.0</v>
      </c>
      <c r="C920" s="27" t="s">
        <v>3404</v>
      </c>
      <c r="D920" s="27" t="s">
        <v>1485</v>
      </c>
      <c r="E920" s="129">
        <v>27.6402691255</v>
      </c>
      <c r="F920" s="66">
        <v>231.8751913199376</v>
      </c>
      <c r="G920" s="27" t="s">
        <v>3602</v>
      </c>
      <c r="H920" s="167">
        <v>45384.0</v>
      </c>
      <c r="I920" s="167">
        <v>45393.0</v>
      </c>
      <c r="J920" s="66">
        <v>177.3946339072891</v>
      </c>
      <c r="K920" s="1"/>
      <c r="L920" s="1"/>
      <c r="M920" s="1" t="str">
        <f>VLOOKUP(B920,Bounties!A:D,3,FALSE)</f>
        <v>Operations</v>
      </c>
      <c r="N920" s="1" t="str">
        <f>VLOOKUP(B920,Bounties!A:D,4,FALSE)</f>
        <v>RPCs and Nodes</v>
      </c>
      <c r="O920" s="1" t="str">
        <f t="shared" ref="O920:P920" si="924">IF(ISBLANK(K920),M920,K920)</f>
        <v>Operations</v>
      </c>
      <c r="P920" s="1" t="str">
        <f t="shared" si="924"/>
        <v>RPCs and Nodes</v>
      </c>
      <c r="Q920" s="108" t="str">
        <f t="shared" si="3"/>
        <v>2024</v>
      </c>
      <c r="R920" s="110">
        <f t="shared" si="4"/>
        <v>4</v>
      </c>
      <c r="S920" s="108" t="str">
        <f t="shared" si="5"/>
        <v>2024-Q2</v>
      </c>
      <c r="T920" s="111" t="str">
        <f t="shared" si="6"/>
        <v>2024-04</v>
      </c>
      <c r="U920" s="112" t="str">
        <f t="shared" si="7"/>
        <v>2024-H1</v>
      </c>
      <c r="V920" s="1" t="str">
        <f>VLOOKUP(B920,Bounties!A:E,2,FALSE)</f>
        <v>System Parachains Collator Bounty</v>
      </c>
    </row>
    <row r="921" hidden="1">
      <c r="A921" s="109">
        <f>HYPERLINK("https://polkadot.subsquare.io/treasury/child-bounties/919", 919)</f>
        <v>919</v>
      </c>
      <c r="B921" s="183">
        <v>32.0</v>
      </c>
      <c r="C921" s="27" t="s">
        <v>3404</v>
      </c>
      <c r="D921" s="27" t="s">
        <v>1486</v>
      </c>
      <c r="E921" s="129">
        <v>7.4983040792</v>
      </c>
      <c r="F921" s="66">
        <v>62.90353704752927</v>
      </c>
      <c r="G921" s="27" t="s">
        <v>3407</v>
      </c>
      <c r="H921" s="167">
        <v>45384.0</v>
      </c>
      <c r="I921" s="167">
        <v>45393.0</v>
      </c>
      <c r="J921" s="66">
        <v>51.50844619660959</v>
      </c>
      <c r="K921" s="1"/>
      <c r="L921" s="1"/>
      <c r="M921" s="1" t="str">
        <f>VLOOKUP(B921,Bounties!A:D,3,FALSE)</f>
        <v>Operations</v>
      </c>
      <c r="N921" s="1" t="str">
        <f>VLOOKUP(B921,Bounties!A:D,4,FALSE)</f>
        <v>RPCs and Nodes</v>
      </c>
      <c r="O921" s="1" t="str">
        <f t="shared" ref="O921:P921" si="925">IF(ISBLANK(K921),M921,K921)</f>
        <v>Operations</v>
      </c>
      <c r="P921" s="1" t="str">
        <f t="shared" si="925"/>
        <v>RPCs and Nodes</v>
      </c>
      <c r="Q921" s="108" t="str">
        <f t="shared" si="3"/>
        <v>2024</v>
      </c>
      <c r="R921" s="110">
        <f t="shared" si="4"/>
        <v>4</v>
      </c>
      <c r="S921" s="108" t="str">
        <f t="shared" si="5"/>
        <v>2024-Q2</v>
      </c>
      <c r="T921" s="111" t="str">
        <f t="shared" si="6"/>
        <v>2024-04</v>
      </c>
      <c r="U921" s="112" t="str">
        <f t="shared" si="7"/>
        <v>2024-H1</v>
      </c>
      <c r="V921" s="1" t="str">
        <f>VLOOKUP(B921,Bounties!A:E,2,FALSE)</f>
        <v>System Parachains Collator Bounty</v>
      </c>
    </row>
    <row r="922" hidden="1">
      <c r="A922" s="109">
        <f>HYPERLINK("https://polkadot.subsquare.io/treasury/child-bounties/920", 920)</f>
        <v>920</v>
      </c>
      <c r="B922" s="183">
        <v>32.0</v>
      </c>
      <c r="C922" s="27" t="s">
        <v>3404</v>
      </c>
      <c r="D922" s="27" t="s">
        <v>1487</v>
      </c>
      <c r="E922" s="129">
        <v>7.4983040792</v>
      </c>
      <c r="F922" s="66">
        <v>62.90353704752927</v>
      </c>
      <c r="G922" s="27" t="s">
        <v>3406</v>
      </c>
      <c r="H922" s="167">
        <v>45384.0</v>
      </c>
      <c r="I922" s="167">
        <v>45393.0</v>
      </c>
      <c r="J922" s="66">
        <v>51.50844619660959</v>
      </c>
      <c r="K922" s="1"/>
      <c r="L922" s="1"/>
      <c r="M922" s="1" t="str">
        <f>VLOOKUP(B922,Bounties!A:D,3,FALSE)</f>
        <v>Operations</v>
      </c>
      <c r="N922" s="1" t="str">
        <f>VLOOKUP(B922,Bounties!A:D,4,FALSE)</f>
        <v>RPCs and Nodes</v>
      </c>
      <c r="O922" s="1" t="str">
        <f t="shared" ref="O922:P922" si="926">IF(ISBLANK(K922),M922,K922)</f>
        <v>Operations</v>
      </c>
      <c r="P922" s="1" t="str">
        <f t="shared" si="926"/>
        <v>RPCs and Nodes</v>
      </c>
      <c r="Q922" s="108" t="str">
        <f t="shared" si="3"/>
        <v>2024</v>
      </c>
      <c r="R922" s="110">
        <f t="shared" si="4"/>
        <v>4</v>
      </c>
      <c r="S922" s="108" t="str">
        <f t="shared" si="5"/>
        <v>2024-Q2</v>
      </c>
      <c r="T922" s="111" t="str">
        <f t="shared" si="6"/>
        <v>2024-04</v>
      </c>
      <c r="U922" s="112" t="str">
        <f t="shared" si="7"/>
        <v>2024-H1</v>
      </c>
      <c r="V922" s="1" t="str">
        <f>VLOOKUP(B922,Bounties!A:E,2,FALSE)</f>
        <v>System Parachains Collator Bounty</v>
      </c>
    </row>
    <row r="923" hidden="1">
      <c r="A923" s="109">
        <f>HYPERLINK("https://polkadot.subsquare.io/treasury/child-bounties/921", 921)</f>
        <v>921</v>
      </c>
      <c r="B923" s="183">
        <v>32.0</v>
      </c>
      <c r="C923" s="27" t="s">
        <v>3404</v>
      </c>
      <c r="D923" s="27" t="s">
        <v>1488</v>
      </c>
      <c r="E923" s="129">
        <v>7.4983040792</v>
      </c>
      <c r="F923" s="66">
        <v>62.90353704752927</v>
      </c>
      <c r="G923" s="27" t="s">
        <v>3411</v>
      </c>
      <c r="H923" s="167">
        <v>45384.0</v>
      </c>
      <c r="I923" s="167">
        <v>45393.0</v>
      </c>
      <c r="J923" s="66">
        <v>48.12394919223329</v>
      </c>
      <c r="K923" s="1"/>
      <c r="L923" s="1"/>
      <c r="M923" s="1" t="str">
        <f>VLOOKUP(B923,Bounties!A:D,3,FALSE)</f>
        <v>Operations</v>
      </c>
      <c r="N923" s="1" t="str">
        <f>VLOOKUP(B923,Bounties!A:D,4,FALSE)</f>
        <v>RPCs and Nodes</v>
      </c>
      <c r="O923" s="1" t="str">
        <f t="shared" ref="O923:P923" si="927">IF(ISBLANK(K923),M923,K923)</f>
        <v>Operations</v>
      </c>
      <c r="P923" s="1" t="str">
        <f t="shared" si="927"/>
        <v>RPCs and Nodes</v>
      </c>
      <c r="Q923" s="108" t="str">
        <f t="shared" si="3"/>
        <v>2024</v>
      </c>
      <c r="R923" s="110">
        <f t="shared" si="4"/>
        <v>4</v>
      </c>
      <c r="S923" s="108" t="str">
        <f t="shared" si="5"/>
        <v>2024-Q2</v>
      </c>
      <c r="T923" s="111" t="str">
        <f t="shared" si="6"/>
        <v>2024-04</v>
      </c>
      <c r="U923" s="112" t="str">
        <f t="shared" si="7"/>
        <v>2024-H1</v>
      </c>
      <c r="V923" s="1" t="str">
        <f>VLOOKUP(B923,Bounties!A:E,2,FALSE)</f>
        <v>System Parachains Collator Bounty</v>
      </c>
    </row>
    <row r="924" hidden="1">
      <c r="A924" s="109">
        <f>HYPERLINK("https://polkadot.subsquare.io/treasury/child-bounties/922", 922)</f>
        <v>922</v>
      </c>
      <c r="B924" s="183">
        <v>32.0</v>
      </c>
      <c r="C924" s="27" t="s">
        <v>3404</v>
      </c>
      <c r="D924" s="27" t="s">
        <v>1249</v>
      </c>
      <c r="E924" s="129">
        <v>2.6399155227</v>
      </c>
      <c r="F924" s="66">
        <v>22.14634431072901</v>
      </c>
      <c r="G924" s="27" t="s">
        <v>3598</v>
      </c>
      <c r="H924" s="167">
        <v>45384.0</v>
      </c>
      <c r="I924" s="167">
        <v>45393.0</v>
      </c>
      <c r="J924" s="66">
        <v>16.942919244715014</v>
      </c>
      <c r="K924" s="1"/>
      <c r="L924" s="1"/>
      <c r="M924" s="1" t="str">
        <f>VLOOKUP(B924,Bounties!A:D,3,FALSE)</f>
        <v>Operations</v>
      </c>
      <c r="N924" s="1" t="str">
        <f>VLOOKUP(B924,Bounties!A:D,4,FALSE)</f>
        <v>RPCs and Nodes</v>
      </c>
      <c r="O924" s="1" t="str">
        <f t="shared" ref="O924:P924" si="928">IF(ISBLANK(K924),M924,K924)</f>
        <v>Operations</v>
      </c>
      <c r="P924" s="1" t="str">
        <f t="shared" si="928"/>
        <v>RPCs and Nodes</v>
      </c>
      <c r="Q924" s="108" t="str">
        <f t="shared" si="3"/>
        <v>2024</v>
      </c>
      <c r="R924" s="110">
        <f t="shared" si="4"/>
        <v>4</v>
      </c>
      <c r="S924" s="108" t="str">
        <f t="shared" si="5"/>
        <v>2024-Q2</v>
      </c>
      <c r="T924" s="111" t="str">
        <f t="shared" si="6"/>
        <v>2024-04</v>
      </c>
      <c r="U924" s="112" t="str">
        <f t="shared" si="7"/>
        <v>2024-H1</v>
      </c>
      <c r="V924" s="1" t="str">
        <f>VLOOKUP(B924,Bounties!A:E,2,FALSE)</f>
        <v>System Parachains Collator Bounty</v>
      </c>
    </row>
    <row r="925" hidden="1">
      <c r="A925" s="109">
        <f>HYPERLINK("https://polkadot.subsquare.io/treasury/child-bounties/923", 923)</f>
        <v>923</v>
      </c>
      <c r="B925" s="183">
        <v>32.0</v>
      </c>
      <c r="C925" s="27" t="s">
        <v>3404</v>
      </c>
      <c r="D925" s="27" t="s">
        <v>1489</v>
      </c>
      <c r="E925" s="129">
        <v>2.5343189018</v>
      </c>
      <c r="F925" s="66">
        <v>21.26049053836696</v>
      </c>
      <c r="G925" s="27" t="s">
        <v>3598</v>
      </c>
      <c r="H925" s="167">
        <v>45384.0</v>
      </c>
      <c r="I925" s="167">
        <v>45393.0</v>
      </c>
      <c r="J925" s="66">
        <v>16.265202474977755</v>
      </c>
      <c r="K925" s="1"/>
      <c r="L925" s="1"/>
      <c r="M925" s="1" t="str">
        <f>VLOOKUP(B925,Bounties!A:D,3,FALSE)</f>
        <v>Operations</v>
      </c>
      <c r="N925" s="1" t="str">
        <f>VLOOKUP(B925,Bounties!A:D,4,FALSE)</f>
        <v>RPCs and Nodes</v>
      </c>
      <c r="O925" s="1" t="str">
        <f t="shared" ref="O925:P925" si="929">IF(ISBLANK(K925),M925,K925)</f>
        <v>Operations</v>
      </c>
      <c r="P925" s="1" t="str">
        <f t="shared" si="929"/>
        <v>RPCs and Nodes</v>
      </c>
      <c r="Q925" s="108" t="str">
        <f t="shared" si="3"/>
        <v>2024</v>
      </c>
      <c r="R925" s="110">
        <f t="shared" si="4"/>
        <v>4</v>
      </c>
      <c r="S925" s="108" t="str">
        <f t="shared" si="5"/>
        <v>2024-Q2</v>
      </c>
      <c r="T925" s="111" t="str">
        <f t="shared" si="6"/>
        <v>2024-04</v>
      </c>
      <c r="U925" s="112" t="str">
        <f t="shared" si="7"/>
        <v>2024-H1</v>
      </c>
      <c r="V925" s="1" t="str">
        <f>VLOOKUP(B925,Bounties!A:E,2,FALSE)</f>
        <v>System Parachains Collator Bounty</v>
      </c>
    </row>
    <row r="926" hidden="1">
      <c r="A926" s="109">
        <f>HYPERLINK("https://polkadot.subsquare.io/treasury/child-bounties/924", 924)</f>
        <v>924</v>
      </c>
      <c r="B926" s="183">
        <v>32.0</v>
      </c>
      <c r="C926" s="27" t="s">
        <v>3404</v>
      </c>
      <c r="D926" s="27" t="s">
        <v>1490</v>
      </c>
      <c r="E926" s="129">
        <v>29.1770030555</v>
      </c>
      <c r="F926" s="66">
        <v>244.76690639002896</v>
      </c>
      <c r="G926" s="27" t="s">
        <v>3597</v>
      </c>
      <c r="H926" s="167">
        <v>45384.0</v>
      </c>
      <c r="I926" s="167">
        <v>45393.0</v>
      </c>
      <c r="J926" s="66">
        <v>200.4269333690288</v>
      </c>
      <c r="K926" s="1"/>
      <c r="L926" s="1"/>
      <c r="M926" s="1" t="str">
        <f>VLOOKUP(B926,Bounties!A:D,3,FALSE)</f>
        <v>Operations</v>
      </c>
      <c r="N926" s="1" t="str">
        <f>VLOOKUP(B926,Bounties!A:D,4,FALSE)</f>
        <v>RPCs and Nodes</v>
      </c>
      <c r="O926" s="1" t="str">
        <f t="shared" ref="O926:P926" si="930">IF(ISBLANK(K926),M926,K926)</f>
        <v>Operations</v>
      </c>
      <c r="P926" s="1" t="str">
        <f t="shared" si="930"/>
        <v>RPCs and Nodes</v>
      </c>
      <c r="Q926" s="108" t="str">
        <f t="shared" si="3"/>
        <v>2024</v>
      </c>
      <c r="R926" s="110">
        <f t="shared" si="4"/>
        <v>4</v>
      </c>
      <c r="S926" s="108" t="str">
        <f t="shared" si="5"/>
        <v>2024-Q2</v>
      </c>
      <c r="T926" s="111" t="str">
        <f t="shared" si="6"/>
        <v>2024-04</v>
      </c>
      <c r="U926" s="112" t="str">
        <f t="shared" si="7"/>
        <v>2024-H1</v>
      </c>
      <c r="V926" s="1" t="str">
        <f>VLOOKUP(B926,Bounties!A:E,2,FALSE)</f>
        <v>System Parachains Collator Bounty</v>
      </c>
    </row>
    <row r="927" hidden="1">
      <c r="A927" s="109">
        <f>HYPERLINK("https://polkadot.subsquare.io/treasury/child-bounties/925", 925)</f>
        <v>925</v>
      </c>
      <c r="B927" s="183">
        <v>32.0</v>
      </c>
      <c r="C927" s="27" t="s">
        <v>3404</v>
      </c>
      <c r="D927" s="27" t="s">
        <v>1491</v>
      </c>
      <c r="E927" s="129">
        <v>27.9480934171</v>
      </c>
      <c r="F927" s="66">
        <v>234.45754014525437</v>
      </c>
      <c r="G927" s="27" t="s">
        <v>3599</v>
      </c>
      <c r="H927" s="167">
        <v>45384.0</v>
      </c>
      <c r="I927" s="167">
        <v>45393.0</v>
      </c>
      <c r="J927" s="66">
        <v>179.37024338012793</v>
      </c>
      <c r="K927" s="1"/>
      <c r="L927" s="1"/>
      <c r="M927" s="1" t="str">
        <f>VLOOKUP(B927,Bounties!A:D,3,FALSE)</f>
        <v>Operations</v>
      </c>
      <c r="N927" s="1" t="str">
        <f>VLOOKUP(B927,Bounties!A:D,4,FALSE)</f>
        <v>RPCs and Nodes</v>
      </c>
      <c r="O927" s="1" t="str">
        <f t="shared" ref="O927:P927" si="931">IF(ISBLANK(K927),M927,K927)</f>
        <v>Operations</v>
      </c>
      <c r="P927" s="1" t="str">
        <f t="shared" si="931"/>
        <v>RPCs and Nodes</v>
      </c>
      <c r="Q927" s="108" t="str">
        <f t="shared" si="3"/>
        <v>2024</v>
      </c>
      <c r="R927" s="110">
        <f t="shared" si="4"/>
        <v>4</v>
      </c>
      <c r="S927" s="108" t="str">
        <f t="shared" si="5"/>
        <v>2024-Q2</v>
      </c>
      <c r="T927" s="111" t="str">
        <f t="shared" si="6"/>
        <v>2024-04</v>
      </c>
      <c r="U927" s="112" t="str">
        <f t="shared" si="7"/>
        <v>2024-H1</v>
      </c>
      <c r="V927" s="1" t="str">
        <f>VLOOKUP(B927,Bounties!A:E,2,FALSE)</f>
        <v>System Parachains Collator Bounty</v>
      </c>
    </row>
    <row r="928" hidden="1">
      <c r="A928" s="109">
        <f>HYPERLINK("https://polkadot.subsquare.io/treasury/child-bounties/926", 926)</f>
        <v>926</v>
      </c>
      <c r="B928" s="183">
        <v>32.0</v>
      </c>
      <c r="C928" s="27" t="s">
        <v>3404</v>
      </c>
      <c r="D928" s="27" t="s">
        <v>1492</v>
      </c>
      <c r="E928" s="129">
        <v>43.9911756642</v>
      </c>
      <c r="F928" s="66">
        <v>369.04352223237754</v>
      </c>
      <c r="G928" s="27" t="s">
        <v>3587</v>
      </c>
      <c r="H928" s="167">
        <v>45384.0</v>
      </c>
      <c r="I928" s="167">
        <v>45393.0</v>
      </c>
      <c r="J928" s="66">
        <v>282.3343892445127</v>
      </c>
      <c r="K928" s="1"/>
      <c r="L928" s="1"/>
      <c r="M928" s="1" t="str">
        <f>VLOOKUP(B928,Bounties!A:D,3,FALSE)</f>
        <v>Operations</v>
      </c>
      <c r="N928" s="1" t="str">
        <f>VLOOKUP(B928,Bounties!A:D,4,FALSE)</f>
        <v>RPCs and Nodes</v>
      </c>
      <c r="O928" s="1" t="str">
        <f t="shared" ref="O928:P928" si="932">IF(ISBLANK(K928),M928,K928)</f>
        <v>Operations</v>
      </c>
      <c r="P928" s="1" t="str">
        <f t="shared" si="932"/>
        <v>RPCs and Nodes</v>
      </c>
      <c r="Q928" s="108" t="str">
        <f t="shared" si="3"/>
        <v>2024</v>
      </c>
      <c r="R928" s="110">
        <f t="shared" si="4"/>
        <v>4</v>
      </c>
      <c r="S928" s="108" t="str">
        <f t="shared" si="5"/>
        <v>2024-Q2</v>
      </c>
      <c r="T928" s="111" t="str">
        <f t="shared" si="6"/>
        <v>2024-04</v>
      </c>
      <c r="U928" s="112" t="str">
        <f t="shared" si="7"/>
        <v>2024-H1</v>
      </c>
      <c r="V928" s="1" t="str">
        <f>VLOOKUP(B928,Bounties!A:E,2,FALSE)</f>
        <v>System Parachains Collator Bounty</v>
      </c>
    </row>
    <row r="929" hidden="1">
      <c r="A929" s="109">
        <f>HYPERLINK("https://polkadot.subsquare.io/treasury/child-bounties/927", 927)</f>
        <v>927</v>
      </c>
      <c r="B929" s="183">
        <v>32.0</v>
      </c>
      <c r="C929" s="27" t="s">
        <v>3404</v>
      </c>
      <c r="D929" s="27" t="s">
        <v>1493</v>
      </c>
      <c r="E929" s="129">
        <v>40.8562638961</v>
      </c>
      <c r="F929" s="66">
        <v>342.74463698278754</v>
      </c>
      <c r="G929" s="27" t="s">
        <v>3589</v>
      </c>
      <c r="H929" s="167">
        <v>45384.0</v>
      </c>
      <c r="I929" s="167">
        <v>45393.0</v>
      </c>
      <c r="J929" s="66">
        <v>280.65581876365763</v>
      </c>
      <c r="K929" s="1"/>
      <c r="L929" s="1"/>
      <c r="M929" s="1" t="str">
        <f>VLOOKUP(B929,Bounties!A:D,3,FALSE)</f>
        <v>Operations</v>
      </c>
      <c r="N929" s="1" t="str">
        <f>VLOOKUP(B929,Bounties!A:D,4,FALSE)</f>
        <v>RPCs and Nodes</v>
      </c>
      <c r="O929" s="1" t="str">
        <f t="shared" ref="O929:P929" si="933">IF(ISBLANK(K929),M929,K929)</f>
        <v>Operations</v>
      </c>
      <c r="P929" s="1" t="str">
        <f t="shared" si="933"/>
        <v>RPCs and Nodes</v>
      </c>
      <c r="Q929" s="108" t="str">
        <f t="shared" si="3"/>
        <v>2024</v>
      </c>
      <c r="R929" s="110">
        <f t="shared" si="4"/>
        <v>4</v>
      </c>
      <c r="S929" s="108" t="str">
        <f t="shared" si="5"/>
        <v>2024-Q2</v>
      </c>
      <c r="T929" s="111" t="str">
        <f t="shared" si="6"/>
        <v>2024-04</v>
      </c>
      <c r="U929" s="112" t="str">
        <f t="shared" si="7"/>
        <v>2024-H1</v>
      </c>
      <c r="V929" s="1" t="str">
        <f>VLOOKUP(B929,Bounties!A:E,2,FALSE)</f>
        <v>System Parachains Collator Bounty</v>
      </c>
    </row>
    <row r="930" hidden="1">
      <c r="A930" s="109">
        <f>HYPERLINK("https://polkadot.subsquare.io/treasury/child-bounties/928", 928)</f>
        <v>928</v>
      </c>
      <c r="B930" s="183">
        <v>32.0</v>
      </c>
      <c r="C930" s="27" t="s">
        <v>3404</v>
      </c>
      <c r="D930" s="27" t="s">
        <v>1494</v>
      </c>
      <c r="E930" s="129">
        <v>45.4050151822</v>
      </c>
      <c r="F930" s="66">
        <v>380.9042717512558</v>
      </c>
      <c r="G930" s="27" t="s">
        <v>3590</v>
      </c>
      <c r="H930" s="167">
        <v>45384.0</v>
      </c>
      <c r="I930" s="167">
        <v>45393.0</v>
      </c>
      <c r="J930" s="66">
        <v>311.9027658609055</v>
      </c>
      <c r="K930" s="1"/>
      <c r="L930" s="1"/>
      <c r="M930" s="1" t="str">
        <f>VLOOKUP(B930,Bounties!A:D,3,FALSE)</f>
        <v>Operations</v>
      </c>
      <c r="N930" s="1" t="str">
        <f>VLOOKUP(B930,Bounties!A:D,4,FALSE)</f>
        <v>RPCs and Nodes</v>
      </c>
      <c r="O930" s="1" t="str">
        <f t="shared" ref="O930:P930" si="934">IF(ISBLANK(K930),M930,K930)</f>
        <v>Operations</v>
      </c>
      <c r="P930" s="1" t="str">
        <f t="shared" si="934"/>
        <v>RPCs and Nodes</v>
      </c>
      <c r="Q930" s="108" t="str">
        <f t="shared" si="3"/>
        <v>2024</v>
      </c>
      <c r="R930" s="110">
        <f t="shared" si="4"/>
        <v>4</v>
      </c>
      <c r="S930" s="108" t="str">
        <f t="shared" si="5"/>
        <v>2024-Q2</v>
      </c>
      <c r="T930" s="111" t="str">
        <f t="shared" si="6"/>
        <v>2024-04</v>
      </c>
      <c r="U930" s="112" t="str">
        <f t="shared" si="7"/>
        <v>2024-H1</v>
      </c>
      <c r="V930" s="1" t="str">
        <f>VLOOKUP(B930,Bounties!A:E,2,FALSE)</f>
        <v>System Parachains Collator Bounty</v>
      </c>
    </row>
    <row r="931" hidden="1">
      <c r="A931" s="109">
        <f>HYPERLINK("https://polkadot.subsquare.io/treasury/child-bounties/929", 929)</f>
        <v>929</v>
      </c>
      <c r="B931" s="183">
        <v>32.0</v>
      </c>
      <c r="C931" s="27" t="s">
        <v>3404</v>
      </c>
      <c r="D931" s="27" t="s">
        <v>1495</v>
      </c>
      <c r="E931" s="129">
        <v>46.9326446009</v>
      </c>
      <c r="F931" s="66">
        <v>393.7196087553458</v>
      </c>
      <c r="G931" s="27" t="s">
        <v>3591</v>
      </c>
      <c r="H931" s="167">
        <v>45384.0</v>
      </c>
      <c r="I931" s="167">
        <v>45393.0</v>
      </c>
      <c r="J931" s="66">
        <v>322.3965811143757</v>
      </c>
      <c r="K931" s="1"/>
      <c r="L931" s="1"/>
      <c r="M931" s="1" t="str">
        <f>VLOOKUP(B931,Bounties!A:D,3,FALSE)</f>
        <v>Operations</v>
      </c>
      <c r="N931" s="1" t="str">
        <f>VLOOKUP(B931,Bounties!A:D,4,FALSE)</f>
        <v>RPCs and Nodes</v>
      </c>
      <c r="O931" s="1" t="str">
        <f t="shared" ref="O931:P931" si="935">IF(ISBLANK(K931),M931,K931)</f>
        <v>Operations</v>
      </c>
      <c r="P931" s="1" t="str">
        <f t="shared" si="935"/>
        <v>RPCs and Nodes</v>
      </c>
      <c r="Q931" s="108" t="str">
        <f t="shared" si="3"/>
        <v>2024</v>
      </c>
      <c r="R931" s="110">
        <f t="shared" si="4"/>
        <v>4</v>
      </c>
      <c r="S931" s="108" t="str">
        <f t="shared" si="5"/>
        <v>2024-Q2</v>
      </c>
      <c r="T931" s="111" t="str">
        <f t="shared" si="6"/>
        <v>2024-04</v>
      </c>
      <c r="U931" s="112" t="str">
        <f t="shared" si="7"/>
        <v>2024-H1</v>
      </c>
      <c r="V931" s="1" t="str">
        <f>VLOOKUP(B931,Bounties!A:E,2,FALSE)</f>
        <v>System Parachains Collator Bounty</v>
      </c>
    </row>
    <row r="932" hidden="1">
      <c r="A932" s="109">
        <f>HYPERLINK("https://polkadot.subsquare.io/treasury/child-bounties/930", 930)</f>
        <v>930</v>
      </c>
      <c r="B932" s="183">
        <v>32.0</v>
      </c>
      <c r="C932" s="27" t="s">
        <v>3404</v>
      </c>
      <c r="D932" s="27" t="s">
        <v>1496</v>
      </c>
      <c r="E932" s="129">
        <v>42.0311446223</v>
      </c>
      <c r="F932" s="66">
        <v>352.6007527799525</v>
      </c>
      <c r="G932" s="27" t="s">
        <v>3592</v>
      </c>
      <c r="H932" s="167">
        <v>45384.0</v>
      </c>
      <c r="I932" s="167">
        <v>45393.0</v>
      </c>
      <c r="J932" s="66">
        <v>288.7264811472726</v>
      </c>
      <c r="K932" s="1"/>
      <c r="L932" s="1"/>
      <c r="M932" s="1" t="str">
        <f>VLOOKUP(B932,Bounties!A:D,3,FALSE)</f>
        <v>Operations</v>
      </c>
      <c r="N932" s="1" t="str">
        <f>VLOOKUP(B932,Bounties!A:D,4,FALSE)</f>
        <v>RPCs and Nodes</v>
      </c>
      <c r="O932" s="1" t="str">
        <f t="shared" ref="O932:P932" si="936">IF(ISBLANK(K932),M932,K932)</f>
        <v>Operations</v>
      </c>
      <c r="P932" s="1" t="str">
        <f t="shared" si="936"/>
        <v>RPCs and Nodes</v>
      </c>
      <c r="Q932" s="108" t="str">
        <f t="shared" si="3"/>
        <v>2024</v>
      </c>
      <c r="R932" s="110">
        <f t="shared" si="4"/>
        <v>4</v>
      </c>
      <c r="S932" s="108" t="str">
        <f t="shared" si="5"/>
        <v>2024-Q2</v>
      </c>
      <c r="T932" s="111" t="str">
        <f t="shared" si="6"/>
        <v>2024-04</v>
      </c>
      <c r="U932" s="112" t="str">
        <f t="shared" si="7"/>
        <v>2024-H1</v>
      </c>
      <c r="V932" s="1" t="str">
        <f>VLOOKUP(B932,Bounties!A:E,2,FALSE)</f>
        <v>System Parachains Collator Bounty</v>
      </c>
    </row>
    <row r="933" hidden="1">
      <c r="A933" s="109">
        <f>HYPERLINK("https://polkadot.subsquare.io/treasury/child-bounties/931", 931)</f>
        <v>931</v>
      </c>
      <c r="B933" s="183">
        <v>32.0</v>
      </c>
      <c r="C933" s="27" t="s">
        <v>3404</v>
      </c>
      <c r="D933" s="27" t="s">
        <v>1497</v>
      </c>
      <c r="E933" s="129">
        <v>42.1563135132</v>
      </c>
      <c r="F933" s="66">
        <v>353.65079901477606</v>
      </c>
      <c r="G933" s="27" t="s">
        <v>3593</v>
      </c>
      <c r="H933" s="167">
        <v>45384.0</v>
      </c>
      <c r="I933" s="167">
        <v>45393.0</v>
      </c>
      <c r="J933" s="66">
        <v>289.58630958505177</v>
      </c>
      <c r="K933" s="1"/>
      <c r="L933" s="1"/>
      <c r="M933" s="1" t="str">
        <f>VLOOKUP(B933,Bounties!A:D,3,FALSE)</f>
        <v>Operations</v>
      </c>
      <c r="N933" s="1" t="str">
        <f>VLOOKUP(B933,Bounties!A:D,4,FALSE)</f>
        <v>RPCs and Nodes</v>
      </c>
      <c r="O933" s="1" t="str">
        <f t="shared" ref="O933:P933" si="937">IF(ISBLANK(K933),M933,K933)</f>
        <v>Operations</v>
      </c>
      <c r="P933" s="1" t="str">
        <f t="shared" si="937"/>
        <v>RPCs and Nodes</v>
      </c>
      <c r="Q933" s="108" t="str">
        <f t="shared" si="3"/>
        <v>2024</v>
      </c>
      <c r="R933" s="110">
        <f t="shared" si="4"/>
        <v>4</v>
      </c>
      <c r="S933" s="108" t="str">
        <f t="shared" si="5"/>
        <v>2024-Q2</v>
      </c>
      <c r="T933" s="111" t="str">
        <f t="shared" si="6"/>
        <v>2024-04</v>
      </c>
      <c r="U933" s="112" t="str">
        <f t="shared" si="7"/>
        <v>2024-H1</v>
      </c>
      <c r="V933" s="1" t="str">
        <f>VLOOKUP(B933,Bounties!A:E,2,FALSE)</f>
        <v>System Parachains Collator Bounty</v>
      </c>
    </row>
    <row r="934" hidden="1">
      <c r="A934" s="109">
        <f>HYPERLINK("https://polkadot.subsquare.io/treasury/child-bounties/932", 932)</f>
        <v>932</v>
      </c>
      <c r="B934" s="183">
        <v>32.0</v>
      </c>
      <c r="C934" s="27" t="s">
        <v>3404</v>
      </c>
      <c r="D934" s="27" t="s">
        <v>1498</v>
      </c>
      <c r="E934" s="129">
        <v>27.4008445938</v>
      </c>
      <c r="F934" s="66">
        <v>229.86665048979762</v>
      </c>
      <c r="G934" s="27" t="s">
        <v>3594</v>
      </c>
      <c r="H934" s="167">
        <v>45384.0</v>
      </c>
      <c r="I934" s="167">
        <v>45393.0</v>
      </c>
      <c r="J934" s="66">
        <v>188.2258860928975</v>
      </c>
      <c r="K934" s="1"/>
      <c r="L934" s="1"/>
      <c r="M934" s="1" t="str">
        <f>VLOOKUP(B934,Bounties!A:D,3,FALSE)</f>
        <v>Operations</v>
      </c>
      <c r="N934" s="1" t="str">
        <f>VLOOKUP(B934,Bounties!A:D,4,FALSE)</f>
        <v>RPCs and Nodes</v>
      </c>
      <c r="O934" s="1" t="str">
        <f t="shared" ref="O934:P934" si="938">IF(ISBLANK(K934),M934,K934)</f>
        <v>Operations</v>
      </c>
      <c r="P934" s="1" t="str">
        <f t="shared" si="938"/>
        <v>RPCs and Nodes</v>
      </c>
      <c r="Q934" s="108" t="str">
        <f t="shared" si="3"/>
        <v>2024</v>
      </c>
      <c r="R934" s="110">
        <f t="shared" si="4"/>
        <v>4</v>
      </c>
      <c r="S934" s="108" t="str">
        <f t="shared" si="5"/>
        <v>2024-Q2</v>
      </c>
      <c r="T934" s="111" t="str">
        <f t="shared" si="6"/>
        <v>2024-04</v>
      </c>
      <c r="U934" s="112" t="str">
        <f t="shared" si="7"/>
        <v>2024-H1</v>
      </c>
      <c r="V934" s="1" t="str">
        <f>VLOOKUP(B934,Bounties!A:E,2,FALSE)</f>
        <v>System Parachains Collator Bounty</v>
      </c>
    </row>
    <row r="935" hidden="1">
      <c r="A935" s="109">
        <f>HYPERLINK("https://polkadot.subsquare.io/treasury/child-bounties/933", 933)</f>
        <v>933</v>
      </c>
      <c r="B935" s="183">
        <v>32.0</v>
      </c>
      <c r="C935" s="27" t="s">
        <v>3404</v>
      </c>
      <c r="D935" s="27" t="s">
        <v>1499</v>
      </c>
      <c r="E935" s="129">
        <v>28.3071654521</v>
      </c>
      <c r="F935" s="66">
        <v>237.46980809515114</v>
      </c>
      <c r="G935" s="27" t="s">
        <v>3595</v>
      </c>
      <c r="H935" s="167">
        <v>45384.0</v>
      </c>
      <c r="I935" s="167">
        <v>45393.0</v>
      </c>
      <c r="J935" s="66">
        <v>194.45171778410725</v>
      </c>
      <c r="K935" s="1"/>
      <c r="L935" s="1"/>
      <c r="M935" s="1" t="str">
        <f>VLOOKUP(B935,Bounties!A:D,3,FALSE)</f>
        <v>Operations</v>
      </c>
      <c r="N935" s="1" t="str">
        <f>VLOOKUP(B935,Bounties!A:D,4,FALSE)</f>
        <v>RPCs and Nodes</v>
      </c>
      <c r="O935" s="1" t="str">
        <f t="shared" ref="O935:P935" si="939">IF(ISBLANK(K935),M935,K935)</f>
        <v>Operations</v>
      </c>
      <c r="P935" s="1" t="str">
        <f t="shared" si="939"/>
        <v>RPCs and Nodes</v>
      </c>
      <c r="Q935" s="108" t="str">
        <f t="shared" si="3"/>
        <v>2024</v>
      </c>
      <c r="R935" s="110">
        <f t="shared" si="4"/>
        <v>4</v>
      </c>
      <c r="S935" s="108" t="str">
        <f t="shared" si="5"/>
        <v>2024-Q2</v>
      </c>
      <c r="T935" s="111" t="str">
        <f t="shared" si="6"/>
        <v>2024-04</v>
      </c>
      <c r="U935" s="112" t="str">
        <f t="shared" si="7"/>
        <v>2024-H1</v>
      </c>
      <c r="V935" s="1" t="str">
        <f>VLOOKUP(B935,Bounties!A:E,2,FALSE)</f>
        <v>System Parachains Collator Bounty</v>
      </c>
    </row>
    <row r="936" hidden="1">
      <c r="A936" s="109">
        <f>HYPERLINK("https://polkadot.subsquare.io/treasury/child-bounties/934", 934)</f>
        <v>934</v>
      </c>
      <c r="B936" s="183">
        <v>32.0</v>
      </c>
      <c r="C936" s="27" t="s">
        <v>3404</v>
      </c>
      <c r="D936" s="27" t="s">
        <v>1500</v>
      </c>
      <c r="E936" s="129">
        <v>31.0299683697</v>
      </c>
      <c r="F936" s="66">
        <v>260.31149768139767</v>
      </c>
      <c r="G936" s="27" t="s">
        <v>3596</v>
      </c>
      <c r="H936" s="167">
        <v>45384.0</v>
      </c>
      <c r="I936" s="167">
        <v>45393.0</v>
      </c>
      <c r="J936" s="66">
        <v>213.15559350104596</v>
      </c>
      <c r="K936" s="1"/>
      <c r="L936" s="1"/>
      <c r="M936" s="1" t="str">
        <f>VLOOKUP(B936,Bounties!A:D,3,FALSE)</f>
        <v>Operations</v>
      </c>
      <c r="N936" s="1" t="str">
        <f>VLOOKUP(B936,Bounties!A:D,4,FALSE)</f>
        <v>RPCs and Nodes</v>
      </c>
      <c r="O936" s="1" t="str">
        <f t="shared" ref="O936:P936" si="940">IF(ISBLANK(K936),M936,K936)</f>
        <v>Operations</v>
      </c>
      <c r="P936" s="1" t="str">
        <f t="shared" si="940"/>
        <v>RPCs and Nodes</v>
      </c>
      <c r="Q936" s="108" t="str">
        <f t="shared" si="3"/>
        <v>2024</v>
      </c>
      <c r="R936" s="110">
        <f t="shared" si="4"/>
        <v>4</v>
      </c>
      <c r="S936" s="108" t="str">
        <f t="shared" si="5"/>
        <v>2024-Q2</v>
      </c>
      <c r="T936" s="111" t="str">
        <f t="shared" si="6"/>
        <v>2024-04</v>
      </c>
      <c r="U936" s="112" t="str">
        <f t="shared" si="7"/>
        <v>2024-H1</v>
      </c>
      <c r="V936" s="1" t="str">
        <f>VLOOKUP(B936,Bounties!A:E,2,FALSE)</f>
        <v>System Parachains Collator Bounty</v>
      </c>
    </row>
    <row r="937" hidden="1">
      <c r="A937" s="109">
        <f>HYPERLINK("https://polkadot.subsquare.io/treasury/child-bounties/935", 935)</f>
        <v>935</v>
      </c>
      <c r="B937" s="183">
        <v>32.0</v>
      </c>
      <c r="C937" s="27" t="s">
        <v>3404</v>
      </c>
      <c r="D937" s="27" t="s">
        <v>1501</v>
      </c>
      <c r="E937" s="129">
        <v>41.1862546086</v>
      </c>
      <c r="F937" s="66">
        <v>345.51294069384466</v>
      </c>
      <c r="G937" s="27" t="s">
        <v>3588</v>
      </c>
      <c r="H937" s="167">
        <v>45384.0</v>
      </c>
      <c r="I937" s="167">
        <v>45393.0</v>
      </c>
      <c r="J937" s="66">
        <v>282.92263919140436</v>
      </c>
      <c r="K937" s="1"/>
      <c r="L937" s="1"/>
      <c r="M937" s="1" t="str">
        <f>VLOOKUP(B937,Bounties!A:D,3,FALSE)</f>
        <v>Operations</v>
      </c>
      <c r="N937" s="1" t="str">
        <f>VLOOKUP(B937,Bounties!A:D,4,FALSE)</f>
        <v>RPCs and Nodes</v>
      </c>
      <c r="O937" s="1" t="str">
        <f t="shared" ref="O937:P937" si="941">IF(ISBLANK(K937),M937,K937)</f>
        <v>Operations</v>
      </c>
      <c r="P937" s="1" t="str">
        <f t="shared" si="941"/>
        <v>RPCs and Nodes</v>
      </c>
      <c r="Q937" s="108" t="str">
        <f t="shared" si="3"/>
        <v>2024</v>
      </c>
      <c r="R937" s="110">
        <f t="shared" si="4"/>
        <v>4</v>
      </c>
      <c r="S937" s="108" t="str">
        <f t="shared" si="5"/>
        <v>2024-Q2</v>
      </c>
      <c r="T937" s="111" t="str">
        <f t="shared" si="6"/>
        <v>2024-04</v>
      </c>
      <c r="U937" s="112" t="str">
        <f t="shared" si="7"/>
        <v>2024-H1</v>
      </c>
      <c r="V937" s="1" t="str">
        <f>VLOOKUP(B937,Bounties!A:E,2,FALSE)</f>
        <v>System Parachains Collator Bounty</v>
      </c>
    </row>
    <row r="938" hidden="1">
      <c r="A938" s="109">
        <f>HYPERLINK("https://polkadot.subsquare.io/treasury/child-bounties/936", 936)</f>
        <v>936</v>
      </c>
      <c r="B938" s="183">
        <v>32.0</v>
      </c>
      <c r="C938" s="27" t="s">
        <v>3404</v>
      </c>
      <c r="D938" s="27" t="s">
        <v>1502</v>
      </c>
      <c r="E938" s="129">
        <v>7.5266020233</v>
      </c>
      <c r="F938" s="66">
        <v>63.140929497376824</v>
      </c>
      <c r="G938" s="27" t="s">
        <v>3407</v>
      </c>
      <c r="H938" s="167">
        <v>45384.0</v>
      </c>
      <c r="I938" s="167">
        <v>45393.0</v>
      </c>
      <c r="J938" s="66">
        <v>51.70283456973422</v>
      </c>
      <c r="K938" s="1"/>
      <c r="L938" s="1"/>
      <c r="M938" s="1" t="str">
        <f>VLOOKUP(B938,Bounties!A:D,3,FALSE)</f>
        <v>Operations</v>
      </c>
      <c r="N938" s="1" t="str">
        <f>VLOOKUP(B938,Bounties!A:D,4,FALSE)</f>
        <v>RPCs and Nodes</v>
      </c>
      <c r="O938" s="1" t="str">
        <f t="shared" ref="O938:P938" si="942">IF(ISBLANK(K938),M938,K938)</f>
        <v>Operations</v>
      </c>
      <c r="P938" s="1" t="str">
        <f t="shared" si="942"/>
        <v>RPCs and Nodes</v>
      </c>
      <c r="Q938" s="108" t="str">
        <f t="shared" si="3"/>
        <v>2024</v>
      </c>
      <c r="R938" s="110">
        <f t="shared" si="4"/>
        <v>4</v>
      </c>
      <c r="S938" s="108" t="str">
        <f t="shared" si="5"/>
        <v>2024-Q2</v>
      </c>
      <c r="T938" s="111" t="str">
        <f t="shared" si="6"/>
        <v>2024-04</v>
      </c>
      <c r="U938" s="112" t="str">
        <f t="shared" si="7"/>
        <v>2024-H1</v>
      </c>
      <c r="V938" s="1" t="str">
        <f>VLOOKUP(B938,Bounties!A:E,2,FALSE)</f>
        <v>System Parachains Collator Bounty</v>
      </c>
    </row>
    <row r="939" hidden="1">
      <c r="A939" s="109">
        <f>HYPERLINK("https://polkadot.subsquare.io/treasury/child-bounties/937", 937)</f>
        <v>937</v>
      </c>
      <c r="B939" s="183">
        <v>32.0</v>
      </c>
      <c r="C939" s="27" t="s">
        <v>3404</v>
      </c>
      <c r="D939" s="27" t="s">
        <v>1503</v>
      </c>
      <c r="E939" s="129">
        <v>7.5266020233</v>
      </c>
      <c r="F939" s="66">
        <v>63.140929497376824</v>
      </c>
      <c r="G939" s="27" t="s">
        <v>3406</v>
      </c>
      <c r="H939" s="167">
        <v>45384.0</v>
      </c>
      <c r="I939" s="167">
        <v>45393.0</v>
      </c>
      <c r="J939" s="66">
        <v>51.70283456973422</v>
      </c>
      <c r="K939" s="1"/>
      <c r="L939" s="1"/>
      <c r="M939" s="1" t="str">
        <f>VLOOKUP(B939,Bounties!A:D,3,FALSE)</f>
        <v>Operations</v>
      </c>
      <c r="N939" s="1" t="str">
        <f>VLOOKUP(B939,Bounties!A:D,4,FALSE)</f>
        <v>RPCs and Nodes</v>
      </c>
      <c r="O939" s="1" t="str">
        <f t="shared" ref="O939:P939" si="943">IF(ISBLANK(K939),M939,K939)</f>
        <v>Operations</v>
      </c>
      <c r="P939" s="1" t="str">
        <f t="shared" si="943"/>
        <v>RPCs and Nodes</v>
      </c>
      <c r="Q939" s="108" t="str">
        <f t="shared" si="3"/>
        <v>2024</v>
      </c>
      <c r="R939" s="110">
        <f t="shared" si="4"/>
        <v>4</v>
      </c>
      <c r="S939" s="108" t="str">
        <f t="shared" si="5"/>
        <v>2024-Q2</v>
      </c>
      <c r="T939" s="111" t="str">
        <f t="shared" si="6"/>
        <v>2024-04</v>
      </c>
      <c r="U939" s="112" t="str">
        <f t="shared" si="7"/>
        <v>2024-H1</v>
      </c>
      <c r="V939" s="1" t="str">
        <f>VLOOKUP(B939,Bounties!A:E,2,FALSE)</f>
        <v>System Parachains Collator Bounty</v>
      </c>
    </row>
    <row r="940" hidden="1">
      <c r="A940" s="109">
        <f>HYPERLINK("https://polkadot.subsquare.io/treasury/child-bounties/938", 938)</f>
        <v>938</v>
      </c>
      <c r="B940" s="183">
        <v>32.0</v>
      </c>
      <c r="C940" s="27" t="s">
        <v>3404</v>
      </c>
      <c r="D940" s="27" t="s">
        <v>1504</v>
      </c>
      <c r="E940" s="129">
        <v>7.5266020233</v>
      </c>
      <c r="F940" s="66">
        <v>63.140929497376824</v>
      </c>
      <c r="G940" s="27" t="s">
        <v>3411</v>
      </c>
      <c r="H940" s="167">
        <v>45384.0</v>
      </c>
      <c r="I940" s="167">
        <v>45393.0</v>
      </c>
      <c r="J940" s="66">
        <v>48.30556476953304</v>
      </c>
      <c r="K940" s="1"/>
      <c r="L940" s="1"/>
      <c r="M940" s="1" t="str">
        <f>VLOOKUP(B940,Bounties!A:D,3,FALSE)</f>
        <v>Operations</v>
      </c>
      <c r="N940" s="1" t="str">
        <f>VLOOKUP(B940,Bounties!A:D,4,FALSE)</f>
        <v>RPCs and Nodes</v>
      </c>
      <c r="O940" s="1" t="str">
        <f t="shared" ref="O940:P940" si="944">IF(ISBLANK(K940),M940,K940)</f>
        <v>Operations</v>
      </c>
      <c r="P940" s="1" t="str">
        <f t="shared" si="944"/>
        <v>RPCs and Nodes</v>
      </c>
      <c r="Q940" s="108" t="str">
        <f t="shared" si="3"/>
        <v>2024</v>
      </c>
      <c r="R940" s="110">
        <f t="shared" si="4"/>
        <v>4</v>
      </c>
      <c r="S940" s="108" t="str">
        <f t="shared" si="5"/>
        <v>2024-Q2</v>
      </c>
      <c r="T940" s="111" t="str">
        <f t="shared" si="6"/>
        <v>2024-04</v>
      </c>
      <c r="U940" s="112" t="str">
        <f t="shared" si="7"/>
        <v>2024-H1</v>
      </c>
      <c r="V940" s="1" t="str">
        <f>VLOOKUP(B940,Bounties!A:E,2,FALSE)</f>
        <v>System Parachains Collator Bounty</v>
      </c>
    </row>
    <row r="941" hidden="1">
      <c r="A941" s="109">
        <f>HYPERLINK("https://polkadot.subsquare.io/treasury/child-bounties/939", 939)</f>
        <v>939</v>
      </c>
      <c r="B941" s="183">
        <v>32.0</v>
      </c>
      <c r="C941" s="27" t="s">
        <v>3404</v>
      </c>
      <c r="D941" s="27" t="s">
        <v>1249</v>
      </c>
      <c r="E941" s="129">
        <v>2.6399155227</v>
      </c>
      <c r="F941" s="66">
        <v>22.14634431072901</v>
      </c>
      <c r="G941" s="27" t="s">
        <v>3598</v>
      </c>
      <c r="H941" s="167">
        <v>45384.0</v>
      </c>
      <c r="I941" s="167">
        <v>45393.0</v>
      </c>
      <c r="J941" s="66">
        <v>16.942919244715014</v>
      </c>
      <c r="K941" s="1"/>
      <c r="L941" s="1"/>
      <c r="M941" s="1" t="str">
        <f>VLOOKUP(B941,Bounties!A:D,3,FALSE)</f>
        <v>Operations</v>
      </c>
      <c r="N941" s="1" t="str">
        <f>VLOOKUP(B941,Bounties!A:D,4,FALSE)</f>
        <v>RPCs and Nodes</v>
      </c>
      <c r="O941" s="1" t="str">
        <f t="shared" ref="O941:P941" si="945">IF(ISBLANK(K941),M941,K941)</f>
        <v>Operations</v>
      </c>
      <c r="P941" s="1" t="str">
        <f t="shared" si="945"/>
        <v>RPCs and Nodes</v>
      </c>
      <c r="Q941" s="108" t="str">
        <f t="shared" si="3"/>
        <v>2024</v>
      </c>
      <c r="R941" s="110">
        <f t="shared" si="4"/>
        <v>4</v>
      </c>
      <c r="S941" s="108" t="str">
        <f t="shared" si="5"/>
        <v>2024-Q2</v>
      </c>
      <c r="T941" s="111" t="str">
        <f t="shared" si="6"/>
        <v>2024-04</v>
      </c>
      <c r="U941" s="112" t="str">
        <f t="shared" si="7"/>
        <v>2024-H1</v>
      </c>
      <c r="V941" s="1" t="str">
        <f>VLOOKUP(B941,Bounties!A:E,2,FALSE)</f>
        <v>System Parachains Collator Bounty</v>
      </c>
    </row>
    <row r="942" hidden="1">
      <c r="A942" s="109">
        <f>HYPERLINK("https://polkadot.subsquare.io/treasury/child-bounties/940", 940)</f>
        <v>940</v>
      </c>
      <c r="B942" s="183">
        <v>32.0</v>
      </c>
      <c r="C942" s="27" t="s">
        <v>3404</v>
      </c>
      <c r="D942" s="27" t="s">
        <v>1489</v>
      </c>
      <c r="E942" s="129">
        <v>2.5343189018</v>
      </c>
      <c r="F942" s="66">
        <v>21.26049053836696</v>
      </c>
      <c r="G942" s="27" t="s">
        <v>3598</v>
      </c>
      <c r="H942" s="167">
        <v>45384.0</v>
      </c>
      <c r="I942" s="167">
        <v>45393.0</v>
      </c>
      <c r="J942" s="66">
        <v>16.265202474977755</v>
      </c>
      <c r="K942" s="1"/>
      <c r="L942" s="1"/>
      <c r="M942" s="1" t="str">
        <f>VLOOKUP(B942,Bounties!A:D,3,FALSE)</f>
        <v>Operations</v>
      </c>
      <c r="N942" s="1" t="str">
        <f>VLOOKUP(B942,Bounties!A:D,4,FALSE)</f>
        <v>RPCs and Nodes</v>
      </c>
      <c r="O942" s="1" t="str">
        <f t="shared" ref="O942:P942" si="946">IF(ISBLANK(K942),M942,K942)</f>
        <v>Operations</v>
      </c>
      <c r="P942" s="1" t="str">
        <f t="shared" si="946"/>
        <v>RPCs and Nodes</v>
      </c>
      <c r="Q942" s="108" t="str">
        <f t="shared" si="3"/>
        <v>2024</v>
      </c>
      <c r="R942" s="110">
        <f t="shared" si="4"/>
        <v>4</v>
      </c>
      <c r="S942" s="108" t="str">
        <f t="shared" si="5"/>
        <v>2024-Q2</v>
      </c>
      <c r="T942" s="111" t="str">
        <f t="shared" si="6"/>
        <v>2024-04</v>
      </c>
      <c r="U942" s="112" t="str">
        <f t="shared" si="7"/>
        <v>2024-H1</v>
      </c>
      <c r="V942" s="1" t="str">
        <f>VLOOKUP(B942,Bounties!A:E,2,FALSE)</f>
        <v>System Parachains Collator Bounty</v>
      </c>
    </row>
    <row r="943" hidden="1">
      <c r="A943" s="109">
        <f>HYPERLINK("https://polkadot.subsquare.io/treasury/child-bounties/941", 941)</f>
        <v>941</v>
      </c>
      <c r="B943" s="183">
        <v>32.0</v>
      </c>
      <c r="C943" s="27" t="s">
        <v>3404</v>
      </c>
      <c r="D943" s="27" t="s">
        <v>1505</v>
      </c>
      <c r="E943" s="129">
        <v>27.0290015761</v>
      </c>
      <c r="F943" s="66">
        <v>226.74724631617383</v>
      </c>
      <c r="G943" s="27" t="s">
        <v>3604</v>
      </c>
      <c r="H943" s="167">
        <v>45384.0</v>
      </c>
      <c r="I943" s="167">
        <v>45393.0</v>
      </c>
      <c r="J943" s="66">
        <v>185.6715676938991</v>
      </c>
      <c r="K943" s="1"/>
      <c r="L943" s="1"/>
      <c r="M943" s="1" t="str">
        <f>VLOOKUP(B943,Bounties!A:D,3,FALSE)</f>
        <v>Operations</v>
      </c>
      <c r="N943" s="1" t="str">
        <f>VLOOKUP(B943,Bounties!A:D,4,FALSE)</f>
        <v>RPCs and Nodes</v>
      </c>
      <c r="O943" s="1" t="str">
        <f t="shared" ref="O943:P943" si="947">IF(ISBLANK(K943),M943,K943)</f>
        <v>Operations</v>
      </c>
      <c r="P943" s="1" t="str">
        <f t="shared" si="947"/>
        <v>RPCs and Nodes</v>
      </c>
      <c r="Q943" s="108" t="str">
        <f t="shared" si="3"/>
        <v>2024</v>
      </c>
      <c r="R943" s="110">
        <f t="shared" si="4"/>
        <v>4</v>
      </c>
      <c r="S943" s="108" t="str">
        <f t="shared" si="5"/>
        <v>2024-Q2</v>
      </c>
      <c r="T943" s="111" t="str">
        <f t="shared" si="6"/>
        <v>2024-04</v>
      </c>
      <c r="U943" s="112" t="str">
        <f t="shared" si="7"/>
        <v>2024-H1</v>
      </c>
      <c r="V943" s="1" t="str">
        <f>VLOOKUP(B943,Bounties!A:E,2,FALSE)</f>
        <v>System Parachains Collator Bounty</v>
      </c>
    </row>
    <row r="944" hidden="1">
      <c r="A944" s="109">
        <f>HYPERLINK("https://polkadot.subsquare.io/treasury/child-bounties/942", 942)</f>
        <v>942</v>
      </c>
      <c r="B944" s="183">
        <v>32.0</v>
      </c>
      <c r="C944" s="27" t="s">
        <v>3404</v>
      </c>
      <c r="D944" s="27" t="s">
        <v>1506</v>
      </c>
      <c r="E944" s="129">
        <v>30.5686286311</v>
      </c>
      <c r="F944" s="66">
        <v>256.44130236362935</v>
      </c>
      <c r="G944" s="27" t="s">
        <v>3590</v>
      </c>
      <c r="H944" s="167">
        <v>45384.0</v>
      </c>
      <c r="I944" s="167">
        <v>45393.0</v>
      </c>
      <c r="J944" s="66">
        <v>209.98649114762802</v>
      </c>
      <c r="K944" s="1"/>
      <c r="L944" s="1"/>
      <c r="M944" s="1" t="str">
        <f>VLOOKUP(B944,Bounties!A:D,3,FALSE)</f>
        <v>Operations</v>
      </c>
      <c r="N944" s="1" t="str">
        <f>VLOOKUP(B944,Bounties!A:D,4,FALSE)</f>
        <v>RPCs and Nodes</v>
      </c>
      <c r="O944" s="1" t="str">
        <f t="shared" ref="O944:P944" si="948">IF(ISBLANK(K944),M944,K944)</f>
        <v>Operations</v>
      </c>
      <c r="P944" s="1" t="str">
        <f t="shared" si="948"/>
        <v>RPCs and Nodes</v>
      </c>
      <c r="Q944" s="108" t="str">
        <f t="shared" si="3"/>
        <v>2024</v>
      </c>
      <c r="R944" s="110">
        <f t="shared" si="4"/>
        <v>4</v>
      </c>
      <c r="S944" s="108" t="str">
        <f t="shared" si="5"/>
        <v>2024-Q2</v>
      </c>
      <c r="T944" s="111" t="str">
        <f t="shared" si="6"/>
        <v>2024-04</v>
      </c>
      <c r="U944" s="112" t="str">
        <f t="shared" si="7"/>
        <v>2024-H1</v>
      </c>
      <c r="V944" s="1" t="str">
        <f>VLOOKUP(B944,Bounties!A:E,2,FALSE)</f>
        <v>System Parachains Collator Bounty</v>
      </c>
    </row>
    <row r="945" hidden="1">
      <c r="A945" s="109">
        <f>HYPERLINK("https://polkadot.subsquare.io/treasury/child-bounties/943", 943)</f>
        <v>943</v>
      </c>
      <c r="B945" s="183">
        <v>32.0</v>
      </c>
      <c r="C945" s="27" t="s">
        <v>3404</v>
      </c>
      <c r="D945" s="27" t="s">
        <v>1507</v>
      </c>
      <c r="E945" s="129">
        <v>29.0681975226</v>
      </c>
      <c r="F945" s="66">
        <v>243.85413294186526</v>
      </c>
      <c r="G945" s="27" t="s">
        <v>3605</v>
      </c>
      <c r="H945" s="167">
        <v>45384.0</v>
      </c>
      <c r="I945" s="167">
        <v>45393.0</v>
      </c>
      <c r="J945" s="66">
        <v>199.67951050139402</v>
      </c>
      <c r="K945" s="1"/>
      <c r="L945" s="1"/>
      <c r="M945" s="1" t="str">
        <f>VLOOKUP(B945,Bounties!A:D,3,FALSE)</f>
        <v>Operations</v>
      </c>
      <c r="N945" s="1" t="str">
        <f>VLOOKUP(B945,Bounties!A:D,4,FALSE)</f>
        <v>RPCs and Nodes</v>
      </c>
      <c r="O945" s="1" t="str">
        <f t="shared" ref="O945:P945" si="949">IF(ISBLANK(K945),M945,K945)</f>
        <v>Operations</v>
      </c>
      <c r="P945" s="1" t="str">
        <f t="shared" si="949"/>
        <v>RPCs and Nodes</v>
      </c>
      <c r="Q945" s="108" t="str">
        <f t="shared" si="3"/>
        <v>2024</v>
      </c>
      <c r="R945" s="110">
        <f t="shared" si="4"/>
        <v>4</v>
      </c>
      <c r="S945" s="108" t="str">
        <f t="shared" si="5"/>
        <v>2024-Q2</v>
      </c>
      <c r="T945" s="111" t="str">
        <f t="shared" si="6"/>
        <v>2024-04</v>
      </c>
      <c r="U945" s="112" t="str">
        <f t="shared" si="7"/>
        <v>2024-H1</v>
      </c>
      <c r="V945" s="1" t="str">
        <f>VLOOKUP(B945,Bounties!A:E,2,FALSE)</f>
        <v>System Parachains Collator Bounty</v>
      </c>
    </row>
    <row r="946" hidden="1">
      <c r="A946" s="109">
        <f>HYPERLINK("https://polkadot.subsquare.io/treasury/child-bounties/944", 944)</f>
        <v>944</v>
      </c>
      <c r="B946" s="183">
        <v>32.0</v>
      </c>
      <c r="C946" s="27" t="s">
        <v>3404</v>
      </c>
      <c r="D946" s="27" t="s">
        <v>1508</v>
      </c>
      <c r="E946" s="129">
        <v>40.7588776367</v>
      </c>
      <c r="F946" s="66">
        <v>341.9276602222582</v>
      </c>
      <c r="G946" s="27" t="s">
        <v>3589</v>
      </c>
      <c r="H946" s="167">
        <v>45384.0</v>
      </c>
      <c r="I946" s="167">
        <v>45393.0</v>
      </c>
      <c r="J946" s="66">
        <v>279.98683883838237</v>
      </c>
      <c r="K946" s="1"/>
      <c r="L946" s="1"/>
      <c r="M946" s="1" t="str">
        <f>VLOOKUP(B946,Bounties!A:D,3,FALSE)</f>
        <v>Operations</v>
      </c>
      <c r="N946" s="1" t="str">
        <f>VLOOKUP(B946,Bounties!A:D,4,FALSE)</f>
        <v>RPCs and Nodes</v>
      </c>
      <c r="O946" s="1" t="str">
        <f t="shared" ref="O946:P946" si="950">IF(ISBLANK(K946),M946,K946)</f>
        <v>Operations</v>
      </c>
      <c r="P946" s="1" t="str">
        <f t="shared" si="950"/>
        <v>RPCs and Nodes</v>
      </c>
      <c r="Q946" s="108" t="str">
        <f t="shared" si="3"/>
        <v>2024</v>
      </c>
      <c r="R946" s="110">
        <f t="shared" si="4"/>
        <v>4</v>
      </c>
      <c r="S946" s="108" t="str">
        <f t="shared" si="5"/>
        <v>2024-Q2</v>
      </c>
      <c r="T946" s="111" t="str">
        <f t="shared" si="6"/>
        <v>2024-04</v>
      </c>
      <c r="U946" s="112" t="str">
        <f t="shared" si="7"/>
        <v>2024-H1</v>
      </c>
      <c r="V946" s="1" t="str">
        <f>VLOOKUP(B946,Bounties!A:E,2,FALSE)</f>
        <v>System Parachains Collator Bounty</v>
      </c>
    </row>
    <row r="947" hidden="1">
      <c r="A947" s="109">
        <f>HYPERLINK("https://polkadot.subsquare.io/treasury/child-bounties/945", 945)</f>
        <v>945</v>
      </c>
      <c r="B947" s="183">
        <v>32.0</v>
      </c>
      <c r="C947" s="27" t="s">
        <v>3404</v>
      </c>
      <c r="D947" s="27" t="s">
        <v>1509</v>
      </c>
      <c r="E947" s="129">
        <v>46.409104585</v>
      </c>
      <c r="F947" s="66">
        <v>389.3276131203084</v>
      </c>
      <c r="G947" s="27" t="s">
        <v>3596</v>
      </c>
      <c r="H947" s="167">
        <v>45384.0</v>
      </c>
      <c r="I947" s="167">
        <v>45393.0</v>
      </c>
      <c r="J947" s="66">
        <v>318.8002035260672</v>
      </c>
      <c r="K947" s="1"/>
      <c r="L947" s="1"/>
      <c r="M947" s="1" t="str">
        <f>VLOOKUP(B947,Bounties!A:D,3,FALSE)</f>
        <v>Operations</v>
      </c>
      <c r="N947" s="1" t="str">
        <f>VLOOKUP(B947,Bounties!A:D,4,FALSE)</f>
        <v>RPCs and Nodes</v>
      </c>
      <c r="O947" s="1" t="str">
        <f t="shared" ref="O947:P947" si="951">IF(ISBLANK(K947),M947,K947)</f>
        <v>Operations</v>
      </c>
      <c r="P947" s="1" t="str">
        <f t="shared" si="951"/>
        <v>RPCs and Nodes</v>
      </c>
      <c r="Q947" s="108" t="str">
        <f t="shared" si="3"/>
        <v>2024</v>
      </c>
      <c r="R947" s="110">
        <f t="shared" si="4"/>
        <v>4</v>
      </c>
      <c r="S947" s="108" t="str">
        <f t="shared" si="5"/>
        <v>2024-Q2</v>
      </c>
      <c r="T947" s="111" t="str">
        <f t="shared" si="6"/>
        <v>2024-04</v>
      </c>
      <c r="U947" s="112" t="str">
        <f t="shared" si="7"/>
        <v>2024-H1</v>
      </c>
      <c r="V947" s="1" t="str">
        <f>VLOOKUP(B947,Bounties!A:E,2,FALSE)</f>
        <v>System Parachains Collator Bounty</v>
      </c>
    </row>
    <row r="948" hidden="1">
      <c r="A948" s="109">
        <f>HYPERLINK("https://polkadot.subsquare.io/treasury/child-bounties/946", 946)</f>
        <v>946</v>
      </c>
      <c r="B948" s="183">
        <v>32.0</v>
      </c>
      <c r="C948" s="27" t="s">
        <v>3404</v>
      </c>
      <c r="D948" s="27" t="s">
        <v>1510</v>
      </c>
      <c r="E948" s="129">
        <v>40.6987992742</v>
      </c>
      <c r="F948" s="66">
        <v>341.4236607229905</v>
      </c>
      <c r="G948" s="27" t="s">
        <v>3606</v>
      </c>
      <c r="H948" s="167">
        <v>45384.0</v>
      </c>
      <c r="I948" s="167">
        <v>45393.0</v>
      </c>
      <c r="J948" s="66">
        <v>279.57413977073645</v>
      </c>
      <c r="K948" s="1"/>
      <c r="L948" s="1"/>
      <c r="M948" s="1" t="str">
        <f>VLOOKUP(B948,Bounties!A:D,3,FALSE)</f>
        <v>Operations</v>
      </c>
      <c r="N948" s="1" t="str">
        <f>VLOOKUP(B948,Bounties!A:D,4,FALSE)</f>
        <v>RPCs and Nodes</v>
      </c>
      <c r="O948" s="1" t="str">
        <f t="shared" ref="O948:P948" si="952">IF(ISBLANK(K948),M948,K948)</f>
        <v>Operations</v>
      </c>
      <c r="P948" s="1" t="str">
        <f t="shared" si="952"/>
        <v>RPCs and Nodes</v>
      </c>
      <c r="Q948" s="108" t="str">
        <f t="shared" si="3"/>
        <v>2024</v>
      </c>
      <c r="R948" s="110">
        <f t="shared" si="4"/>
        <v>4</v>
      </c>
      <c r="S948" s="108" t="str">
        <f t="shared" si="5"/>
        <v>2024-Q2</v>
      </c>
      <c r="T948" s="111" t="str">
        <f t="shared" si="6"/>
        <v>2024-04</v>
      </c>
      <c r="U948" s="112" t="str">
        <f t="shared" si="7"/>
        <v>2024-H1</v>
      </c>
      <c r="V948" s="1" t="str">
        <f>VLOOKUP(B948,Bounties!A:E,2,FALSE)</f>
        <v>System Parachains Collator Bounty</v>
      </c>
    </row>
    <row r="949" hidden="1">
      <c r="A949" s="109">
        <f>HYPERLINK("https://polkadot.subsquare.io/treasury/child-bounties/947", 947)</f>
        <v>947</v>
      </c>
      <c r="B949" s="183">
        <v>32.0</v>
      </c>
      <c r="C949" s="27" t="s">
        <v>3404</v>
      </c>
      <c r="D949" s="27" t="s">
        <v>1511</v>
      </c>
      <c r="E949" s="129">
        <v>42.4525152839</v>
      </c>
      <c r="F949" s="66">
        <v>356.13564610286045</v>
      </c>
      <c r="G949" s="27" t="s">
        <v>3607</v>
      </c>
      <c r="H949" s="167">
        <v>45384.0</v>
      </c>
      <c r="I949" s="167">
        <v>45393.0</v>
      </c>
      <c r="J949" s="66">
        <v>291.62102207580864</v>
      </c>
      <c r="K949" s="1"/>
      <c r="L949" s="1"/>
      <c r="M949" s="1" t="str">
        <f>VLOOKUP(B949,Bounties!A:D,3,FALSE)</f>
        <v>Operations</v>
      </c>
      <c r="N949" s="1" t="str">
        <f>VLOOKUP(B949,Bounties!A:D,4,FALSE)</f>
        <v>RPCs and Nodes</v>
      </c>
      <c r="O949" s="1" t="str">
        <f t="shared" ref="O949:P949" si="953">IF(ISBLANK(K949),M949,K949)</f>
        <v>Operations</v>
      </c>
      <c r="P949" s="1" t="str">
        <f t="shared" si="953"/>
        <v>RPCs and Nodes</v>
      </c>
      <c r="Q949" s="108" t="str">
        <f t="shared" si="3"/>
        <v>2024</v>
      </c>
      <c r="R949" s="110">
        <f t="shared" si="4"/>
        <v>4</v>
      </c>
      <c r="S949" s="108" t="str">
        <f t="shared" si="5"/>
        <v>2024-Q2</v>
      </c>
      <c r="T949" s="111" t="str">
        <f t="shared" si="6"/>
        <v>2024-04</v>
      </c>
      <c r="U949" s="112" t="str">
        <f t="shared" si="7"/>
        <v>2024-H1</v>
      </c>
      <c r="V949" s="1" t="str">
        <f>VLOOKUP(B949,Bounties!A:E,2,FALSE)</f>
        <v>System Parachains Collator Bounty</v>
      </c>
    </row>
    <row r="950" hidden="1">
      <c r="A950" s="109">
        <f>HYPERLINK("https://polkadot.subsquare.io/treasury/child-bounties/948", 948)</f>
        <v>948</v>
      </c>
      <c r="B950" s="183">
        <v>32.0</v>
      </c>
      <c r="C950" s="27" t="s">
        <v>3404</v>
      </c>
      <c r="D950" s="27" t="s">
        <v>1512</v>
      </c>
      <c r="E950" s="129">
        <v>46.9326446009</v>
      </c>
      <c r="F950" s="66">
        <v>393.7196087553458</v>
      </c>
      <c r="G950" s="27" t="s">
        <v>3608</v>
      </c>
      <c r="H950" s="167">
        <v>45384.0</v>
      </c>
      <c r="I950" s="167">
        <v>45393.0</v>
      </c>
      <c r="J950" s="66">
        <v>322.3965811143757</v>
      </c>
      <c r="K950" s="1"/>
      <c r="L950" s="1"/>
      <c r="M950" s="1" t="str">
        <f>VLOOKUP(B950,Bounties!A:D,3,FALSE)</f>
        <v>Operations</v>
      </c>
      <c r="N950" s="1" t="str">
        <f>VLOOKUP(B950,Bounties!A:D,4,FALSE)</f>
        <v>RPCs and Nodes</v>
      </c>
      <c r="O950" s="1" t="str">
        <f t="shared" ref="O950:P950" si="954">IF(ISBLANK(K950),M950,K950)</f>
        <v>Operations</v>
      </c>
      <c r="P950" s="1" t="str">
        <f t="shared" si="954"/>
        <v>RPCs and Nodes</v>
      </c>
      <c r="Q950" s="108" t="str">
        <f t="shared" si="3"/>
        <v>2024</v>
      </c>
      <c r="R950" s="110">
        <f t="shared" si="4"/>
        <v>4</v>
      </c>
      <c r="S950" s="108" t="str">
        <f t="shared" si="5"/>
        <v>2024-Q2</v>
      </c>
      <c r="T950" s="111" t="str">
        <f t="shared" si="6"/>
        <v>2024-04</v>
      </c>
      <c r="U950" s="112" t="str">
        <f t="shared" si="7"/>
        <v>2024-H1</v>
      </c>
      <c r="V950" s="1" t="str">
        <f>VLOOKUP(B950,Bounties!A:E,2,FALSE)</f>
        <v>System Parachains Collator Bounty</v>
      </c>
    </row>
    <row r="951" hidden="1">
      <c r="A951" s="109">
        <f>HYPERLINK("https://polkadot.subsquare.io/treasury/child-bounties/949", 949)</f>
        <v>949</v>
      </c>
      <c r="B951" s="183">
        <v>32.0</v>
      </c>
      <c r="C951" s="27" t="s">
        <v>3404</v>
      </c>
      <c r="D951" s="27" t="s">
        <v>1513</v>
      </c>
      <c r="E951" s="129">
        <v>40.7016601486</v>
      </c>
      <c r="F951" s="66">
        <v>341.4476606991062</v>
      </c>
      <c r="G951" s="27" t="s">
        <v>3594</v>
      </c>
      <c r="H951" s="167">
        <v>45384.0</v>
      </c>
      <c r="I951" s="167">
        <v>45393.0</v>
      </c>
      <c r="J951" s="66">
        <v>279.5937921072583</v>
      </c>
      <c r="K951" s="1"/>
      <c r="L951" s="1"/>
      <c r="M951" s="1" t="str">
        <f>VLOOKUP(B951,Bounties!A:D,3,FALSE)</f>
        <v>Operations</v>
      </c>
      <c r="N951" s="1" t="str">
        <f>VLOOKUP(B951,Bounties!A:D,4,FALSE)</f>
        <v>RPCs and Nodes</v>
      </c>
      <c r="O951" s="1" t="str">
        <f t="shared" ref="O951:P951" si="955">IF(ISBLANK(K951),M951,K951)</f>
        <v>Operations</v>
      </c>
      <c r="P951" s="1" t="str">
        <f t="shared" si="955"/>
        <v>RPCs and Nodes</v>
      </c>
      <c r="Q951" s="108" t="str">
        <f t="shared" si="3"/>
        <v>2024</v>
      </c>
      <c r="R951" s="110">
        <f t="shared" si="4"/>
        <v>4</v>
      </c>
      <c r="S951" s="108" t="str">
        <f t="shared" si="5"/>
        <v>2024-Q2</v>
      </c>
      <c r="T951" s="111" t="str">
        <f t="shared" si="6"/>
        <v>2024-04</v>
      </c>
      <c r="U951" s="112" t="str">
        <f t="shared" si="7"/>
        <v>2024-H1</v>
      </c>
      <c r="V951" s="1" t="str">
        <f>VLOOKUP(B951,Bounties!A:E,2,FALSE)</f>
        <v>System Parachains Collator Bounty</v>
      </c>
    </row>
    <row r="952" hidden="1">
      <c r="A952" s="109">
        <f>HYPERLINK("https://polkadot.subsquare.io/treasury/child-bounties/950", 950)</f>
        <v>950</v>
      </c>
      <c r="B952" s="183">
        <v>32.0</v>
      </c>
      <c r="C952" s="27" t="s">
        <v>3404</v>
      </c>
      <c r="D952" s="27" t="s">
        <v>1514</v>
      </c>
      <c r="E952" s="129">
        <v>27.9057013486</v>
      </c>
      <c r="F952" s="66">
        <v>234.1019115893509</v>
      </c>
      <c r="G952" s="27" t="s">
        <v>3603</v>
      </c>
      <c r="H952" s="167">
        <v>45384.0</v>
      </c>
      <c r="I952" s="167">
        <v>45393.0</v>
      </c>
      <c r="J952" s="66">
        <v>179.0981720251789</v>
      </c>
      <c r="K952" s="1"/>
      <c r="L952" s="1"/>
      <c r="M952" s="1" t="str">
        <f>VLOOKUP(B952,Bounties!A:D,3,FALSE)</f>
        <v>Operations</v>
      </c>
      <c r="N952" s="1" t="str">
        <f>VLOOKUP(B952,Bounties!A:D,4,FALSE)</f>
        <v>RPCs and Nodes</v>
      </c>
      <c r="O952" s="1" t="str">
        <f t="shared" ref="O952:P952" si="956">IF(ISBLANK(K952),M952,K952)</f>
        <v>Operations</v>
      </c>
      <c r="P952" s="1" t="str">
        <f t="shared" si="956"/>
        <v>RPCs and Nodes</v>
      </c>
      <c r="Q952" s="108" t="str">
        <f t="shared" si="3"/>
        <v>2024</v>
      </c>
      <c r="R952" s="110">
        <f t="shared" si="4"/>
        <v>4</v>
      </c>
      <c r="S952" s="108" t="str">
        <f t="shared" si="5"/>
        <v>2024-Q2</v>
      </c>
      <c r="T952" s="111" t="str">
        <f t="shared" si="6"/>
        <v>2024-04</v>
      </c>
      <c r="U952" s="112" t="str">
        <f t="shared" si="7"/>
        <v>2024-H1</v>
      </c>
      <c r="V952" s="1" t="str">
        <f>VLOOKUP(B952,Bounties!A:E,2,FALSE)</f>
        <v>System Parachains Collator Bounty</v>
      </c>
    </row>
    <row r="953" hidden="1">
      <c r="A953" s="109">
        <f>HYPERLINK("https://polkadot.subsquare.io/treasury/child-bounties/951", 951)</f>
        <v>951</v>
      </c>
      <c r="B953" s="183">
        <v>32.0</v>
      </c>
      <c r="C953" s="27" t="s">
        <v>3404</v>
      </c>
      <c r="D953" s="27" t="s">
        <v>1515</v>
      </c>
      <c r="E953" s="129">
        <v>31.6616067615</v>
      </c>
      <c r="F953" s="66">
        <v>265.6103343996162</v>
      </c>
      <c r="G953" s="27" t="s">
        <v>3591</v>
      </c>
      <c r="H953" s="167">
        <v>45384.0</v>
      </c>
      <c r="I953" s="167">
        <v>45393.0</v>
      </c>
      <c r="J953" s="66">
        <v>217.49453625077962</v>
      </c>
      <c r="K953" s="1"/>
      <c r="L953" s="1"/>
      <c r="M953" s="1" t="str">
        <f>VLOOKUP(B953,Bounties!A:D,3,FALSE)</f>
        <v>Operations</v>
      </c>
      <c r="N953" s="1" t="str">
        <f>VLOOKUP(B953,Bounties!A:D,4,FALSE)</f>
        <v>RPCs and Nodes</v>
      </c>
      <c r="O953" s="1" t="str">
        <f t="shared" ref="O953:P953" si="957">IF(ISBLANK(K953),M953,K953)</f>
        <v>Operations</v>
      </c>
      <c r="P953" s="1" t="str">
        <f t="shared" si="957"/>
        <v>RPCs and Nodes</v>
      </c>
      <c r="Q953" s="108" t="str">
        <f t="shared" si="3"/>
        <v>2024</v>
      </c>
      <c r="R953" s="110">
        <f t="shared" si="4"/>
        <v>4</v>
      </c>
      <c r="S953" s="108" t="str">
        <f t="shared" si="5"/>
        <v>2024-Q2</v>
      </c>
      <c r="T953" s="111" t="str">
        <f t="shared" si="6"/>
        <v>2024-04</v>
      </c>
      <c r="U953" s="112" t="str">
        <f t="shared" si="7"/>
        <v>2024-H1</v>
      </c>
      <c r="V953" s="1" t="str">
        <f>VLOOKUP(B953,Bounties!A:E,2,FALSE)</f>
        <v>System Parachains Collator Bounty</v>
      </c>
    </row>
    <row r="954" hidden="1">
      <c r="A954" s="109">
        <f>HYPERLINK("https://polkadot.subsquare.io/treasury/child-bounties/952", 952)</f>
        <v>952</v>
      </c>
      <c r="B954" s="183">
        <v>32.0</v>
      </c>
      <c r="C954" s="27" t="s">
        <v>3404</v>
      </c>
      <c r="D954" s="27" t="s">
        <v>1516</v>
      </c>
      <c r="E954" s="129">
        <v>43.8915351093</v>
      </c>
      <c r="F954" s="66">
        <v>368.20763410749146</v>
      </c>
      <c r="G954" s="27" t="s">
        <v>3587</v>
      </c>
      <c r="H954" s="167">
        <v>45384.0</v>
      </c>
      <c r="I954" s="167">
        <v>45393.0</v>
      </c>
      <c r="J954" s="66">
        <v>281.6948983741978</v>
      </c>
      <c r="K954" s="1"/>
      <c r="L954" s="1"/>
      <c r="M954" s="1" t="str">
        <f>VLOOKUP(B954,Bounties!A:D,3,FALSE)</f>
        <v>Operations</v>
      </c>
      <c r="N954" s="1" t="str">
        <f>VLOOKUP(B954,Bounties!A:D,4,FALSE)</f>
        <v>RPCs and Nodes</v>
      </c>
      <c r="O954" s="1" t="str">
        <f t="shared" ref="O954:P954" si="958">IF(ISBLANK(K954),M954,K954)</f>
        <v>Operations</v>
      </c>
      <c r="P954" s="1" t="str">
        <f t="shared" si="958"/>
        <v>RPCs and Nodes</v>
      </c>
      <c r="Q954" s="108" t="str">
        <f t="shared" si="3"/>
        <v>2024</v>
      </c>
      <c r="R954" s="110">
        <f t="shared" si="4"/>
        <v>4</v>
      </c>
      <c r="S954" s="108" t="str">
        <f t="shared" si="5"/>
        <v>2024-Q2</v>
      </c>
      <c r="T954" s="111" t="str">
        <f t="shared" si="6"/>
        <v>2024-04</v>
      </c>
      <c r="U954" s="112" t="str">
        <f t="shared" si="7"/>
        <v>2024-H1</v>
      </c>
      <c r="V954" s="1" t="str">
        <f>VLOOKUP(B954,Bounties!A:E,2,FALSE)</f>
        <v>System Parachains Collator Bounty</v>
      </c>
    </row>
    <row r="955" hidden="1">
      <c r="A955" s="109">
        <f>HYPERLINK("https://polkadot.subsquare.io/treasury/child-bounties/953", 953)</f>
        <v>953</v>
      </c>
      <c r="B955" s="183">
        <v>32.0</v>
      </c>
      <c r="C955" s="27" t="s">
        <v>3404</v>
      </c>
      <c r="D955" s="27" t="s">
        <v>1517</v>
      </c>
      <c r="E955" s="129">
        <v>7.5542084484</v>
      </c>
      <c r="F955" s="66">
        <v>63.37252076997469</v>
      </c>
      <c r="G955" s="27" t="s">
        <v>3407</v>
      </c>
      <c r="H955" s="167">
        <v>45384.0</v>
      </c>
      <c r="I955" s="167">
        <v>45393.0</v>
      </c>
      <c r="J955" s="66">
        <v>51.89247265948422</v>
      </c>
      <c r="K955" s="1"/>
      <c r="L955" s="1"/>
      <c r="M955" s="1" t="str">
        <f>VLOOKUP(B955,Bounties!A:D,3,FALSE)</f>
        <v>Operations</v>
      </c>
      <c r="N955" s="1" t="str">
        <f>VLOOKUP(B955,Bounties!A:D,4,FALSE)</f>
        <v>RPCs and Nodes</v>
      </c>
      <c r="O955" s="1" t="str">
        <f t="shared" ref="O955:P955" si="959">IF(ISBLANK(K955),M955,K955)</f>
        <v>Operations</v>
      </c>
      <c r="P955" s="1" t="str">
        <f t="shared" si="959"/>
        <v>RPCs and Nodes</v>
      </c>
      <c r="Q955" s="108" t="str">
        <f t="shared" si="3"/>
        <v>2024</v>
      </c>
      <c r="R955" s="110">
        <f t="shared" si="4"/>
        <v>4</v>
      </c>
      <c r="S955" s="108" t="str">
        <f t="shared" si="5"/>
        <v>2024-Q2</v>
      </c>
      <c r="T955" s="111" t="str">
        <f t="shared" si="6"/>
        <v>2024-04</v>
      </c>
      <c r="U955" s="112" t="str">
        <f t="shared" si="7"/>
        <v>2024-H1</v>
      </c>
      <c r="V955" s="1" t="str">
        <f>VLOOKUP(B955,Bounties!A:E,2,FALSE)</f>
        <v>System Parachains Collator Bounty</v>
      </c>
    </row>
    <row r="956" hidden="1">
      <c r="A956" s="109">
        <f>HYPERLINK("https://polkadot.subsquare.io/treasury/child-bounties/954", 954)</f>
        <v>954</v>
      </c>
      <c r="B956" s="183">
        <v>32.0</v>
      </c>
      <c r="C956" s="27" t="s">
        <v>3404</v>
      </c>
      <c r="D956" s="27" t="s">
        <v>1518</v>
      </c>
      <c r="E956" s="129">
        <v>7.5542084484</v>
      </c>
      <c r="F956" s="66">
        <v>63.37252076997469</v>
      </c>
      <c r="G956" s="27" t="s">
        <v>3406</v>
      </c>
      <c r="H956" s="167">
        <v>45384.0</v>
      </c>
      <c r="I956" s="167">
        <v>45393.0</v>
      </c>
      <c r="J956" s="66">
        <v>51.89247265948422</v>
      </c>
      <c r="K956" s="1"/>
      <c r="L956" s="1"/>
      <c r="M956" s="1" t="str">
        <f>VLOOKUP(B956,Bounties!A:D,3,FALSE)</f>
        <v>Operations</v>
      </c>
      <c r="N956" s="1" t="str">
        <f>VLOOKUP(B956,Bounties!A:D,4,FALSE)</f>
        <v>RPCs and Nodes</v>
      </c>
      <c r="O956" s="1" t="str">
        <f t="shared" ref="O956:P956" si="960">IF(ISBLANK(K956),M956,K956)</f>
        <v>Operations</v>
      </c>
      <c r="P956" s="1" t="str">
        <f t="shared" si="960"/>
        <v>RPCs and Nodes</v>
      </c>
      <c r="Q956" s="108" t="str">
        <f t="shared" si="3"/>
        <v>2024</v>
      </c>
      <c r="R956" s="110">
        <f t="shared" si="4"/>
        <v>4</v>
      </c>
      <c r="S956" s="108" t="str">
        <f t="shared" si="5"/>
        <v>2024-Q2</v>
      </c>
      <c r="T956" s="111" t="str">
        <f t="shared" si="6"/>
        <v>2024-04</v>
      </c>
      <c r="U956" s="112" t="str">
        <f t="shared" si="7"/>
        <v>2024-H1</v>
      </c>
      <c r="V956" s="1" t="str">
        <f>VLOOKUP(B956,Bounties!A:E,2,FALSE)</f>
        <v>System Parachains Collator Bounty</v>
      </c>
    </row>
    <row r="957" hidden="1">
      <c r="A957" s="109">
        <f>HYPERLINK("https://polkadot.subsquare.io/treasury/child-bounties/955", 955)</f>
        <v>955</v>
      </c>
      <c r="B957" s="183">
        <v>32.0</v>
      </c>
      <c r="C957" s="27" t="s">
        <v>3404</v>
      </c>
      <c r="D957" s="27" t="s">
        <v>1519</v>
      </c>
      <c r="E957" s="129">
        <v>7.5542084484</v>
      </c>
      <c r="F957" s="66">
        <v>63.37252076997469</v>
      </c>
      <c r="G957" s="27" t="s">
        <v>3411</v>
      </c>
      <c r="H957" s="167">
        <v>45384.0</v>
      </c>
      <c r="I957" s="167">
        <v>45393.0</v>
      </c>
      <c r="J957" s="66">
        <v>48.48274219323568</v>
      </c>
      <c r="K957" s="1"/>
      <c r="L957" s="1"/>
      <c r="M957" s="1" t="str">
        <f>VLOOKUP(B957,Bounties!A:D,3,FALSE)</f>
        <v>Operations</v>
      </c>
      <c r="N957" s="1" t="str">
        <f>VLOOKUP(B957,Bounties!A:D,4,FALSE)</f>
        <v>RPCs and Nodes</v>
      </c>
      <c r="O957" s="1" t="str">
        <f t="shared" ref="O957:P957" si="961">IF(ISBLANK(K957),M957,K957)</f>
        <v>Operations</v>
      </c>
      <c r="P957" s="1" t="str">
        <f t="shared" si="961"/>
        <v>RPCs and Nodes</v>
      </c>
      <c r="Q957" s="108" t="str">
        <f t="shared" si="3"/>
        <v>2024</v>
      </c>
      <c r="R957" s="110">
        <f t="shared" si="4"/>
        <v>4</v>
      </c>
      <c r="S957" s="108" t="str">
        <f t="shared" si="5"/>
        <v>2024-Q2</v>
      </c>
      <c r="T957" s="111" t="str">
        <f t="shared" si="6"/>
        <v>2024-04</v>
      </c>
      <c r="U957" s="112" t="str">
        <f t="shared" si="7"/>
        <v>2024-H1</v>
      </c>
      <c r="V957" s="1" t="str">
        <f>VLOOKUP(B957,Bounties!A:E,2,FALSE)</f>
        <v>System Parachains Collator Bounty</v>
      </c>
    </row>
    <row r="958" hidden="1">
      <c r="A958" s="109">
        <f>HYPERLINK("https://polkadot.subsquare.io/treasury/child-bounties/956", 956)</f>
        <v>956</v>
      </c>
      <c r="B958" s="183">
        <v>32.0</v>
      </c>
      <c r="C958" s="27" t="s">
        <v>3404</v>
      </c>
      <c r="D958" s="27" t="s">
        <v>1520</v>
      </c>
      <c r="E958" s="129">
        <v>4.634</v>
      </c>
      <c r="F958" s="66">
        <v>38.87478923225403</v>
      </c>
      <c r="G958" s="27" t="s">
        <v>3411</v>
      </c>
      <c r="H958" s="167">
        <v>45384.0</v>
      </c>
      <c r="I958" s="167">
        <v>45393.0</v>
      </c>
      <c r="J958" s="66">
        <v>29.740909171104434</v>
      </c>
      <c r="K958" s="1"/>
      <c r="L958" s="1"/>
      <c r="M958" s="1" t="str">
        <f>VLOOKUP(B958,Bounties!A:D,3,FALSE)</f>
        <v>Operations</v>
      </c>
      <c r="N958" s="1" t="str">
        <f>VLOOKUP(B958,Bounties!A:D,4,FALSE)</f>
        <v>RPCs and Nodes</v>
      </c>
      <c r="O958" s="1" t="str">
        <f t="shared" ref="O958:P958" si="962">IF(ISBLANK(K958),M958,K958)</f>
        <v>Operations</v>
      </c>
      <c r="P958" s="1" t="str">
        <f t="shared" si="962"/>
        <v>RPCs and Nodes</v>
      </c>
      <c r="Q958" s="108" t="str">
        <f t="shared" si="3"/>
        <v>2024</v>
      </c>
      <c r="R958" s="110">
        <f t="shared" si="4"/>
        <v>4</v>
      </c>
      <c r="S958" s="108" t="str">
        <f t="shared" si="5"/>
        <v>2024-Q2</v>
      </c>
      <c r="T958" s="111" t="str">
        <f t="shared" si="6"/>
        <v>2024-04</v>
      </c>
      <c r="U958" s="112" t="str">
        <f t="shared" si="7"/>
        <v>2024-H1</v>
      </c>
      <c r="V958" s="1" t="str">
        <f>VLOOKUP(B958,Bounties!A:E,2,FALSE)</f>
        <v>System Parachains Collator Bounty</v>
      </c>
    </row>
    <row r="959" hidden="1">
      <c r="A959" s="109">
        <f>HYPERLINK("https://polkadot.subsquare.io/treasury/child-bounties/957", 957)</f>
        <v>957</v>
      </c>
      <c r="B959" s="183">
        <v>11.0</v>
      </c>
      <c r="C959" s="27" t="s">
        <v>3404</v>
      </c>
      <c r="D959" s="27" t="s">
        <v>1521</v>
      </c>
      <c r="E959" s="129">
        <v>109.8901098901</v>
      </c>
      <c r="F959" s="66">
        <v>921.8720027377798</v>
      </c>
      <c r="G959" s="27" t="s">
        <v>3628</v>
      </c>
      <c r="H959" s="167">
        <v>45385.0</v>
      </c>
      <c r="I959" s="167">
        <v>45393.0</v>
      </c>
      <c r="J959" s="66">
        <v>754.8732023972052</v>
      </c>
      <c r="K959" s="1"/>
      <c r="L959" s="1"/>
      <c r="M959" s="1" t="str">
        <f>VLOOKUP(B959,Bounties!A:D,3,FALSE)</f>
        <v>Research</v>
      </c>
      <c r="N959" s="1" t="str">
        <f>VLOOKUP(B959,Bounties!A:D,4,FALSE)</f>
        <v>Anti-Scam</v>
      </c>
      <c r="O959" s="1" t="str">
        <f t="shared" ref="O959:P959" si="963">IF(ISBLANK(K959),M959,K959)</f>
        <v>Research</v>
      </c>
      <c r="P959" s="1" t="str">
        <f t="shared" si="963"/>
        <v>Anti-Scam</v>
      </c>
      <c r="Q959" s="108" t="str">
        <f t="shared" si="3"/>
        <v>2024</v>
      </c>
      <c r="R959" s="110">
        <f t="shared" si="4"/>
        <v>4</v>
      </c>
      <c r="S959" s="108" t="str">
        <f t="shared" si="5"/>
        <v>2024-Q2</v>
      </c>
      <c r="T959" s="111" t="str">
        <f t="shared" si="6"/>
        <v>2024-04</v>
      </c>
      <c r="U959" s="112" t="str">
        <f t="shared" si="7"/>
        <v>2024-H1</v>
      </c>
      <c r="V959" s="1" t="str">
        <f>VLOOKUP(B959,Bounties!A:E,2,FALSE)</f>
        <v>Anti-Scam Bounty</v>
      </c>
    </row>
    <row r="960" hidden="1">
      <c r="A960" s="109">
        <f>HYPERLINK("https://polkadot.subsquare.io/treasury/child-bounties/958", 958)</f>
        <v>958</v>
      </c>
      <c r="B960" s="183">
        <v>11.0</v>
      </c>
      <c r="C960" s="27" t="s">
        <v>3404</v>
      </c>
      <c r="D960" s="27" t="s">
        <v>1522</v>
      </c>
      <c r="E960" s="129">
        <v>109.8901098901</v>
      </c>
      <c r="F960" s="66">
        <v>921.8720027377798</v>
      </c>
      <c r="G960" s="27" t="s">
        <v>3424</v>
      </c>
      <c r="H960" s="167">
        <v>45385.0</v>
      </c>
      <c r="I960" s="167">
        <v>45396.0</v>
      </c>
      <c r="J960" s="66">
        <v>723.0359381371152</v>
      </c>
      <c r="K960" s="1"/>
      <c r="L960" s="1"/>
      <c r="M960" s="1" t="str">
        <f>VLOOKUP(B960,Bounties!A:D,3,FALSE)</f>
        <v>Research</v>
      </c>
      <c r="N960" s="1" t="str">
        <f>VLOOKUP(B960,Bounties!A:D,4,FALSE)</f>
        <v>Anti-Scam</v>
      </c>
      <c r="O960" s="1" t="str">
        <f t="shared" ref="O960:P960" si="964">IF(ISBLANK(K960),M960,K960)</f>
        <v>Research</v>
      </c>
      <c r="P960" s="1" t="str">
        <f t="shared" si="964"/>
        <v>Anti-Scam</v>
      </c>
      <c r="Q960" s="108" t="str">
        <f t="shared" si="3"/>
        <v>2024</v>
      </c>
      <c r="R960" s="110">
        <f t="shared" si="4"/>
        <v>4</v>
      </c>
      <c r="S960" s="108" t="str">
        <f t="shared" si="5"/>
        <v>2024-Q2</v>
      </c>
      <c r="T960" s="111" t="str">
        <f t="shared" si="6"/>
        <v>2024-04</v>
      </c>
      <c r="U960" s="112" t="str">
        <f t="shared" si="7"/>
        <v>2024-H1</v>
      </c>
      <c r="V960" s="1" t="str">
        <f>VLOOKUP(B960,Bounties!A:E,2,FALSE)</f>
        <v>Anti-Scam Bounty</v>
      </c>
    </row>
    <row r="961" hidden="1">
      <c r="A961" s="109">
        <f>HYPERLINK("https://polkadot.subsquare.io/treasury/child-bounties/959", 959)</f>
        <v>959</v>
      </c>
      <c r="B961" s="183">
        <v>11.0</v>
      </c>
      <c r="C961" s="27" t="s">
        <v>3404</v>
      </c>
      <c r="D961" s="27" t="s">
        <v>1523</v>
      </c>
      <c r="E961" s="129">
        <v>54.9450549451</v>
      </c>
      <c r="F961" s="66">
        <v>460.9360013693093</v>
      </c>
      <c r="G961" s="27" t="s">
        <v>3486</v>
      </c>
      <c r="H961" s="167">
        <v>45385.0</v>
      </c>
      <c r="I961" s="167">
        <v>45393.0</v>
      </c>
      <c r="J961" s="66">
        <v>377.43660119894605</v>
      </c>
      <c r="K961" s="1"/>
      <c r="L961" s="1"/>
      <c r="M961" s="1" t="str">
        <f>VLOOKUP(B961,Bounties!A:D,3,FALSE)</f>
        <v>Research</v>
      </c>
      <c r="N961" s="1" t="str">
        <f>VLOOKUP(B961,Bounties!A:D,4,FALSE)</f>
        <v>Anti-Scam</v>
      </c>
      <c r="O961" s="1" t="str">
        <f t="shared" ref="O961:P961" si="965">IF(ISBLANK(K961),M961,K961)</f>
        <v>Research</v>
      </c>
      <c r="P961" s="1" t="str">
        <f t="shared" si="965"/>
        <v>Anti-Scam</v>
      </c>
      <c r="Q961" s="108" t="str">
        <f t="shared" si="3"/>
        <v>2024</v>
      </c>
      <c r="R961" s="110">
        <f t="shared" si="4"/>
        <v>4</v>
      </c>
      <c r="S961" s="108" t="str">
        <f t="shared" si="5"/>
        <v>2024-Q2</v>
      </c>
      <c r="T961" s="111" t="str">
        <f t="shared" si="6"/>
        <v>2024-04</v>
      </c>
      <c r="U961" s="112" t="str">
        <f t="shared" si="7"/>
        <v>2024-H1</v>
      </c>
      <c r="V961" s="1" t="str">
        <f>VLOOKUP(B961,Bounties!A:E,2,FALSE)</f>
        <v>Anti-Scam Bounty</v>
      </c>
    </row>
    <row r="962" hidden="1">
      <c r="A962" s="109">
        <f>HYPERLINK("https://polkadot.subsquare.io/treasury/child-bounties/960", 960)</f>
        <v>960</v>
      </c>
      <c r="B962" s="183">
        <v>11.0</v>
      </c>
      <c r="C962" s="27" t="s">
        <v>3404</v>
      </c>
      <c r="D962" s="27" t="s">
        <v>1524</v>
      </c>
      <c r="E962" s="129">
        <v>27.4725274725</v>
      </c>
      <c r="F962" s="66">
        <v>230.46800068423522</v>
      </c>
      <c r="G962" s="27" t="s">
        <v>3486</v>
      </c>
      <c r="H962" s="167">
        <v>45385.0</v>
      </c>
      <c r="I962" s="167">
        <v>45393.0</v>
      </c>
      <c r="J962" s="66">
        <v>188.71830059912958</v>
      </c>
      <c r="K962" s="1"/>
      <c r="L962" s="1"/>
      <c r="M962" s="1" t="str">
        <f>VLOOKUP(B962,Bounties!A:D,3,FALSE)</f>
        <v>Research</v>
      </c>
      <c r="N962" s="1" t="str">
        <f>VLOOKUP(B962,Bounties!A:D,4,FALSE)</f>
        <v>Anti-Scam</v>
      </c>
      <c r="O962" s="1" t="str">
        <f t="shared" ref="O962:P962" si="966">IF(ISBLANK(K962),M962,K962)</f>
        <v>Research</v>
      </c>
      <c r="P962" s="1" t="str">
        <f t="shared" si="966"/>
        <v>Anti-Scam</v>
      </c>
      <c r="Q962" s="108" t="str">
        <f t="shared" si="3"/>
        <v>2024</v>
      </c>
      <c r="R962" s="110">
        <f t="shared" si="4"/>
        <v>4</v>
      </c>
      <c r="S962" s="108" t="str">
        <f t="shared" si="5"/>
        <v>2024-Q2</v>
      </c>
      <c r="T962" s="111" t="str">
        <f t="shared" si="6"/>
        <v>2024-04</v>
      </c>
      <c r="U962" s="112" t="str">
        <f t="shared" si="7"/>
        <v>2024-H1</v>
      </c>
      <c r="V962" s="1" t="str">
        <f>VLOOKUP(B962,Bounties!A:E,2,FALSE)</f>
        <v>Anti-Scam Bounty</v>
      </c>
    </row>
    <row r="963" hidden="1">
      <c r="A963" s="109">
        <f>HYPERLINK("https://polkadot.subsquare.io/treasury/child-bounties/961", 961)</f>
        <v>961</v>
      </c>
      <c r="B963" s="183">
        <v>11.0</v>
      </c>
      <c r="C963" s="27" t="s">
        <v>3404</v>
      </c>
      <c r="D963" s="27" t="s">
        <v>1525</v>
      </c>
      <c r="E963" s="129">
        <v>27.4725</v>
      </c>
      <c r="F963" s="66">
        <v>230.467770216465</v>
      </c>
      <c r="G963" s="27" t="s">
        <v>3457</v>
      </c>
      <c r="H963" s="167">
        <v>45385.0</v>
      </c>
      <c r="I963" s="167">
        <v>45395.0</v>
      </c>
      <c r="J963" s="66">
        <v>184.06704165101053</v>
      </c>
      <c r="K963" s="1"/>
      <c r="L963" s="1"/>
      <c r="M963" s="1" t="str">
        <f>VLOOKUP(B963,Bounties!A:D,3,FALSE)</f>
        <v>Research</v>
      </c>
      <c r="N963" s="1" t="str">
        <f>VLOOKUP(B963,Bounties!A:D,4,FALSE)</f>
        <v>Anti-Scam</v>
      </c>
      <c r="O963" s="1" t="str">
        <f t="shared" ref="O963:P963" si="967">IF(ISBLANK(K963),M963,K963)</f>
        <v>Research</v>
      </c>
      <c r="P963" s="1" t="str">
        <f t="shared" si="967"/>
        <v>Anti-Scam</v>
      </c>
      <c r="Q963" s="108" t="str">
        <f t="shared" si="3"/>
        <v>2024</v>
      </c>
      <c r="R963" s="110">
        <f t="shared" si="4"/>
        <v>4</v>
      </c>
      <c r="S963" s="108" t="str">
        <f t="shared" si="5"/>
        <v>2024-Q2</v>
      </c>
      <c r="T963" s="111" t="str">
        <f t="shared" si="6"/>
        <v>2024-04</v>
      </c>
      <c r="U963" s="112" t="str">
        <f t="shared" si="7"/>
        <v>2024-H1</v>
      </c>
      <c r="V963" s="1" t="str">
        <f>VLOOKUP(B963,Bounties!A:E,2,FALSE)</f>
        <v>Anti-Scam Bounty</v>
      </c>
    </row>
    <row r="964" hidden="1">
      <c r="A964" s="109">
        <f>HYPERLINK("https://polkadot.subsquare.io/treasury/child-bounties/962", 962)</f>
        <v>962</v>
      </c>
      <c r="B964" s="183">
        <v>11.0</v>
      </c>
      <c r="C964" s="27" t="s">
        <v>3404</v>
      </c>
      <c r="D964" s="27" t="s">
        <v>1526</v>
      </c>
      <c r="E964" s="129">
        <v>184.6153</v>
      </c>
      <c r="F964" s="66">
        <v>1548.7442547581672</v>
      </c>
      <c r="G964" s="27" t="s">
        <v>3562</v>
      </c>
      <c r="H964" s="167">
        <v>45385.0</v>
      </c>
      <c r="I964" s="167">
        <v>45395.0</v>
      </c>
      <c r="J964" s="66">
        <v>1239.2359408995628</v>
      </c>
      <c r="K964" s="1"/>
      <c r="L964" s="1"/>
      <c r="M964" s="1" t="str">
        <f>VLOOKUP(B964,Bounties!A:D,3,FALSE)</f>
        <v>Research</v>
      </c>
      <c r="N964" s="1" t="str">
        <f>VLOOKUP(B964,Bounties!A:D,4,FALSE)</f>
        <v>Anti-Scam</v>
      </c>
      <c r="O964" s="1" t="str">
        <f t="shared" ref="O964:P964" si="968">IF(ISBLANK(K964),M964,K964)</f>
        <v>Research</v>
      </c>
      <c r="P964" s="1" t="str">
        <f t="shared" si="968"/>
        <v>Anti-Scam</v>
      </c>
      <c r="Q964" s="108" t="str">
        <f t="shared" si="3"/>
        <v>2024</v>
      </c>
      <c r="R964" s="110">
        <f t="shared" si="4"/>
        <v>4</v>
      </c>
      <c r="S964" s="108" t="str">
        <f t="shared" si="5"/>
        <v>2024-Q2</v>
      </c>
      <c r="T964" s="111" t="str">
        <f t="shared" si="6"/>
        <v>2024-04</v>
      </c>
      <c r="U964" s="112" t="str">
        <f t="shared" si="7"/>
        <v>2024-H1</v>
      </c>
      <c r="V964" s="1" t="str">
        <f>VLOOKUP(B964,Bounties!A:E,2,FALSE)</f>
        <v>Anti-Scam Bounty</v>
      </c>
    </row>
    <row r="965" hidden="1">
      <c r="A965" s="109">
        <f>HYPERLINK("https://polkadot.subsquare.io/treasury/child-bounties/963", 963)</f>
        <v>963</v>
      </c>
      <c r="B965" s="183">
        <v>11.0</v>
      </c>
      <c r="C965" s="27" t="s">
        <v>3404</v>
      </c>
      <c r="D965" s="27" t="s">
        <v>1527</v>
      </c>
      <c r="E965" s="129">
        <v>158.2417</v>
      </c>
      <c r="F965" s="66">
        <v>1327.495195350361</v>
      </c>
      <c r="G965" s="27" t="s">
        <v>3407</v>
      </c>
      <c r="H965" s="167">
        <v>45385.0</v>
      </c>
      <c r="I965" s="167">
        <v>45397.0</v>
      </c>
      <c r="J965" s="66">
        <v>1073.7526850624563</v>
      </c>
      <c r="K965" s="1"/>
      <c r="L965" s="1"/>
      <c r="M965" s="1" t="str">
        <f>VLOOKUP(B965,Bounties!A:D,3,FALSE)</f>
        <v>Research</v>
      </c>
      <c r="N965" s="1" t="str">
        <f>VLOOKUP(B965,Bounties!A:D,4,FALSE)</f>
        <v>Anti-Scam</v>
      </c>
      <c r="O965" s="1" t="str">
        <f t="shared" ref="O965:P965" si="969">IF(ISBLANK(K965),M965,K965)</f>
        <v>Research</v>
      </c>
      <c r="P965" s="1" t="str">
        <f t="shared" si="969"/>
        <v>Anti-Scam</v>
      </c>
      <c r="Q965" s="108" t="str">
        <f t="shared" si="3"/>
        <v>2024</v>
      </c>
      <c r="R965" s="110">
        <f t="shared" si="4"/>
        <v>4</v>
      </c>
      <c r="S965" s="108" t="str">
        <f t="shared" si="5"/>
        <v>2024-Q2</v>
      </c>
      <c r="T965" s="111" t="str">
        <f t="shared" si="6"/>
        <v>2024-04</v>
      </c>
      <c r="U965" s="112" t="str">
        <f t="shared" si="7"/>
        <v>2024-H1</v>
      </c>
      <c r="V965" s="1" t="str">
        <f>VLOOKUP(B965,Bounties!A:E,2,FALSE)</f>
        <v>Anti-Scam Bounty</v>
      </c>
    </row>
    <row r="966" hidden="1">
      <c r="A966" s="109">
        <f>HYPERLINK("https://polkadot.subsquare.io/treasury/child-bounties/964", 964)</f>
        <v>964</v>
      </c>
      <c r="B966" s="183">
        <v>11.0</v>
      </c>
      <c r="C966" s="27" t="s">
        <v>3404</v>
      </c>
      <c r="D966" s="27" t="s">
        <v>1528</v>
      </c>
      <c r="E966" s="129">
        <v>65.934</v>
      </c>
      <c r="F966" s="66">
        <v>553.122648519516</v>
      </c>
      <c r="G966" s="27" t="s">
        <v>3470</v>
      </c>
      <c r="H966" s="167">
        <v>45385.0</v>
      </c>
      <c r="I966" s="167">
        <v>45395.0</v>
      </c>
      <c r="J966" s="66">
        <v>441.76089996242524</v>
      </c>
      <c r="K966" s="1"/>
      <c r="L966" s="1"/>
      <c r="M966" s="1" t="str">
        <f>VLOOKUP(B966,Bounties!A:D,3,FALSE)</f>
        <v>Research</v>
      </c>
      <c r="N966" s="1" t="str">
        <f>VLOOKUP(B966,Bounties!A:D,4,FALSE)</f>
        <v>Anti-Scam</v>
      </c>
      <c r="O966" s="1" t="str">
        <f t="shared" ref="O966:P966" si="970">IF(ISBLANK(K966),M966,K966)</f>
        <v>Research</v>
      </c>
      <c r="P966" s="1" t="str">
        <f t="shared" si="970"/>
        <v>Anti-Scam</v>
      </c>
      <c r="Q966" s="108" t="str">
        <f t="shared" si="3"/>
        <v>2024</v>
      </c>
      <c r="R966" s="110">
        <f t="shared" si="4"/>
        <v>4</v>
      </c>
      <c r="S966" s="108" t="str">
        <f t="shared" si="5"/>
        <v>2024-Q2</v>
      </c>
      <c r="T966" s="111" t="str">
        <f t="shared" si="6"/>
        <v>2024-04</v>
      </c>
      <c r="U966" s="112" t="str">
        <f t="shared" si="7"/>
        <v>2024-H1</v>
      </c>
      <c r="V966" s="1" t="str">
        <f>VLOOKUP(B966,Bounties!A:E,2,FALSE)</f>
        <v>Anti-Scam Bounty</v>
      </c>
    </row>
    <row r="967" hidden="1">
      <c r="A967" s="109">
        <f>HYPERLINK("https://polkadot.subsquare.io/treasury/child-bounties/965", 965)</f>
        <v>965</v>
      </c>
      <c r="B967" s="183">
        <v>11.0</v>
      </c>
      <c r="C967" s="27" t="s">
        <v>3404</v>
      </c>
      <c r="D967" s="27" t="s">
        <v>1529</v>
      </c>
      <c r="E967" s="129">
        <v>54.945</v>
      </c>
      <c r="F967" s="66">
        <v>460.93554043293</v>
      </c>
      <c r="G967" s="27" t="s">
        <v>3470</v>
      </c>
      <c r="H967" s="167">
        <v>45385.0</v>
      </c>
      <c r="I967" s="167">
        <v>45395.0</v>
      </c>
      <c r="J967" s="66">
        <v>368.13408330202105</v>
      </c>
      <c r="K967" s="1"/>
      <c r="L967" s="1"/>
      <c r="M967" s="1" t="str">
        <f>VLOOKUP(B967,Bounties!A:D,3,FALSE)</f>
        <v>Research</v>
      </c>
      <c r="N967" s="1" t="str">
        <f>VLOOKUP(B967,Bounties!A:D,4,FALSE)</f>
        <v>Anti-Scam</v>
      </c>
      <c r="O967" s="1" t="str">
        <f t="shared" ref="O967:P967" si="971">IF(ISBLANK(K967),M967,K967)</f>
        <v>Research</v>
      </c>
      <c r="P967" s="1" t="str">
        <f t="shared" si="971"/>
        <v>Anti-Scam</v>
      </c>
      <c r="Q967" s="108" t="str">
        <f t="shared" si="3"/>
        <v>2024</v>
      </c>
      <c r="R967" s="110">
        <f t="shared" si="4"/>
        <v>4</v>
      </c>
      <c r="S967" s="108" t="str">
        <f t="shared" si="5"/>
        <v>2024-Q2</v>
      </c>
      <c r="T967" s="111" t="str">
        <f t="shared" si="6"/>
        <v>2024-04</v>
      </c>
      <c r="U967" s="112" t="str">
        <f t="shared" si="7"/>
        <v>2024-H1</v>
      </c>
      <c r="V967" s="1" t="str">
        <f>VLOOKUP(B967,Bounties!A:E,2,FALSE)</f>
        <v>Anti-Scam Bounty</v>
      </c>
    </row>
    <row r="968" hidden="1">
      <c r="A968" s="109">
        <f>HYPERLINK("https://polkadot.subsquare.io/treasury/child-bounties/966", 966)</f>
        <v>966</v>
      </c>
      <c r="B968" s="183">
        <v>11.0</v>
      </c>
      <c r="C968" s="27" t="s">
        <v>3404</v>
      </c>
      <c r="D968" s="27" t="s">
        <v>1530</v>
      </c>
      <c r="E968" s="129">
        <v>136.2</v>
      </c>
      <c r="F968" s="66">
        <v>1142.5865976333616</v>
      </c>
      <c r="G968" s="27" t="s">
        <v>3486</v>
      </c>
      <c r="H968" s="167">
        <v>45385.0</v>
      </c>
      <c r="I968" s="167">
        <v>45393.0</v>
      </c>
      <c r="J968" s="66">
        <v>935.6049445152282</v>
      </c>
      <c r="K968" s="1"/>
      <c r="L968" s="1"/>
      <c r="M968" s="1" t="str">
        <f>VLOOKUP(B968,Bounties!A:D,3,FALSE)</f>
        <v>Research</v>
      </c>
      <c r="N968" s="1" t="str">
        <f>VLOOKUP(B968,Bounties!A:D,4,FALSE)</f>
        <v>Anti-Scam</v>
      </c>
      <c r="O968" s="1" t="str">
        <f t="shared" ref="O968:P968" si="972">IF(ISBLANK(K968),M968,K968)</f>
        <v>Research</v>
      </c>
      <c r="P968" s="1" t="str">
        <f t="shared" si="972"/>
        <v>Anti-Scam</v>
      </c>
      <c r="Q968" s="108" t="str">
        <f t="shared" si="3"/>
        <v>2024</v>
      </c>
      <c r="R968" s="110">
        <f t="shared" si="4"/>
        <v>4</v>
      </c>
      <c r="S968" s="108" t="str">
        <f t="shared" si="5"/>
        <v>2024-Q2</v>
      </c>
      <c r="T968" s="111" t="str">
        <f t="shared" si="6"/>
        <v>2024-04</v>
      </c>
      <c r="U968" s="112" t="str">
        <f t="shared" si="7"/>
        <v>2024-H1</v>
      </c>
      <c r="V968" s="1" t="str">
        <f>VLOOKUP(B968,Bounties!A:E,2,FALSE)</f>
        <v>Anti-Scam Bounty</v>
      </c>
    </row>
    <row r="969" hidden="1">
      <c r="A969" s="109">
        <f>HYPERLINK("https://polkadot.subsquare.io/treasury/child-bounties/967", 967)</f>
        <v>967</v>
      </c>
      <c r="B969" s="183">
        <v>11.0</v>
      </c>
      <c r="C969" s="27" t="s">
        <v>3404</v>
      </c>
      <c r="D969" s="27" t="s">
        <v>1531</v>
      </c>
      <c r="E969" s="129">
        <v>136.2</v>
      </c>
      <c r="F969" s="66">
        <v>1142.5865976333616</v>
      </c>
      <c r="G969" s="27" t="s">
        <v>3424</v>
      </c>
      <c r="H969" s="167">
        <v>45385.0</v>
      </c>
      <c r="I969" s="167">
        <v>45396.0</v>
      </c>
      <c r="J969" s="66">
        <v>896.1452024459838</v>
      </c>
      <c r="K969" s="1"/>
      <c r="L969" s="1"/>
      <c r="M969" s="1" t="str">
        <f>VLOOKUP(B969,Bounties!A:D,3,FALSE)</f>
        <v>Research</v>
      </c>
      <c r="N969" s="1" t="str">
        <f>VLOOKUP(B969,Bounties!A:D,4,FALSE)</f>
        <v>Anti-Scam</v>
      </c>
      <c r="O969" s="1" t="str">
        <f t="shared" ref="O969:P969" si="973">IF(ISBLANK(K969),M969,K969)</f>
        <v>Research</v>
      </c>
      <c r="P969" s="1" t="str">
        <f t="shared" si="973"/>
        <v>Anti-Scam</v>
      </c>
      <c r="Q969" s="108" t="str">
        <f t="shared" si="3"/>
        <v>2024</v>
      </c>
      <c r="R969" s="110">
        <f t="shared" si="4"/>
        <v>4</v>
      </c>
      <c r="S969" s="108" t="str">
        <f t="shared" si="5"/>
        <v>2024-Q2</v>
      </c>
      <c r="T969" s="111" t="str">
        <f t="shared" si="6"/>
        <v>2024-04</v>
      </c>
      <c r="U969" s="112" t="str">
        <f t="shared" si="7"/>
        <v>2024-H1</v>
      </c>
      <c r="V969" s="1" t="str">
        <f>VLOOKUP(B969,Bounties!A:E,2,FALSE)</f>
        <v>Anti-Scam Bounty</v>
      </c>
    </row>
    <row r="970" hidden="1">
      <c r="A970" s="109">
        <f>HYPERLINK("https://polkadot.subsquare.io/treasury/child-bounties/968", 968)</f>
        <v>968</v>
      </c>
      <c r="B970" s="183">
        <v>11.0</v>
      </c>
      <c r="C970" s="27" t="s">
        <v>3404</v>
      </c>
      <c r="D970" s="27" t="s">
        <v>1532</v>
      </c>
      <c r="E970" s="129">
        <v>22.7</v>
      </c>
      <c r="F970" s="66">
        <v>190.4310996055603</v>
      </c>
      <c r="G970" s="27" t="s">
        <v>3486</v>
      </c>
      <c r="H970" s="167">
        <v>45385.0</v>
      </c>
      <c r="I970" s="167">
        <v>45393.0</v>
      </c>
      <c r="J970" s="66">
        <v>155.9341574192047</v>
      </c>
      <c r="K970" s="1"/>
      <c r="L970" s="1"/>
      <c r="M970" s="1" t="str">
        <f>VLOOKUP(B970,Bounties!A:D,3,FALSE)</f>
        <v>Research</v>
      </c>
      <c r="N970" s="1" t="str">
        <f>VLOOKUP(B970,Bounties!A:D,4,FALSE)</f>
        <v>Anti-Scam</v>
      </c>
      <c r="O970" s="1" t="str">
        <f t="shared" ref="O970:P970" si="974">IF(ISBLANK(K970),M970,K970)</f>
        <v>Research</v>
      </c>
      <c r="P970" s="1" t="str">
        <f t="shared" si="974"/>
        <v>Anti-Scam</v>
      </c>
      <c r="Q970" s="108" t="str">
        <f t="shared" si="3"/>
        <v>2024</v>
      </c>
      <c r="R970" s="110">
        <f t="shared" si="4"/>
        <v>4</v>
      </c>
      <c r="S970" s="108" t="str">
        <f t="shared" si="5"/>
        <v>2024-Q2</v>
      </c>
      <c r="T970" s="111" t="str">
        <f t="shared" si="6"/>
        <v>2024-04</v>
      </c>
      <c r="U970" s="112" t="str">
        <f t="shared" si="7"/>
        <v>2024-H1</v>
      </c>
      <c r="V970" s="1" t="str">
        <f>VLOOKUP(B970,Bounties!A:E,2,FALSE)</f>
        <v>Anti-Scam Bounty</v>
      </c>
    </row>
    <row r="971" hidden="1">
      <c r="A971" s="109">
        <f>HYPERLINK("https://polkadot.subsquare.io/treasury/child-bounties/969", 969)</f>
        <v>969</v>
      </c>
      <c r="B971" s="183">
        <v>11.0</v>
      </c>
      <c r="C971" s="27" t="s">
        <v>3404</v>
      </c>
      <c r="D971" s="27" t="s">
        <v>1533</v>
      </c>
      <c r="E971" s="129">
        <v>56.75</v>
      </c>
      <c r="F971" s="66">
        <v>476.07774901390076</v>
      </c>
      <c r="G971" s="27" t="s">
        <v>3486</v>
      </c>
      <c r="H971" s="167">
        <v>45385.0</v>
      </c>
      <c r="I971" s="167">
        <v>45393.0</v>
      </c>
      <c r="J971" s="66">
        <v>389.8353935480118</v>
      </c>
      <c r="K971" s="1"/>
      <c r="L971" s="1"/>
      <c r="M971" s="1" t="str">
        <f>VLOOKUP(B971,Bounties!A:D,3,FALSE)</f>
        <v>Research</v>
      </c>
      <c r="N971" s="1" t="str">
        <f>VLOOKUP(B971,Bounties!A:D,4,FALSE)</f>
        <v>Anti-Scam</v>
      </c>
      <c r="O971" s="1" t="str">
        <f t="shared" ref="O971:P971" si="975">IF(ISBLANK(K971),M971,K971)</f>
        <v>Research</v>
      </c>
      <c r="P971" s="1" t="str">
        <f t="shared" si="975"/>
        <v>Anti-Scam</v>
      </c>
      <c r="Q971" s="108" t="str">
        <f t="shared" si="3"/>
        <v>2024</v>
      </c>
      <c r="R971" s="110">
        <f t="shared" si="4"/>
        <v>4</v>
      </c>
      <c r="S971" s="108" t="str">
        <f t="shared" si="5"/>
        <v>2024-Q2</v>
      </c>
      <c r="T971" s="111" t="str">
        <f t="shared" si="6"/>
        <v>2024-04</v>
      </c>
      <c r="U971" s="112" t="str">
        <f t="shared" si="7"/>
        <v>2024-H1</v>
      </c>
      <c r="V971" s="1" t="str">
        <f>VLOOKUP(B971,Bounties!A:E,2,FALSE)</f>
        <v>Anti-Scam Bounty</v>
      </c>
    </row>
    <row r="972" hidden="1">
      <c r="A972" s="109">
        <f>HYPERLINK("https://polkadot.subsquare.io/treasury/child-bounties/970", 970)</f>
        <v>970</v>
      </c>
      <c r="B972" s="183">
        <v>17.0</v>
      </c>
      <c r="C972" s="27" t="s">
        <v>3404</v>
      </c>
      <c r="D972" s="27" t="s">
        <v>1534</v>
      </c>
      <c r="E972" s="129">
        <v>8389.3</v>
      </c>
      <c r="F972" s="66">
        <v>71260.27797698975</v>
      </c>
      <c r="G972" s="27" t="s">
        <v>3643</v>
      </c>
      <c r="H972" s="167">
        <v>45385.0</v>
      </c>
      <c r="I972" s="167">
        <v>45396.0</v>
      </c>
      <c r="J972" s="66">
        <v>55198.465101909635</v>
      </c>
      <c r="K972" s="1"/>
      <c r="L972" s="1" t="s">
        <v>266</v>
      </c>
      <c r="M972" s="1" t="str">
        <f>VLOOKUP(B972,Bounties!A:D,3,FALSE)</f>
        <v>Outreach</v>
      </c>
      <c r="N972" s="1" t="str">
        <f>VLOOKUP(B972,Bounties!A:D,4,FALSE)</f>
        <v>Events/Meetups</v>
      </c>
      <c r="O972" s="1" t="str">
        <f t="shared" ref="O972:P972" si="976">IF(ISBLANK(K972),M972,K972)</f>
        <v>Outreach</v>
      </c>
      <c r="P972" s="1" t="str">
        <f t="shared" si="976"/>
        <v>Events/Conference Attendance &amp; Side Events</v>
      </c>
      <c r="Q972" s="108" t="str">
        <f t="shared" si="3"/>
        <v>2024</v>
      </c>
      <c r="R972" s="110">
        <f t="shared" si="4"/>
        <v>4</v>
      </c>
      <c r="S972" s="108" t="str">
        <f t="shared" si="5"/>
        <v>2024-Q2</v>
      </c>
      <c r="T972" s="111" t="str">
        <f t="shared" si="6"/>
        <v>2024-04</v>
      </c>
      <c r="U972" s="112" t="str">
        <f t="shared" si="7"/>
        <v>2024-H1</v>
      </c>
      <c r="V972" s="1" t="str">
        <f>VLOOKUP(B972,Bounties!A:E,2,FALSE)</f>
        <v>Events Bounty</v>
      </c>
    </row>
    <row r="973" hidden="1">
      <c r="A973" s="109">
        <f>HYPERLINK("https://polkadot.subsquare.io/treasury/child-bounties/971", 971)</f>
        <v>971</v>
      </c>
      <c r="B973" s="183">
        <v>17.0</v>
      </c>
      <c r="C973" s="27" t="s">
        <v>3404</v>
      </c>
      <c r="D973" s="27" t="s">
        <v>1535</v>
      </c>
      <c r="E973" s="129">
        <v>3678.0</v>
      </c>
      <c r="F973" s="66">
        <v>31241.617584228516</v>
      </c>
      <c r="G973" s="27" t="s">
        <v>3464</v>
      </c>
      <c r="H973" s="167">
        <v>45385.0</v>
      </c>
      <c r="I973" s="167">
        <v>45397.0</v>
      </c>
      <c r="J973" s="66">
        <v>24199.868242263794</v>
      </c>
      <c r="K973" s="1"/>
      <c r="L973" s="1" t="s">
        <v>266</v>
      </c>
      <c r="M973" s="1" t="str">
        <f>VLOOKUP(B973,Bounties!A:D,3,FALSE)</f>
        <v>Outreach</v>
      </c>
      <c r="N973" s="1" t="str">
        <f>VLOOKUP(B973,Bounties!A:D,4,FALSE)</f>
        <v>Events/Meetups</v>
      </c>
      <c r="O973" s="1" t="str">
        <f t="shared" ref="O973:P973" si="977">IF(ISBLANK(K973),M973,K973)</f>
        <v>Outreach</v>
      </c>
      <c r="P973" s="1" t="str">
        <f t="shared" si="977"/>
        <v>Events/Conference Attendance &amp; Side Events</v>
      </c>
      <c r="Q973" s="108" t="str">
        <f t="shared" si="3"/>
        <v>2024</v>
      </c>
      <c r="R973" s="110">
        <f t="shared" si="4"/>
        <v>4</v>
      </c>
      <c r="S973" s="108" t="str">
        <f t="shared" si="5"/>
        <v>2024-Q2</v>
      </c>
      <c r="T973" s="111" t="str">
        <f t="shared" si="6"/>
        <v>2024-04</v>
      </c>
      <c r="U973" s="112" t="str">
        <f t="shared" si="7"/>
        <v>2024-H1</v>
      </c>
      <c r="V973" s="1" t="str">
        <f>VLOOKUP(B973,Bounties!A:E,2,FALSE)</f>
        <v>Events Bounty</v>
      </c>
    </row>
    <row r="974" hidden="1">
      <c r="A974" s="109">
        <f>HYPERLINK("https://polkadot.subsquare.io/treasury/child-bounties/972", 972)</f>
        <v>972</v>
      </c>
      <c r="B974" s="183">
        <v>11.0</v>
      </c>
      <c r="C974" s="27" t="s">
        <v>3404</v>
      </c>
      <c r="D974" s="27" t="s">
        <v>1536</v>
      </c>
      <c r="E974" s="129">
        <v>55.86</v>
      </c>
      <c r="F974" s="66">
        <v>474.4852523803711</v>
      </c>
      <c r="G974" s="27" t="s">
        <v>3457</v>
      </c>
      <c r="H974" s="167">
        <v>45385.0</v>
      </c>
      <c r="I974" s="167">
        <v>45395.0</v>
      </c>
      <c r="J974" s="66">
        <v>374.2646263217926</v>
      </c>
      <c r="K974" s="1"/>
      <c r="L974" s="1"/>
      <c r="M974" s="1" t="str">
        <f>VLOOKUP(B974,Bounties!A:D,3,FALSE)</f>
        <v>Research</v>
      </c>
      <c r="N974" s="1" t="str">
        <f>VLOOKUP(B974,Bounties!A:D,4,FALSE)</f>
        <v>Anti-Scam</v>
      </c>
      <c r="O974" s="1" t="str">
        <f t="shared" ref="O974:P974" si="978">IF(ISBLANK(K974),M974,K974)</f>
        <v>Research</v>
      </c>
      <c r="P974" s="1" t="str">
        <f t="shared" si="978"/>
        <v>Anti-Scam</v>
      </c>
      <c r="Q974" s="108" t="str">
        <f t="shared" si="3"/>
        <v>2024</v>
      </c>
      <c r="R974" s="110">
        <f t="shared" si="4"/>
        <v>4</v>
      </c>
      <c r="S974" s="108" t="str">
        <f t="shared" si="5"/>
        <v>2024-Q2</v>
      </c>
      <c r="T974" s="111" t="str">
        <f t="shared" si="6"/>
        <v>2024-04</v>
      </c>
      <c r="U974" s="112" t="str">
        <f t="shared" si="7"/>
        <v>2024-H1</v>
      </c>
      <c r="V974" s="1" t="str">
        <f>VLOOKUP(B974,Bounties!A:E,2,FALSE)</f>
        <v>Anti-Scam Bounty</v>
      </c>
    </row>
    <row r="975" hidden="1">
      <c r="A975" s="109">
        <f>HYPERLINK("https://polkadot.subsquare.io/treasury/child-bounties/973", 973)</f>
        <v>973</v>
      </c>
      <c r="B975" s="183">
        <v>11.0</v>
      </c>
      <c r="C975" s="27" t="s">
        <v>3404</v>
      </c>
      <c r="D975" s="27" t="s">
        <v>1537</v>
      </c>
      <c r="E975" s="129">
        <v>297.9</v>
      </c>
      <c r="F975" s="66">
        <v>2530.418128967285</v>
      </c>
      <c r="G975" s="27" t="s">
        <v>3526</v>
      </c>
      <c r="H975" s="167">
        <v>45385.0</v>
      </c>
      <c r="I975" s="167">
        <v>45395.0</v>
      </c>
      <c r="J975" s="66">
        <v>1995.9440061092375</v>
      </c>
      <c r="K975" s="1"/>
      <c r="L975" s="1"/>
      <c r="M975" s="1" t="str">
        <f>VLOOKUP(B975,Bounties!A:D,3,FALSE)</f>
        <v>Research</v>
      </c>
      <c r="N975" s="1" t="str">
        <f>VLOOKUP(B975,Bounties!A:D,4,FALSE)</f>
        <v>Anti-Scam</v>
      </c>
      <c r="O975" s="1" t="str">
        <f t="shared" ref="O975:P975" si="979">IF(ISBLANK(K975),M975,K975)</f>
        <v>Research</v>
      </c>
      <c r="P975" s="1" t="str">
        <f t="shared" si="979"/>
        <v>Anti-Scam</v>
      </c>
      <c r="Q975" s="108" t="str">
        <f t="shared" si="3"/>
        <v>2024</v>
      </c>
      <c r="R975" s="110">
        <f t="shared" si="4"/>
        <v>4</v>
      </c>
      <c r="S975" s="108" t="str">
        <f t="shared" si="5"/>
        <v>2024-Q2</v>
      </c>
      <c r="T975" s="111" t="str">
        <f t="shared" si="6"/>
        <v>2024-04</v>
      </c>
      <c r="U975" s="112" t="str">
        <f t="shared" si="7"/>
        <v>2024-H1</v>
      </c>
      <c r="V975" s="1" t="str">
        <f>VLOOKUP(B975,Bounties!A:E,2,FALSE)</f>
        <v>Anti-Scam Bounty</v>
      </c>
    </row>
    <row r="976" hidden="1">
      <c r="A976" s="109">
        <f>HYPERLINK("https://polkadot.subsquare.io/treasury/child-bounties/974", 974)</f>
        <v>974</v>
      </c>
      <c r="B976" s="183">
        <v>11.0</v>
      </c>
      <c r="C976" s="27" t="s">
        <v>3404</v>
      </c>
      <c r="D976" s="27" t="s">
        <v>1538</v>
      </c>
      <c r="E976" s="129">
        <v>297.9</v>
      </c>
      <c r="F976" s="66">
        <v>2530.418128967285</v>
      </c>
      <c r="G976" s="27" t="s">
        <v>3577</v>
      </c>
      <c r="H976" s="167">
        <v>45385.0</v>
      </c>
      <c r="I976" s="167">
        <v>45395.0</v>
      </c>
      <c r="J976" s="66">
        <v>1995.9440061092375</v>
      </c>
      <c r="K976" s="1"/>
      <c r="L976" s="1"/>
      <c r="M976" s="1" t="str">
        <f>VLOOKUP(B976,Bounties!A:D,3,FALSE)</f>
        <v>Research</v>
      </c>
      <c r="N976" s="1" t="str">
        <f>VLOOKUP(B976,Bounties!A:D,4,FALSE)</f>
        <v>Anti-Scam</v>
      </c>
      <c r="O976" s="1" t="str">
        <f t="shared" ref="O976:P976" si="980">IF(ISBLANK(K976),M976,K976)</f>
        <v>Research</v>
      </c>
      <c r="P976" s="1" t="str">
        <f t="shared" si="980"/>
        <v>Anti-Scam</v>
      </c>
      <c r="Q976" s="108" t="str">
        <f t="shared" si="3"/>
        <v>2024</v>
      </c>
      <c r="R976" s="110">
        <f t="shared" si="4"/>
        <v>4</v>
      </c>
      <c r="S976" s="108" t="str">
        <f t="shared" si="5"/>
        <v>2024-Q2</v>
      </c>
      <c r="T976" s="111" t="str">
        <f t="shared" si="6"/>
        <v>2024-04</v>
      </c>
      <c r="U976" s="112" t="str">
        <f t="shared" si="7"/>
        <v>2024-H1</v>
      </c>
      <c r="V976" s="1" t="str">
        <f>VLOOKUP(B976,Bounties!A:E,2,FALSE)</f>
        <v>Anti-Scam Bounty</v>
      </c>
    </row>
    <row r="977" hidden="1">
      <c r="A977" s="109">
        <f>HYPERLINK("https://polkadot.subsquare.io/treasury/child-bounties/975", 975)</f>
        <v>975</v>
      </c>
      <c r="B977" s="183">
        <v>11.0</v>
      </c>
      <c r="C977" s="27" t="s">
        <v>3404</v>
      </c>
      <c r="D977" s="27" t="s">
        <v>1539</v>
      </c>
      <c r="E977" s="129">
        <v>297.9</v>
      </c>
      <c r="F977" s="66">
        <v>2530.418128967285</v>
      </c>
      <c r="G977" s="27" t="s">
        <v>3578</v>
      </c>
      <c r="H977" s="167">
        <v>45385.0</v>
      </c>
      <c r="I977" s="167">
        <v>45395.0</v>
      </c>
      <c r="J977" s="66">
        <v>1995.9440061092375</v>
      </c>
      <c r="K977" s="1"/>
      <c r="L977" s="1"/>
      <c r="M977" s="1" t="str">
        <f>VLOOKUP(B977,Bounties!A:D,3,FALSE)</f>
        <v>Research</v>
      </c>
      <c r="N977" s="1" t="str">
        <f>VLOOKUP(B977,Bounties!A:D,4,FALSE)</f>
        <v>Anti-Scam</v>
      </c>
      <c r="O977" s="1" t="str">
        <f t="shared" ref="O977:P977" si="981">IF(ISBLANK(K977),M977,K977)</f>
        <v>Research</v>
      </c>
      <c r="P977" s="1" t="str">
        <f t="shared" si="981"/>
        <v>Anti-Scam</v>
      </c>
      <c r="Q977" s="108" t="str">
        <f t="shared" si="3"/>
        <v>2024</v>
      </c>
      <c r="R977" s="110">
        <f t="shared" si="4"/>
        <v>4</v>
      </c>
      <c r="S977" s="108" t="str">
        <f t="shared" si="5"/>
        <v>2024-Q2</v>
      </c>
      <c r="T977" s="111" t="str">
        <f t="shared" si="6"/>
        <v>2024-04</v>
      </c>
      <c r="U977" s="112" t="str">
        <f t="shared" si="7"/>
        <v>2024-H1</v>
      </c>
      <c r="V977" s="1" t="str">
        <f>VLOOKUP(B977,Bounties!A:E,2,FALSE)</f>
        <v>Anti-Scam Bounty</v>
      </c>
    </row>
    <row r="978" hidden="1">
      <c r="A978" s="109">
        <f>HYPERLINK("https://polkadot.subsquare.io/treasury/child-bounties/976", 976)</f>
        <v>976</v>
      </c>
      <c r="B978" s="183">
        <v>11.0</v>
      </c>
      <c r="C978" s="27" t="s">
        <v>3404</v>
      </c>
      <c r="D978" s="27" t="s">
        <v>1540</v>
      </c>
      <c r="E978" s="129">
        <v>30.16</v>
      </c>
      <c r="F978" s="66">
        <v>256.1846618652344</v>
      </c>
      <c r="G978" s="27" t="s">
        <v>3562</v>
      </c>
      <c r="H978" s="167">
        <v>45385.0</v>
      </c>
      <c r="I978" s="167">
        <v>45396.0</v>
      </c>
      <c r="J978" s="66">
        <v>202.073418006897</v>
      </c>
      <c r="K978" s="1"/>
      <c r="L978" s="1"/>
      <c r="M978" s="1" t="str">
        <f>VLOOKUP(B978,Bounties!A:D,3,FALSE)</f>
        <v>Research</v>
      </c>
      <c r="N978" s="1" t="str">
        <f>VLOOKUP(B978,Bounties!A:D,4,FALSE)</f>
        <v>Anti-Scam</v>
      </c>
      <c r="O978" s="1" t="str">
        <f t="shared" ref="O978:P978" si="982">IF(ISBLANK(K978),M978,K978)</f>
        <v>Research</v>
      </c>
      <c r="P978" s="1" t="str">
        <f t="shared" si="982"/>
        <v>Anti-Scam</v>
      </c>
      <c r="Q978" s="108" t="str">
        <f t="shared" si="3"/>
        <v>2024</v>
      </c>
      <c r="R978" s="110">
        <f t="shared" si="4"/>
        <v>4</v>
      </c>
      <c r="S978" s="108" t="str">
        <f t="shared" si="5"/>
        <v>2024-Q2</v>
      </c>
      <c r="T978" s="111" t="str">
        <f t="shared" si="6"/>
        <v>2024-04</v>
      </c>
      <c r="U978" s="112" t="str">
        <f t="shared" si="7"/>
        <v>2024-H1</v>
      </c>
      <c r="V978" s="1" t="str">
        <f>VLOOKUP(B978,Bounties!A:E,2,FALSE)</f>
        <v>Anti-Scam Bounty</v>
      </c>
    </row>
    <row r="979" hidden="1">
      <c r="A979" s="109">
        <f>HYPERLINK("https://polkadot.subsquare.io/treasury/child-bounties/977", 977)</f>
        <v>977</v>
      </c>
      <c r="B979" s="183">
        <v>11.0</v>
      </c>
      <c r="C979" s="27" t="s">
        <v>3404</v>
      </c>
      <c r="D979" s="27" t="s">
        <v>1541</v>
      </c>
      <c r="E979" s="129">
        <v>83.79</v>
      </c>
      <c r="F979" s="66">
        <v>711.7278785705566</v>
      </c>
      <c r="G979" s="27" t="s">
        <v>3644</v>
      </c>
      <c r="H979" s="167">
        <v>45385.0</v>
      </c>
      <c r="I979" s="167">
        <v>45395.0</v>
      </c>
      <c r="J979" s="66">
        <v>561.3969394826889</v>
      </c>
      <c r="K979" s="1"/>
      <c r="L979" s="1"/>
      <c r="M979" s="1" t="str">
        <f>VLOOKUP(B979,Bounties!A:D,3,FALSE)</f>
        <v>Research</v>
      </c>
      <c r="N979" s="1" t="str">
        <f>VLOOKUP(B979,Bounties!A:D,4,FALSE)</f>
        <v>Anti-Scam</v>
      </c>
      <c r="O979" s="1" t="str">
        <f t="shared" ref="O979:P979" si="983">IF(ISBLANK(K979),M979,K979)</f>
        <v>Research</v>
      </c>
      <c r="P979" s="1" t="str">
        <f t="shared" si="983"/>
        <v>Anti-Scam</v>
      </c>
      <c r="Q979" s="108" t="str">
        <f t="shared" si="3"/>
        <v>2024</v>
      </c>
      <c r="R979" s="110">
        <f t="shared" si="4"/>
        <v>4</v>
      </c>
      <c r="S979" s="108" t="str">
        <f t="shared" si="5"/>
        <v>2024-Q2</v>
      </c>
      <c r="T979" s="111" t="str">
        <f t="shared" si="6"/>
        <v>2024-04</v>
      </c>
      <c r="U979" s="112" t="str">
        <f t="shared" si="7"/>
        <v>2024-H1</v>
      </c>
      <c r="V979" s="1" t="str">
        <f>VLOOKUP(B979,Bounties!A:E,2,FALSE)</f>
        <v>Anti-Scam Bounty</v>
      </c>
    </row>
    <row r="980" hidden="1">
      <c r="A980" s="109">
        <f>HYPERLINK("https://polkadot.subsquare.io/treasury/child-bounties/978", 978)</f>
        <v>978</v>
      </c>
      <c r="B980" s="183">
        <v>11.0</v>
      </c>
      <c r="C980" s="27" t="s">
        <v>3404</v>
      </c>
      <c r="D980" s="27" t="s">
        <v>1542</v>
      </c>
      <c r="E980" s="129">
        <v>289.129</v>
      </c>
      <c r="F980" s="66">
        <v>2615.070356615067</v>
      </c>
      <c r="G980" s="27" t="s">
        <v>3406</v>
      </c>
      <c r="H980" s="167">
        <v>45387.0</v>
      </c>
      <c r="I980" s="167">
        <v>45396.0</v>
      </c>
      <c r="J980" s="66">
        <v>1937.1778937306406</v>
      </c>
      <c r="K980" s="1"/>
      <c r="L980" s="1"/>
      <c r="M980" s="1" t="str">
        <f>VLOOKUP(B980,Bounties!A:D,3,FALSE)</f>
        <v>Research</v>
      </c>
      <c r="N980" s="1" t="str">
        <f>VLOOKUP(B980,Bounties!A:D,4,FALSE)</f>
        <v>Anti-Scam</v>
      </c>
      <c r="O980" s="1" t="str">
        <f t="shared" ref="O980:P980" si="984">IF(ISBLANK(K980),M980,K980)</f>
        <v>Research</v>
      </c>
      <c r="P980" s="1" t="str">
        <f t="shared" si="984"/>
        <v>Anti-Scam</v>
      </c>
      <c r="Q980" s="108" t="str">
        <f t="shared" si="3"/>
        <v>2024</v>
      </c>
      <c r="R980" s="110">
        <f t="shared" si="4"/>
        <v>4</v>
      </c>
      <c r="S980" s="108" t="str">
        <f t="shared" si="5"/>
        <v>2024-Q2</v>
      </c>
      <c r="T980" s="111" t="str">
        <f t="shared" si="6"/>
        <v>2024-04</v>
      </c>
      <c r="U980" s="112" t="str">
        <f t="shared" si="7"/>
        <v>2024-H1</v>
      </c>
      <c r="V980" s="1" t="str">
        <f>VLOOKUP(B980,Bounties!A:E,2,FALSE)</f>
        <v>Anti-Scam Bounty</v>
      </c>
    </row>
    <row r="981" hidden="1">
      <c r="A981" s="109">
        <f>HYPERLINK("https://polkadot.subsquare.io/treasury/child-bounties/979", 979)</f>
        <v>979</v>
      </c>
      <c r="B981" s="183">
        <v>11.0</v>
      </c>
      <c r="C981" s="27" t="s">
        <v>3404</v>
      </c>
      <c r="D981" s="27" t="s">
        <v>1543</v>
      </c>
      <c r="E981" s="129">
        <v>283.937</v>
      </c>
      <c r="F981" s="66">
        <v>2568.110538362503</v>
      </c>
      <c r="G981" s="27" t="s">
        <v>3562</v>
      </c>
      <c r="H981" s="167">
        <v>45387.0</v>
      </c>
      <c r="I981" s="167">
        <v>45396.0</v>
      </c>
      <c r="J981" s="66">
        <v>1902.391249622822</v>
      </c>
      <c r="K981" s="1"/>
      <c r="L981" s="1"/>
      <c r="M981" s="1" t="str">
        <f>VLOOKUP(B981,Bounties!A:D,3,FALSE)</f>
        <v>Research</v>
      </c>
      <c r="N981" s="1" t="str">
        <f>VLOOKUP(B981,Bounties!A:D,4,FALSE)</f>
        <v>Anti-Scam</v>
      </c>
      <c r="O981" s="1" t="str">
        <f t="shared" ref="O981:P981" si="985">IF(ISBLANK(K981),M981,K981)</f>
        <v>Research</v>
      </c>
      <c r="P981" s="1" t="str">
        <f t="shared" si="985"/>
        <v>Anti-Scam</v>
      </c>
      <c r="Q981" s="108" t="str">
        <f t="shared" si="3"/>
        <v>2024</v>
      </c>
      <c r="R981" s="110">
        <f t="shared" si="4"/>
        <v>4</v>
      </c>
      <c r="S981" s="108" t="str">
        <f t="shared" si="5"/>
        <v>2024-Q2</v>
      </c>
      <c r="T981" s="111" t="str">
        <f t="shared" si="6"/>
        <v>2024-04</v>
      </c>
      <c r="U981" s="112" t="str">
        <f t="shared" si="7"/>
        <v>2024-H1</v>
      </c>
      <c r="V981" s="1" t="str">
        <f>VLOOKUP(B981,Bounties!A:E,2,FALSE)</f>
        <v>Anti-Scam Bounty</v>
      </c>
    </row>
    <row r="982" hidden="1">
      <c r="A982" s="109">
        <f>HYPERLINK("https://polkadot.subsquare.io/treasury/child-bounties/980", 980)</f>
        <v>980</v>
      </c>
      <c r="B982" s="183">
        <v>11.0</v>
      </c>
      <c r="C982" s="27" t="s">
        <v>3404</v>
      </c>
      <c r="D982" s="27" t="s">
        <v>1544</v>
      </c>
      <c r="E982" s="129">
        <v>748.336</v>
      </c>
      <c r="F982" s="66">
        <v>6768.436546966553</v>
      </c>
      <c r="G982" s="27" t="s">
        <v>3407</v>
      </c>
      <c r="H982" s="167">
        <v>45387.0</v>
      </c>
      <c r="I982" s="167">
        <v>45397.0</v>
      </c>
      <c r="J982" s="66">
        <v>5077.851093162537</v>
      </c>
      <c r="K982" s="1"/>
      <c r="L982" s="1"/>
      <c r="M982" s="1" t="str">
        <f>VLOOKUP(B982,Bounties!A:D,3,FALSE)</f>
        <v>Research</v>
      </c>
      <c r="N982" s="1" t="str">
        <f>VLOOKUP(B982,Bounties!A:D,4,FALSE)</f>
        <v>Anti-Scam</v>
      </c>
      <c r="O982" s="1" t="str">
        <f t="shared" ref="O982:P982" si="986">IF(ISBLANK(K982),M982,K982)</f>
        <v>Research</v>
      </c>
      <c r="P982" s="1" t="str">
        <f t="shared" si="986"/>
        <v>Anti-Scam</v>
      </c>
      <c r="Q982" s="108" t="str">
        <f t="shared" si="3"/>
        <v>2024</v>
      </c>
      <c r="R982" s="110">
        <f t="shared" si="4"/>
        <v>4</v>
      </c>
      <c r="S982" s="108" t="str">
        <f t="shared" si="5"/>
        <v>2024-Q2</v>
      </c>
      <c r="T982" s="111" t="str">
        <f t="shared" si="6"/>
        <v>2024-04</v>
      </c>
      <c r="U982" s="112" t="str">
        <f t="shared" si="7"/>
        <v>2024-H1</v>
      </c>
      <c r="V982" s="1" t="str">
        <f>VLOOKUP(B982,Bounties!A:E,2,FALSE)</f>
        <v>Anti-Scam Bounty</v>
      </c>
    </row>
    <row r="983" hidden="1">
      <c r="A983" s="109">
        <f>HYPERLINK("https://polkadot.subsquare.io/treasury/child-bounties/981", 981)</f>
        <v>981</v>
      </c>
      <c r="B983" s="183">
        <v>22.0</v>
      </c>
      <c r="C983" s="27" t="s">
        <v>3404</v>
      </c>
      <c r="D983" s="27" t="s">
        <v>1545</v>
      </c>
      <c r="E983" s="129">
        <v>1057.0</v>
      </c>
      <c r="F983" s="66">
        <v>9560.194124221802</v>
      </c>
      <c r="G983" s="27" t="s">
        <v>3570</v>
      </c>
      <c r="H983" s="167">
        <v>45388.0</v>
      </c>
      <c r="I983" s="167">
        <v>45426.0</v>
      </c>
      <c r="J983" s="66">
        <v>7606.97097158432</v>
      </c>
      <c r="K983" s="1"/>
      <c r="L983" s="1"/>
      <c r="M983" s="1" t="str">
        <f>VLOOKUP(B983,Bounties!A:D,3,FALSE)</f>
        <v>Development</v>
      </c>
      <c r="N983" s="1" t="str">
        <f>VLOOKUP(B983,Bounties!A:D,4,FALSE)</f>
        <v>Ecosystem Services</v>
      </c>
      <c r="O983" s="1" t="str">
        <f t="shared" ref="O983:P983" si="987">IF(ISBLANK(K983),M983,K983)</f>
        <v>Development</v>
      </c>
      <c r="P983" s="1" t="str">
        <f t="shared" si="987"/>
        <v>Ecosystem Services</v>
      </c>
      <c r="Q983" s="108" t="str">
        <f t="shared" si="3"/>
        <v>2024</v>
      </c>
      <c r="R983" s="110">
        <f t="shared" si="4"/>
        <v>5</v>
      </c>
      <c r="S983" s="108" t="str">
        <f t="shared" si="5"/>
        <v>2024-Q2</v>
      </c>
      <c r="T983" s="111" t="str">
        <f t="shared" si="6"/>
        <v>2024-05</v>
      </c>
      <c r="U983" s="112" t="str">
        <f t="shared" si="7"/>
        <v>2024-H1</v>
      </c>
      <c r="V983" s="1" t="str">
        <f>VLOOKUP(B983,Bounties!A:E,2,FALSE)</f>
        <v>Polkadot Assurance Legion Bounty</v>
      </c>
    </row>
    <row r="984" hidden="1">
      <c r="A984" s="109">
        <f>HYPERLINK("https://polkadot.subsquare.io/treasury/child-bounties/982", 982)</f>
        <v>982</v>
      </c>
      <c r="B984" s="183">
        <v>33.0</v>
      </c>
      <c r="C984" s="27" t="s">
        <v>3404</v>
      </c>
      <c r="D984" s="27" t="s">
        <v>1546</v>
      </c>
      <c r="E984" s="129">
        <v>1620.0</v>
      </c>
      <c r="F984" s="66">
        <v>14029.284725189209</v>
      </c>
      <c r="G984" s="27" t="s">
        <v>3638</v>
      </c>
      <c r="H984" s="167">
        <v>45388.0</v>
      </c>
      <c r="I984" s="167">
        <v>45398.0</v>
      </c>
      <c r="J984" s="66">
        <v>10992.547159194946</v>
      </c>
      <c r="K984" s="1" t="s">
        <v>137</v>
      </c>
      <c r="L984" s="1" t="s">
        <v>296</v>
      </c>
      <c r="M984" s="1" t="str">
        <f>VLOOKUP(B984,Bounties!A:D,3,FALSE)</f>
        <v>Outreach</v>
      </c>
      <c r="N984" s="1" t="str">
        <f>VLOOKUP(B984,Bounties!A:D,4,FALSE)</f>
        <v>Advertising</v>
      </c>
      <c r="O984" s="1" t="str">
        <f t="shared" ref="O984:P984" si="988">IF(ISBLANK(K984),M984,K984)</f>
        <v>Outreach</v>
      </c>
      <c r="P984" s="1" t="str">
        <f t="shared" si="988"/>
        <v>Advertising/Influencers</v>
      </c>
      <c r="Q984" s="108" t="str">
        <f t="shared" si="3"/>
        <v>2024</v>
      </c>
      <c r="R984" s="110">
        <f t="shared" si="4"/>
        <v>4</v>
      </c>
      <c r="S984" s="108" t="str">
        <f t="shared" si="5"/>
        <v>2024-Q2</v>
      </c>
      <c r="T984" s="111" t="str">
        <f t="shared" si="6"/>
        <v>2024-04</v>
      </c>
      <c r="U984" s="112" t="str">
        <f t="shared" si="7"/>
        <v>2024-H1</v>
      </c>
      <c r="V984" s="1" t="str">
        <f>VLOOKUP(B984,Bounties!A:E,2,FALSE)</f>
        <v>Marketing Bounty</v>
      </c>
    </row>
    <row r="985" hidden="1">
      <c r="A985" s="109">
        <f>HYPERLINK("https://polkadot.subsquare.io/treasury/child-bounties/983", 983)</f>
        <v>983</v>
      </c>
      <c r="B985" s="183">
        <v>33.0</v>
      </c>
      <c r="C985" s="27" t="s">
        <v>3404</v>
      </c>
      <c r="D985" s="27" t="s">
        <v>1547</v>
      </c>
      <c r="E985" s="129">
        <v>135.0</v>
      </c>
      <c r="F985" s="66">
        <v>1169.107060432434</v>
      </c>
      <c r="G985" s="27" t="s">
        <v>3596</v>
      </c>
      <c r="H985" s="167">
        <v>45388.0</v>
      </c>
      <c r="I985" s="167">
        <v>45400.0</v>
      </c>
      <c r="J985" s="66">
        <v>963.2288932800293</v>
      </c>
      <c r="K985" s="1" t="s">
        <v>137</v>
      </c>
      <c r="L985" s="3" t="s">
        <v>523</v>
      </c>
      <c r="M985" s="1" t="str">
        <f>VLOOKUP(B985,Bounties!A:D,3,FALSE)</f>
        <v>Outreach</v>
      </c>
      <c r="N985" s="1" t="str">
        <f>VLOOKUP(B985,Bounties!A:D,4,FALSE)</f>
        <v>Advertising</v>
      </c>
      <c r="O985" s="1" t="str">
        <f t="shared" ref="O985:P985" si="989">IF(ISBLANK(K985),M985,K985)</f>
        <v>Outreach</v>
      </c>
      <c r="P985" s="1" t="str">
        <f t="shared" si="989"/>
        <v>Advertising</v>
      </c>
      <c r="Q985" s="108" t="str">
        <f t="shared" si="3"/>
        <v>2024</v>
      </c>
      <c r="R985" s="110">
        <f t="shared" si="4"/>
        <v>4</v>
      </c>
      <c r="S985" s="108" t="str">
        <f t="shared" si="5"/>
        <v>2024-Q2</v>
      </c>
      <c r="T985" s="111" t="str">
        <f t="shared" si="6"/>
        <v>2024-04</v>
      </c>
      <c r="U985" s="112" t="str">
        <f t="shared" si="7"/>
        <v>2024-H1</v>
      </c>
      <c r="V985" s="1" t="str">
        <f>VLOOKUP(B985,Bounties!A:E,2,FALSE)</f>
        <v>Marketing Bounty</v>
      </c>
    </row>
    <row r="986" hidden="1">
      <c r="A986" s="109">
        <f>HYPERLINK("https://polkadot.subsquare.io/treasury/child-bounties/984", 984)</f>
        <v>984</v>
      </c>
      <c r="B986" s="183">
        <v>33.0</v>
      </c>
      <c r="C986" s="27" t="s">
        <v>3404</v>
      </c>
      <c r="D986" s="27" t="s">
        <v>1548</v>
      </c>
      <c r="E986" s="129">
        <v>6278.0</v>
      </c>
      <c r="F986" s="66">
        <v>54367.808336257935</v>
      </c>
      <c r="G986" s="27" t="s">
        <v>3586</v>
      </c>
      <c r="H986" s="167">
        <v>45388.0</v>
      </c>
      <c r="I986" s="167">
        <v>45397.0</v>
      </c>
      <c r="J986" s="66">
        <v>41306.89853858948</v>
      </c>
      <c r="K986" s="1" t="s">
        <v>137</v>
      </c>
      <c r="L986" s="1" t="s">
        <v>296</v>
      </c>
      <c r="M986" s="1" t="str">
        <f>VLOOKUP(B986,Bounties!A:D,3,FALSE)</f>
        <v>Outreach</v>
      </c>
      <c r="N986" s="1" t="str">
        <f>VLOOKUP(B986,Bounties!A:D,4,FALSE)</f>
        <v>Advertising</v>
      </c>
      <c r="O986" s="1" t="str">
        <f t="shared" ref="O986:P986" si="990">IF(ISBLANK(K986),M986,K986)</f>
        <v>Outreach</v>
      </c>
      <c r="P986" s="1" t="str">
        <f t="shared" si="990"/>
        <v>Advertising/Influencers</v>
      </c>
      <c r="Q986" s="108" t="str">
        <f t="shared" si="3"/>
        <v>2024</v>
      </c>
      <c r="R986" s="110">
        <f t="shared" si="4"/>
        <v>4</v>
      </c>
      <c r="S986" s="108" t="str">
        <f t="shared" si="5"/>
        <v>2024-Q2</v>
      </c>
      <c r="T986" s="111" t="str">
        <f t="shared" si="6"/>
        <v>2024-04</v>
      </c>
      <c r="U986" s="112" t="str">
        <f t="shared" si="7"/>
        <v>2024-H1</v>
      </c>
      <c r="V986" s="1" t="str">
        <f>VLOOKUP(B986,Bounties!A:E,2,FALSE)</f>
        <v>Marketing Bounty</v>
      </c>
    </row>
    <row r="987" hidden="1">
      <c r="A987" s="109">
        <f>HYPERLINK("https://polkadot.subsquare.io/treasury/child-bounties/985", 985)</f>
        <v>985</v>
      </c>
      <c r="B987" s="183">
        <v>33.0</v>
      </c>
      <c r="C987" s="27" t="s">
        <v>3404</v>
      </c>
      <c r="D987" s="27" t="s">
        <v>1549</v>
      </c>
      <c r="E987" s="129">
        <v>70702.8</v>
      </c>
      <c r="F987" s="66">
        <v>612289.9457210541</v>
      </c>
      <c r="G987" s="27" t="s">
        <v>3611</v>
      </c>
      <c r="H987" s="167">
        <v>45388.0</v>
      </c>
      <c r="I987" s="167">
        <v>45397.0</v>
      </c>
      <c r="J987" s="66">
        <v>465198.0544750214</v>
      </c>
      <c r="K987" s="1" t="s">
        <v>137</v>
      </c>
      <c r="L987" s="1" t="s">
        <v>296</v>
      </c>
      <c r="M987" s="1" t="str">
        <f>VLOOKUP(B987,Bounties!A:D,3,FALSE)</f>
        <v>Outreach</v>
      </c>
      <c r="N987" s="1" t="str">
        <f>VLOOKUP(B987,Bounties!A:D,4,FALSE)</f>
        <v>Advertising</v>
      </c>
      <c r="O987" s="1" t="str">
        <f t="shared" ref="O987:P987" si="991">IF(ISBLANK(K987),M987,K987)</f>
        <v>Outreach</v>
      </c>
      <c r="P987" s="1" t="str">
        <f t="shared" si="991"/>
        <v>Advertising/Influencers</v>
      </c>
      <c r="Q987" s="108" t="str">
        <f t="shared" si="3"/>
        <v>2024</v>
      </c>
      <c r="R987" s="110">
        <f t="shared" si="4"/>
        <v>4</v>
      </c>
      <c r="S987" s="108" t="str">
        <f t="shared" si="5"/>
        <v>2024-Q2</v>
      </c>
      <c r="T987" s="111" t="str">
        <f t="shared" si="6"/>
        <v>2024-04</v>
      </c>
      <c r="U987" s="112" t="str">
        <f t="shared" si="7"/>
        <v>2024-H1</v>
      </c>
      <c r="V987" s="1" t="str">
        <f>VLOOKUP(B987,Bounties!A:E,2,FALSE)</f>
        <v>Marketing Bounty</v>
      </c>
    </row>
    <row r="988" hidden="1">
      <c r="A988" s="109">
        <f>HYPERLINK("https://polkadot.subsquare.io/treasury/child-bounties/986", 986)</f>
        <v>986</v>
      </c>
      <c r="B988" s="183">
        <v>33.0</v>
      </c>
      <c r="C988" s="27" t="s">
        <v>3404</v>
      </c>
      <c r="D988" s="27" t="s">
        <v>1550</v>
      </c>
      <c r="E988" s="129">
        <v>6361.8</v>
      </c>
      <c r="F988" s="66">
        <v>53559.36720314026</v>
      </c>
      <c r="G988" s="27" t="s">
        <v>3633</v>
      </c>
      <c r="H988" s="167">
        <v>45390.0</v>
      </c>
      <c r="I988" s="167">
        <v>45401.0</v>
      </c>
      <c r="J988" s="66">
        <v>45391.62646865845</v>
      </c>
      <c r="K988" s="1" t="s">
        <v>137</v>
      </c>
      <c r="L988" s="1" t="s">
        <v>431</v>
      </c>
      <c r="M988" s="1" t="str">
        <f>VLOOKUP(B988,Bounties!A:D,3,FALSE)</f>
        <v>Outreach</v>
      </c>
      <c r="N988" s="1" t="str">
        <f>VLOOKUP(B988,Bounties!A:D,4,FALSE)</f>
        <v>Advertising</v>
      </c>
      <c r="O988" s="1" t="str">
        <f t="shared" ref="O988:P988" si="992">IF(ISBLANK(K988),M988,K988)</f>
        <v>Outreach</v>
      </c>
      <c r="P988" s="1" t="str">
        <f t="shared" si="992"/>
        <v>Advertising/Sponsorships</v>
      </c>
      <c r="Q988" s="108" t="str">
        <f t="shared" si="3"/>
        <v>2024</v>
      </c>
      <c r="R988" s="110">
        <f t="shared" si="4"/>
        <v>4</v>
      </c>
      <c r="S988" s="108" t="str">
        <f t="shared" si="5"/>
        <v>2024-Q2</v>
      </c>
      <c r="T988" s="111" t="str">
        <f t="shared" si="6"/>
        <v>2024-04</v>
      </c>
      <c r="U988" s="112" t="str">
        <f t="shared" si="7"/>
        <v>2024-H1</v>
      </c>
      <c r="V988" s="1" t="str">
        <f>VLOOKUP(B988,Bounties!A:E,2,FALSE)</f>
        <v>Marketing Bounty</v>
      </c>
    </row>
    <row r="989" hidden="1">
      <c r="A989" s="109">
        <f>HYPERLINK("https://polkadot.subsquare.io/treasury/child-bounties/987", 987)</f>
        <v>987</v>
      </c>
      <c r="B989" s="183">
        <v>19.0</v>
      </c>
      <c r="C989" s="27" t="s">
        <v>3404</v>
      </c>
      <c r="D989" s="27" t="s">
        <v>1551</v>
      </c>
      <c r="E989" s="129">
        <v>3480.0</v>
      </c>
      <c r="F989" s="66">
        <v>25198.9892578125</v>
      </c>
      <c r="G989" s="27" t="s">
        <v>3556</v>
      </c>
      <c r="H989" s="167">
        <v>45391.0</v>
      </c>
      <c r="I989" s="167">
        <v>45406.0</v>
      </c>
      <c r="J989" s="66">
        <v>23518.594665527344</v>
      </c>
      <c r="K989" s="1"/>
      <c r="L989" s="1"/>
      <c r="M989" s="1" t="str">
        <f>VLOOKUP(B989,Bounties!A:D,3,FALSE)</f>
        <v>Development</v>
      </c>
      <c r="N989" s="1" t="str">
        <f>VLOOKUP(B989,Bounties!A:D,4,FALSE)</f>
        <v>Smart Contracts</v>
      </c>
      <c r="O989" s="1" t="str">
        <f t="shared" ref="O989:P989" si="993">IF(ISBLANK(K989),M989,K989)</f>
        <v>Development</v>
      </c>
      <c r="P989" s="1" t="str">
        <f t="shared" si="993"/>
        <v>Smart Contracts</v>
      </c>
      <c r="Q989" s="108" t="str">
        <f t="shared" si="3"/>
        <v>2024</v>
      </c>
      <c r="R989" s="110">
        <f t="shared" si="4"/>
        <v>4</v>
      </c>
      <c r="S989" s="108" t="str">
        <f t="shared" si="5"/>
        <v>2024-Q2</v>
      </c>
      <c r="T989" s="111" t="str">
        <f t="shared" si="6"/>
        <v>2024-04</v>
      </c>
      <c r="U989" s="112" t="str">
        <f t="shared" si="7"/>
        <v>2024-H1</v>
      </c>
      <c r="V989" s="1" t="str">
        <f>VLOOKUP(B989,Bounties!A:E,2,FALSE)</f>
        <v>Wasm Smart Contracts Bounty</v>
      </c>
    </row>
    <row r="990" hidden="1">
      <c r="A990" s="109">
        <f>HYPERLINK("https://polkadot.subsquare.io/treasury/child-bounties/988", 988)</f>
        <v>988</v>
      </c>
      <c r="B990" s="183">
        <v>19.0</v>
      </c>
      <c r="C990" s="27" t="s">
        <v>3404</v>
      </c>
      <c r="D990" s="27" t="s">
        <v>1552</v>
      </c>
      <c r="E990" s="129">
        <v>2221.0</v>
      </c>
      <c r="F990" s="66">
        <v>16082.458374023438</v>
      </c>
      <c r="G990" s="27" t="s">
        <v>3551</v>
      </c>
      <c r="H990" s="167">
        <v>45391.0</v>
      </c>
      <c r="I990" s="167">
        <v>45432.0</v>
      </c>
      <c r="J990" s="66">
        <v>15992.91948223114</v>
      </c>
      <c r="K990" s="1"/>
      <c r="L990" s="1"/>
      <c r="M990" s="1" t="str">
        <f>VLOOKUP(B990,Bounties!A:D,3,FALSE)</f>
        <v>Development</v>
      </c>
      <c r="N990" s="1" t="str">
        <f>VLOOKUP(B990,Bounties!A:D,4,FALSE)</f>
        <v>Smart Contracts</v>
      </c>
      <c r="O990" s="1" t="str">
        <f t="shared" ref="O990:P990" si="994">IF(ISBLANK(K990),M990,K990)</f>
        <v>Development</v>
      </c>
      <c r="P990" s="1" t="str">
        <f t="shared" si="994"/>
        <v>Smart Contracts</v>
      </c>
      <c r="Q990" s="108" t="str">
        <f t="shared" si="3"/>
        <v>2024</v>
      </c>
      <c r="R990" s="110">
        <f t="shared" si="4"/>
        <v>5</v>
      </c>
      <c r="S990" s="108" t="str">
        <f t="shared" si="5"/>
        <v>2024-Q2</v>
      </c>
      <c r="T990" s="111" t="str">
        <f t="shared" si="6"/>
        <v>2024-05</v>
      </c>
      <c r="U990" s="112" t="str">
        <f t="shared" si="7"/>
        <v>2024-H1</v>
      </c>
      <c r="V990" s="1" t="str">
        <f>VLOOKUP(B990,Bounties!A:E,2,FALSE)</f>
        <v>Wasm Smart Contracts Bounty</v>
      </c>
    </row>
    <row r="991" hidden="1">
      <c r="A991" s="109">
        <f>HYPERLINK("https://polkadot.subsquare.io/treasury/child-bounties/989", 989)</f>
        <v>989</v>
      </c>
      <c r="B991" s="183">
        <v>33.0</v>
      </c>
      <c r="C991" s="27" t="s">
        <v>3404</v>
      </c>
      <c r="D991" s="27" t="s">
        <v>1553</v>
      </c>
      <c r="E991" s="129">
        <v>396.26</v>
      </c>
      <c r="F991" s="66">
        <v>2659.9075696372984</v>
      </c>
      <c r="G991" s="27" t="s">
        <v>3645</v>
      </c>
      <c r="H991" s="167">
        <v>45395.0</v>
      </c>
      <c r="I991" s="167">
        <v>45403.0</v>
      </c>
      <c r="J991" s="66">
        <v>2870.7400226593018</v>
      </c>
      <c r="K991" s="1" t="s">
        <v>137</v>
      </c>
      <c r="L991" s="1" t="s">
        <v>254</v>
      </c>
      <c r="M991" s="1" t="str">
        <f>VLOOKUP(B991,Bounties!A:D,3,FALSE)</f>
        <v>Outreach</v>
      </c>
      <c r="N991" s="1" t="str">
        <f>VLOOKUP(B991,Bounties!A:D,4,FALSE)</f>
        <v>Advertising</v>
      </c>
      <c r="O991" s="1" t="str">
        <f t="shared" ref="O991:P991" si="995">IF(ISBLANK(K991),M991,K991)</f>
        <v>Outreach</v>
      </c>
      <c r="P991" s="1" t="str">
        <f t="shared" si="995"/>
        <v>Advertising/Digital Ads</v>
      </c>
      <c r="Q991" s="108" t="str">
        <f t="shared" si="3"/>
        <v>2024</v>
      </c>
      <c r="R991" s="110">
        <f t="shared" si="4"/>
        <v>4</v>
      </c>
      <c r="S991" s="108" t="str">
        <f t="shared" si="5"/>
        <v>2024-Q2</v>
      </c>
      <c r="T991" s="111" t="str">
        <f t="shared" si="6"/>
        <v>2024-04</v>
      </c>
      <c r="U991" s="112" t="str">
        <f t="shared" si="7"/>
        <v>2024-H1</v>
      </c>
      <c r="V991" s="1" t="str">
        <f>VLOOKUP(B991,Bounties!A:E,2,FALSE)</f>
        <v>Marketing Bounty</v>
      </c>
    </row>
    <row r="992" hidden="1">
      <c r="A992" s="109">
        <f>HYPERLINK("https://polkadot.subsquare.io/treasury/child-bounties/990", 990)</f>
        <v>990</v>
      </c>
      <c r="B992" s="183">
        <v>37.0</v>
      </c>
      <c r="C992" s="27" t="s">
        <v>3404</v>
      </c>
      <c r="D992" s="27" t="s">
        <v>1555</v>
      </c>
      <c r="E992" s="129">
        <v>5147.75</v>
      </c>
      <c r="F992" s="66">
        <v>34490.16702735424</v>
      </c>
      <c r="G992" s="27" t="s">
        <v>3646</v>
      </c>
      <c r="H992" s="167">
        <v>45396.0</v>
      </c>
      <c r="I992" s="167">
        <v>45406.0</v>
      </c>
      <c r="J992" s="66">
        <v>34997.67335188389</v>
      </c>
      <c r="K992" s="1"/>
      <c r="L992" s="1"/>
      <c r="M992" s="1" t="str">
        <f>VLOOKUP(B992,Bounties!A:D,3,FALSE)</f>
        <v>Operations</v>
      </c>
      <c r="N992" s="1" t="str">
        <f>VLOOKUP(B992,Bounties!A:D,4,FALSE)</f>
        <v>Infrastructure</v>
      </c>
      <c r="O992" s="1" t="str">
        <f t="shared" ref="O992:P992" si="996">IF(ISBLANK(K992),M992,K992)</f>
        <v>Operations</v>
      </c>
      <c r="P992" s="1" t="str">
        <f t="shared" si="996"/>
        <v>Infrastructure</v>
      </c>
      <c r="Q992" s="108" t="str">
        <f t="shared" si="3"/>
        <v>2024</v>
      </c>
      <c r="R992" s="110">
        <f t="shared" si="4"/>
        <v>4</v>
      </c>
      <c r="S992" s="108" t="str">
        <f t="shared" si="5"/>
        <v>2024-Q2</v>
      </c>
      <c r="T992" s="111" t="str">
        <f t="shared" si="6"/>
        <v>2024-04</v>
      </c>
      <c r="U992" s="112" t="str">
        <f t="shared" si="7"/>
        <v>2024-H1</v>
      </c>
      <c r="V992" s="1" t="str">
        <f>VLOOKUP(B992,Bounties!A:E,2,FALSE)</f>
        <v>Paseo Testnet Bounty</v>
      </c>
    </row>
    <row r="993" hidden="1">
      <c r="A993" s="109">
        <f>HYPERLINK("https://polkadot.subsquare.io/treasury/child-bounties/991", 991)</f>
        <v>991</v>
      </c>
      <c r="B993" s="183">
        <v>37.0</v>
      </c>
      <c r="C993" s="27" t="s">
        <v>3404</v>
      </c>
      <c r="D993" s="27" t="s">
        <v>1556</v>
      </c>
      <c r="E993" s="129">
        <v>10295.5</v>
      </c>
      <c r="F993" s="66">
        <v>67740.55015993118</v>
      </c>
      <c r="G993" s="27" t="s">
        <v>3647</v>
      </c>
      <c r="H993" s="167">
        <v>45396.0</v>
      </c>
      <c r="I993" s="167">
        <v>45406.0</v>
      </c>
      <c r="J993" s="66">
        <v>69579.22166061401</v>
      </c>
      <c r="K993" s="1"/>
      <c r="L993" s="1"/>
      <c r="M993" s="1" t="str">
        <f>VLOOKUP(B993,Bounties!A:D,3,FALSE)</f>
        <v>Operations</v>
      </c>
      <c r="N993" s="1" t="str">
        <f>VLOOKUP(B993,Bounties!A:D,4,FALSE)</f>
        <v>Infrastructure</v>
      </c>
      <c r="O993" s="1" t="str">
        <f t="shared" ref="O993:P993" si="997">IF(ISBLANK(K993),M993,K993)</f>
        <v>Operations</v>
      </c>
      <c r="P993" s="1" t="str">
        <f t="shared" si="997"/>
        <v>Infrastructure</v>
      </c>
      <c r="Q993" s="108" t="str">
        <f t="shared" si="3"/>
        <v>2024</v>
      </c>
      <c r="R993" s="110">
        <f t="shared" si="4"/>
        <v>4</v>
      </c>
      <c r="S993" s="108" t="str">
        <f t="shared" si="5"/>
        <v>2024-Q2</v>
      </c>
      <c r="T993" s="111" t="str">
        <f t="shared" si="6"/>
        <v>2024-04</v>
      </c>
      <c r="U993" s="112" t="str">
        <f t="shared" si="7"/>
        <v>2024-H1</v>
      </c>
      <c r="V993" s="1" t="str">
        <f>VLOOKUP(B993,Bounties!A:E,2,FALSE)</f>
        <v>Paseo Testnet Bounty</v>
      </c>
    </row>
    <row r="994" hidden="1">
      <c r="A994" s="109">
        <f>HYPERLINK("https://polkadot.subsquare.io/treasury/child-bounties/992", 992)</f>
        <v>992</v>
      </c>
      <c r="B994" s="183">
        <v>37.0</v>
      </c>
      <c r="C994" s="27" t="s">
        <v>3404</v>
      </c>
      <c r="D994" s="27" t="s">
        <v>1557</v>
      </c>
      <c r="E994" s="129">
        <v>5147.75</v>
      </c>
      <c r="F994" s="66">
        <v>33870.27507996559</v>
      </c>
      <c r="G994" s="27" t="s">
        <v>3648</v>
      </c>
      <c r="H994" s="167">
        <v>45396.0</v>
      </c>
      <c r="I994" s="167">
        <v>45406.0</v>
      </c>
      <c r="J994" s="66">
        <v>34997.67335188389</v>
      </c>
      <c r="K994" s="1"/>
      <c r="L994" s="1"/>
      <c r="M994" s="1" t="str">
        <f>VLOOKUP(B994,Bounties!A:D,3,FALSE)</f>
        <v>Operations</v>
      </c>
      <c r="N994" s="1" t="str">
        <f>VLOOKUP(B994,Bounties!A:D,4,FALSE)</f>
        <v>Infrastructure</v>
      </c>
      <c r="O994" s="1" t="str">
        <f t="shared" ref="O994:P994" si="998">IF(ISBLANK(K994),M994,K994)</f>
        <v>Operations</v>
      </c>
      <c r="P994" s="1" t="str">
        <f t="shared" si="998"/>
        <v>Infrastructure</v>
      </c>
      <c r="Q994" s="108" t="str">
        <f t="shared" si="3"/>
        <v>2024</v>
      </c>
      <c r="R994" s="110">
        <f t="shared" si="4"/>
        <v>4</v>
      </c>
      <c r="S994" s="108" t="str">
        <f t="shared" si="5"/>
        <v>2024-Q2</v>
      </c>
      <c r="T994" s="111" t="str">
        <f t="shared" si="6"/>
        <v>2024-04</v>
      </c>
      <c r="U994" s="112" t="str">
        <f t="shared" si="7"/>
        <v>2024-H1</v>
      </c>
      <c r="V994" s="1" t="str">
        <f>VLOOKUP(B994,Bounties!A:E,2,FALSE)</f>
        <v>Paseo Testnet Bounty</v>
      </c>
    </row>
    <row r="995" hidden="1">
      <c r="A995" s="109">
        <f>HYPERLINK("https://polkadot.subsquare.io/treasury/child-bounties/993", 993)</f>
        <v>993</v>
      </c>
      <c r="B995" s="183">
        <v>37.0</v>
      </c>
      <c r="C995" s="27" t="s">
        <v>3404</v>
      </c>
      <c r="D995" s="27" t="s">
        <v>1558</v>
      </c>
      <c r="E995" s="129">
        <v>10295.5</v>
      </c>
      <c r="F995" s="66">
        <v>67740.55015993118</v>
      </c>
      <c r="G995" s="27" t="s">
        <v>3649</v>
      </c>
      <c r="H995" s="167">
        <v>45396.0</v>
      </c>
      <c r="I995" s="167">
        <v>45422.0</v>
      </c>
      <c r="J995" s="66">
        <v>68160.11169695854</v>
      </c>
      <c r="K995" s="1"/>
      <c r="L995" s="1"/>
      <c r="M995" s="1" t="str">
        <f>VLOOKUP(B995,Bounties!A:D,3,FALSE)</f>
        <v>Operations</v>
      </c>
      <c r="N995" s="1" t="str">
        <f>VLOOKUP(B995,Bounties!A:D,4,FALSE)</f>
        <v>Infrastructure</v>
      </c>
      <c r="O995" s="1" t="str">
        <f t="shared" ref="O995:P995" si="999">IF(ISBLANK(K995),M995,K995)</f>
        <v>Operations</v>
      </c>
      <c r="P995" s="1" t="str">
        <f t="shared" si="999"/>
        <v>Infrastructure</v>
      </c>
      <c r="Q995" s="108" t="str">
        <f t="shared" si="3"/>
        <v>2024</v>
      </c>
      <c r="R995" s="110">
        <f t="shared" si="4"/>
        <v>5</v>
      </c>
      <c r="S995" s="108" t="str">
        <f t="shared" si="5"/>
        <v>2024-Q2</v>
      </c>
      <c r="T995" s="111" t="str">
        <f t="shared" si="6"/>
        <v>2024-05</v>
      </c>
      <c r="U995" s="112" t="str">
        <f t="shared" si="7"/>
        <v>2024-H1</v>
      </c>
      <c r="V995" s="1" t="str">
        <f>VLOOKUP(B995,Bounties!A:E,2,FALSE)</f>
        <v>Paseo Testnet Bounty</v>
      </c>
    </row>
    <row r="996" hidden="1">
      <c r="A996" s="109">
        <f>HYPERLINK("https://polkadot.subsquare.io/treasury/child-bounties/994", 994)</f>
        <v>994</v>
      </c>
      <c r="B996" s="183">
        <v>37.0</v>
      </c>
      <c r="C996" s="27" t="s">
        <v>3404</v>
      </c>
      <c r="D996" s="27" t="s">
        <v>1559</v>
      </c>
      <c r="E996" s="129">
        <v>45.6</v>
      </c>
      <c r="F996" s="66">
        <v>300.03099288940433</v>
      </c>
      <c r="G996" s="27" t="s">
        <v>3650</v>
      </c>
      <c r="H996" s="167">
        <v>45396.0</v>
      </c>
      <c r="I996" s="167">
        <v>45405.0</v>
      </c>
      <c r="J996" s="66">
        <v>308.17468872070316</v>
      </c>
      <c r="K996" s="1"/>
      <c r="L996" s="1"/>
      <c r="M996" s="1" t="str">
        <f>VLOOKUP(B996,Bounties!A:D,3,FALSE)</f>
        <v>Operations</v>
      </c>
      <c r="N996" s="1" t="str">
        <f>VLOOKUP(B996,Bounties!A:D,4,FALSE)</f>
        <v>Infrastructure</v>
      </c>
      <c r="O996" s="1" t="str">
        <f t="shared" ref="O996:P996" si="1000">IF(ISBLANK(K996),M996,K996)</f>
        <v>Operations</v>
      </c>
      <c r="P996" s="1" t="str">
        <f t="shared" si="1000"/>
        <v>Infrastructure</v>
      </c>
      <c r="Q996" s="108" t="str">
        <f t="shared" si="3"/>
        <v>2024</v>
      </c>
      <c r="R996" s="110">
        <f t="shared" si="4"/>
        <v>4</v>
      </c>
      <c r="S996" s="108" t="str">
        <f t="shared" si="5"/>
        <v>2024-Q2</v>
      </c>
      <c r="T996" s="111" t="str">
        <f t="shared" si="6"/>
        <v>2024-04</v>
      </c>
      <c r="U996" s="112" t="str">
        <f t="shared" si="7"/>
        <v>2024-H1</v>
      </c>
      <c r="V996" s="1" t="str">
        <f>VLOOKUP(B996,Bounties!A:E,2,FALSE)</f>
        <v>Paseo Testnet Bounty</v>
      </c>
    </row>
    <row r="997" hidden="1">
      <c r="A997" s="109">
        <f>HYPERLINK("https://polkadot.subsquare.io/treasury/child-bounties/995", 995)</f>
        <v>995</v>
      </c>
      <c r="B997" s="183">
        <v>33.0</v>
      </c>
      <c r="C997" s="27" t="s">
        <v>3404</v>
      </c>
      <c r="D997" s="27" t="s">
        <v>1560</v>
      </c>
      <c r="E997" s="129">
        <v>21810.74</v>
      </c>
      <c r="F997" s="66">
        <v>155620.25890235903</v>
      </c>
      <c r="G997" s="27" t="s">
        <v>3611</v>
      </c>
      <c r="H997" s="167">
        <v>45400.0</v>
      </c>
      <c r="I997" s="167">
        <v>45409.0</v>
      </c>
      <c r="J997" s="66">
        <v>143770.574150486</v>
      </c>
      <c r="K997" s="1" t="s">
        <v>137</v>
      </c>
      <c r="L997" s="1" t="s">
        <v>296</v>
      </c>
      <c r="M997" s="1" t="str">
        <f>VLOOKUP(B997,Bounties!A:D,3,FALSE)</f>
        <v>Outreach</v>
      </c>
      <c r="N997" s="1" t="str">
        <f>VLOOKUP(B997,Bounties!A:D,4,FALSE)</f>
        <v>Advertising</v>
      </c>
      <c r="O997" s="1" t="str">
        <f t="shared" ref="O997:P997" si="1001">IF(ISBLANK(K997),M997,K997)</f>
        <v>Outreach</v>
      </c>
      <c r="P997" s="1" t="str">
        <f t="shared" si="1001"/>
        <v>Advertising/Influencers</v>
      </c>
      <c r="Q997" s="108" t="str">
        <f t="shared" si="3"/>
        <v>2024</v>
      </c>
      <c r="R997" s="110">
        <f t="shared" si="4"/>
        <v>4</v>
      </c>
      <c r="S997" s="108" t="str">
        <f t="shared" si="5"/>
        <v>2024-Q2</v>
      </c>
      <c r="T997" s="111" t="str">
        <f t="shared" si="6"/>
        <v>2024-04</v>
      </c>
      <c r="U997" s="112" t="str">
        <f t="shared" si="7"/>
        <v>2024-H1</v>
      </c>
      <c r="V997" s="1" t="str">
        <f>VLOOKUP(B997,Bounties!A:E,2,FALSE)</f>
        <v>Marketing Bounty</v>
      </c>
    </row>
    <row r="998" hidden="1">
      <c r="A998" s="109">
        <f>HYPERLINK("https://polkadot.subsquare.io/treasury/child-bounties/996", 996)</f>
        <v>996</v>
      </c>
      <c r="B998" s="183">
        <v>38.0</v>
      </c>
      <c r="C998" s="27" t="s">
        <v>3404</v>
      </c>
      <c r="D998" s="27" t="s">
        <v>1561</v>
      </c>
      <c r="E998" s="129">
        <v>1.0</v>
      </c>
      <c r="F998" s="66">
        <v>7.477910995483398</v>
      </c>
      <c r="G998" s="27" t="s">
        <v>3651</v>
      </c>
      <c r="H998" s="167">
        <v>45401.0</v>
      </c>
      <c r="I998" s="167">
        <v>45431.0</v>
      </c>
      <c r="J998" s="66">
        <v>7.454471111297607</v>
      </c>
      <c r="K998" s="1"/>
      <c r="L998" s="1"/>
      <c r="M998" s="1" t="str">
        <f>VLOOKUP(B998,Bounties!A:D,3,FALSE)</f>
        <v>Development</v>
      </c>
      <c r="N998" s="1" t="str">
        <f>VLOOKUP(B998,Bounties!A:D,4,FALSE)</f>
        <v>Games</v>
      </c>
      <c r="O998" s="1" t="str">
        <f t="shared" ref="O998:P998" si="1002">IF(ISBLANK(K998),M998,K998)</f>
        <v>Development</v>
      </c>
      <c r="P998" s="1" t="str">
        <f t="shared" si="1002"/>
        <v>Games</v>
      </c>
      <c r="Q998" s="108" t="str">
        <f t="shared" si="3"/>
        <v>2024</v>
      </c>
      <c r="R998" s="110">
        <f t="shared" si="4"/>
        <v>5</v>
      </c>
      <c r="S998" s="108" t="str">
        <f t="shared" si="5"/>
        <v>2024-Q2</v>
      </c>
      <c r="T998" s="111" t="str">
        <f t="shared" si="6"/>
        <v>2024-05</v>
      </c>
      <c r="U998" s="112" t="str">
        <f t="shared" si="7"/>
        <v>2024-H1</v>
      </c>
      <c r="V998" s="1" t="str">
        <f>VLOOKUP(B998,Bounties!A:E,2,FALSE)</f>
        <v>Games Bounty</v>
      </c>
    </row>
    <row r="999" hidden="1">
      <c r="A999" s="109">
        <f>HYPERLINK("https://polkadot.subsquare.io/treasury/child-bounties/997", 997)</f>
        <v>997</v>
      </c>
      <c r="B999" s="183">
        <v>31.0</v>
      </c>
      <c r="C999" s="27" t="s">
        <v>3404</v>
      </c>
      <c r="D999" s="27" t="s">
        <v>1562</v>
      </c>
      <c r="E999" s="129">
        <v>98.557</v>
      </c>
      <c r="F999" s="66">
        <v>714.0047554969788</v>
      </c>
      <c r="G999" s="27" t="s">
        <v>3652</v>
      </c>
      <c r="H999" s="167">
        <v>45402.0</v>
      </c>
      <c r="I999" s="167">
        <v>45420.0</v>
      </c>
      <c r="J999" s="66">
        <v>656.3135190205575</v>
      </c>
      <c r="K999" s="1"/>
      <c r="L999" s="1"/>
      <c r="M999" s="1" t="str">
        <f>VLOOKUP(B999,Bounties!A:D,3,FALSE)</f>
        <v>Operations</v>
      </c>
      <c r="N999" s="1" t="str">
        <f>VLOOKUP(B999,Bounties!A:D,4,FALSE)</f>
        <v>RPCs and Nodes</v>
      </c>
      <c r="O999" s="1" t="str">
        <f t="shared" ref="O999:P999" si="1003">IF(ISBLANK(K999),M999,K999)</f>
        <v>Operations</v>
      </c>
      <c r="P999" s="1" t="str">
        <f t="shared" si="1003"/>
        <v>RPCs and Nodes</v>
      </c>
      <c r="Q999" s="108" t="str">
        <f t="shared" si="3"/>
        <v>2024</v>
      </c>
      <c r="R999" s="110">
        <f t="shared" si="4"/>
        <v>5</v>
      </c>
      <c r="S999" s="108" t="str">
        <f t="shared" si="5"/>
        <v>2024-Q2</v>
      </c>
      <c r="T999" s="111" t="str">
        <f t="shared" si="6"/>
        <v>2024-05</v>
      </c>
      <c r="U999" s="112" t="str">
        <f t="shared" si="7"/>
        <v>2024-H1</v>
      </c>
      <c r="V999" s="1" t="str">
        <f>VLOOKUP(B999,Bounties!A:E,2,FALSE)</f>
        <v>Public RPCs for Relay and System Chains</v>
      </c>
    </row>
    <row r="1000" hidden="1">
      <c r="A1000" s="109">
        <f>HYPERLINK("https://polkadot.subsquare.io/treasury/child-bounties/998", 998)</f>
        <v>998</v>
      </c>
      <c r="B1000" s="183">
        <v>31.0</v>
      </c>
      <c r="C1000" s="27" t="s">
        <v>3404</v>
      </c>
      <c r="D1000" s="27" t="s">
        <v>1563</v>
      </c>
      <c r="E1000" s="129">
        <v>311.287</v>
      </c>
      <c r="F1000" s="66">
        <v>2255.145736217499</v>
      </c>
      <c r="G1000" s="27" t="s">
        <v>3653</v>
      </c>
      <c r="H1000" s="167">
        <v>45402.0</v>
      </c>
      <c r="I1000" s="167">
        <v>45494.0</v>
      </c>
      <c r="J1000" s="66">
        <v>1789.397506722927</v>
      </c>
      <c r="K1000" s="1"/>
      <c r="L1000" s="1"/>
      <c r="M1000" s="1" t="str">
        <f>VLOOKUP(B1000,Bounties!A:D,3,FALSE)</f>
        <v>Operations</v>
      </c>
      <c r="N1000" s="1" t="str">
        <f>VLOOKUP(B1000,Bounties!A:D,4,FALSE)</f>
        <v>RPCs and Nodes</v>
      </c>
      <c r="O1000" s="1" t="str">
        <f t="shared" ref="O1000:P1000" si="1004">IF(ISBLANK(K1000),M1000,K1000)</f>
        <v>Operations</v>
      </c>
      <c r="P1000" s="1" t="str">
        <f t="shared" si="1004"/>
        <v>RPCs and Nodes</v>
      </c>
      <c r="Q1000" s="108" t="str">
        <f t="shared" si="3"/>
        <v>2024</v>
      </c>
      <c r="R1000" s="110">
        <f t="shared" si="4"/>
        <v>7</v>
      </c>
      <c r="S1000" s="108" t="str">
        <f t="shared" si="5"/>
        <v>2024-Q3</v>
      </c>
      <c r="T1000" s="111" t="str">
        <f t="shared" si="6"/>
        <v>2024-07</v>
      </c>
      <c r="U1000" s="112" t="str">
        <f t="shared" si="7"/>
        <v>2024-H2</v>
      </c>
      <c r="V1000" s="1" t="str">
        <f>VLOOKUP(B1000,Bounties!A:E,2,FALSE)</f>
        <v>Public RPCs for Relay and System Chains</v>
      </c>
    </row>
    <row r="1001" hidden="1">
      <c r="A1001" s="109">
        <f>HYPERLINK("https://polkadot.subsquare.io/treasury/child-bounties/999", 999)</f>
        <v>999</v>
      </c>
      <c r="B1001" s="183">
        <v>31.0</v>
      </c>
      <c r="C1001" s="27" t="s">
        <v>3404</v>
      </c>
      <c r="D1001" s="27" t="s">
        <v>1564</v>
      </c>
      <c r="E1001" s="129">
        <v>537.482</v>
      </c>
      <c r="F1001" s="66">
        <v>3893.8350801467896</v>
      </c>
      <c r="G1001" s="27" t="s">
        <v>3654</v>
      </c>
      <c r="H1001" s="167">
        <v>45402.0</v>
      </c>
      <c r="I1001" s="167">
        <v>45425.0</v>
      </c>
      <c r="J1001" s="66">
        <v>3742.7451550636288</v>
      </c>
      <c r="K1001" s="1"/>
      <c r="L1001" s="1"/>
      <c r="M1001" s="1" t="str">
        <f>VLOOKUP(B1001,Bounties!A:D,3,FALSE)</f>
        <v>Operations</v>
      </c>
      <c r="N1001" s="1" t="str">
        <f>VLOOKUP(B1001,Bounties!A:D,4,FALSE)</f>
        <v>RPCs and Nodes</v>
      </c>
      <c r="O1001" s="1" t="str">
        <f t="shared" ref="O1001:P1001" si="1005">IF(ISBLANK(K1001),M1001,K1001)</f>
        <v>Operations</v>
      </c>
      <c r="P1001" s="1" t="str">
        <f t="shared" si="1005"/>
        <v>RPCs and Nodes</v>
      </c>
      <c r="Q1001" s="108" t="str">
        <f t="shared" si="3"/>
        <v>2024</v>
      </c>
      <c r="R1001" s="110">
        <f t="shared" si="4"/>
        <v>5</v>
      </c>
      <c r="S1001" s="108" t="str">
        <f t="shared" si="5"/>
        <v>2024-Q2</v>
      </c>
      <c r="T1001" s="111" t="str">
        <f t="shared" si="6"/>
        <v>2024-05</v>
      </c>
      <c r="U1001" s="112" t="str">
        <f t="shared" si="7"/>
        <v>2024-H1</v>
      </c>
      <c r="V1001" s="1" t="str">
        <f>VLOOKUP(B1001,Bounties!A:E,2,FALSE)</f>
        <v>Public RPCs for Relay and System Chains</v>
      </c>
    </row>
    <row r="1002" hidden="1">
      <c r="A1002" s="109">
        <f>HYPERLINK("https://polkadot.subsquare.io/treasury/child-bounties/1000", 1000)</f>
        <v>1000</v>
      </c>
      <c r="B1002" s="183">
        <v>31.0</v>
      </c>
      <c r="C1002" s="27" t="s">
        <v>3404</v>
      </c>
      <c r="D1002" s="27" t="s">
        <v>1565</v>
      </c>
      <c r="E1002" s="129">
        <v>707.214</v>
      </c>
      <c r="F1002" s="66">
        <v>5123.473311424255</v>
      </c>
      <c r="G1002" s="27" t="s">
        <v>3589</v>
      </c>
      <c r="H1002" s="167">
        <v>45402.0</v>
      </c>
      <c r="I1002" s="167">
        <v>45411.0</v>
      </c>
      <c r="J1002" s="66">
        <v>5152.136165210724</v>
      </c>
      <c r="K1002" s="1"/>
      <c r="L1002" s="1"/>
      <c r="M1002" s="1" t="str">
        <f>VLOOKUP(B1002,Bounties!A:D,3,FALSE)</f>
        <v>Operations</v>
      </c>
      <c r="N1002" s="1" t="str">
        <f>VLOOKUP(B1002,Bounties!A:D,4,FALSE)</f>
        <v>RPCs and Nodes</v>
      </c>
      <c r="O1002" s="1" t="str">
        <f t="shared" ref="O1002:P1002" si="1006">IF(ISBLANK(K1002),M1002,K1002)</f>
        <v>Operations</v>
      </c>
      <c r="P1002" s="1" t="str">
        <f t="shared" si="1006"/>
        <v>RPCs and Nodes</v>
      </c>
      <c r="Q1002" s="108" t="str">
        <f t="shared" si="3"/>
        <v>2024</v>
      </c>
      <c r="R1002" s="110">
        <f t="shared" si="4"/>
        <v>4</v>
      </c>
      <c r="S1002" s="108" t="str">
        <f t="shared" si="5"/>
        <v>2024-Q2</v>
      </c>
      <c r="T1002" s="111" t="str">
        <f t="shared" si="6"/>
        <v>2024-04</v>
      </c>
      <c r="U1002" s="112" t="str">
        <f t="shared" si="7"/>
        <v>2024-H1</v>
      </c>
      <c r="V1002" s="1" t="str">
        <f>VLOOKUP(B1002,Bounties!A:E,2,FALSE)</f>
        <v>Public RPCs for Relay and System Chains</v>
      </c>
    </row>
    <row r="1003" hidden="1">
      <c r="A1003" s="109">
        <f>HYPERLINK("https://polkadot.subsquare.io/treasury/child-bounties/1001", 1001)</f>
        <v>1001</v>
      </c>
      <c r="B1003" s="183">
        <v>31.0</v>
      </c>
      <c r="C1003" s="27" t="s">
        <v>3655</v>
      </c>
      <c r="D1003" s="27" t="s">
        <v>3656</v>
      </c>
      <c r="E1003" s="129">
        <v>254.597</v>
      </c>
      <c r="F1003" s="66">
        <v>1844.4501023292542</v>
      </c>
      <c r="G1003" s="27" t="s">
        <v>3657</v>
      </c>
      <c r="H1003" s="167">
        <v>45402.0</v>
      </c>
      <c r="I1003" s="167">
        <v>45403.0</v>
      </c>
      <c r="J1003" s="66">
        <v>1844.4501023292542</v>
      </c>
      <c r="K1003" s="1"/>
      <c r="L1003" s="1"/>
      <c r="M1003" s="1" t="str">
        <f>VLOOKUP(B1003,Bounties!A:D,3,FALSE)</f>
        <v>Operations</v>
      </c>
      <c r="N1003" s="1" t="str">
        <f>VLOOKUP(B1003,Bounties!A:D,4,FALSE)</f>
        <v>RPCs and Nodes</v>
      </c>
      <c r="O1003" s="1" t="str">
        <f t="shared" ref="O1003:P1003" si="1007">IF(ISBLANK(K1003),M1003,K1003)</f>
        <v>Operations</v>
      </c>
      <c r="P1003" s="1" t="str">
        <f t="shared" si="1007"/>
        <v>RPCs and Nodes</v>
      </c>
      <c r="Q1003" s="108" t="str">
        <f t="shared" si="3"/>
        <v>2024</v>
      </c>
      <c r="R1003" s="110">
        <f t="shared" si="4"/>
        <v>4</v>
      </c>
      <c r="S1003" s="108" t="str">
        <f t="shared" si="5"/>
        <v>2024-Q2</v>
      </c>
      <c r="T1003" s="111" t="str">
        <f t="shared" si="6"/>
        <v>2024-04</v>
      </c>
      <c r="U1003" s="112" t="str">
        <f t="shared" si="7"/>
        <v>2024-H1</v>
      </c>
      <c r="V1003" s="1" t="str">
        <f>VLOOKUP(B1003,Bounties!A:E,2,FALSE)</f>
        <v>Public RPCs for Relay and System Chains</v>
      </c>
    </row>
    <row r="1004" hidden="1">
      <c r="A1004" s="109">
        <f>HYPERLINK("https://polkadot.subsquare.io/treasury/child-bounties/1002", 1002)</f>
        <v>1002</v>
      </c>
      <c r="B1004" s="183">
        <v>31.0</v>
      </c>
      <c r="C1004" s="27" t="s">
        <v>3404</v>
      </c>
      <c r="D1004" s="27" t="s">
        <v>1566</v>
      </c>
      <c r="E1004" s="129">
        <v>495.05</v>
      </c>
      <c r="F1004" s="66">
        <v>3586.4327669143677</v>
      </c>
      <c r="G1004" s="27" t="s">
        <v>3658</v>
      </c>
      <c r="H1004" s="167">
        <v>45402.0</v>
      </c>
      <c r="I1004" s="167">
        <v>45411.0</v>
      </c>
      <c r="J1004" s="66">
        <v>3606.496772670746</v>
      </c>
      <c r="K1004" s="1"/>
      <c r="L1004" s="1"/>
      <c r="M1004" s="1" t="str">
        <f>VLOOKUP(B1004,Bounties!A:D,3,FALSE)</f>
        <v>Operations</v>
      </c>
      <c r="N1004" s="1" t="str">
        <f>VLOOKUP(B1004,Bounties!A:D,4,FALSE)</f>
        <v>RPCs and Nodes</v>
      </c>
      <c r="O1004" s="1" t="str">
        <f t="shared" ref="O1004:P1004" si="1008">IF(ISBLANK(K1004),M1004,K1004)</f>
        <v>Operations</v>
      </c>
      <c r="P1004" s="1" t="str">
        <f t="shared" si="1008"/>
        <v>RPCs and Nodes</v>
      </c>
      <c r="Q1004" s="108" t="str">
        <f t="shared" si="3"/>
        <v>2024</v>
      </c>
      <c r="R1004" s="110">
        <f t="shared" si="4"/>
        <v>4</v>
      </c>
      <c r="S1004" s="108" t="str">
        <f t="shared" si="5"/>
        <v>2024-Q2</v>
      </c>
      <c r="T1004" s="111" t="str">
        <f t="shared" si="6"/>
        <v>2024-04</v>
      </c>
      <c r="U1004" s="112" t="str">
        <f t="shared" si="7"/>
        <v>2024-H1</v>
      </c>
      <c r="V1004" s="1" t="str">
        <f>VLOOKUP(B1004,Bounties!A:E,2,FALSE)</f>
        <v>Public RPCs for Relay and System Chains</v>
      </c>
    </row>
    <row r="1005" hidden="1">
      <c r="A1005" s="109">
        <f>HYPERLINK("https://polkadot.subsquare.io/treasury/child-bounties/1003", 1003)</f>
        <v>1003</v>
      </c>
      <c r="B1005" s="183">
        <v>31.0</v>
      </c>
      <c r="C1005" s="27" t="s">
        <v>3404</v>
      </c>
      <c r="D1005" s="27" t="s">
        <v>1567</v>
      </c>
      <c r="E1005" s="129">
        <v>558.699</v>
      </c>
      <c r="F1005" s="66">
        <v>4047.5434813499446</v>
      </c>
      <c r="G1005" s="27" t="s">
        <v>3659</v>
      </c>
      <c r="H1005" s="167">
        <v>45402.0</v>
      </c>
      <c r="I1005" s="167">
        <v>45413.0</v>
      </c>
      <c r="J1005" s="66">
        <v>3981.881259475708</v>
      </c>
      <c r="K1005" s="1"/>
      <c r="L1005" s="1"/>
      <c r="M1005" s="1" t="str">
        <f>VLOOKUP(B1005,Bounties!A:D,3,FALSE)</f>
        <v>Operations</v>
      </c>
      <c r="N1005" s="1" t="str">
        <f>VLOOKUP(B1005,Bounties!A:D,4,FALSE)</f>
        <v>RPCs and Nodes</v>
      </c>
      <c r="O1005" s="1" t="str">
        <f t="shared" ref="O1005:P1005" si="1009">IF(ISBLANK(K1005),M1005,K1005)</f>
        <v>Operations</v>
      </c>
      <c r="P1005" s="1" t="str">
        <f t="shared" si="1009"/>
        <v>RPCs and Nodes</v>
      </c>
      <c r="Q1005" s="108" t="str">
        <f t="shared" si="3"/>
        <v>2024</v>
      </c>
      <c r="R1005" s="110">
        <f t="shared" si="4"/>
        <v>5</v>
      </c>
      <c r="S1005" s="108" t="str">
        <f t="shared" si="5"/>
        <v>2024-Q2</v>
      </c>
      <c r="T1005" s="111" t="str">
        <f t="shared" si="6"/>
        <v>2024-05</v>
      </c>
      <c r="U1005" s="112" t="str">
        <f t="shared" si="7"/>
        <v>2024-H1</v>
      </c>
      <c r="V1005" s="1" t="str">
        <f>VLOOKUP(B1005,Bounties!A:E,2,FALSE)</f>
        <v>Public RPCs for Relay and System Chains</v>
      </c>
    </row>
    <row r="1006" hidden="1">
      <c r="A1006" s="109">
        <f>HYPERLINK("https://polkadot.subsquare.io/treasury/child-bounties/1004", 1004)</f>
        <v>1004</v>
      </c>
      <c r="B1006" s="183">
        <v>33.0</v>
      </c>
      <c r="C1006" s="27" t="s">
        <v>3404</v>
      </c>
      <c r="D1006" s="27" t="s">
        <v>1568</v>
      </c>
      <c r="E1006" s="129">
        <v>726.21</v>
      </c>
      <c r="F1006" s="66">
        <v>4907.884664382935</v>
      </c>
      <c r="G1006" s="27" t="s">
        <v>3645</v>
      </c>
      <c r="H1006" s="167">
        <v>45406.0</v>
      </c>
      <c r="I1006" s="167">
        <v>45414.0</v>
      </c>
      <c r="J1006" s="66">
        <v>5175.742196502686</v>
      </c>
      <c r="K1006" s="1" t="s">
        <v>137</v>
      </c>
      <c r="L1006" s="1" t="s">
        <v>254</v>
      </c>
      <c r="M1006" s="1" t="str">
        <f>VLOOKUP(B1006,Bounties!A:D,3,FALSE)</f>
        <v>Outreach</v>
      </c>
      <c r="N1006" s="1" t="str">
        <f>VLOOKUP(B1006,Bounties!A:D,4,FALSE)</f>
        <v>Advertising</v>
      </c>
      <c r="O1006" s="1" t="str">
        <f t="shared" ref="O1006:P1006" si="1010">IF(ISBLANK(K1006),M1006,K1006)</f>
        <v>Outreach</v>
      </c>
      <c r="P1006" s="1" t="str">
        <f t="shared" si="1010"/>
        <v>Advertising/Digital Ads</v>
      </c>
      <c r="Q1006" s="108" t="str">
        <f t="shared" si="3"/>
        <v>2024</v>
      </c>
      <c r="R1006" s="110">
        <f t="shared" si="4"/>
        <v>5</v>
      </c>
      <c r="S1006" s="108" t="str">
        <f t="shared" si="5"/>
        <v>2024-Q2</v>
      </c>
      <c r="T1006" s="111" t="str">
        <f t="shared" si="6"/>
        <v>2024-05</v>
      </c>
      <c r="U1006" s="112" t="str">
        <f t="shared" si="7"/>
        <v>2024-H1</v>
      </c>
      <c r="V1006" s="1" t="str">
        <f>VLOOKUP(B1006,Bounties!A:E,2,FALSE)</f>
        <v>Marketing Bounty</v>
      </c>
    </row>
    <row r="1007" hidden="1">
      <c r="A1007" s="109">
        <f>HYPERLINK("https://polkadot.subsquare.io/treasury/child-bounties/1005", 1005)</f>
        <v>1005</v>
      </c>
      <c r="B1007" s="183">
        <v>17.0</v>
      </c>
      <c r="C1007" s="27" t="s">
        <v>3404</v>
      </c>
      <c r="D1007" s="27" t="s">
        <v>1569</v>
      </c>
      <c r="E1007" s="129">
        <v>2155.77</v>
      </c>
      <c r="F1007" s="66">
        <v>14569.161155776977</v>
      </c>
      <c r="G1007" s="27" t="s">
        <v>3572</v>
      </c>
      <c r="H1007" s="167">
        <v>45406.0</v>
      </c>
      <c r="I1007" s="167">
        <v>45418.0</v>
      </c>
      <c r="J1007" s="66">
        <v>15198.436926941871</v>
      </c>
      <c r="K1007" s="1"/>
      <c r="L1007" s="1" t="s">
        <v>266</v>
      </c>
      <c r="M1007" s="1" t="str">
        <f>VLOOKUP(B1007,Bounties!A:D,3,FALSE)</f>
        <v>Outreach</v>
      </c>
      <c r="N1007" s="1" t="str">
        <f>VLOOKUP(B1007,Bounties!A:D,4,FALSE)</f>
        <v>Events/Meetups</v>
      </c>
      <c r="O1007" s="1" t="str">
        <f t="shared" ref="O1007:P1007" si="1011">IF(ISBLANK(K1007),M1007,K1007)</f>
        <v>Outreach</v>
      </c>
      <c r="P1007" s="1" t="str">
        <f t="shared" si="1011"/>
        <v>Events/Conference Attendance &amp; Side Events</v>
      </c>
      <c r="Q1007" s="108" t="str">
        <f t="shared" si="3"/>
        <v>2024</v>
      </c>
      <c r="R1007" s="110">
        <f t="shared" si="4"/>
        <v>5</v>
      </c>
      <c r="S1007" s="108" t="str">
        <f t="shared" si="5"/>
        <v>2024-Q2</v>
      </c>
      <c r="T1007" s="111" t="str">
        <f t="shared" si="6"/>
        <v>2024-05</v>
      </c>
      <c r="U1007" s="112" t="str">
        <f t="shared" si="7"/>
        <v>2024-H1</v>
      </c>
      <c r="V1007" s="1" t="str">
        <f>VLOOKUP(B1007,Bounties!A:E,2,FALSE)</f>
        <v>Events Bounty</v>
      </c>
    </row>
    <row r="1008" hidden="1">
      <c r="A1008" s="109">
        <f>HYPERLINK("https://polkadot.subsquare.io/treasury/child-bounties/1006", 1006)</f>
        <v>1006</v>
      </c>
      <c r="B1008" s="183">
        <v>17.0</v>
      </c>
      <c r="C1008" s="27" t="s">
        <v>3427</v>
      </c>
      <c r="D1008" s="27" t="s">
        <v>3660</v>
      </c>
      <c r="E1008" s="129">
        <v>5159.13</v>
      </c>
      <c r="F1008" s="66">
        <v>34866.51933815003</v>
      </c>
      <c r="H1008" s="167">
        <v>45406.0</v>
      </c>
      <c r="I1008" s="167">
        <v>45417.0</v>
      </c>
      <c r="J1008" s="66">
        <v>36097.085616230965</v>
      </c>
      <c r="K1008" s="1"/>
      <c r="L1008" s="1"/>
      <c r="M1008" s="1" t="str">
        <f>VLOOKUP(B1008,Bounties!A:D,3,FALSE)</f>
        <v>Outreach</v>
      </c>
      <c r="N1008" s="1" t="str">
        <f>VLOOKUP(B1008,Bounties!A:D,4,FALSE)</f>
        <v>Events/Meetups</v>
      </c>
      <c r="O1008" s="1" t="str">
        <f t="shared" ref="O1008:P1008" si="1012">IF(ISBLANK(K1008),M1008,K1008)</f>
        <v>Outreach</v>
      </c>
      <c r="P1008" s="1" t="str">
        <f t="shared" si="1012"/>
        <v>Events/Meetups</v>
      </c>
      <c r="Q1008" s="108" t="str">
        <f t="shared" si="3"/>
        <v>2024</v>
      </c>
      <c r="R1008" s="110">
        <f t="shared" si="4"/>
        <v>5</v>
      </c>
      <c r="S1008" s="108" t="str">
        <f t="shared" si="5"/>
        <v>2024-Q2</v>
      </c>
      <c r="T1008" s="111" t="str">
        <f t="shared" si="6"/>
        <v>2024-05</v>
      </c>
      <c r="U1008" s="112" t="str">
        <f t="shared" si="7"/>
        <v>2024-H1</v>
      </c>
      <c r="V1008" s="1" t="str">
        <f>VLOOKUP(B1008,Bounties!A:E,2,FALSE)</f>
        <v>Events Bounty</v>
      </c>
    </row>
    <row r="1009" hidden="1">
      <c r="A1009" s="109">
        <f>HYPERLINK("https://polkadot.subsquare.io/treasury/child-bounties/1007", 1007)</f>
        <v>1007</v>
      </c>
      <c r="B1009" s="183">
        <v>17.0</v>
      </c>
      <c r="C1009" s="27" t="s">
        <v>3404</v>
      </c>
      <c r="D1009" s="27" t="s">
        <v>1570</v>
      </c>
      <c r="E1009" s="129">
        <v>193.29</v>
      </c>
      <c r="F1009" s="66">
        <v>1306.295736465454</v>
      </c>
      <c r="G1009" s="27" t="s">
        <v>3630</v>
      </c>
      <c r="H1009" s="167">
        <v>45406.0</v>
      </c>
      <c r="I1009" s="167">
        <v>45417.0</v>
      </c>
      <c r="J1009" s="66">
        <v>1351.1200977230071</v>
      </c>
      <c r="K1009" s="1"/>
      <c r="L1009" s="1"/>
      <c r="M1009" s="1" t="str">
        <f>VLOOKUP(B1009,Bounties!A:D,3,FALSE)</f>
        <v>Outreach</v>
      </c>
      <c r="N1009" s="1" t="str">
        <f>VLOOKUP(B1009,Bounties!A:D,4,FALSE)</f>
        <v>Events/Meetups</v>
      </c>
      <c r="O1009" s="1" t="str">
        <f t="shared" ref="O1009:P1009" si="1013">IF(ISBLANK(K1009),M1009,K1009)</f>
        <v>Outreach</v>
      </c>
      <c r="P1009" s="1" t="str">
        <f t="shared" si="1013"/>
        <v>Events/Meetups</v>
      </c>
      <c r="Q1009" s="108" t="str">
        <f t="shared" si="3"/>
        <v>2024</v>
      </c>
      <c r="R1009" s="110">
        <f t="shared" si="4"/>
        <v>5</v>
      </c>
      <c r="S1009" s="108" t="str">
        <f t="shared" si="5"/>
        <v>2024-Q2</v>
      </c>
      <c r="T1009" s="111" t="str">
        <f t="shared" si="6"/>
        <v>2024-05</v>
      </c>
      <c r="U1009" s="112" t="str">
        <f t="shared" si="7"/>
        <v>2024-H1</v>
      </c>
      <c r="V1009" s="1" t="str">
        <f>VLOOKUP(B1009,Bounties!A:E,2,FALSE)</f>
        <v>Events Bounty</v>
      </c>
    </row>
    <row r="1010" hidden="1">
      <c r="A1010" s="109">
        <f>HYPERLINK("https://polkadot.subsquare.io/treasury/child-bounties/1008", 1008)</f>
        <v>1008</v>
      </c>
      <c r="B1010" s="183">
        <v>17.0</v>
      </c>
      <c r="C1010" s="27" t="s">
        <v>3404</v>
      </c>
      <c r="D1010" s="27" t="s">
        <v>1571</v>
      </c>
      <c r="E1010" s="129">
        <v>844.67</v>
      </c>
      <c r="F1010" s="66">
        <v>5708.463033370971</v>
      </c>
      <c r="G1010" s="27" t="s">
        <v>3614</v>
      </c>
      <c r="H1010" s="167">
        <v>45406.0</v>
      </c>
      <c r="I1010" s="167">
        <v>45417.0</v>
      </c>
      <c r="J1010" s="66">
        <v>5904.343799180984</v>
      </c>
      <c r="K1010" s="1"/>
      <c r="L1010" s="1" t="s">
        <v>266</v>
      </c>
      <c r="M1010" s="1" t="str">
        <f>VLOOKUP(B1010,Bounties!A:D,3,FALSE)</f>
        <v>Outreach</v>
      </c>
      <c r="N1010" s="1" t="str">
        <f>VLOOKUP(B1010,Bounties!A:D,4,FALSE)</f>
        <v>Events/Meetups</v>
      </c>
      <c r="O1010" s="1" t="str">
        <f t="shared" ref="O1010:P1010" si="1014">IF(ISBLANK(K1010),M1010,K1010)</f>
        <v>Outreach</v>
      </c>
      <c r="P1010" s="1" t="str">
        <f t="shared" si="1014"/>
        <v>Events/Conference Attendance &amp; Side Events</v>
      </c>
      <c r="Q1010" s="108" t="str">
        <f t="shared" si="3"/>
        <v>2024</v>
      </c>
      <c r="R1010" s="110">
        <f t="shared" si="4"/>
        <v>5</v>
      </c>
      <c r="S1010" s="108" t="str">
        <f t="shared" si="5"/>
        <v>2024-Q2</v>
      </c>
      <c r="T1010" s="111" t="str">
        <f t="shared" si="6"/>
        <v>2024-05</v>
      </c>
      <c r="U1010" s="112" t="str">
        <f t="shared" si="7"/>
        <v>2024-H1</v>
      </c>
      <c r="V1010" s="1" t="str">
        <f>VLOOKUP(B1010,Bounties!A:E,2,FALSE)</f>
        <v>Events Bounty</v>
      </c>
    </row>
    <row r="1011" hidden="1">
      <c r="A1011" s="109">
        <f>HYPERLINK("https://polkadot.subsquare.io/treasury/child-bounties/1009", 1009)</f>
        <v>1009</v>
      </c>
      <c r="B1011" s="183">
        <v>17.0</v>
      </c>
      <c r="C1011" s="27" t="s">
        <v>3404</v>
      </c>
      <c r="D1011" s="27" t="s">
        <v>1572</v>
      </c>
      <c r="E1011" s="129">
        <v>2743.39</v>
      </c>
      <c r="F1011" s="66">
        <v>18540.42454582214</v>
      </c>
      <c r="G1011" s="27" t="s">
        <v>3643</v>
      </c>
      <c r="H1011" s="167">
        <v>45406.0</v>
      </c>
      <c r="I1011" s="167">
        <v>45435.0</v>
      </c>
      <c r="J1011" s="66">
        <v>20705.006443419454</v>
      </c>
      <c r="K1011" s="1"/>
      <c r="L1011" s="1" t="s">
        <v>266</v>
      </c>
      <c r="M1011" s="1" t="str">
        <f>VLOOKUP(B1011,Bounties!A:D,3,FALSE)</f>
        <v>Outreach</v>
      </c>
      <c r="N1011" s="1" t="str">
        <f>VLOOKUP(B1011,Bounties!A:D,4,FALSE)</f>
        <v>Events/Meetups</v>
      </c>
      <c r="O1011" s="1" t="str">
        <f t="shared" ref="O1011:P1011" si="1015">IF(ISBLANK(K1011),M1011,K1011)</f>
        <v>Outreach</v>
      </c>
      <c r="P1011" s="1" t="str">
        <f t="shared" si="1015"/>
        <v>Events/Conference Attendance &amp; Side Events</v>
      </c>
      <c r="Q1011" s="108" t="str">
        <f t="shared" si="3"/>
        <v>2024</v>
      </c>
      <c r="R1011" s="110">
        <f t="shared" si="4"/>
        <v>5</v>
      </c>
      <c r="S1011" s="108" t="str">
        <f t="shared" si="5"/>
        <v>2024-Q2</v>
      </c>
      <c r="T1011" s="111" t="str">
        <f t="shared" si="6"/>
        <v>2024-05</v>
      </c>
      <c r="U1011" s="112" t="str">
        <f t="shared" si="7"/>
        <v>2024-H1</v>
      </c>
      <c r="V1011" s="1" t="str">
        <f>VLOOKUP(B1011,Bounties!A:E,2,FALSE)</f>
        <v>Events Bounty</v>
      </c>
    </row>
    <row r="1012" hidden="1">
      <c r="A1012" s="109">
        <f>HYPERLINK("https://polkadot.subsquare.io/treasury/child-bounties/1010", 1010)</f>
        <v>1010</v>
      </c>
      <c r="B1012" s="183">
        <v>17.0</v>
      </c>
      <c r="C1012" s="27" t="s">
        <v>3404</v>
      </c>
      <c r="D1012" s="27" t="s">
        <v>1573</v>
      </c>
      <c r="E1012" s="129">
        <v>1282.7</v>
      </c>
      <c r="F1012" s="66">
        <v>8668.764763641359</v>
      </c>
      <c r="G1012" s="27" t="s">
        <v>3464</v>
      </c>
      <c r="H1012" s="167">
        <v>45406.0</v>
      </c>
      <c r="I1012" s="167">
        <v>45417.0</v>
      </c>
      <c r="J1012" s="66">
        <v>8966.225616168977</v>
      </c>
      <c r="K1012" s="1"/>
      <c r="L1012" s="1" t="s">
        <v>266</v>
      </c>
      <c r="M1012" s="1" t="str">
        <f>VLOOKUP(B1012,Bounties!A:D,3,FALSE)</f>
        <v>Outreach</v>
      </c>
      <c r="N1012" s="1" t="str">
        <f>VLOOKUP(B1012,Bounties!A:D,4,FALSE)</f>
        <v>Events/Meetups</v>
      </c>
      <c r="O1012" s="1" t="str">
        <f t="shared" ref="O1012:P1012" si="1016">IF(ISBLANK(K1012),M1012,K1012)</f>
        <v>Outreach</v>
      </c>
      <c r="P1012" s="1" t="str">
        <f t="shared" si="1016"/>
        <v>Events/Conference Attendance &amp; Side Events</v>
      </c>
      <c r="Q1012" s="108" t="str">
        <f t="shared" si="3"/>
        <v>2024</v>
      </c>
      <c r="R1012" s="110">
        <f t="shared" si="4"/>
        <v>5</v>
      </c>
      <c r="S1012" s="108" t="str">
        <f t="shared" si="5"/>
        <v>2024-Q2</v>
      </c>
      <c r="T1012" s="111" t="str">
        <f t="shared" si="6"/>
        <v>2024-05</v>
      </c>
      <c r="U1012" s="112" t="str">
        <f t="shared" si="7"/>
        <v>2024-H1</v>
      </c>
      <c r="V1012" s="1" t="str">
        <f>VLOOKUP(B1012,Bounties!A:E,2,FALSE)</f>
        <v>Events Bounty</v>
      </c>
    </row>
    <row r="1013" hidden="1">
      <c r="A1013" s="109">
        <f>HYPERLINK("https://polkadot.subsquare.io/treasury/child-bounties/1011", 1011)</f>
        <v>1011</v>
      </c>
      <c r="B1013" s="183">
        <v>17.0</v>
      </c>
      <c r="C1013" s="27" t="s">
        <v>3404</v>
      </c>
      <c r="D1013" s="27" t="s">
        <v>1574</v>
      </c>
      <c r="E1013" s="129">
        <v>8219.47</v>
      </c>
      <c r="F1013" s="66">
        <v>55548.96071708679</v>
      </c>
      <c r="G1013" s="27" t="s">
        <v>3567</v>
      </c>
      <c r="H1013" s="167">
        <v>45406.0</v>
      </c>
      <c r="I1013" s="167">
        <v>45420.0</v>
      </c>
      <c r="J1013" s="66">
        <v>54735.32352023601</v>
      </c>
      <c r="K1013" s="1"/>
      <c r="L1013" s="1" t="s">
        <v>266</v>
      </c>
      <c r="M1013" s="1" t="str">
        <f>VLOOKUP(B1013,Bounties!A:D,3,FALSE)</f>
        <v>Outreach</v>
      </c>
      <c r="N1013" s="1" t="str">
        <f>VLOOKUP(B1013,Bounties!A:D,4,FALSE)</f>
        <v>Events/Meetups</v>
      </c>
      <c r="O1013" s="1" t="str">
        <f t="shared" ref="O1013:P1013" si="1017">IF(ISBLANK(K1013),M1013,K1013)</f>
        <v>Outreach</v>
      </c>
      <c r="P1013" s="1" t="str">
        <f t="shared" si="1017"/>
        <v>Events/Conference Attendance &amp; Side Events</v>
      </c>
      <c r="Q1013" s="108" t="str">
        <f t="shared" si="3"/>
        <v>2024</v>
      </c>
      <c r="R1013" s="110">
        <f t="shared" si="4"/>
        <v>5</v>
      </c>
      <c r="S1013" s="108" t="str">
        <f t="shared" si="5"/>
        <v>2024-Q2</v>
      </c>
      <c r="T1013" s="111" t="str">
        <f t="shared" si="6"/>
        <v>2024-05</v>
      </c>
      <c r="U1013" s="112" t="str">
        <f t="shared" si="7"/>
        <v>2024-H1</v>
      </c>
      <c r="V1013" s="1" t="str">
        <f>VLOOKUP(B1013,Bounties!A:E,2,FALSE)</f>
        <v>Events Bounty</v>
      </c>
    </row>
    <row r="1014" hidden="1">
      <c r="A1014" s="109">
        <f>HYPERLINK("https://polkadot.subsquare.io/treasury/child-bounties/1012", 1012)</f>
        <v>1012</v>
      </c>
      <c r="B1014" s="183">
        <v>17.0</v>
      </c>
      <c r="C1014" s="27" t="s">
        <v>3404</v>
      </c>
      <c r="D1014" s="27" t="s">
        <v>1575</v>
      </c>
      <c r="E1014" s="129">
        <v>327.0</v>
      </c>
      <c r="F1014" s="66">
        <v>2209.936912536621</v>
      </c>
      <c r="G1014" s="27" t="s">
        <v>3661</v>
      </c>
      <c r="H1014" s="167">
        <v>45406.0</v>
      </c>
      <c r="I1014" s="167">
        <v>45418.0</v>
      </c>
      <c r="J1014" s="66">
        <v>2305.389199733734</v>
      </c>
      <c r="K1014" s="1"/>
      <c r="L1014" s="1" t="s">
        <v>266</v>
      </c>
      <c r="M1014" s="1" t="str">
        <f>VLOOKUP(B1014,Bounties!A:D,3,FALSE)</f>
        <v>Outreach</v>
      </c>
      <c r="N1014" s="1" t="str">
        <f>VLOOKUP(B1014,Bounties!A:D,4,FALSE)</f>
        <v>Events/Meetups</v>
      </c>
      <c r="O1014" s="1" t="str">
        <f t="shared" ref="O1014:P1014" si="1018">IF(ISBLANK(K1014),M1014,K1014)</f>
        <v>Outreach</v>
      </c>
      <c r="P1014" s="1" t="str">
        <f t="shared" si="1018"/>
        <v>Events/Conference Attendance &amp; Side Events</v>
      </c>
      <c r="Q1014" s="108" t="str">
        <f t="shared" si="3"/>
        <v>2024</v>
      </c>
      <c r="R1014" s="110">
        <f t="shared" si="4"/>
        <v>5</v>
      </c>
      <c r="S1014" s="108" t="str">
        <f t="shared" si="5"/>
        <v>2024-Q2</v>
      </c>
      <c r="T1014" s="111" t="str">
        <f t="shared" si="6"/>
        <v>2024-05</v>
      </c>
      <c r="U1014" s="112" t="str">
        <f t="shared" si="7"/>
        <v>2024-H1</v>
      </c>
      <c r="V1014" s="1" t="str">
        <f>VLOOKUP(B1014,Bounties!A:E,2,FALSE)</f>
        <v>Events Bounty</v>
      </c>
    </row>
    <row r="1015" hidden="1">
      <c r="A1015" s="109">
        <f>HYPERLINK("https://polkadot.subsquare.io/treasury/child-bounties/1013", 1013)</f>
        <v>1013</v>
      </c>
      <c r="B1015" s="183">
        <v>17.0</v>
      </c>
      <c r="C1015" s="27" t="s">
        <v>3404</v>
      </c>
      <c r="D1015" s="27" t="s">
        <v>1576</v>
      </c>
      <c r="E1015" s="129">
        <v>42.7</v>
      </c>
      <c r="F1015" s="66">
        <v>288.5758598327637</v>
      </c>
      <c r="G1015" s="27" t="s">
        <v>3635</v>
      </c>
      <c r="H1015" s="167">
        <v>45406.0</v>
      </c>
      <c r="I1015" s="167">
        <v>45430.0</v>
      </c>
      <c r="J1015" s="66">
        <v>323.45377459526065</v>
      </c>
      <c r="K1015" s="1"/>
      <c r="L1015" s="1"/>
      <c r="M1015" s="1" t="str">
        <f>VLOOKUP(B1015,Bounties!A:D,3,FALSE)</f>
        <v>Outreach</v>
      </c>
      <c r="N1015" s="1" t="str">
        <f>VLOOKUP(B1015,Bounties!A:D,4,FALSE)</f>
        <v>Events/Meetups</v>
      </c>
      <c r="O1015" s="1" t="str">
        <f t="shared" ref="O1015:P1015" si="1019">IF(ISBLANK(K1015),M1015,K1015)</f>
        <v>Outreach</v>
      </c>
      <c r="P1015" s="1" t="str">
        <f t="shared" si="1019"/>
        <v>Events/Meetups</v>
      </c>
      <c r="Q1015" s="108" t="str">
        <f t="shared" si="3"/>
        <v>2024</v>
      </c>
      <c r="R1015" s="110">
        <f t="shared" si="4"/>
        <v>5</v>
      </c>
      <c r="S1015" s="108" t="str">
        <f t="shared" si="5"/>
        <v>2024-Q2</v>
      </c>
      <c r="T1015" s="111" t="str">
        <f t="shared" si="6"/>
        <v>2024-05</v>
      </c>
      <c r="U1015" s="112" t="str">
        <f t="shared" si="7"/>
        <v>2024-H1</v>
      </c>
      <c r="V1015" s="1" t="str">
        <f>VLOOKUP(B1015,Bounties!A:E,2,FALSE)</f>
        <v>Events Bounty</v>
      </c>
    </row>
    <row r="1016" hidden="1">
      <c r="A1016" s="109">
        <f>HYPERLINK("https://polkadot.subsquare.io/treasury/child-bounties/1014", 1014)</f>
        <v>1014</v>
      </c>
      <c r="B1016" s="183">
        <v>17.0</v>
      </c>
      <c r="C1016" s="27" t="s">
        <v>3404</v>
      </c>
      <c r="D1016" s="27" t="s">
        <v>1577</v>
      </c>
      <c r="E1016" s="129">
        <v>239.78</v>
      </c>
      <c r="F1016" s="66">
        <v>1620.4852381896974</v>
      </c>
      <c r="G1016" s="27" t="s">
        <v>3578</v>
      </c>
      <c r="H1016" s="167">
        <v>45406.0</v>
      </c>
      <c r="I1016" s="167">
        <v>45417.0</v>
      </c>
      <c r="J1016" s="66">
        <v>1677.6780560016632</v>
      </c>
      <c r="K1016" s="1"/>
      <c r="L1016" s="1"/>
      <c r="M1016" s="1" t="str">
        <f>VLOOKUP(B1016,Bounties!A:D,3,FALSE)</f>
        <v>Outreach</v>
      </c>
      <c r="N1016" s="1" t="str">
        <f>VLOOKUP(B1016,Bounties!A:D,4,FALSE)</f>
        <v>Events/Meetups</v>
      </c>
      <c r="O1016" s="1" t="str">
        <f t="shared" ref="O1016:P1016" si="1020">IF(ISBLANK(K1016),M1016,K1016)</f>
        <v>Outreach</v>
      </c>
      <c r="P1016" s="1" t="str">
        <f t="shared" si="1020"/>
        <v>Events/Meetups</v>
      </c>
      <c r="Q1016" s="108" t="str">
        <f t="shared" si="3"/>
        <v>2024</v>
      </c>
      <c r="R1016" s="110">
        <f t="shared" si="4"/>
        <v>5</v>
      </c>
      <c r="S1016" s="108" t="str">
        <f t="shared" si="5"/>
        <v>2024-Q2</v>
      </c>
      <c r="T1016" s="111" t="str">
        <f t="shared" si="6"/>
        <v>2024-05</v>
      </c>
      <c r="U1016" s="112" t="str">
        <f t="shared" si="7"/>
        <v>2024-H1</v>
      </c>
      <c r="V1016" s="1" t="str">
        <f>VLOOKUP(B1016,Bounties!A:E,2,FALSE)</f>
        <v>Events Bounty</v>
      </c>
    </row>
    <row r="1017" hidden="1">
      <c r="A1017" s="109">
        <f>HYPERLINK("https://polkadot.subsquare.io/treasury/child-bounties/1015", 1015)</f>
        <v>1015</v>
      </c>
      <c r="B1017" s="183">
        <v>17.0</v>
      </c>
      <c r="C1017" s="27" t="s">
        <v>3404</v>
      </c>
      <c r="D1017" s="27" t="s">
        <v>1578</v>
      </c>
      <c r="E1017" s="129">
        <v>176.44</v>
      </c>
      <c r="F1017" s="66">
        <v>1192.419782409668</v>
      </c>
      <c r="G1017" s="27" t="s">
        <v>3568</v>
      </c>
      <c r="H1017" s="167">
        <v>45406.0</v>
      </c>
      <c r="I1017" s="167">
        <v>45418.0</v>
      </c>
      <c r="J1017" s="66">
        <v>1233.3365929031372</v>
      </c>
      <c r="K1017" s="1"/>
      <c r="L1017" s="1"/>
      <c r="M1017" s="1" t="str">
        <f>VLOOKUP(B1017,Bounties!A:D,3,FALSE)</f>
        <v>Outreach</v>
      </c>
      <c r="N1017" s="1" t="str">
        <f>VLOOKUP(B1017,Bounties!A:D,4,FALSE)</f>
        <v>Events/Meetups</v>
      </c>
      <c r="O1017" s="1" t="str">
        <f t="shared" ref="O1017:P1017" si="1021">IF(ISBLANK(K1017),M1017,K1017)</f>
        <v>Outreach</v>
      </c>
      <c r="P1017" s="1" t="str">
        <f t="shared" si="1021"/>
        <v>Events/Meetups</v>
      </c>
      <c r="Q1017" s="108" t="str">
        <f t="shared" si="3"/>
        <v>2024</v>
      </c>
      <c r="R1017" s="110">
        <f t="shared" si="4"/>
        <v>5</v>
      </c>
      <c r="S1017" s="108" t="str">
        <f t="shared" si="5"/>
        <v>2024-Q2</v>
      </c>
      <c r="T1017" s="111" t="str">
        <f t="shared" si="6"/>
        <v>2024-05</v>
      </c>
      <c r="U1017" s="112" t="str">
        <f t="shared" si="7"/>
        <v>2024-H1</v>
      </c>
      <c r="V1017" s="1" t="str">
        <f>VLOOKUP(B1017,Bounties!A:E,2,FALSE)</f>
        <v>Events Bounty</v>
      </c>
    </row>
    <row r="1018" hidden="1">
      <c r="A1018" s="109">
        <f>HYPERLINK("https://polkadot.subsquare.io/treasury/child-bounties/1016", 1016)</f>
        <v>1016</v>
      </c>
      <c r="B1018" s="183">
        <v>17.0</v>
      </c>
      <c r="C1018" s="27" t="s">
        <v>3404</v>
      </c>
      <c r="D1018" s="27" t="s">
        <v>1579</v>
      </c>
      <c r="E1018" s="129">
        <v>124.2</v>
      </c>
      <c r="F1018" s="66">
        <v>839.3705337524415</v>
      </c>
      <c r="G1018" s="27" t="s">
        <v>3631</v>
      </c>
      <c r="H1018" s="167">
        <v>45406.0</v>
      </c>
      <c r="I1018" s="167">
        <v>45417.0</v>
      </c>
      <c r="J1018" s="66">
        <v>868.1727773666382</v>
      </c>
      <c r="K1018" s="1"/>
      <c r="L1018" s="1" t="s">
        <v>266</v>
      </c>
      <c r="M1018" s="1" t="str">
        <f>VLOOKUP(B1018,Bounties!A:D,3,FALSE)</f>
        <v>Outreach</v>
      </c>
      <c r="N1018" s="1" t="str">
        <f>VLOOKUP(B1018,Bounties!A:D,4,FALSE)</f>
        <v>Events/Meetups</v>
      </c>
      <c r="O1018" s="1" t="str">
        <f t="shared" ref="O1018:P1018" si="1022">IF(ISBLANK(K1018),M1018,K1018)</f>
        <v>Outreach</v>
      </c>
      <c r="P1018" s="1" t="str">
        <f t="shared" si="1022"/>
        <v>Events/Conference Attendance &amp; Side Events</v>
      </c>
      <c r="Q1018" s="108" t="str">
        <f t="shared" si="3"/>
        <v>2024</v>
      </c>
      <c r="R1018" s="110">
        <f t="shared" si="4"/>
        <v>5</v>
      </c>
      <c r="S1018" s="108" t="str">
        <f t="shared" si="5"/>
        <v>2024-Q2</v>
      </c>
      <c r="T1018" s="111" t="str">
        <f t="shared" si="6"/>
        <v>2024-05</v>
      </c>
      <c r="U1018" s="112" t="str">
        <f t="shared" si="7"/>
        <v>2024-H1</v>
      </c>
      <c r="V1018" s="1" t="str">
        <f>VLOOKUP(B1018,Bounties!A:E,2,FALSE)</f>
        <v>Events Bounty</v>
      </c>
    </row>
    <row r="1019" hidden="1">
      <c r="A1019" s="109">
        <f>HYPERLINK("https://polkadot.subsquare.io/treasury/child-bounties/1017", 1017)</f>
        <v>1017</v>
      </c>
      <c r="B1019" s="183">
        <v>17.0</v>
      </c>
      <c r="C1019" s="27" t="s">
        <v>3404</v>
      </c>
      <c r="D1019" s="27" t="s">
        <v>1580</v>
      </c>
      <c r="E1019" s="129">
        <v>230.37</v>
      </c>
      <c r="F1019" s="66">
        <v>1556.8904175567627</v>
      </c>
      <c r="G1019" s="27" t="s">
        <v>3637</v>
      </c>
      <c r="H1019" s="167">
        <v>45406.0</v>
      </c>
      <c r="I1019" s="167">
        <v>45417.0</v>
      </c>
      <c r="J1019" s="66">
        <v>1610.3137095165253</v>
      </c>
      <c r="K1019" s="1"/>
      <c r="L1019" s="1"/>
      <c r="M1019" s="1" t="str">
        <f>VLOOKUP(B1019,Bounties!A:D,3,FALSE)</f>
        <v>Outreach</v>
      </c>
      <c r="N1019" s="1" t="str">
        <f>VLOOKUP(B1019,Bounties!A:D,4,FALSE)</f>
        <v>Events/Meetups</v>
      </c>
      <c r="O1019" s="1" t="str">
        <f t="shared" ref="O1019:P1019" si="1023">IF(ISBLANK(K1019),M1019,K1019)</f>
        <v>Outreach</v>
      </c>
      <c r="P1019" s="1" t="str">
        <f t="shared" si="1023"/>
        <v>Events/Meetups</v>
      </c>
      <c r="Q1019" s="108" t="str">
        <f t="shared" si="3"/>
        <v>2024</v>
      </c>
      <c r="R1019" s="110">
        <f t="shared" si="4"/>
        <v>5</v>
      </c>
      <c r="S1019" s="108" t="str">
        <f t="shared" si="5"/>
        <v>2024-Q2</v>
      </c>
      <c r="T1019" s="111" t="str">
        <f t="shared" si="6"/>
        <v>2024-05</v>
      </c>
      <c r="U1019" s="112" t="str">
        <f t="shared" si="7"/>
        <v>2024-H1</v>
      </c>
      <c r="V1019" s="1" t="str">
        <f>VLOOKUP(B1019,Bounties!A:E,2,FALSE)</f>
        <v>Events Bounty</v>
      </c>
    </row>
    <row r="1020" hidden="1">
      <c r="A1020" s="109">
        <f>HYPERLINK("https://polkadot.subsquare.io/treasury/child-bounties/1018", 1018)</f>
        <v>1018</v>
      </c>
      <c r="B1020" s="183">
        <v>37.0</v>
      </c>
      <c r="C1020" s="27" t="s">
        <v>3404</v>
      </c>
      <c r="D1020" s="27" t="s">
        <v>1581</v>
      </c>
      <c r="E1020" s="129">
        <v>58.08</v>
      </c>
      <c r="F1020" s="66">
        <v>394.86472114562986</v>
      </c>
      <c r="G1020" s="27" t="s">
        <v>3607</v>
      </c>
      <c r="H1020" s="167">
        <v>45406.0</v>
      </c>
      <c r="I1020" s="167">
        <v>45415.0</v>
      </c>
      <c r="J1020" s="66">
        <v>413.66097702026366</v>
      </c>
      <c r="K1020" s="1"/>
      <c r="L1020" s="1"/>
      <c r="M1020" s="1" t="str">
        <f>VLOOKUP(B1020,Bounties!A:D,3,FALSE)</f>
        <v>Operations</v>
      </c>
      <c r="N1020" s="1" t="str">
        <f>VLOOKUP(B1020,Bounties!A:D,4,FALSE)</f>
        <v>Infrastructure</v>
      </c>
      <c r="O1020" s="1" t="str">
        <f t="shared" ref="O1020:P1020" si="1024">IF(ISBLANK(K1020),M1020,K1020)</f>
        <v>Operations</v>
      </c>
      <c r="P1020" s="1" t="str">
        <f t="shared" si="1024"/>
        <v>Infrastructure</v>
      </c>
      <c r="Q1020" s="108" t="str">
        <f t="shared" si="3"/>
        <v>2024</v>
      </c>
      <c r="R1020" s="110">
        <f t="shared" si="4"/>
        <v>5</v>
      </c>
      <c r="S1020" s="108" t="str">
        <f t="shared" si="5"/>
        <v>2024-Q2</v>
      </c>
      <c r="T1020" s="111" t="str">
        <f t="shared" si="6"/>
        <v>2024-05</v>
      </c>
      <c r="U1020" s="112" t="str">
        <f t="shared" si="7"/>
        <v>2024-H1</v>
      </c>
      <c r="V1020" s="1" t="str">
        <f>VLOOKUP(B1020,Bounties!A:E,2,FALSE)</f>
        <v>Paseo Testnet Bounty</v>
      </c>
    </row>
    <row r="1021" hidden="1">
      <c r="A1021" s="109">
        <f>HYPERLINK("https://polkadot.subsquare.io/treasury/child-bounties/1019", 1019)</f>
        <v>1019</v>
      </c>
      <c r="B1021" s="183">
        <v>37.0</v>
      </c>
      <c r="C1021" s="27" t="s">
        <v>3404</v>
      </c>
      <c r="D1021" s="27" t="s">
        <v>1582</v>
      </c>
      <c r="E1021" s="129">
        <v>198.55</v>
      </c>
      <c r="F1021" s="66">
        <v>1349.8689804315568</v>
      </c>
      <c r="G1021" s="27" t="s">
        <v>3607</v>
      </c>
      <c r="H1021" s="167">
        <v>45406.0</v>
      </c>
      <c r="I1021" s="167">
        <v>45415.0</v>
      </c>
      <c r="J1021" s="66">
        <v>1414.125120306015</v>
      </c>
      <c r="K1021" s="1"/>
      <c r="L1021" s="1"/>
      <c r="M1021" s="1" t="str">
        <f>VLOOKUP(B1021,Bounties!A:D,3,FALSE)</f>
        <v>Operations</v>
      </c>
      <c r="N1021" s="1" t="str">
        <f>VLOOKUP(B1021,Bounties!A:D,4,FALSE)</f>
        <v>Infrastructure</v>
      </c>
      <c r="O1021" s="1" t="str">
        <f t="shared" ref="O1021:P1021" si="1025">IF(ISBLANK(K1021),M1021,K1021)</f>
        <v>Operations</v>
      </c>
      <c r="P1021" s="1" t="str">
        <f t="shared" si="1025"/>
        <v>Infrastructure</v>
      </c>
      <c r="Q1021" s="108" t="str">
        <f t="shared" si="3"/>
        <v>2024</v>
      </c>
      <c r="R1021" s="110">
        <f t="shared" si="4"/>
        <v>5</v>
      </c>
      <c r="S1021" s="108" t="str">
        <f t="shared" si="5"/>
        <v>2024-Q2</v>
      </c>
      <c r="T1021" s="111" t="str">
        <f t="shared" si="6"/>
        <v>2024-05</v>
      </c>
      <c r="U1021" s="112" t="str">
        <f t="shared" si="7"/>
        <v>2024-H1</v>
      </c>
      <c r="V1021" s="1" t="str">
        <f>VLOOKUP(B1021,Bounties!A:E,2,FALSE)</f>
        <v>Paseo Testnet Bounty</v>
      </c>
    </row>
    <row r="1022" hidden="1">
      <c r="A1022" s="109">
        <f>HYPERLINK("https://polkadot.subsquare.io/treasury/child-bounties/1020", 1020)</f>
        <v>1020</v>
      </c>
      <c r="B1022" s="183">
        <v>37.0</v>
      </c>
      <c r="C1022" s="27" t="s">
        <v>3404</v>
      </c>
      <c r="D1022" s="27" t="s">
        <v>1583</v>
      </c>
      <c r="E1022" s="129">
        <v>31.62</v>
      </c>
      <c r="F1022" s="66">
        <v>214.97283888816835</v>
      </c>
      <c r="G1022" s="27" t="s">
        <v>3662</v>
      </c>
      <c r="H1022" s="167">
        <v>45406.0</v>
      </c>
      <c r="I1022" s="167">
        <v>45419.0</v>
      </c>
      <c r="J1022" s="66">
        <v>213.43379379272463</v>
      </c>
      <c r="K1022" s="1"/>
      <c r="L1022" s="1"/>
      <c r="M1022" s="1" t="str">
        <f>VLOOKUP(B1022,Bounties!A:D,3,FALSE)</f>
        <v>Operations</v>
      </c>
      <c r="N1022" s="1" t="str">
        <f>VLOOKUP(B1022,Bounties!A:D,4,FALSE)</f>
        <v>Infrastructure</v>
      </c>
      <c r="O1022" s="1" t="str">
        <f t="shared" ref="O1022:P1022" si="1026">IF(ISBLANK(K1022),M1022,K1022)</f>
        <v>Operations</v>
      </c>
      <c r="P1022" s="1" t="str">
        <f t="shared" si="1026"/>
        <v>Infrastructure</v>
      </c>
      <c r="Q1022" s="108" t="str">
        <f t="shared" si="3"/>
        <v>2024</v>
      </c>
      <c r="R1022" s="110">
        <f t="shared" si="4"/>
        <v>5</v>
      </c>
      <c r="S1022" s="108" t="str">
        <f t="shared" si="5"/>
        <v>2024-Q2</v>
      </c>
      <c r="T1022" s="111" t="str">
        <f t="shared" si="6"/>
        <v>2024-05</v>
      </c>
      <c r="U1022" s="112" t="str">
        <f t="shared" si="7"/>
        <v>2024-H1</v>
      </c>
      <c r="V1022" s="1" t="str">
        <f>VLOOKUP(B1022,Bounties!A:E,2,FALSE)</f>
        <v>Paseo Testnet Bounty</v>
      </c>
    </row>
    <row r="1023" hidden="1">
      <c r="A1023" s="109">
        <f>HYPERLINK("https://polkadot.subsquare.io/treasury/child-bounties/1021", 1021)</f>
        <v>1021</v>
      </c>
      <c r="B1023" s="183">
        <v>37.0</v>
      </c>
      <c r="C1023" s="27" t="s">
        <v>3404</v>
      </c>
      <c r="D1023" s="27" t="s">
        <v>1584</v>
      </c>
      <c r="E1023" s="129">
        <v>132.38</v>
      </c>
      <c r="F1023" s="66">
        <v>900.0033020877838</v>
      </c>
      <c r="G1023" s="27" t="s">
        <v>3662</v>
      </c>
      <c r="H1023" s="167">
        <v>45406.0</v>
      </c>
      <c r="I1023" s="167">
        <v>45419.0</v>
      </c>
      <c r="J1023" s="66">
        <v>893.5599501037598</v>
      </c>
      <c r="K1023" s="1"/>
      <c r="L1023" s="1"/>
      <c r="M1023" s="1" t="str">
        <f>VLOOKUP(B1023,Bounties!A:D,3,FALSE)</f>
        <v>Operations</v>
      </c>
      <c r="N1023" s="1" t="str">
        <f>VLOOKUP(B1023,Bounties!A:D,4,FALSE)</f>
        <v>Infrastructure</v>
      </c>
      <c r="O1023" s="1" t="str">
        <f t="shared" ref="O1023:P1023" si="1027">IF(ISBLANK(K1023),M1023,K1023)</f>
        <v>Operations</v>
      </c>
      <c r="P1023" s="1" t="str">
        <f t="shared" si="1027"/>
        <v>Infrastructure</v>
      </c>
      <c r="Q1023" s="108" t="str">
        <f t="shared" si="3"/>
        <v>2024</v>
      </c>
      <c r="R1023" s="110">
        <f t="shared" si="4"/>
        <v>5</v>
      </c>
      <c r="S1023" s="108" t="str">
        <f t="shared" si="5"/>
        <v>2024-Q2</v>
      </c>
      <c r="T1023" s="111" t="str">
        <f t="shared" si="6"/>
        <v>2024-05</v>
      </c>
      <c r="U1023" s="112" t="str">
        <f t="shared" si="7"/>
        <v>2024-H1</v>
      </c>
      <c r="V1023" s="1" t="str">
        <f>VLOOKUP(B1023,Bounties!A:E,2,FALSE)</f>
        <v>Paseo Testnet Bounty</v>
      </c>
    </row>
    <row r="1024" hidden="1">
      <c r="A1024" s="109">
        <f>HYPERLINK("https://polkadot.subsquare.io/treasury/child-bounties/1022", 1022)</f>
        <v>1022</v>
      </c>
      <c r="B1024" s="183">
        <v>24.0</v>
      </c>
      <c r="C1024" s="27" t="s">
        <v>3404</v>
      </c>
      <c r="D1024" s="27" t="s">
        <v>1585</v>
      </c>
      <c r="E1024" s="129">
        <v>19.41</v>
      </c>
      <c r="F1024" s="66">
        <v>127.94553711891174</v>
      </c>
      <c r="G1024" s="27" t="s">
        <v>3524</v>
      </c>
      <c r="H1024" s="167">
        <v>45408.0</v>
      </c>
      <c r="I1024" s="167">
        <v>45459.0</v>
      </c>
      <c r="J1024" s="66">
        <v>112.46565228939056</v>
      </c>
      <c r="K1024" s="1"/>
      <c r="L1024" s="1"/>
      <c r="M1024" s="1" t="str">
        <f>VLOOKUP(B1024,Bounties!A:D,3,FALSE)</f>
        <v>Outreach</v>
      </c>
      <c r="N1024" s="1" t="str">
        <f>VLOOKUP(B1024,Bounties!A:D,4,FALSE)</f>
        <v>Community Building</v>
      </c>
      <c r="O1024" s="1" t="str">
        <f t="shared" ref="O1024:P1024" si="1028">IF(ISBLANK(K1024),M1024,K1024)</f>
        <v>Outreach</v>
      </c>
      <c r="P1024" s="1" t="str">
        <f t="shared" si="1028"/>
        <v>Community Building</v>
      </c>
      <c r="Q1024" s="108" t="str">
        <f t="shared" si="3"/>
        <v>2024</v>
      </c>
      <c r="R1024" s="110">
        <f t="shared" si="4"/>
        <v>6</v>
      </c>
      <c r="S1024" s="108" t="str">
        <f t="shared" si="5"/>
        <v>2024-Q2</v>
      </c>
      <c r="T1024" s="111" t="str">
        <f t="shared" si="6"/>
        <v>2024-06</v>
      </c>
      <c r="U1024" s="112" t="str">
        <f t="shared" si="7"/>
        <v>2024-H1</v>
      </c>
      <c r="V1024" s="1" t="str">
        <f>VLOOKUP(B1024,Bounties!A:E,2,FALSE)</f>
        <v>Moderation Team Bounty</v>
      </c>
    </row>
    <row r="1025" hidden="1">
      <c r="A1025" s="109">
        <f>HYPERLINK("https://polkadot.subsquare.io/treasury/child-bounties/1023", 1023)</f>
        <v>1023</v>
      </c>
      <c r="B1025" s="183">
        <v>24.0</v>
      </c>
      <c r="C1025" s="27" t="s">
        <v>3404</v>
      </c>
      <c r="D1025" s="27" t="s">
        <v>1586</v>
      </c>
      <c r="E1025" s="129">
        <v>201.27</v>
      </c>
      <c r="F1025" s="66">
        <v>1326.7180966472627</v>
      </c>
      <c r="G1025" s="27" t="s">
        <v>3549</v>
      </c>
      <c r="H1025" s="167">
        <v>45408.0</v>
      </c>
      <c r="I1025" s="167">
        <v>45416.0</v>
      </c>
      <c r="J1025" s="66">
        <v>1408.233640551567</v>
      </c>
      <c r="K1025" s="1"/>
      <c r="L1025" s="1"/>
      <c r="M1025" s="1" t="str">
        <f>VLOOKUP(B1025,Bounties!A:D,3,FALSE)</f>
        <v>Outreach</v>
      </c>
      <c r="N1025" s="1" t="str">
        <f>VLOOKUP(B1025,Bounties!A:D,4,FALSE)</f>
        <v>Community Building</v>
      </c>
      <c r="O1025" s="1" t="str">
        <f t="shared" ref="O1025:P1025" si="1029">IF(ISBLANK(K1025),M1025,K1025)</f>
        <v>Outreach</v>
      </c>
      <c r="P1025" s="1" t="str">
        <f t="shared" si="1029"/>
        <v>Community Building</v>
      </c>
      <c r="Q1025" s="108" t="str">
        <f t="shared" si="3"/>
        <v>2024</v>
      </c>
      <c r="R1025" s="110">
        <f t="shared" si="4"/>
        <v>5</v>
      </c>
      <c r="S1025" s="108" t="str">
        <f t="shared" si="5"/>
        <v>2024-Q2</v>
      </c>
      <c r="T1025" s="111" t="str">
        <f t="shared" si="6"/>
        <v>2024-05</v>
      </c>
      <c r="U1025" s="112" t="str">
        <f t="shared" si="7"/>
        <v>2024-H1</v>
      </c>
      <c r="V1025" s="1" t="str">
        <f>VLOOKUP(B1025,Bounties!A:E,2,FALSE)</f>
        <v>Moderation Team Bounty</v>
      </c>
    </row>
    <row r="1026" hidden="1">
      <c r="A1026" s="109">
        <f>HYPERLINK("https://polkadot.subsquare.io/treasury/child-bounties/1024", 1024)</f>
        <v>1024</v>
      </c>
      <c r="B1026" s="183">
        <v>24.0</v>
      </c>
      <c r="C1026" s="27" t="s">
        <v>3404</v>
      </c>
      <c r="D1026" s="27" t="s">
        <v>1587</v>
      </c>
      <c r="E1026" s="129">
        <v>201.27</v>
      </c>
      <c r="F1026" s="66">
        <v>1326.7180966472627</v>
      </c>
      <c r="G1026" s="27" t="s">
        <v>3408</v>
      </c>
      <c r="H1026" s="167">
        <v>45408.0</v>
      </c>
      <c r="I1026" s="167">
        <v>45417.0</v>
      </c>
      <c r="J1026" s="66">
        <v>1406.9012471866608</v>
      </c>
      <c r="K1026" s="1"/>
      <c r="L1026" s="1"/>
      <c r="M1026" s="1" t="str">
        <f>VLOOKUP(B1026,Bounties!A:D,3,FALSE)</f>
        <v>Outreach</v>
      </c>
      <c r="N1026" s="1" t="str">
        <f>VLOOKUP(B1026,Bounties!A:D,4,FALSE)</f>
        <v>Community Building</v>
      </c>
      <c r="O1026" s="1" t="str">
        <f t="shared" ref="O1026:P1026" si="1030">IF(ISBLANK(K1026),M1026,K1026)</f>
        <v>Outreach</v>
      </c>
      <c r="P1026" s="1" t="str">
        <f t="shared" si="1030"/>
        <v>Community Building</v>
      </c>
      <c r="Q1026" s="108" t="str">
        <f t="shared" si="3"/>
        <v>2024</v>
      </c>
      <c r="R1026" s="110">
        <f t="shared" si="4"/>
        <v>5</v>
      </c>
      <c r="S1026" s="108" t="str">
        <f t="shared" si="5"/>
        <v>2024-Q2</v>
      </c>
      <c r="T1026" s="111" t="str">
        <f t="shared" si="6"/>
        <v>2024-05</v>
      </c>
      <c r="U1026" s="112" t="str">
        <f t="shared" si="7"/>
        <v>2024-H1</v>
      </c>
      <c r="V1026" s="1" t="str">
        <f>VLOOKUP(B1026,Bounties!A:E,2,FALSE)</f>
        <v>Moderation Team Bounty</v>
      </c>
    </row>
    <row r="1027" hidden="1">
      <c r="A1027" s="109">
        <f>HYPERLINK("https://polkadot.subsquare.io/treasury/child-bounties/1025", 1025)</f>
        <v>1025</v>
      </c>
      <c r="B1027" s="183">
        <v>24.0</v>
      </c>
      <c r="C1027" s="27" t="s">
        <v>3404</v>
      </c>
      <c r="D1027" s="27" t="s">
        <v>1588</v>
      </c>
      <c r="E1027" s="129">
        <v>237.21</v>
      </c>
      <c r="F1027" s="66">
        <v>1563.6249799060822</v>
      </c>
      <c r="G1027" s="27" t="s">
        <v>3550</v>
      </c>
      <c r="H1027" s="167">
        <v>45408.0</v>
      </c>
      <c r="I1027" s="167">
        <v>45428.0</v>
      </c>
      <c r="J1027" s="66">
        <v>1645.6526320695878</v>
      </c>
      <c r="K1027" s="1"/>
      <c r="L1027" s="1"/>
      <c r="M1027" s="1" t="str">
        <f>VLOOKUP(B1027,Bounties!A:D,3,FALSE)</f>
        <v>Outreach</v>
      </c>
      <c r="N1027" s="1" t="str">
        <f>VLOOKUP(B1027,Bounties!A:D,4,FALSE)</f>
        <v>Community Building</v>
      </c>
      <c r="O1027" s="1" t="str">
        <f t="shared" ref="O1027:P1027" si="1031">IF(ISBLANK(K1027),M1027,K1027)</f>
        <v>Outreach</v>
      </c>
      <c r="P1027" s="1" t="str">
        <f t="shared" si="1031"/>
        <v>Community Building</v>
      </c>
      <c r="Q1027" s="108" t="str">
        <f t="shared" si="3"/>
        <v>2024</v>
      </c>
      <c r="R1027" s="110">
        <f t="shared" si="4"/>
        <v>5</v>
      </c>
      <c r="S1027" s="108" t="str">
        <f t="shared" si="5"/>
        <v>2024-Q2</v>
      </c>
      <c r="T1027" s="111" t="str">
        <f t="shared" si="6"/>
        <v>2024-05</v>
      </c>
      <c r="U1027" s="112" t="str">
        <f t="shared" si="7"/>
        <v>2024-H1</v>
      </c>
      <c r="V1027" s="1" t="str">
        <f>VLOOKUP(B1027,Bounties!A:E,2,FALSE)</f>
        <v>Moderation Team Bounty</v>
      </c>
    </row>
    <row r="1028" hidden="1">
      <c r="A1028" s="109">
        <f>HYPERLINK("https://polkadot.subsquare.io/treasury/child-bounties/1026", 1026)</f>
        <v>1026</v>
      </c>
      <c r="B1028" s="183">
        <v>24.0</v>
      </c>
      <c r="C1028" s="27" t="s">
        <v>3404</v>
      </c>
      <c r="D1028" s="27" t="s">
        <v>1589</v>
      </c>
      <c r="E1028" s="129">
        <v>201.27</v>
      </c>
      <c r="F1028" s="66">
        <v>1326.7180966472627</v>
      </c>
      <c r="G1028" s="27" t="s">
        <v>3548</v>
      </c>
      <c r="H1028" s="167">
        <v>45408.0</v>
      </c>
      <c r="I1028" s="167">
        <v>45417.0</v>
      </c>
      <c r="J1028" s="66">
        <v>1408.233640551567</v>
      </c>
      <c r="K1028" s="1"/>
      <c r="L1028" s="1"/>
      <c r="M1028" s="1" t="str">
        <f>VLOOKUP(B1028,Bounties!A:D,3,FALSE)</f>
        <v>Outreach</v>
      </c>
      <c r="N1028" s="1" t="str">
        <f>VLOOKUP(B1028,Bounties!A:D,4,FALSE)</f>
        <v>Community Building</v>
      </c>
      <c r="O1028" s="1" t="str">
        <f t="shared" ref="O1028:P1028" si="1032">IF(ISBLANK(K1028),M1028,K1028)</f>
        <v>Outreach</v>
      </c>
      <c r="P1028" s="1" t="str">
        <f t="shared" si="1032"/>
        <v>Community Building</v>
      </c>
      <c r="Q1028" s="108" t="str">
        <f t="shared" si="3"/>
        <v>2024</v>
      </c>
      <c r="R1028" s="110">
        <f t="shared" si="4"/>
        <v>5</v>
      </c>
      <c r="S1028" s="108" t="str">
        <f t="shared" si="5"/>
        <v>2024-Q2</v>
      </c>
      <c r="T1028" s="111" t="str">
        <f t="shared" si="6"/>
        <v>2024-05</v>
      </c>
      <c r="U1028" s="112" t="str">
        <f t="shared" si="7"/>
        <v>2024-H1</v>
      </c>
      <c r="V1028" s="1" t="str">
        <f>VLOOKUP(B1028,Bounties!A:E,2,FALSE)</f>
        <v>Moderation Team Bounty</v>
      </c>
    </row>
    <row r="1029" hidden="1">
      <c r="A1029" s="109">
        <f>HYPERLINK("https://polkadot.subsquare.io/treasury/child-bounties/1027", 1027)</f>
        <v>1027</v>
      </c>
      <c r="B1029" s="183">
        <v>24.0</v>
      </c>
      <c r="C1029" s="27" t="s">
        <v>3404</v>
      </c>
      <c r="D1029" s="27" t="s">
        <v>1590</v>
      </c>
      <c r="E1029" s="129">
        <v>220.67</v>
      </c>
      <c r="F1029" s="66">
        <v>1454.597716436386</v>
      </c>
      <c r="G1029" s="27" t="s">
        <v>3409</v>
      </c>
      <c r="H1029" s="167">
        <v>45408.0</v>
      </c>
      <c r="I1029" s="167">
        <v>45417.0</v>
      </c>
      <c r="J1029" s="66">
        <v>1542.5095554065704</v>
      </c>
      <c r="K1029" s="1"/>
      <c r="L1029" s="1"/>
      <c r="M1029" s="1" t="str">
        <f>VLOOKUP(B1029,Bounties!A:D,3,FALSE)</f>
        <v>Outreach</v>
      </c>
      <c r="N1029" s="1" t="str">
        <f>VLOOKUP(B1029,Bounties!A:D,4,FALSE)</f>
        <v>Community Building</v>
      </c>
      <c r="O1029" s="1" t="str">
        <f t="shared" ref="O1029:P1029" si="1033">IF(ISBLANK(K1029),M1029,K1029)</f>
        <v>Outreach</v>
      </c>
      <c r="P1029" s="1" t="str">
        <f t="shared" si="1033"/>
        <v>Community Building</v>
      </c>
      <c r="Q1029" s="108" t="str">
        <f t="shared" si="3"/>
        <v>2024</v>
      </c>
      <c r="R1029" s="110">
        <f t="shared" si="4"/>
        <v>5</v>
      </c>
      <c r="S1029" s="108" t="str">
        <f t="shared" si="5"/>
        <v>2024-Q2</v>
      </c>
      <c r="T1029" s="111" t="str">
        <f t="shared" si="6"/>
        <v>2024-05</v>
      </c>
      <c r="U1029" s="112" t="str">
        <f t="shared" si="7"/>
        <v>2024-H1</v>
      </c>
      <c r="V1029" s="1" t="str">
        <f>VLOOKUP(B1029,Bounties!A:E,2,FALSE)</f>
        <v>Moderation Team Bounty</v>
      </c>
    </row>
    <row r="1030" hidden="1">
      <c r="A1030" s="109">
        <f>HYPERLINK("https://polkadot.subsquare.io/treasury/child-bounties/1028", 1028)</f>
        <v>1028</v>
      </c>
      <c r="B1030" s="183">
        <v>24.0</v>
      </c>
      <c r="C1030" s="27" t="s">
        <v>3404</v>
      </c>
      <c r="D1030" s="27" t="s">
        <v>1591</v>
      </c>
      <c r="E1030" s="129">
        <v>201.27</v>
      </c>
      <c r="F1030" s="66">
        <v>1326.7180966472627</v>
      </c>
      <c r="G1030" s="27" t="s">
        <v>3526</v>
      </c>
      <c r="H1030" s="167">
        <v>45408.0</v>
      </c>
      <c r="I1030" s="167">
        <v>45457.0</v>
      </c>
      <c r="J1030" s="66">
        <v>1222.4968730020523</v>
      </c>
      <c r="K1030" s="1"/>
      <c r="L1030" s="1"/>
      <c r="M1030" s="1" t="str">
        <f>VLOOKUP(B1030,Bounties!A:D,3,FALSE)</f>
        <v>Outreach</v>
      </c>
      <c r="N1030" s="1" t="str">
        <f>VLOOKUP(B1030,Bounties!A:D,4,FALSE)</f>
        <v>Community Building</v>
      </c>
      <c r="O1030" s="1" t="str">
        <f t="shared" ref="O1030:P1030" si="1034">IF(ISBLANK(K1030),M1030,K1030)</f>
        <v>Outreach</v>
      </c>
      <c r="P1030" s="1" t="str">
        <f t="shared" si="1034"/>
        <v>Community Building</v>
      </c>
      <c r="Q1030" s="108" t="str">
        <f t="shared" si="3"/>
        <v>2024</v>
      </c>
      <c r="R1030" s="110">
        <f t="shared" si="4"/>
        <v>6</v>
      </c>
      <c r="S1030" s="108" t="str">
        <f t="shared" si="5"/>
        <v>2024-Q2</v>
      </c>
      <c r="T1030" s="111" t="str">
        <f t="shared" si="6"/>
        <v>2024-06</v>
      </c>
      <c r="U1030" s="112" t="str">
        <f t="shared" si="7"/>
        <v>2024-H1</v>
      </c>
      <c r="V1030" s="1" t="str">
        <f>VLOOKUP(B1030,Bounties!A:E,2,FALSE)</f>
        <v>Moderation Team Bounty</v>
      </c>
    </row>
    <row r="1031" hidden="1">
      <c r="A1031" s="109">
        <f>HYPERLINK("https://polkadot.subsquare.io/treasury/child-bounties/1029", 1029)</f>
        <v>1029</v>
      </c>
      <c r="B1031" s="183">
        <v>24.0</v>
      </c>
      <c r="C1031" s="27" t="s">
        <v>3404</v>
      </c>
      <c r="D1031" s="27" t="s">
        <v>1592</v>
      </c>
      <c r="E1031" s="129">
        <v>201.27</v>
      </c>
      <c r="F1031" s="66">
        <v>1326.7180966472627</v>
      </c>
      <c r="G1031" s="27" t="s">
        <v>3424</v>
      </c>
      <c r="H1031" s="167">
        <v>45408.0</v>
      </c>
      <c r="I1031" s="167">
        <v>45417.0</v>
      </c>
      <c r="J1031" s="66">
        <v>1406.9012471866608</v>
      </c>
      <c r="K1031" s="1"/>
      <c r="L1031" s="1"/>
      <c r="M1031" s="1" t="str">
        <f>VLOOKUP(B1031,Bounties!A:D,3,FALSE)</f>
        <v>Outreach</v>
      </c>
      <c r="N1031" s="1" t="str">
        <f>VLOOKUP(B1031,Bounties!A:D,4,FALSE)</f>
        <v>Community Building</v>
      </c>
      <c r="O1031" s="1" t="str">
        <f t="shared" ref="O1031:P1031" si="1035">IF(ISBLANK(K1031),M1031,K1031)</f>
        <v>Outreach</v>
      </c>
      <c r="P1031" s="1" t="str">
        <f t="shared" si="1035"/>
        <v>Community Building</v>
      </c>
      <c r="Q1031" s="108" t="str">
        <f t="shared" si="3"/>
        <v>2024</v>
      </c>
      <c r="R1031" s="110">
        <f t="shared" si="4"/>
        <v>5</v>
      </c>
      <c r="S1031" s="108" t="str">
        <f t="shared" si="5"/>
        <v>2024-Q2</v>
      </c>
      <c r="T1031" s="111" t="str">
        <f t="shared" si="6"/>
        <v>2024-05</v>
      </c>
      <c r="U1031" s="112" t="str">
        <f t="shared" si="7"/>
        <v>2024-H1</v>
      </c>
      <c r="V1031" s="1" t="str">
        <f>VLOOKUP(B1031,Bounties!A:E,2,FALSE)</f>
        <v>Moderation Team Bounty</v>
      </c>
    </row>
    <row r="1032" hidden="1">
      <c r="A1032" s="109">
        <f>HYPERLINK("https://polkadot.subsquare.io/treasury/child-bounties/1030", 1030)</f>
        <v>1030</v>
      </c>
      <c r="B1032" s="183">
        <v>24.0</v>
      </c>
      <c r="C1032" s="27" t="s">
        <v>3404</v>
      </c>
      <c r="D1032" s="27" t="s">
        <v>1593</v>
      </c>
      <c r="E1032" s="129">
        <v>201.27</v>
      </c>
      <c r="F1032" s="66">
        <v>1326.7180966472627</v>
      </c>
      <c r="G1032" s="27" t="s">
        <v>3469</v>
      </c>
      <c r="H1032" s="167">
        <v>45408.0</v>
      </c>
      <c r="I1032" s="167">
        <v>45422.0</v>
      </c>
      <c r="J1032" s="66">
        <v>1332.4836755132676</v>
      </c>
      <c r="K1032" s="1"/>
      <c r="L1032" s="1"/>
      <c r="M1032" s="1" t="str">
        <f>VLOOKUP(B1032,Bounties!A:D,3,FALSE)</f>
        <v>Outreach</v>
      </c>
      <c r="N1032" s="1" t="str">
        <f>VLOOKUP(B1032,Bounties!A:D,4,FALSE)</f>
        <v>Community Building</v>
      </c>
      <c r="O1032" s="1" t="str">
        <f t="shared" ref="O1032:P1032" si="1036">IF(ISBLANK(K1032),M1032,K1032)</f>
        <v>Outreach</v>
      </c>
      <c r="P1032" s="1" t="str">
        <f t="shared" si="1036"/>
        <v>Community Building</v>
      </c>
      <c r="Q1032" s="108" t="str">
        <f t="shared" si="3"/>
        <v>2024</v>
      </c>
      <c r="R1032" s="110">
        <f t="shared" si="4"/>
        <v>5</v>
      </c>
      <c r="S1032" s="108" t="str">
        <f t="shared" si="5"/>
        <v>2024-Q2</v>
      </c>
      <c r="T1032" s="111" t="str">
        <f t="shared" si="6"/>
        <v>2024-05</v>
      </c>
      <c r="U1032" s="112" t="str">
        <f t="shared" si="7"/>
        <v>2024-H1</v>
      </c>
      <c r="V1032" s="1" t="str">
        <f>VLOOKUP(B1032,Bounties!A:E,2,FALSE)</f>
        <v>Moderation Team Bounty</v>
      </c>
    </row>
    <row r="1033" hidden="1">
      <c r="A1033" s="109">
        <f>HYPERLINK("https://polkadot.subsquare.io/treasury/child-bounties/1031", 1031)</f>
        <v>1031</v>
      </c>
      <c r="B1033" s="183">
        <v>24.0</v>
      </c>
      <c r="C1033" s="27" t="s">
        <v>3404</v>
      </c>
      <c r="D1033" s="27" t="s">
        <v>1594</v>
      </c>
      <c r="E1033" s="129">
        <v>201.27</v>
      </c>
      <c r="F1033" s="66">
        <v>1326.7180966472627</v>
      </c>
      <c r="G1033" s="27" t="s">
        <v>3411</v>
      </c>
      <c r="H1033" s="167">
        <v>45408.0</v>
      </c>
      <c r="I1033" s="167">
        <v>45417.0</v>
      </c>
      <c r="J1033" s="66">
        <v>1406.9012471866608</v>
      </c>
      <c r="K1033" s="1"/>
      <c r="L1033" s="1"/>
      <c r="M1033" s="1" t="str">
        <f>VLOOKUP(B1033,Bounties!A:D,3,FALSE)</f>
        <v>Outreach</v>
      </c>
      <c r="N1033" s="1" t="str">
        <f>VLOOKUP(B1033,Bounties!A:D,4,FALSE)</f>
        <v>Community Building</v>
      </c>
      <c r="O1033" s="1" t="str">
        <f t="shared" ref="O1033:P1033" si="1037">IF(ISBLANK(K1033),M1033,K1033)</f>
        <v>Outreach</v>
      </c>
      <c r="P1033" s="1" t="str">
        <f t="shared" si="1037"/>
        <v>Community Building</v>
      </c>
      <c r="Q1033" s="108" t="str">
        <f t="shared" si="3"/>
        <v>2024</v>
      </c>
      <c r="R1033" s="110">
        <f t="shared" si="4"/>
        <v>5</v>
      </c>
      <c r="S1033" s="108" t="str">
        <f t="shared" si="5"/>
        <v>2024-Q2</v>
      </c>
      <c r="T1033" s="111" t="str">
        <f t="shared" si="6"/>
        <v>2024-05</v>
      </c>
      <c r="U1033" s="112" t="str">
        <f t="shared" si="7"/>
        <v>2024-H1</v>
      </c>
      <c r="V1033" s="1" t="str">
        <f>VLOOKUP(B1033,Bounties!A:E,2,FALSE)</f>
        <v>Moderation Team Bounty</v>
      </c>
    </row>
    <row r="1034" hidden="1">
      <c r="A1034" s="109">
        <f>HYPERLINK("https://polkadot.subsquare.io/treasury/child-bounties/1032", 1032)</f>
        <v>1032</v>
      </c>
      <c r="B1034" s="183">
        <v>24.0</v>
      </c>
      <c r="C1034" s="27" t="s">
        <v>3404</v>
      </c>
      <c r="D1034" s="27" t="s">
        <v>1595</v>
      </c>
      <c r="E1034" s="129">
        <v>202.02</v>
      </c>
      <c r="F1034" s="66">
        <v>1297.420495119095</v>
      </c>
      <c r="G1034" s="27" t="s">
        <v>3457</v>
      </c>
      <c r="H1034" s="167">
        <v>45409.0</v>
      </c>
      <c r="I1034" s="167">
        <v>45417.0</v>
      </c>
      <c r="J1034" s="66">
        <v>1412.1438364219666</v>
      </c>
      <c r="K1034" s="1"/>
      <c r="L1034" s="1"/>
      <c r="M1034" s="1" t="str">
        <f>VLOOKUP(B1034,Bounties!A:D,3,FALSE)</f>
        <v>Outreach</v>
      </c>
      <c r="N1034" s="1" t="str">
        <f>VLOOKUP(B1034,Bounties!A:D,4,FALSE)</f>
        <v>Community Building</v>
      </c>
      <c r="O1034" s="1" t="str">
        <f t="shared" ref="O1034:P1034" si="1038">IF(ISBLANK(K1034),M1034,K1034)</f>
        <v>Outreach</v>
      </c>
      <c r="P1034" s="1" t="str">
        <f t="shared" si="1038"/>
        <v>Community Building</v>
      </c>
      <c r="Q1034" s="108" t="str">
        <f t="shared" si="3"/>
        <v>2024</v>
      </c>
      <c r="R1034" s="110">
        <f t="shared" si="4"/>
        <v>5</v>
      </c>
      <c r="S1034" s="108" t="str">
        <f t="shared" si="5"/>
        <v>2024-Q2</v>
      </c>
      <c r="T1034" s="111" t="str">
        <f t="shared" si="6"/>
        <v>2024-05</v>
      </c>
      <c r="U1034" s="112" t="str">
        <f t="shared" si="7"/>
        <v>2024-H1</v>
      </c>
      <c r="V1034" s="1" t="str">
        <f>VLOOKUP(B1034,Bounties!A:E,2,FALSE)</f>
        <v>Moderation Team Bounty</v>
      </c>
    </row>
    <row r="1035" hidden="1">
      <c r="A1035" s="109">
        <f>HYPERLINK("https://polkadot.subsquare.io/treasury/child-bounties/1033", 1033)</f>
        <v>1033</v>
      </c>
      <c r="B1035" s="183">
        <v>24.0</v>
      </c>
      <c r="C1035" s="27" t="s">
        <v>3404</v>
      </c>
      <c r="D1035" s="27" t="s">
        <v>1596</v>
      </c>
      <c r="E1035" s="129">
        <v>202.02</v>
      </c>
      <c r="F1035" s="66">
        <v>1297.420495119095</v>
      </c>
      <c r="G1035" s="27" t="s">
        <v>3407</v>
      </c>
      <c r="H1035" s="167">
        <v>45409.0</v>
      </c>
      <c r="I1035" s="167">
        <v>45417.0</v>
      </c>
      <c r="J1035" s="66">
        <v>1412.1438364219666</v>
      </c>
      <c r="K1035" s="1"/>
      <c r="L1035" s="1"/>
      <c r="M1035" s="1" t="str">
        <f>VLOOKUP(B1035,Bounties!A:D,3,FALSE)</f>
        <v>Outreach</v>
      </c>
      <c r="N1035" s="1" t="str">
        <f>VLOOKUP(B1035,Bounties!A:D,4,FALSE)</f>
        <v>Community Building</v>
      </c>
      <c r="O1035" s="1" t="str">
        <f t="shared" ref="O1035:P1035" si="1039">IF(ISBLANK(K1035),M1035,K1035)</f>
        <v>Outreach</v>
      </c>
      <c r="P1035" s="1" t="str">
        <f t="shared" si="1039"/>
        <v>Community Building</v>
      </c>
      <c r="Q1035" s="108" t="str">
        <f t="shared" si="3"/>
        <v>2024</v>
      </c>
      <c r="R1035" s="110">
        <f t="shared" si="4"/>
        <v>5</v>
      </c>
      <c r="S1035" s="108" t="str">
        <f t="shared" si="5"/>
        <v>2024-Q2</v>
      </c>
      <c r="T1035" s="111" t="str">
        <f t="shared" si="6"/>
        <v>2024-05</v>
      </c>
      <c r="U1035" s="112" t="str">
        <f t="shared" si="7"/>
        <v>2024-H1</v>
      </c>
      <c r="V1035" s="1" t="str">
        <f>VLOOKUP(B1035,Bounties!A:E,2,FALSE)</f>
        <v>Moderation Team Bounty</v>
      </c>
    </row>
    <row r="1036" hidden="1">
      <c r="A1036" s="109">
        <f>HYPERLINK("https://polkadot.subsquare.io/treasury/child-bounties/1034", 1034)</f>
        <v>1034</v>
      </c>
      <c r="B1036" s="183">
        <v>24.0</v>
      </c>
      <c r="C1036" s="27" t="s">
        <v>3404</v>
      </c>
      <c r="D1036" s="27" t="s">
        <v>1597</v>
      </c>
      <c r="E1036" s="129">
        <v>221.5</v>
      </c>
      <c r="F1036" s="66">
        <v>1422.5256888866425</v>
      </c>
      <c r="G1036" s="27" t="s">
        <v>3486</v>
      </c>
      <c r="H1036" s="167">
        <v>45409.0</v>
      </c>
      <c r="I1036" s="167">
        <v>45417.0</v>
      </c>
      <c r="J1036" s="66">
        <v>1548.3113541603088</v>
      </c>
      <c r="K1036" s="1"/>
      <c r="L1036" s="1"/>
      <c r="M1036" s="1" t="str">
        <f>VLOOKUP(B1036,Bounties!A:D,3,FALSE)</f>
        <v>Outreach</v>
      </c>
      <c r="N1036" s="1" t="str">
        <f>VLOOKUP(B1036,Bounties!A:D,4,FALSE)</f>
        <v>Community Building</v>
      </c>
      <c r="O1036" s="1" t="str">
        <f t="shared" ref="O1036:P1036" si="1040">IF(ISBLANK(K1036),M1036,K1036)</f>
        <v>Outreach</v>
      </c>
      <c r="P1036" s="1" t="str">
        <f t="shared" si="1040"/>
        <v>Community Building</v>
      </c>
      <c r="Q1036" s="108" t="str">
        <f t="shared" si="3"/>
        <v>2024</v>
      </c>
      <c r="R1036" s="110">
        <f t="shared" si="4"/>
        <v>5</v>
      </c>
      <c r="S1036" s="108" t="str">
        <f t="shared" si="5"/>
        <v>2024-Q2</v>
      </c>
      <c r="T1036" s="111" t="str">
        <f t="shared" si="6"/>
        <v>2024-05</v>
      </c>
      <c r="U1036" s="112" t="str">
        <f t="shared" si="7"/>
        <v>2024-H1</v>
      </c>
      <c r="V1036" s="1" t="str">
        <f>VLOOKUP(B1036,Bounties!A:E,2,FALSE)</f>
        <v>Moderation Team Bounty</v>
      </c>
    </row>
    <row r="1037" hidden="1">
      <c r="A1037" s="109">
        <f>HYPERLINK("https://polkadot.subsquare.io/treasury/child-bounties/1035", 1035)</f>
        <v>1035</v>
      </c>
      <c r="B1037" s="183">
        <v>24.0</v>
      </c>
      <c r="C1037" s="27" t="s">
        <v>3404</v>
      </c>
      <c r="D1037" s="27" t="s">
        <v>1598</v>
      </c>
      <c r="E1037" s="129">
        <v>202.02</v>
      </c>
      <c r="F1037" s="66">
        <v>1297.420495119095</v>
      </c>
      <c r="G1037" s="27" t="s">
        <v>3406</v>
      </c>
      <c r="H1037" s="167">
        <v>45409.0</v>
      </c>
      <c r="I1037" s="167">
        <v>45423.0</v>
      </c>
      <c r="J1037" s="66">
        <v>1308.8677543830872</v>
      </c>
      <c r="K1037" s="1"/>
      <c r="L1037" s="1"/>
      <c r="M1037" s="1" t="str">
        <f>VLOOKUP(B1037,Bounties!A:D,3,FALSE)</f>
        <v>Outreach</v>
      </c>
      <c r="N1037" s="1" t="str">
        <f>VLOOKUP(B1037,Bounties!A:D,4,FALSE)</f>
        <v>Community Building</v>
      </c>
      <c r="O1037" s="1" t="str">
        <f t="shared" ref="O1037:P1037" si="1041">IF(ISBLANK(K1037),M1037,K1037)</f>
        <v>Outreach</v>
      </c>
      <c r="P1037" s="1" t="str">
        <f t="shared" si="1041"/>
        <v>Community Building</v>
      </c>
      <c r="Q1037" s="108" t="str">
        <f t="shared" si="3"/>
        <v>2024</v>
      </c>
      <c r="R1037" s="110">
        <f t="shared" si="4"/>
        <v>5</v>
      </c>
      <c r="S1037" s="108" t="str">
        <f t="shared" si="5"/>
        <v>2024-Q2</v>
      </c>
      <c r="T1037" s="111" t="str">
        <f t="shared" si="6"/>
        <v>2024-05</v>
      </c>
      <c r="U1037" s="112" t="str">
        <f t="shared" si="7"/>
        <v>2024-H1</v>
      </c>
      <c r="V1037" s="1" t="str">
        <f>VLOOKUP(B1037,Bounties!A:E,2,FALSE)</f>
        <v>Moderation Team Bounty</v>
      </c>
    </row>
    <row r="1038" hidden="1">
      <c r="A1038" s="109">
        <f>HYPERLINK("https://polkadot.subsquare.io/treasury/child-bounties/1036", 1036)</f>
        <v>1036</v>
      </c>
      <c r="B1038" s="183">
        <v>37.0</v>
      </c>
      <c r="C1038" s="27" t="s">
        <v>3404</v>
      </c>
      <c r="D1038" s="27" t="s">
        <v>1599</v>
      </c>
      <c r="E1038" s="129">
        <v>132.38</v>
      </c>
      <c r="F1038" s="66">
        <v>911.1772074985504</v>
      </c>
      <c r="G1038" s="27" t="s">
        <v>3650</v>
      </c>
      <c r="H1038" s="167">
        <v>45410.0</v>
      </c>
      <c r="I1038" s="167">
        <v>45461.0</v>
      </c>
      <c r="J1038" s="66">
        <v>742.7923941612244</v>
      </c>
      <c r="K1038" s="1"/>
      <c r="L1038" s="1"/>
      <c r="M1038" s="1" t="str">
        <f>VLOOKUP(B1038,Bounties!A:D,3,FALSE)</f>
        <v>Operations</v>
      </c>
      <c r="N1038" s="1" t="str">
        <f>VLOOKUP(B1038,Bounties!A:D,4,FALSE)</f>
        <v>Infrastructure</v>
      </c>
      <c r="O1038" s="1" t="str">
        <f t="shared" ref="O1038:P1038" si="1042">IF(ISBLANK(K1038),M1038,K1038)</f>
        <v>Operations</v>
      </c>
      <c r="P1038" s="1" t="str">
        <f t="shared" si="1042"/>
        <v>Infrastructure</v>
      </c>
      <c r="Q1038" s="108" t="str">
        <f t="shared" si="3"/>
        <v>2024</v>
      </c>
      <c r="R1038" s="110">
        <f t="shared" si="4"/>
        <v>6</v>
      </c>
      <c r="S1038" s="108" t="str">
        <f t="shared" si="5"/>
        <v>2024-Q2</v>
      </c>
      <c r="T1038" s="111" t="str">
        <f t="shared" si="6"/>
        <v>2024-06</v>
      </c>
      <c r="U1038" s="112" t="str">
        <f t="shared" si="7"/>
        <v>2024-H1</v>
      </c>
      <c r="V1038" s="1" t="str">
        <f>VLOOKUP(B1038,Bounties!A:E,2,FALSE)</f>
        <v>Paseo Testnet Bounty</v>
      </c>
    </row>
    <row r="1039" hidden="1">
      <c r="A1039" s="109">
        <f>HYPERLINK("https://polkadot.subsquare.io/treasury/child-bounties/1037", 1037)</f>
        <v>1037</v>
      </c>
      <c r="B1039" s="183">
        <v>37.0</v>
      </c>
      <c r="C1039" s="27" t="s">
        <v>3404</v>
      </c>
      <c r="D1039" s="27" t="s">
        <v>1600</v>
      </c>
      <c r="E1039" s="129">
        <v>91.09</v>
      </c>
      <c r="F1039" s="66">
        <v>626.9763697767258</v>
      </c>
      <c r="G1039" s="27" t="s">
        <v>3663</v>
      </c>
      <c r="H1039" s="167">
        <v>45410.0</v>
      </c>
      <c r="I1039" s="167">
        <v>45419.0</v>
      </c>
      <c r="J1039" s="66">
        <v>642.1954195833206</v>
      </c>
      <c r="K1039" s="1"/>
      <c r="L1039" s="1"/>
      <c r="M1039" s="1" t="str">
        <f>VLOOKUP(B1039,Bounties!A:D,3,FALSE)</f>
        <v>Operations</v>
      </c>
      <c r="N1039" s="1" t="str">
        <f>VLOOKUP(B1039,Bounties!A:D,4,FALSE)</f>
        <v>Infrastructure</v>
      </c>
      <c r="O1039" s="1" t="str">
        <f t="shared" ref="O1039:P1039" si="1043">IF(ISBLANK(K1039),M1039,K1039)</f>
        <v>Operations</v>
      </c>
      <c r="P1039" s="1" t="str">
        <f t="shared" si="1043"/>
        <v>Infrastructure</v>
      </c>
      <c r="Q1039" s="108" t="str">
        <f t="shared" si="3"/>
        <v>2024</v>
      </c>
      <c r="R1039" s="110">
        <f t="shared" si="4"/>
        <v>5</v>
      </c>
      <c r="S1039" s="108" t="str">
        <f t="shared" si="5"/>
        <v>2024-Q2</v>
      </c>
      <c r="T1039" s="111" t="str">
        <f t="shared" si="6"/>
        <v>2024-05</v>
      </c>
      <c r="U1039" s="112" t="str">
        <f t="shared" si="7"/>
        <v>2024-H1</v>
      </c>
      <c r="V1039" s="1" t="str">
        <f>VLOOKUP(B1039,Bounties!A:E,2,FALSE)</f>
        <v>Paseo Testnet Bounty</v>
      </c>
    </row>
    <row r="1040" hidden="1">
      <c r="A1040" s="109">
        <f>HYPERLINK("https://polkadot.subsquare.io/treasury/child-bounties/1038", 1038)</f>
        <v>1038</v>
      </c>
      <c r="B1040" s="183">
        <v>37.0</v>
      </c>
      <c r="C1040" s="27" t="s">
        <v>3404</v>
      </c>
      <c r="D1040" s="27" t="s">
        <v>1601</v>
      </c>
      <c r="E1040" s="129">
        <v>132.36</v>
      </c>
      <c r="F1040" s="66">
        <v>911.0395466423035</v>
      </c>
      <c r="G1040" s="27" t="s">
        <v>3663</v>
      </c>
      <c r="H1040" s="167">
        <v>45410.0</v>
      </c>
      <c r="I1040" s="167">
        <v>45419.0</v>
      </c>
      <c r="J1040" s="66">
        <v>933.1538669013978</v>
      </c>
      <c r="K1040" s="1"/>
      <c r="L1040" s="1"/>
      <c r="M1040" s="1" t="str">
        <f>VLOOKUP(B1040,Bounties!A:D,3,FALSE)</f>
        <v>Operations</v>
      </c>
      <c r="N1040" s="1" t="str">
        <f>VLOOKUP(B1040,Bounties!A:D,4,FALSE)</f>
        <v>Infrastructure</v>
      </c>
      <c r="O1040" s="1" t="str">
        <f t="shared" ref="O1040:P1040" si="1044">IF(ISBLANK(K1040),M1040,K1040)</f>
        <v>Operations</v>
      </c>
      <c r="P1040" s="1" t="str">
        <f t="shared" si="1044"/>
        <v>Infrastructure</v>
      </c>
      <c r="Q1040" s="108" t="str">
        <f t="shared" si="3"/>
        <v>2024</v>
      </c>
      <c r="R1040" s="110">
        <f t="shared" si="4"/>
        <v>5</v>
      </c>
      <c r="S1040" s="108" t="str">
        <f t="shared" si="5"/>
        <v>2024-Q2</v>
      </c>
      <c r="T1040" s="111" t="str">
        <f t="shared" si="6"/>
        <v>2024-05</v>
      </c>
      <c r="U1040" s="112" t="str">
        <f t="shared" si="7"/>
        <v>2024-H1</v>
      </c>
      <c r="V1040" s="1" t="str">
        <f>VLOOKUP(B1040,Bounties!A:E,2,FALSE)</f>
        <v>Paseo Testnet Bounty</v>
      </c>
    </row>
    <row r="1041" hidden="1">
      <c r="A1041" s="109">
        <f>HYPERLINK("https://polkadot.subsquare.io/treasury/child-bounties/1039", 1039)</f>
        <v>1039</v>
      </c>
      <c r="B1041" s="183">
        <v>37.0</v>
      </c>
      <c r="C1041" s="27" t="s">
        <v>3655</v>
      </c>
      <c r="D1041" s="27" t="s">
        <v>3664</v>
      </c>
      <c r="E1041" s="129">
        <v>16.47</v>
      </c>
      <c r="F1041" s="66">
        <v>113.36371511936187</v>
      </c>
      <c r="G1041" s="27" t="s">
        <v>3665</v>
      </c>
      <c r="H1041" s="167">
        <v>45410.0</v>
      </c>
      <c r="I1041" s="167">
        <v>45410.0</v>
      </c>
      <c r="J1041" s="66">
        <v>113.36371511936187</v>
      </c>
      <c r="K1041" s="1"/>
      <c r="L1041" s="1"/>
      <c r="M1041" s="1" t="str">
        <f>VLOOKUP(B1041,Bounties!A:D,3,FALSE)</f>
        <v>Operations</v>
      </c>
      <c r="N1041" s="1" t="str">
        <f>VLOOKUP(B1041,Bounties!A:D,4,FALSE)</f>
        <v>Infrastructure</v>
      </c>
      <c r="O1041" s="1" t="str">
        <f t="shared" ref="O1041:P1041" si="1045">IF(ISBLANK(K1041),M1041,K1041)</f>
        <v>Operations</v>
      </c>
      <c r="P1041" s="1" t="str">
        <f t="shared" si="1045"/>
        <v>Infrastructure</v>
      </c>
      <c r="Q1041" s="108" t="str">
        <f t="shared" si="3"/>
        <v>2024</v>
      </c>
      <c r="R1041" s="110">
        <f t="shared" si="4"/>
        <v>4</v>
      </c>
      <c r="S1041" s="108" t="str">
        <f t="shared" si="5"/>
        <v>2024-Q2</v>
      </c>
      <c r="T1041" s="111" t="str">
        <f t="shared" si="6"/>
        <v>2024-04</v>
      </c>
      <c r="U1041" s="112" t="str">
        <f t="shared" si="7"/>
        <v>2024-H1</v>
      </c>
      <c r="V1041" s="1" t="str">
        <f>VLOOKUP(B1041,Bounties!A:E,2,FALSE)</f>
        <v>Paseo Testnet Bounty</v>
      </c>
    </row>
    <row r="1042" hidden="1">
      <c r="A1042" s="109">
        <f>HYPERLINK("https://polkadot.subsquare.io/treasury/child-bounties/1040", 1040)</f>
        <v>1040</v>
      </c>
      <c r="B1042" s="183">
        <v>11.0</v>
      </c>
      <c r="C1042" s="27" t="s">
        <v>3404</v>
      </c>
      <c r="D1042" s="27" t="s">
        <v>1602</v>
      </c>
      <c r="E1042" s="129">
        <v>1287.59</v>
      </c>
      <c r="F1042" s="66">
        <v>8862.537094750403</v>
      </c>
      <c r="G1042" s="27" t="s">
        <v>3576</v>
      </c>
      <c r="H1042" s="167">
        <v>45411.0</v>
      </c>
      <c r="I1042" s="167">
        <v>45421.0</v>
      </c>
      <c r="J1042" s="66">
        <v>8574.355184874534</v>
      </c>
      <c r="K1042" s="1"/>
      <c r="L1042" s="1"/>
      <c r="M1042" s="1" t="str">
        <f>VLOOKUP(B1042,Bounties!A:D,3,FALSE)</f>
        <v>Research</v>
      </c>
      <c r="N1042" s="1" t="str">
        <f>VLOOKUP(B1042,Bounties!A:D,4,FALSE)</f>
        <v>Anti-Scam</v>
      </c>
      <c r="O1042" s="1" t="str">
        <f t="shared" ref="O1042:P1042" si="1046">IF(ISBLANK(K1042),M1042,K1042)</f>
        <v>Research</v>
      </c>
      <c r="P1042" s="1" t="str">
        <f t="shared" si="1046"/>
        <v>Anti-Scam</v>
      </c>
      <c r="Q1042" s="108" t="str">
        <f t="shared" si="3"/>
        <v>2024</v>
      </c>
      <c r="R1042" s="110">
        <f t="shared" si="4"/>
        <v>5</v>
      </c>
      <c r="S1042" s="108" t="str">
        <f t="shared" si="5"/>
        <v>2024-Q2</v>
      </c>
      <c r="T1042" s="111" t="str">
        <f t="shared" si="6"/>
        <v>2024-05</v>
      </c>
      <c r="U1042" s="112" t="str">
        <f t="shared" si="7"/>
        <v>2024-H1</v>
      </c>
      <c r="V1042" s="1" t="str">
        <f>VLOOKUP(B1042,Bounties!A:E,2,FALSE)</f>
        <v>Anti-Scam Bounty</v>
      </c>
    </row>
    <row r="1043" hidden="1">
      <c r="A1043" s="109">
        <f>HYPERLINK("https://polkadot.subsquare.io/treasury/child-bounties/1041", 1041)</f>
        <v>1041</v>
      </c>
      <c r="B1043" s="183">
        <v>11.0</v>
      </c>
      <c r="C1043" s="27" t="s">
        <v>3404</v>
      </c>
      <c r="D1043" s="27" t="s">
        <v>1603</v>
      </c>
      <c r="E1043" s="129">
        <v>948.9</v>
      </c>
      <c r="F1043" s="66">
        <v>6531.319324636459</v>
      </c>
      <c r="G1043" s="27" t="s">
        <v>3576</v>
      </c>
      <c r="H1043" s="167">
        <v>45411.0</v>
      </c>
      <c r="I1043" s="167">
        <v>45425.0</v>
      </c>
      <c r="J1043" s="66">
        <v>6669.936915206909</v>
      </c>
      <c r="K1043" s="1"/>
      <c r="L1043" s="1"/>
      <c r="M1043" s="1" t="str">
        <f>VLOOKUP(B1043,Bounties!A:D,3,FALSE)</f>
        <v>Research</v>
      </c>
      <c r="N1043" s="1" t="str">
        <f>VLOOKUP(B1043,Bounties!A:D,4,FALSE)</f>
        <v>Anti-Scam</v>
      </c>
      <c r="O1043" s="1" t="str">
        <f t="shared" ref="O1043:P1043" si="1047">IF(ISBLANK(K1043),M1043,K1043)</f>
        <v>Research</v>
      </c>
      <c r="P1043" s="1" t="str">
        <f t="shared" si="1047"/>
        <v>Anti-Scam</v>
      </c>
      <c r="Q1043" s="108" t="str">
        <f t="shared" si="3"/>
        <v>2024</v>
      </c>
      <c r="R1043" s="110">
        <f t="shared" si="4"/>
        <v>5</v>
      </c>
      <c r="S1043" s="108" t="str">
        <f t="shared" si="5"/>
        <v>2024-Q2</v>
      </c>
      <c r="T1043" s="111" t="str">
        <f t="shared" si="6"/>
        <v>2024-05</v>
      </c>
      <c r="U1043" s="112" t="str">
        <f t="shared" si="7"/>
        <v>2024-H1</v>
      </c>
      <c r="V1043" s="1" t="str">
        <f>VLOOKUP(B1043,Bounties!A:E,2,FALSE)</f>
        <v>Anti-Scam Bounty</v>
      </c>
    </row>
    <row r="1044" hidden="1">
      <c r="A1044" s="109">
        <f>HYPERLINK("https://polkadot.subsquare.io/treasury/child-bounties/1042", 1042)</f>
        <v>1042</v>
      </c>
      <c r="B1044" s="183">
        <v>11.0</v>
      </c>
      <c r="C1044" s="27" t="s">
        <v>3404</v>
      </c>
      <c r="D1044" s="27" t="s">
        <v>1604</v>
      </c>
      <c r="E1044" s="129">
        <v>1000.0</v>
      </c>
      <c r="F1044" s="66">
        <v>7255.101203918457</v>
      </c>
      <c r="G1044" s="27" t="s">
        <v>3666</v>
      </c>
      <c r="H1044" s="167">
        <v>45412.0</v>
      </c>
      <c r="I1044" s="167">
        <v>45423.0</v>
      </c>
      <c r="J1044" s="66">
        <v>6665.497779846191</v>
      </c>
      <c r="K1044" s="1"/>
      <c r="L1044" s="1"/>
      <c r="M1044" s="1" t="str">
        <f>VLOOKUP(B1044,Bounties!A:D,3,FALSE)</f>
        <v>Research</v>
      </c>
      <c r="N1044" s="1" t="str">
        <f>VLOOKUP(B1044,Bounties!A:D,4,FALSE)</f>
        <v>Anti-Scam</v>
      </c>
      <c r="O1044" s="1" t="str">
        <f t="shared" ref="O1044:P1044" si="1048">IF(ISBLANK(K1044),M1044,K1044)</f>
        <v>Research</v>
      </c>
      <c r="P1044" s="1" t="str">
        <f t="shared" si="1048"/>
        <v>Anti-Scam</v>
      </c>
      <c r="Q1044" s="108" t="str">
        <f t="shared" si="3"/>
        <v>2024</v>
      </c>
      <c r="R1044" s="110">
        <f t="shared" si="4"/>
        <v>5</v>
      </c>
      <c r="S1044" s="108" t="str">
        <f t="shared" si="5"/>
        <v>2024-Q2</v>
      </c>
      <c r="T1044" s="111" t="str">
        <f t="shared" si="6"/>
        <v>2024-05</v>
      </c>
      <c r="U1044" s="112" t="str">
        <f t="shared" si="7"/>
        <v>2024-H1</v>
      </c>
      <c r="V1044" s="1" t="str">
        <f>VLOOKUP(B1044,Bounties!A:E,2,FALSE)</f>
        <v>Anti-Scam Bounty</v>
      </c>
    </row>
    <row r="1045" hidden="1">
      <c r="A1045" s="109">
        <f>HYPERLINK("https://polkadot.subsquare.io/treasury/child-bounties/1043", 1043)</f>
        <v>1043</v>
      </c>
      <c r="B1045" s="183">
        <v>11.0</v>
      </c>
      <c r="C1045" s="27" t="s">
        <v>3404</v>
      </c>
      <c r="D1045" s="27" t="s">
        <v>1605</v>
      </c>
      <c r="E1045" s="129">
        <v>107.75</v>
      </c>
      <c r="F1045" s="66">
        <v>781.7371547222137</v>
      </c>
      <c r="G1045" s="27" t="s">
        <v>3469</v>
      </c>
      <c r="H1045" s="167">
        <v>45412.0</v>
      </c>
      <c r="I1045" s="167">
        <v>45431.0</v>
      </c>
      <c r="J1045" s="66">
        <v>803.2192622423172</v>
      </c>
      <c r="K1045" s="1"/>
      <c r="L1045" s="1"/>
      <c r="M1045" s="1" t="str">
        <f>VLOOKUP(B1045,Bounties!A:D,3,FALSE)</f>
        <v>Research</v>
      </c>
      <c r="N1045" s="1" t="str">
        <f>VLOOKUP(B1045,Bounties!A:D,4,FALSE)</f>
        <v>Anti-Scam</v>
      </c>
      <c r="O1045" s="1" t="str">
        <f t="shared" ref="O1045:P1045" si="1049">IF(ISBLANK(K1045),M1045,K1045)</f>
        <v>Research</v>
      </c>
      <c r="P1045" s="1" t="str">
        <f t="shared" si="1049"/>
        <v>Anti-Scam</v>
      </c>
      <c r="Q1045" s="108" t="str">
        <f t="shared" si="3"/>
        <v>2024</v>
      </c>
      <c r="R1045" s="110">
        <f t="shared" si="4"/>
        <v>5</v>
      </c>
      <c r="S1045" s="108" t="str">
        <f t="shared" si="5"/>
        <v>2024-Q2</v>
      </c>
      <c r="T1045" s="111" t="str">
        <f t="shared" si="6"/>
        <v>2024-05</v>
      </c>
      <c r="U1045" s="112" t="str">
        <f t="shared" si="7"/>
        <v>2024-H1</v>
      </c>
      <c r="V1045" s="1" t="str">
        <f>VLOOKUP(B1045,Bounties!A:E,2,FALSE)</f>
        <v>Anti-Scam Bounty</v>
      </c>
    </row>
    <row r="1046" hidden="1">
      <c r="A1046" s="109">
        <f>HYPERLINK("https://polkadot.subsquare.io/treasury/child-bounties/1044", 1044)</f>
        <v>1044</v>
      </c>
      <c r="B1046" s="183">
        <v>11.0</v>
      </c>
      <c r="C1046" s="27" t="s">
        <v>3404</v>
      </c>
      <c r="D1046" s="27" t="s">
        <v>1606</v>
      </c>
      <c r="E1046" s="129">
        <v>107.75</v>
      </c>
      <c r="F1046" s="66">
        <v>781.7371547222137</v>
      </c>
      <c r="G1046" s="27" t="s">
        <v>3406</v>
      </c>
      <c r="H1046" s="167">
        <v>45412.0</v>
      </c>
      <c r="I1046" s="167">
        <v>45423.0</v>
      </c>
      <c r="J1046" s="66">
        <v>698.1016757488251</v>
      </c>
      <c r="K1046" s="1"/>
      <c r="L1046" s="1"/>
      <c r="M1046" s="1" t="str">
        <f>VLOOKUP(B1046,Bounties!A:D,3,FALSE)</f>
        <v>Research</v>
      </c>
      <c r="N1046" s="1" t="str">
        <f>VLOOKUP(B1046,Bounties!A:D,4,FALSE)</f>
        <v>Anti-Scam</v>
      </c>
      <c r="O1046" s="1" t="str">
        <f t="shared" ref="O1046:P1046" si="1050">IF(ISBLANK(K1046),M1046,K1046)</f>
        <v>Research</v>
      </c>
      <c r="P1046" s="1" t="str">
        <f t="shared" si="1050"/>
        <v>Anti-Scam</v>
      </c>
      <c r="Q1046" s="108" t="str">
        <f t="shared" si="3"/>
        <v>2024</v>
      </c>
      <c r="R1046" s="110">
        <f t="shared" si="4"/>
        <v>5</v>
      </c>
      <c r="S1046" s="108" t="str">
        <f t="shared" si="5"/>
        <v>2024-Q2</v>
      </c>
      <c r="T1046" s="111" t="str">
        <f t="shared" si="6"/>
        <v>2024-05</v>
      </c>
      <c r="U1046" s="112" t="str">
        <f t="shared" si="7"/>
        <v>2024-H1</v>
      </c>
      <c r="V1046" s="1" t="str">
        <f>VLOOKUP(B1046,Bounties!A:E,2,FALSE)</f>
        <v>Anti-Scam Bounty</v>
      </c>
    </row>
    <row r="1047" hidden="1">
      <c r="A1047" s="109">
        <f>HYPERLINK("https://polkadot.subsquare.io/treasury/child-bounties/1045", 1045)</f>
        <v>1045</v>
      </c>
      <c r="B1047" s="183">
        <v>11.0</v>
      </c>
      <c r="C1047" s="27" t="s">
        <v>3404</v>
      </c>
      <c r="D1047" s="27" t="s">
        <v>1607</v>
      </c>
      <c r="E1047" s="129">
        <v>89.8</v>
      </c>
      <c r="F1047" s="66">
        <v>651.5080881118774</v>
      </c>
      <c r="G1047" s="27" t="s">
        <v>3470</v>
      </c>
      <c r="H1047" s="167">
        <v>45412.0</v>
      </c>
      <c r="I1047" s="167">
        <v>45425.0</v>
      </c>
      <c r="J1047" s="66">
        <v>625.320503616333</v>
      </c>
      <c r="K1047" s="1"/>
      <c r="L1047" s="1"/>
      <c r="M1047" s="1" t="str">
        <f>VLOOKUP(B1047,Bounties!A:D,3,FALSE)</f>
        <v>Research</v>
      </c>
      <c r="N1047" s="1" t="str">
        <f>VLOOKUP(B1047,Bounties!A:D,4,FALSE)</f>
        <v>Anti-Scam</v>
      </c>
      <c r="O1047" s="1" t="str">
        <f t="shared" ref="O1047:P1047" si="1051">IF(ISBLANK(K1047),M1047,K1047)</f>
        <v>Research</v>
      </c>
      <c r="P1047" s="1" t="str">
        <f t="shared" si="1051"/>
        <v>Anti-Scam</v>
      </c>
      <c r="Q1047" s="108" t="str">
        <f t="shared" si="3"/>
        <v>2024</v>
      </c>
      <c r="R1047" s="110">
        <f t="shared" si="4"/>
        <v>5</v>
      </c>
      <c r="S1047" s="108" t="str">
        <f t="shared" si="5"/>
        <v>2024-Q2</v>
      </c>
      <c r="T1047" s="111" t="str">
        <f t="shared" si="6"/>
        <v>2024-05</v>
      </c>
      <c r="U1047" s="112" t="str">
        <f t="shared" si="7"/>
        <v>2024-H1</v>
      </c>
      <c r="V1047" s="1" t="str">
        <f>VLOOKUP(B1047,Bounties!A:E,2,FALSE)</f>
        <v>Anti-Scam Bounty</v>
      </c>
    </row>
    <row r="1048" hidden="1">
      <c r="A1048" s="109">
        <f>HYPERLINK("https://polkadot.subsquare.io/treasury/child-bounties/1046", 1046)</f>
        <v>1046</v>
      </c>
      <c r="B1048" s="183">
        <v>11.0</v>
      </c>
      <c r="C1048" s="27" t="s">
        <v>3404</v>
      </c>
      <c r="D1048" s="27" t="s">
        <v>1608</v>
      </c>
      <c r="E1048" s="129">
        <v>74.8</v>
      </c>
      <c r="F1048" s="66">
        <v>542.6815700531006</v>
      </c>
      <c r="G1048" s="27" t="s">
        <v>3457</v>
      </c>
      <c r="H1048" s="167">
        <v>45412.0</v>
      </c>
      <c r="I1048" s="167">
        <v>45421.0</v>
      </c>
      <c r="J1048" s="66">
        <v>495.204347038269</v>
      </c>
      <c r="K1048" s="1"/>
      <c r="L1048" s="1"/>
      <c r="M1048" s="1" t="str">
        <f>VLOOKUP(B1048,Bounties!A:D,3,FALSE)</f>
        <v>Research</v>
      </c>
      <c r="N1048" s="1" t="str">
        <f>VLOOKUP(B1048,Bounties!A:D,4,FALSE)</f>
        <v>Anti-Scam</v>
      </c>
      <c r="O1048" s="1" t="str">
        <f t="shared" ref="O1048:P1048" si="1052">IF(ISBLANK(K1048),M1048,K1048)</f>
        <v>Research</v>
      </c>
      <c r="P1048" s="1" t="str">
        <f t="shared" si="1052"/>
        <v>Anti-Scam</v>
      </c>
      <c r="Q1048" s="108" t="str">
        <f t="shared" si="3"/>
        <v>2024</v>
      </c>
      <c r="R1048" s="110">
        <f t="shared" si="4"/>
        <v>5</v>
      </c>
      <c r="S1048" s="108" t="str">
        <f t="shared" si="5"/>
        <v>2024-Q2</v>
      </c>
      <c r="T1048" s="111" t="str">
        <f t="shared" si="6"/>
        <v>2024-05</v>
      </c>
      <c r="U1048" s="112" t="str">
        <f t="shared" si="7"/>
        <v>2024-H1</v>
      </c>
      <c r="V1048" s="1" t="str">
        <f>VLOOKUP(B1048,Bounties!A:E,2,FALSE)</f>
        <v>Anti-Scam Bounty</v>
      </c>
    </row>
    <row r="1049" hidden="1">
      <c r="A1049" s="109">
        <f>HYPERLINK("https://polkadot.subsquare.io/treasury/child-bounties/1047", 1047)</f>
        <v>1047</v>
      </c>
      <c r="B1049" s="183">
        <v>11.0</v>
      </c>
      <c r="C1049" s="27" t="s">
        <v>3404</v>
      </c>
      <c r="D1049" s="27" t="s">
        <v>1609</v>
      </c>
      <c r="E1049" s="129">
        <v>215.5</v>
      </c>
      <c r="F1049" s="66">
        <v>1563.4743094444275</v>
      </c>
      <c r="G1049" s="27" t="s">
        <v>3409</v>
      </c>
      <c r="H1049" s="167">
        <v>45412.0</v>
      </c>
      <c r="I1049" s="167">
        <v>45421.0</v>
      </c>
      <c r="J1049" s="66">
        <v>1426.6916682720184</v>
      </c>
      <c r="K1049" s="1"/>
      <c r="L1049" s="1"/>
      <c r="M1049" s="1" t="str">
        <f>VLOOKUP(B1049,Bounties!A:D,3,FALSE)</f>
        <v>Research</v>
      </c>
      <c r="N1049" s="1" t="str">
        <f>VLOOKUP(B1049,Bounties!A:D,4,FALSE)</f>
        <v>Anti-Scam</v>
      </c>
      <c r="O1049" s="1" t="str">
        <f t="shared" ref="O1049:P1049" si="1053">IF(ISBLANK(K1049),M1049,K1049)</f>
        <v>Research</v>
      </c>
      <c r="P1049" s="1" t="str">
        <f t="shared" si="1053"/>
        <v>Anti-Scam</v>
      </c>
      <c r="Q1049" s="108" t="str">
        <f t="shared" si="3"/>
        <v>2024</v>
      </c>
      <c r="R1049" s="110">
        <f t="shared" si="4"/>
        <v>5</v>
      </c>
      <c r="S1049" s="108" t="str">
        <f t="shared" si="5"/>
        <v>2024-Q2</v>
      </c>
      <c r="T1049" s="111" t="str">
        <f t="shared" si="6"/>
        <v>2024-05</v>
      </c>
      <c r="U1049" s="112" t="str">
        <f t="shared" si="7"/>
        <v>2024-H1</v>
      </c>
      <c r="V1049" s="1" t="str">
        <f>VLOOKUP(B1049,Bounties!A:E,2,FALSE)</f>
        <v>Anti-Scam Bounty</v>
      </c>
    </row>
    <row r="1050" hidden="1">
      <c r="A1050" s="109">
        <f>HYPERLINK("https://polkadot.subsquare.io/treasury/child-bounties/1048", 1048)</f>
        <v>1048</v>
      </c>
      <c r="B1050" s="183">
        <v>11.0</v>
      </c>
      <c r="C1050" s="27" t="s">
        <v>3404</v>
      </c>
      <c r="D1050" s="27" t="s">
        <v>1610</v>
      </c>
      <c r="E1050" s="129">
        <v>74.8</v>
      </c>
      <c r="F1050" s="66">
        <v>542.6815700531006</v>
      </c>
      <c r="G1050" s="27" t="s">
        <v>3409</v>
      </c>
      <c r="H1050" s="167">
        <v>45412.0</v>
      </c>
      <c r="I1050" s="167">
        <v>45421.0</v>
      </c>
      <c r="J1050" s="66">
        <v>495.204347038269</v>
      </c>
      <c r="K1050" s="1"/>
      <c r="L1050" s="1"/>
      <c r="M1050" s="1" t="str">
        <f>VLOOKUP(B1050,Bounties!A:D,3,FALSE)</f>
        <v>Research</v>
      </c>
      <c r="N1050" s="1" t="str">
        <f>VLOOKUP(B1050,Bounties!A:D,4,FALSE)</f>
        <v>Anti-Scam</v>
      </c>
      <c r="O1050" s="1" t="str">
        <f t="shared" ref="O1050:P1050" si="1054">IF(ISBLANK(K1050),M1050,K1050)</f>
        <v>Research</v>
      </c>
      <c r="P1050" s="1" t="str">
        <f t="shared" si="1054"/>
        <v>Anti-Scam</v>
      </c>
      <c r="Q1050" s="108" t="str">
        <f t="shared" si="3"/>
        <v>2024</v>
      </c>
      <c r="R1050" s="110">
        <f t="shared" si="4"/>
        <v>5</v>
      </c>
      <c r="S1050" s="108" t="str">
        <f t="shared" si="5"/>
        <v>2024-Q2</v>
      </c>
      <c r="T1050" s="111" t="str">
        <f t="shared" si="6"/>
        <v>2024-05</v>
      </c>
      <c r="U1050" s="112" t="str">
        <f t="shared" si="7"/>
        <v>2024-H1</v>
      </c>
      <c r="V1050" s="1" t="str">
        <f>VLOOKUP(B1050,Bounties!A:E,2,FALSE)</f>
        <v>Anti-Scam Bounty</v>
      </c>
    </row>
    <row r="1051" hidden="1">
      <c r="A1051" s="109">
        <f>HYPERLINK("https://polkadot.subsquare.io/treasury/child-bounties/1049", 1049)</f>
        <v>1049</v>
      </c>
      <c r="B1051" s="183">
        <v>11.0</v>
      </c>
      <c r="C1051" s="27" t="s">
        <v>3404</v>
      </c>
      <c r="D1051" s="27" t="s">
        <v>1611</v>
      </c>
      <c r="E1051" s="129">
        <v>179.6</v>
      </c>
      <c r="F1051" s="66">
        <v>1303.0161762237549</v>
      </c>
      <c r="G1051" s="27" t="s">
        <v>3424</v>
      </c>
      <c r="H1051" s="167">
        <v>45412.0</v>
      </c>
      <c r="I1051" s="167">
        <v>45421.0</v>
      </c>
      <c r="J1051" s="66">
        <v>1189.0200632095336</v>
      </c>
      <c r="K1051" s="1"/>
      <c r="L1051" s="1"/>
      <c r="M1051" s="1" t="str">
        <f>VLOOKUP(B1051,Bounties!A:D,3,FALSE)</f>
        <v>Research</v>
      </c>
      <c r="N1051" s="1" t="str">
        <f>VLOOKUP(B1051,Bounties!A:D,4,FALSE)</f>
        <v>Anti-Scam</v>
      </c>
      <c r="O1051" s="1" t="str">
        <f t="shared" ref="O1051:P1051" si="1055">IF(ISBLANK(K1051),M1051,K1051)</f>
        <v>Research</v>
      </c>
      <c r="P1051" s="1" t="str">
        <f t="shared" si="1055"/>
        <v>Anti-Scam</v>
      </c>
      <c r="Q1051" s="108" t="str">
        <f t="shared" si="3"/>
        <v>2024</v>
      </c>
      <c r="R1051" s="110">
        <f t="shared" si="4"/>
        <v>5</v>
      </c>
      <c r="S1051" s="108" t="str">
        <f t="shared" si="5"/>
        <v>2024-Q2</v>
      </c>
      <c r="T1051" s="111" t="str">
        <f t="shared" si="6"/>
        <v>2024-05</v>
      </c>
      <c r="U1051" s="112" t="str">
        <f t="shared" si="7"/>
        <v>2024-H1</v>
      </c>
      <c r="V1051" s="1" t="str">
        <f>VLOOKUP(B1051,Bounties!A:E,2,FALSE)</f>
        <v>Anti-Scam Bounty</v>
      </c>
    </row>
    <row r="1052" hidden="1">
      <c r="A1052" s="109">
        <f>HYPERLINK("https://polkadot.subsquare.io/treasury/child-bounties/1050", 1050)</f>
        <v>1050</v>
      </c>
      <c r="B1052" s="183">
        <v>11.0</v>
      </c>
      <c r="C1052" s="27" t="s">
        <v>3404</v>
      </c>
      <c r="D1052" s="27" t="s">
        <v>1612</v>
      </c>
      <c r="E1052" s="129">
        <v>251.42</v>
      </c>
      <c r="F1052" s="66">
        <v>1824.0775446891785</v>
      </c>
      <c r="G1052" s="27" t="s">
        <v>3411</v>
      </c>
      <c r="H1052" s="167">
        <v>45412.0</v>
      </c>
      <c r="I1052" s="167">
        <v>45422.0</v>
      </c>
      <c r="J1052" s="66">
        <v>1664.495680913925</v>
      </c>
      <c r="K1052" s="1"/>
      <c r="L1052" s="1"/>
      <c r="M1052" s="1" t="str">
        <f>VLOOKUP(B1052,Bounties!A:D,3,FALSE)</f>
        <v>Research</v>
      </c>
      <c r="N1052" s="1" t="str">
        <f>VLOOKUP(B1052,Bounties!A:D,4,FALSE)</f>
        <v>Anti-Scam</v>
      </c>
      <c r="O1052" s="1" t="str">
        <f t="shared" ref="O1052:P1052" si="1056">IF(ISBLANK(K1052),M1052,K1052)</f>
        <v>Research</v>
      </c>
      <c r="P1052" s="1" t="str">
        <f t="shared" si="1056"/>
        <v>Anti-Scam</v>
      </c>
      <c r="Q1052" s="108" t="str">
        <f t="shared" si="3"/>
        <v>2024</v>
      </c>
      <c r="R1052" s="110">
        <f t="shared" si="4"/>
        <v>5</v>
      </c>
      <c r="S1052" s="108" t="str">
        <f t="shared" si="5"/>
        <v>2024-Q2</v>
      </c>
      <c r="T1052" s="111" t="str">
        <f t="shared" si="6"/>
        <v>2024-05</v>
      </c>
      <c r="U1052" s="112" t="str">
        <f t="shared" si="7"/>
        <v>2024-H1</v>
      </c>
      <c r="V1052" s="1" t="str">
        <f>VLOOKUP(B1052,Bounties!A:E,2,FALSE)</f>
        <v>Anti-Scam Bounty</v>
      </c>
    </row>
    <row r="1053" hidden="1">
      <c r="A1053" s="109">
        <f>HYPERLINK("https://polkadot.subsquare.io/treasury/child-bounties/1051", 1051)</f>
        <v>1051</v>
      </c>
      <c r="B1053" s="183">
        <v>11.0</v>
      </c>
      <c r="C1053" s="27" t="s">
        <v>3404</v>
      </c>
      <c r="D1053" s="27" t="s">
        <v>1613</v>
      </c>
      <c r="E1053" s="129">
        <v>215.5</v>
      </c>
      <c r="F1053" s="66">
        <v>1563.4743094444275</v>
      </c>
      <c r="G1053" s="27" t="s">
        <v>3407</v>
      </c>
      <c r="H1053" s="167">
        <v>45412.0</v>
      </c>
      <c r="I1053" s="167">
        <v>45423.0</v>
      </c>
      <c r="J1053" s="66">
        <v>1396.2033514976501</v>
      </c>
      <c r="K1053" s="1"/>
      <c r="L1053" s="1"/>
      <c r="M1053" s="1" t="str">
        <f>VLOOKUP(B1053,Bounties!A:D,3,FALSE)</f>
        <v>Research</v>
      </c>
      <c r="N1053" s="1" t="str">
        <f>VLOOKUP(B1053,Bounties!A:D,4,FALSE)</f>
        <v>Anti-Scam</v>
      </c>
      <c r="O1053" s="1" t="str">
        <f t="shared" ref="O1053:P1053" si="1057">IF(ISBLANK(K1053),M1053,K1053)</f>
        <v>Research</v>
      </c>
      <c r="P1053" s="1" t="str">
        <f t="shared" si="1057"/>
        <v>Anti-Scam</v>
      </c>
      <c r="Q1053" s="108" t="str">
        <f t="shared" si="3"/>
        <v>2024</v>
      </c>
      <c r="R1053" s="110">
        <f t="shared" si="4"/>
        <v>5</v>
      </c>
      <c r="S1053" s="108" t="str">
        <f t="shared" si="5"/>
        <v>2024-Q2</v>
      </c>
      <c r="T1053" s="111" t="str">
        <f t="shared" si="6"/>
        <v>2024-05</v>
      </c>
      <c r="U1053" s="112" t="str">
        <f t="shared" si="7"/>
        <v>2024-H1</v>
      </c>
      <c r="V1053" s="1" t="str">
        <f>VLOOKUP(B1053,Bounties!A:E,2,FALSE)</f>
        <v>Anti-Scam Bounty</v>
      </c>
    </row>
    <row r="1054" hidden="1">
      <c r="A1054" s="109">
        <f>HYPERLINK("https://polkadot.subsquare.io/treasury/child-bounties/1052", 1052)</f>
        <v>1052</v>
      </c>
      <c r="B1054" s="183">
        <v>11.0</v>
      </c>
      <c r="C1054" s="27" t="s">
        <v>3404</v>
      </c>
      <c r="D1054" s="27" t="s">
        <v>1614</v>
      </c>
      <c r="E1054" s="129">
        <v>179.6</v>
      </c>
      <c r="F1054" s="66">
        <v>1303.0161762237549</v>
      </c>
      <c r="G1054" s="27" t="s">
        <v>3486</v>
      </c>
      <c r="H1054" s="167">
        <v>45412.0</v>
      </c>
      <c r="I1054" s="167">
        <v>45421.0</v>
      </c>
      <c r="J1054" s="66">
        <v>1189.0200632095336</v>
      </c>
      <c r="K1054" s="1"/>
      <c r="L1054" s="1"/>
      <c r="M1054" s="1" t="str">
        <f>VLOOKUP(B1054,Bounties!A:D,3,FALSE)</f>
        <v>Research</v>
      </c>
      <c r="N1054" s="1" t="str">
        <f>VLOOKUP(B1054,Bounties!A:D,4,FALSE)</f>
        <v>Anti-Scam</v>
      </c>
      <c r="O1054" s="1" t="str">
        <f t="shared" ref="O1054:P1054" si="1058">IF(ISBLANK(K1054),M1054,K1054)</f>
        <v>Research</v>
      </c>
      <c r="P1054" s="1" t="str">
        <f t="shared" si="1058"/>
        <v>Anti-Scam</v>
      </c>
      <c r="Q1054" s="108" t="str">
        <f t="shared" si="3"/>
        <v>2024</v>
      </c>
      <c r="R1054" s="110">
        <f t="shared" si="4"/>
        <v>5</v>
      </c>
      <c r="S1054" s="108" t="str">
        <f t="shared" si="5"/>
        <v>2024-Q2</v>
      </c>
      <c r="T1054" s="111" t="str">
        <f t="shared" si="6"/>
        <v>2024-05</v>
      </c>
      <c r="U1054" s="112" t="str">
        <f t="shared" si="7"/>
        <v>2024-H1</v>
      </c>
      <c r="V1054" s="1" t="str">
        <f>VLOOKUP(B1054,Bounties!A:E,2,FALSE)</f>
        <v>Anti-Scam Bounty</v>
      </c>
    </row>
    <row r="1055" hidden="1">
      <c r="A1055" s="109">
        <f>HYPERLINK("https://polkadot.subsquare.io/treasury/child-bounties/1053", 1053)</f>
        <v>1053</v>
      </c>
      <c r="B1055" s="183">
        <v>11.0</v>
      </c>
      <c r="C1055" s="27" t="s">
        <v>3404</v>
      </c>
      <c r="D1055" s="27" t="s">
        <v>1615</v>
      </c>
      <c r="E1055" s="129">
        <v>74.8</v>
      </c>
      <c r="F1055" s="66">
        <v>542.6815700531006</v>
      </c>
      <c r="G1055" s="27" t="s">
        <v>3486</v>
      </c>
      <c r="H1055" s="167">
        <v>45412.0</v>
      </c>
      <c r="I1055" s="167">
        <v>45421.0</v>
      </c>
      <c r="J1055" s="66">
        <v>495.204347038269</v>
      </c>
      <c r="K1055" s="1"/>
      <c r="L1055" s="1"/>
      <c r="M1055" s="1" t="str">
        <f>VLOOKUP(B1055,Bounties!A:D,3,FALSE)</f>
        <v>Research</v>
      </c>
      <c r="N1055" s="1" t="str">
        <f>VLOOKUP(B1055,Bounties!A:D,4,FALSE)</f>
        <v>Anti-Scam</v>
      </c>
      <c r="O1055" s="1" t="str">
        <f t="shared" ref="O1055:P1055" si="1059">IF(ISBLANK(K1055),M1055,K1055)</f>
        <v>Research</v>
      </c>
      <c r="P1055" s="1" t="str">
        <f t="shared" si="1059"/>
        <v>Anti-Scam</v>
      </c>
      <c r="Q1055" s="108" t="str">
        <f t="shared" si="3"/>
        <v>2024</v>
      </c>
      <c r="R1055" s="110">
        <f t="shared" si="4"/>
        <v>5</v>
      </c>
      <c r="S1055" s="108" t="str">
        <f t="shared" si="5"/>
        <v>2024-Q2</v>
      </c>
      <c r="T1055" s="111" t="str">
        <f t="shared" si="6"/>
        <v>2024-05</v>
      </c>
      <c r="U1055" s="112" t="str">
        <f t="shared" si="7"/>
        <v>2024-H1</v>
      </c>
      <c r="V1055" s="1" t="str">
        <f>VLOOKUP(B1055,Bounties!A:E,2,FALSE)</f>
        <v>Anti-Scam Bounty</v>
      </c>
    </row>
    <row r="1056" hidden="1">
      <c r="A1056" s="109">
        <f>HYPERLINK("https://polkadot.subsquare.io/treasury/child-bounties/1054", 1054)</f>
        <v>1054</v>
      </c>
      <c r="B1056" s="183">
        <v>11.0</v>
      </c>
      <c r="C1056" s="27" t="s">
        <v>3404</v>
      </c>
      <c r="D1056" s="27" t="s">
        <v>1616</v>
      </c>
      <c r="E1056" s="129">
        <v>149.6</v>
      </c>
      <c r="F1056" s="66">
        <v>1085.3631401062012</v>
      </c>
      <c r="G1056" s="27" t="s">
        <v>3628</v>
      </c>
      <c r="H1056" s="167">
        <v>45412.0</v>
      </c>
      <c r="I1056" s="167">
        <v>45422.0</v>
      </c>
      <c r="J1056" s="66">
        <v>990.408694076538</v>
      </c>
      <c r="K1056" s="1"/>
      <c r="L1056" s="1"/>
      <c r="M1056" s="1" t="str">
        <f>VLOOKUP(B1056,Bounties!A:D,3,FALSE)</f>
        <v>Research</v>
      </c>
      <c r="N1056" s="1" t="str">
        <f>VLOOKUP(B1056,Bounties!A:D,4,FALSE)</f>
        <v>Anti-Scam</v>
      </c>
      <c r="O1056" s="1" t="str">
        <f t="shared" ref="O1056:P1056" si="1060">IF(ISBLANK(K1056),M1056,K1056)</f>
        <v>Research</v>
      </c>
      <c r="P1056" s="1" t="str">
        <f t="shared" si="1060"/>
        <v>Anti-Scam</v>
      </c>
      <c r="Q1056" s="108" t="str">
        <f t="shared" si="3"/>
        <v>2024</v>
      </c>
      <c r="R1056" s="110">
        <f t="shared" si="4"/>
        <v>5</v>
      </c>
      <c r="S1056" s="108" t="str">
        <f t="shared" si="5"/>
        <v>2024-Q2</v>
      </c>
      <c r="T1056" s="111" t="str">
        <f t="shared" si="6"/>
        <v>2024-05</v>
      </c>
      <c r="U1056" s="112" t="str">
        <f t="shared" si="7"/>
        <v>2024-H1</v>
      </c>
      <c r="V1056" s="1" t="str">
        <f>VLOOKUP(B1056,Bounties!A:E,2,FALSE)</f>
        <v>Anti-Scam Bounty</v>
      </c>
    </row>
    <row r="1057" hidden="1">
      <c r="A1057" s="109">
        <f>HYPERLINK("https://polkadot.subsquare.io/treasury/child-bounties/1055", 1055)</f>
        <v>1055</v>
      </c>
      <c r="B1057" s="183">
        <v>11.0</v>
      </c>
      <c r="C1057" s="27" t="s">
        <v>3404</v>
      </c>
      <c r="D1057" s="27" t="s">
        <v>1617</v>
      </c>
      <c r="E1057" s="129">
        <v>149.6</v>
      </c>
      <c r="F1057" s="66">
        <v>1085.3631401062012</v>
      </c>
      <c r="G1057" s="27" t="s">
        <v>3424</v>
      </c>
      <c r="H1057" s="167">
        <v>45412.0</v>
      </c>
      <c r="I1057" s="167">
        <v>45423.0</v>
      </c>
      <c r="J1057" s="66">
        <v>969.2437187194823</v>
      </c>
      <c r="K1057" s="1"/>
      <c r="L1057" s="1"/>
      <c r="M1057" s="1" t="str">
        <f>VLOOKUP(B1057,Bounties!A:D,3,FALSE)</f>
        <v>Research</v>
      </c>
      <c r="N1057" s="1" t="str">
        <f>VLOOKUP(B1057,Bounties!A:D,4,FALSE)</f>
        <v>Anti-Scam</v>
      </c>
      <c r="O1057" s="1" t="str">
        <f t="shared" ref="O1057:P1057" si="1061">IF(ISBLANK(K1057),M1057,K1057)</f>
        <v>Research</v>
      </c>
      <c r="P1057" s="1" t="str">
        <f t="shared" si="1061"/>
        <v>Anti-Scam</v>
      </c>
      <c r="Q1057" s="108" t="str">
        <f t="shared" si="3"/>
        <v>2024</v>
      </c>
      <c r="R1057" s="110">
        <f t="shared" si="4"/>
        <v>5</v>
      </c>
      <c r="S1057" s="108" t="str">
        <f t="shared" si="5"/>
        <v>2024-Q2</v>
      </c>
      <c r="T1057" s="111" t="str">
        <f t="shared" si="6"/>
        <v>2024-05</v>
      </c>
      <c r="U1057" s="112" t="str">
        <f t="shared" si="7"/>
        <v>2024-H1</v>
      </c>
      <c r="V1057" s="1" t="str">
        <f>VLOOKUP(B1057,Bounties!A:E,2,FALSE)</f>
        <v>Anti-Scam Bounty</v>
      </c>
    </row>
    <row r="1058" hidden="1">
      <c r="A1058" s="109">
        <f>HYPERLINK("https://polkadot.subsquare.io/treasury/child-bounties/1056", 1056)</f>
        <v>1056</v>
      </c>
      <c r="B1058" s="183">
        <v>11.0</v>
      </c>
      <c r="C1058" s="27" t="s">
        <v>3404</v>
      </c>
      <c r="D1058" s="27" t="s">
        <v>1618</v>
      </c>
      <c r="E1058" s="129">
        <v>74.8</v>
      </c>
      <c r="F1058" s="66">
        <v>542.6815700531006</v>
      </c>
      <c r="G1058" s="27" t="s">
        <v>3486</v>
      </c>
      <c r="H1058" s="167">
        <v>45412.0</v>
      </c>
      <c r="I1058" s="167">
        <v>45421.0</v>
      </c>
      <c r="J1058" s="66">
        <v>495.204347038269</v>
      </c>
      <c r="K1058" s="1"/>
      <c r="L1058" s="1"/>
      <c r="M1058" s="1" t="str">
        <f>VLOOKUP(B1058,Bounties!A:D,3,FALSE)</f>
        <v>Research</v>
      </c>
      <c r="N1058" s="1" t="str">
        <f>VLOOKUP(B1058,Bounties!A:D,4,FALSE)</f>
        <v>Anti-Scam</v>
      </c>
      <c r="O1058" s="1" t="str">
        <f t="shared" ref="O1058:P1058" si="1062">IF(ISBLANK(K1058),M1058,K1058)</f>
        <v>Research</v>
      </c>
      <c r="P1058" s="1" t="str">
        <f t="shared" si="1062"/>
        <v>Anti-Scam</v>
      </c>
      <c r="Q1058" s="108" t="str">
        <f t="shared" si="3"/>
        <v>2024</v>
      </c>
      <c r="R1058" s="110">
        <f t="shared" si="4"/>
        <v>5</v>
      </c>
      <c r="S1058" s="108" t="str">
        <f t="shared" si="5"/>
        <v>2024-Q2</v>
      </c>
      <c r="T1058" s="111" t="str">
        <f t="shared" si="6"/>
        <v>2024-05</v>
      </c>
      <c r="U1058" s="112" t="str">
        <f t="shared" si="7"/>
        <v>2024-H1</v>
      </c>
      <c r="V1058" s="1" t="str">
        <f>VLOOKUP(B1058,Bounties!A:E,2,FALSE)</f>
        <v>Anti-Scam Bounty</v>
      </c>
    </row>
    <row r="1059" hidden="1">
      <c r="A1059" s="109">
        <f>HYPERLINK("https://polkadot.subsquare.io/treasury/child-bounties/1057", 1057)</f>
        <v>1057</v>
      </c>
      <c r="B1059" s="183">
        <v>11.0</v>
      </c>
      <c r="C1059" s="27" t="s">
        <v>3404</v>
      </c>
      <c r="D1059" s="27" t="s">
        <v>1619</v>
      </c>
      <c r="E1059" s="129">
        <v>37.4</v>
      </c>
      <c r="F1059" s="66">
        <v>271.3407850265503</v>
      </c>
      <c r="G1059" s="27" t="s">
        <v>3486</v>
      </c>
      <c r="H1059" s="167">
        <v>45412.0</v>
      </c>
      <c r="I1059" s="167">
        <v>45421.0</v>
      </c>
      <c r="J1059" s="66">
        <v>247.6021735191345</v>
      </c>
      <c r="K1059" s="1"/>
      <c r="L1059" s="1"/>
      <c r="M1059" s="1" t="str">
        <f>VLOOKUP(B1059,Bounties!A:D,3,FALSE)</f>
        <v>Research</v>
      </c>
      <c r="N1059" s="1" t="str">
        <f>VLOOKUP(B1059,Bounties!A:D,4,FALSE)</f>
        <v>Anti-Scam</v>
      </c>
      <c r="O1059" s="1" t="str">
        <f t="shared" ref="O1059:P1059" si="1063">IF(ISBLANK(K1059),M1059,K1059)</f>
        <v>Research</v>
      </c>
      <c r="P1059" s="1" t="str">
        <f t="shared" si="1063"/>
        <v>Anti-Scam</v>
      </c>
      <c r="Q1059" s="108" t="str">
        <f t="shared" si="3"/>
        <v>2024</v>
      </c>
      <c r="R1059" s="110">
        <f t="shared" si="4"/>
        <v>5</v>
      </c>
      <c r="S1059" s="108" t="str">
        <f t="shared" si="5"/>
        <v>2024-Q2</v>
      </c>
      <c r="T1059" s="111" t="str">
        <f t="shared" si="6"/>
        <v>2024-05</v>
      </c>
      <c r="U1059" s="112" t="str">
        <f t="shared" si="7"/>
        <v>2024-H1</v>
      </c>
      <c r="V1059" s="1" t="str">
        <f>VLOOKUP(B1059,Bounties!A:E,2,FALSE)</f>
        <v>Anti-Scam Bounty</v>
      </c>
    </row>
    <row r="1060" hidden="1">
      <c r="A1060" s="109">
        <f>HYPERLINK("https://polkadot.subsquare.io/treasury/child-bounties/1058", 1058)</f>
        <v>1058</v>
      </c>
      <c r="B1060" s="183">
        <v>11.0</v>
      </c>
      <c r="C1060" s="27" t="s">
        <v>3404</v>
      </c>
      <c r="D1060" s="27" t="s">
        <v>1620</v>
      </c>
      <c r="E1060" s="129">
        <v>74.8</v>
      </c>
      <c r="F1060" s="66">
        <v>542.6815700531006</v>
      </c>
      <c r="G1060" s="27" t="s">
        <v>3439</v>
      </c>
      <c r="H1060" s="167">
        <v>45412.0</v>
      </c>
      <c r="I1060" s="167">
        <v>45427.0</v>
      </c>
      <c r="J1060" s="66">
        <v>538.3173402786255</v>
      </c>
      <c r="K1060" s="1"/>
      <c r="L1060" s="1"/>
      <c r="M1060" s="1" t="str">
        <f>VLOOKUP(B1060,Bounties!A:D,3,FALSE)</f>
        <v>Research</v>
      </c>
      <c r="N1060" s="1" t="str">
        <f>VLOOKUP(B1060,Bounties!A:D,4,FALSE)</f>
        <v>Anti-Scam</v>
      </c>
      <c r="O1060" s="1" t="str">
        <f t="shared" ref="O1060:P1060" si="1064">IF(ISBLANK(K1060),M1060,K1060)</f>
        <v>Research</v>
      </c>
      <c r="P1060" s="1" t="str">
        <f t="shared" si="1064"/>
        <v>Anti-Scam</v>
      </c>
      <c r="Q1060" s="108" t="str">
        <f t="shared" si="3"/>
        <v>2024</v>
      </c>
      <c r="R1060" s="110">
        <f t="shared" si="4"/>
        <v>5</v>
      </c>
      <c r="S1060" s="108" t="str">
        <f t="shared" si="5"/>
        <v>2024-Q2</v>
      </c>
      <c r="T1060" s="111" t="str">
        <f t="shared" si="6"/>
        <v>2024-05</v>
      </c>
      <c r="U1060" s="112" t="str">
        <f t="shared" si="7"/>
        <v>2024-H1</v>
      </c>
      <c r="V1060" s="1" t="str">
        <f>VLOOKUP(B1060,Bounties!A:E,2,FALSE)</f>
        <v>Anti-Scam Bounty</v>
      </c>
    </row>
    <row r="1061" hidden="1">
      <c r="A1061" s="109">
        <f>HYPERLINK("https://polkadot.subsquare.io/treasury/child-bounties/1059", 1059)</f>
        <v>1059</v>
      </c>
      <c r="B1061" s="183">
        <v>11.0</v>
      </c>
      <c r="C1061" s="27" t="s">
        <v>3404</v>
      </c>
      <c r="D1061" s="27" t="s">
        <v>1621</v>
      </c>
      <c r="E1061" s="129">
        <v>59.9</v>
      </c>
      <c r="F1061" s="66">
        <v>434.5805621147156</v>
      </c>
      <c r="G1061" s="27" t="s">
        <v>3407</v>
      </c>
      <c r="H1061" s="167">
        <v>45412.0</v>
      </c>
      <c r="I1061" s="167">
        <v>45423.0</v>
      </c>
      <c r="J1061" s="66">
        <v>388.08622159957883</v>
      </c>
      <c r="K1061" s="1"/>
      <c r="L1061" s="1"/>
      <c r="M1061" s="1" t="str">
        <f>VLOOKUP(B1061,Bounties!A:D,3,FALSE)</f>
        <v>Research</v>
      </c>
      <c r="N1061" s="1" t="str">
        <f>VLOOKUP(B1061,Bounties!A:D,4,FALSE)</f>
        <v>Anti-Scam</v>
      </c>
      <c r="O1061" s="1" t="str">
        <f t="shared" ref="O1061:P1061" si="1065">IF(ISBLANK(K1061),M1061,K1061)</f>
        <v>Research</v>
      </c>
      <c r="P1061" s="1" t="str">
        <f t="shared" si="1065"/>
        <v>Anti-Scam</v>
      </c>
      <c r="Q1061" s="108" t="str">
        <f t="shared" si="3"/>
        <v>2024</v>
      </c>
      <c r="R1061" s="110">
        <f t="shared" si="4"/>
        <v>5</v>
      </c>
      <c r="S1061" s="108" t="str">
        <f t="shared" si="5"/>
        <v>2024-Q2</v>
      </c>
      <c r="T1061" s="111" t="str">
        <f t="shared" si="6"/>
        <v>2024-05</v>
      </c>
      <c r="U1061" s="112" t="str">
        <f t="shared" si="7"/>
        <v>2024-H1</v>
      </c>
      <c r="V1061" s="1" t="str">
        <f>VLOOKUP(B1061,Bounties!A:E,2,FALSE)</f>
        <v>Anti-Scam Bounty</v>
      </c>
    </row>
    <row r="1062" hidden="1">
      <c r="A1062" s="109">
        <f>HYPERLINK("https://polkadot.subsquare.io/treasury/child-bounties/1060", 1060)</f>
        <v>1060</v>
      </c>
      <c r="B1062" s="183">
        <v>11.0</v>
      </c>
      <c r="C1062" s="27" t="s">
        <v>3404</v>
      </c>
      <c r="D1062" s="27" t="s">
        <v>1622</v>
      </c>
      <c r="E1062" s="129">
        <v>59.9</v>
      </c>
      <c r="F1062" s="66">
        <v>434.5805621147156</v>
      </c>
      <c r="G1062" s="27" t="s">
        <v>3406</v>
      </c>
      <c r="H1062" s="167">
        <v>45412.0</v>
      </c>
      <c r="I1062" s="167">
        <v>45423.0</v>
      </c>
      <c r="J1062" s="66">
        <v>388.08622159957883</v>
      </c>
      <c r="K1062" s="1"/>
      <c r="L1062" s="1"/>
      <c r="M1062" s="1" t="str">
        <f>VLOOKUP(B1062,Bounties!A:D,3,FALSE)</f>
        <v>Research</v>
      </c>
      <c r="N1062" s="1" t="str">
        <f>VLOOKUP(B1062,Bounties!A:D,4,FALSE)</f>
        <v>Anti-Scam</v>
      </c>
      <c r="O1062" s="1" t="str">
        <f t="shared" ref="O1062:P1062" si="1066">IF(ISBLANK(K1062),M1062,K1062)</f>
        <v>Research</v>
      </c>
      <c r="P1062" s="1" t="str">
        <f t="shared" si="1066"/>
        <v>Anti-Scam</v>
      </c>
      <c r="Q1062" s="108" t="str">
        <f t="shared" si="3"/>
        <v>2024</v>
      </c>
      <c r="R1062" s="110">
        <f t="shared" si="4"/>
        <v>5</v>
      </c>
      <c r="S1062" s="108" t="str">
        <f t="shared" si="5"/>
        <v>2024-Q2</v>
      </c>
      <c r="T1062" s="111" t="str">
        <f t="shared" si="6"/>
        <v>2024-05</v>
      </c>
      <c r="U1062" s="112" t="str">
        <f t="shared" si="7"/>
        <v>2024-H1</v>
      </c>
      <c r="V1062" s="1" t="str">
        <f>VLOOKUP(B1062,Bounties!A:E,2,FALSE)</f>
        <v>Anti-Scam Bounty</v>
      </c>
    </row>
    <row r="1063" hidden="1">
      <c r="A1063" s="109">
        <f>HYPERLINK("https://polkadot.subsquare.io/treasury/child-bounties/1061", 1061)</f>
        <v>1061</v>
      </c>
      <c r="B1063" s="183">
        <v>11.0</v>
      </c>
      <c r="C1063" s="27" t="s">
        <v>3404</v>
      </c>
      <c r="D1063" s="27" t="s">
        <v>1623</v>
      </c>
      <c r="E1063" s="129">
        <v>59.9</v>
      </c>
      <c r="F1063" s="66">
        <v>434.5805621147156</v>
      </c>
      <c r="G1063" s="27" t="s">
        <v>3411</v>
      </c>
      <c r="H1063" s="167">
        <v>45412.0</v>
      </c>
      <c r="I1063" s="167">
        <v>45422.0</v>
      </c>
      <c r="J1063" s="66">
        <v>396.5607003688812</v>
      </c>
      <c r="K1063" s="1"/>
      <c r="L1063" s="1"/>
      <c r="M1063" s="1" t="str">
        <f>VLOOKUP(B1063,Bounties!A:D,3,FALSE)</f>
        <v>Research</v>
      </c>
      <c r="N1063" s="1" t="str">
        <f>VLOOKUP(B1063,Bounties!A:D,4,FALSE)</f>
        <v>Anti-Scam</v>
      </c>
      <c r="O1063" s="1" t="str">
        <f t="shared" ref="O1063:P1063" si="1067">IF(ISBLANK(K1063),M1063,K1063)</f>
        <v>Research</v>
      </c>
      <c r="P1063" s="1" t="str">
        <f t="shared" si="1067"/>
        <v>Anti-Scam</v>
      </c>
      <c r="Q1063" s="108" t="str">
        <f t="shared" si="3"/>
        <v>2024</v>
      </c>
      <c r="R1063" s="110">
        <f t="shared" si="4"/>
        <v>5</v>
      </c>
      <c r="S1063" s="108" t="str">
        <f t="shared" si="5"/>
        <v>2024-Q2</v>
      </c>
      <c r="T1063" s="111" t="str">
        <f t="shared" si="6"/>
        <v>2024-05</v>
      </c>
      <c r="U1063" s="112" t="str">
        <f t="shared" si="7"/>
        <v>2024-H1</v>
      </c>
      <c r="V1063" s="1" t="str">
        <f>VLOOKUP(B1063,Bounties!A:E,2,FALSE)</f>
        <v>Anti-Scam Bounty</v>
      </c>
    </row>
    <row r="1064" hidden="1">
      <c r="A1064" s="109">
        <f>HYPERLINK("https://polkadot.subsquare.io/treasury/child-bounties/1062", 1062)</f>
        <v>1062</v>
      </c>
      <c r="B1064" s="183">
        <v>11.0</v>
      </c>
      <c r="C1064" s="27" t="s">
        <v>3404</v>
      </c>
      <c r="D1064" s="27" t="s">
        <v>1624</v>
      </c>
      <c r="E1064" s="129">
        <v>74.8</v>
      </c>
      <c r="F1064" s="66">
        <v>542.6815700531006</v>
      </c>
      <c r="G1064" s="27" t="s">
        <v>3439</v>
      </c>
      <c r="H1064" s="167">
        <v>45412.0</v>
      </c>
      <c r="I1064" s="167">
        <v>45427.0</v>
      </c>
      <c r="J1064" s="66">
        <v>538.3173402786255</v>
      </c>
      <c r="K1064" s="1"/>
      <c r="L1064" s="1"/>
      <c r="M1064" s="1" t="str">
        <f>VLOOKUP(B1064,Bounties!A:D,3,FALSE)</f>
        <v>Research</v>
      </c>
      <c r="N1064" s="1" t="str">
        <f>VLOOKUP(B1064,Bounties!A:D,4,FALSE)</f>
        <v>Anti-Scam</v>
      </c>
      <c r="O1064" s="1" t="str">
        <f t="shared" ref="O1064:P1064" si="1068">IF(ISBLANK(K1064),M1064,K1064)</f>
        <v>Research</v>
      </c>
      <c r="P1064" s="1" t="str">
        <f t="shared" si="1068"/>
        <v>Anti-Scam</v>
      </c>
      <c r="Q1064" s="108" t="str">
        <f t="shared" si="3"/>
        <v>2024</v>
      </c>
      <c r="R1064" s="110">
        <f t="shared" si="4"/>
        <v>5</v>
      </c>
      <c r="S1064" s="108" t="str">
        <f t="shared" si="5"/>
        <v>2024-Q2</v>
      </c>
      <c r="T1064" s="111" t="str">
        <f t="shared" si="6"/>
        <v>2024-05</v>
      </c>
      <c r="U1064" s="112" t="str">
        <f t="shared" si="7"/>
        <v>2024-H1</v>
      </c>
      <c r="V1064" s="1" t="str">
        <f>VLOOKUP(B1064,Bounties!A:E,2,FALSE)</f>
        <v>Anti-Scam Bounty</v>
      </c>
    </row>
    <row r="1065" hidden="1">
      <c r="A1065" s="109">
        <f>HYPERLINK("https://polkadot.subsquare.io/treasury/child-bounties/1063", 1063)</f>
        <v>1063</v>
      </c>
      <c r="B1065" s="183">
        <v>11.0</v>
      </c>
      <c r="C1065" s="27" t="s">
        <v>3404</v>
      </c>
      <c r="D1065" s="27" t="s">
        <v>1625</v>
      </c>
      <c r="E1065" s="129">
        <v>340.182310914</v>
      </c>
      <c r="F1065" s="66">
        <v>2424.4997192291294</v>
      </c>
      <c r="G1065" s="27" t="s">
        <v>3526</v>
      </c>
      <c r="H1065" s="167">
        <v>45413.0</v>
      </c>
      <c r="I1065" s="167">
        <v>45422.0</v>
      </c>
      <c r="J1065" s="66">
        <v>2267.484438140214</v>
      </c>
      <c r="K1065" s="1"/>
      <c r="L1065" s="1"/>
      <c r="M1065" s="1" t="str">
        <f>VLOOKUP(B1065,Bounties!A:D,3,FALSE)</f>
        <v>Research</v>
      </c>
      <c r="N1065" s="1" t="str">
        <f>VLOOKUP(B1065,Bounties!A:D,4,FALSE)</f>
        <v>Anti-Scam</v>
      </c>
      <c r="O1065" s="1" t="str">
        <f t="shared" ref="O1065:P1065" si="1069">IF(ISBLANK(K1065),M1065,K1065)</f>
        <v>Research</v>
      </c>
      <c r="P1065" s="1" t="str">
        <f t="shared" si="1069"/>
        <v>Anti-Scam</v>
      </c>
      <c r="Q1065" s="108" t="str">
        <f t="shared" si="3"/>
        <v>2024</v>
      </c>
      <c r="R1065" s="110">
        <f t="shared" si="4"/>
        <v>5</v>
      </c>
      <c r="S1065" s="108" t="str">
        <f t="shared" si="5"/>
        <v>2024-Q2</v>
      </c>
      <c r="T1065" s="111" t="str">
        <f t="shared" si="6"/>
        <v>2024-05</v>
      </c>
      <c r="U1065" s="112" t="str">
        <f t="shared" si="7"/>
        <v>2024-H1</v>
      </c>
      <c r="V1065" s="1" t="str">
        <f>VLOOKUP(B1065,Bounties!A:E,2,FALSE)</f>
        <v>Anti-Scam Bounty</v>
      </c>
    </row>
    <row r="1066" hidden="1">
      <c r="A1066" s="109">
        <f>HYPERLINK("https://polkadot.subsquare.io/treasury/child-bounties/1064", 1064)</f>
        <v>1064</v>
      </c>
      <c r="B1066" s="183">
        <v>11.0</v>
      </c>
      <c r="C1066" s="27" t="s">
        <v>3404</v>
      </c>
      <c r="D1066" s="27" t="s">
        <v>1626</v>
      </c>
      <c r="E1066" s="129">
        <v>340.182310914</v>
      </c>
      <c r="F1066" s="66">
        <v>2424.4997192291294</v>
      </c>
      <c r="G1066" s="27" t="s">
        <v>3577</v>
      </c>
      <c r="H1066" s="167">
        <v>45413.0</v>
      </c>
      <c r="I1066" s="167">
        <v>45422.0</v>
      </c>
      <c r="J1066" s="66">
        <v>2267.484438140214</v>
      </c>
      <c r="K1066" s="1"/>
      <c r="L1066" s="1"/>
      <c r="M1066" s="1" t="str">
        <f>VLOOKUP(B1066,Bounties!A:D,3,FALSE)</f>
        <v>Research</v>
      </c>
      <c r="N1066" s="1" t="str">
        <f>VLOOKUP(B1066,Bounties!A:D,4,FALSE)</f>
        <v>Anti-Scam</v>
      </c>
      <c r="O1066" s="1" t="str">
        <f t="shared" ref="O1066:P1066" si="1070">IF(ISBLANK(K1066),M1066,K1066)</f>
        <v>Research</v>
      </c>
      <c r="P1066" s="1" t="str">
        <f t="shared" si="1070"/>
        <v>Anti-Scam</v>
      </c>
      <c r="Q1066" s="108" t="str">
        <f t="shared" si="3"/>
        <v>2024</v>
      </c>
      <c r="R1066" s="110">
        <f t="shared" si="4"/>
        <v>5</v>
      </c>
      <c r="S1066" s="108" t="str">
        <f t="shared" si="5"/>
        <v>2024-Q2</v>
      </c>
      <c r="T1066" s="111" t="str">
        <f t="shared" si="6"/>
        <v>2024-05</v>
      </c>
      <c r="U1066" s="112" t="str">
        <f t="shared" si="7"/>
        <v>2024-H1</v>
      </c>
      <c r="V1066" s="1" t="str">
        <f>VLOOKUP(B1066,Bounties!A:E,2,FALSE)</f>
        <v>Anti-Scam Bounty</v>
      </c>
    </row>
    <row r="1067" hidden="1">
      <c r="A1067" s="109">
        <f>HYPERLINK("https://polkadot.subsquare.io/treasury/child-bounties/1065", 1065)</f>
        <v>1065</v>
      </c>
      <c r="B1067" s="183">
        <v>11.0</v>
      </c>
      <c r="C1067" s="27" t="s">
        <v>3404</v>
      </c>
      <c r="D1067" s="27" t="s">
        <v>1627</v>
      </c>
      <c r="E1067" s="129">
        <v>230.056664203</v>
      </c>
      <c r="F1067" s="66">
        <v>1639.6276345714268</v>
      </c>
      <c r="G1067" s="27" t="s">
        <v>3578</v>
      </c>
      <c r="H1067" s="167">
        <v>45413.0</v>
      </c>
      <c r="I1067" s="167">
        <v>45422.0</v>
      </c>
      <c r="J1067" s="66">
        <v>1533.4421844839173</v>
      </c>
      <c r="K1067" s="1"/>
      <c r="L1067" s="1"/>
      <c r="M1067" s="1" t="str">
        <f>VLOOKUP(B1067,Bounties!A:D,3,FALSE)</f>
        <v>Research</v>
      </c>
      <c r="N1067" s="1" t="str">
        <f>VLOOKUP(B1067,Bounties!A:D,4,FALSE)</f>
        <v>Anti-Scam</v>
      </c>
      <c r="O1067" s="1" t="str">
        <f t="shared" ref="O1067:P1067" si="1071">IF(ISBLANK(K1067),M1067,K1067)</f>
        <v>Research</v>
      </c>
      <c r="P1067" s="1" t="str">
        <f t="shared" si="1071"/>
        <v>Anti-Scam</v>
      </c>
      <c r="Q1067" s="108" t="str">
        <f t="shared" si="3"/>
        <v>2024</v>
      </c>
      <c r="R1067" s="110">
        <f t="shared" si="4"/>
        <v>5</v>
      </c>
      <c r="S1067" s="108" t="str">
        <f t="shared" si="5"/>
        <v>2024-Q2</v>
      </c>
      <c r="T1067" s="111" t="str">
        <f t="shared" si="6"/>
        <v>2024-05</v>
      </c>
      <c r="U1067" s="112" t="str">
        <f t="shared" si="7"/>
        <v>2024-H1</v>
      </c>
      <c r="V1067" s="1" t="str">
        <f>VLOOKUP(B1067,Bounties!A:E,2,FALSE)</f>
        <v>Anti-Scam Bounty</v>
      </c>
    </row>
    <row r="1068" hidden="1">
      <c r="A1068" s="109">
        <f>HYPERLINK("https://polkadot.subsquare.io/treasury/child-bounties/1066", 1066)</f>
        <v>1066</v>
      </c>
      <c r="B1068" s="183">
        <v>11.0</v>
      </c>
      <c r="C1068" s="27" t="s">
        <v>3404</v>
      </c>
      <c r="D1068" s="27" t="s">
        <v>1628</v>
      </c>
      <c r="E1068" s="129">
        <v>110.8647450111</v>
      </c>
      <c r="F1068" s="66">
        <v>790.1396825414975</v>
      </c>
      <c r="G1068" s="27" t="s">
        <v>3644</v>
      </c>
      <c r="H1068" s="167">
        <v>45413.0</v>
      </c>
      <c r="I1068" s="167">
        <v>45423.0</v>
      </c>
      <c r="J1068" s="66">
        <v>718.2818030043165</v>
      </c>
      <c r="K1068" s="1"/>
      <c r="L1068" s="1"/>
      <c r="M1068" s="1" t="str">
        <f>VLOOKUP(B1068,Bounties!A:D,3,FALSE)</f>
        <v>Research</v>
      </c>
      <c r="N1068" s="1" t="str">
        <f>VLOOKUP(B1068,Bounties!A:D,4,FALSE)</f>
        <v>Anti-Scam</v>
      </c>
      <c r="O1068" s="1" t="str">
        <f t="shared" ref="O1068:P1068" si="1072">IF(ISBLANK(K1068),M1068,K1068)</f>
        <v>Research</v>
      </c>
      <c r="P1068" s="1" t="str">
        <f t="shared" si="1072"/>
        <v>Anti-Scam</v>
      </c>
      <c r="Q1068" s="108" t="str">
        <f t="shared" si="3"/>
        <v>2024</v>
      </c>
      <c r="R1068" s="110">
        <f t="shared" si="4"/>
        <v>5</v>
      </c>
      <c r="S1068" s="108" t="str">
        <f t="shared" si="5"/>
        <v>2024-Q2</v>
      </c>
      <c r="T1068" s="111" t="str">
        <f t="shared" si="6"/>
        <v>2024-05</v>
      </c>
      <c r="U1068" s="112" t="str">
        <f t="shared" si="7"/>
        <v>2024-H1</v>
      </c>
      <c r="V1068" s="1" t="str">
        <f>VLOOKUP(B1068,Bounties!A:E,2,FALSE)</f>
        <v>Anti-Scam Bounty</v>
      </c>
    </row>
    <row r="1069" hidden="1">
      <c r="A1069" s="109">
        <f>HYPERLINK("https://polkadot.subsquare.io/treasury/child-bounties/1067", 1067)</f>
        <v>1067</v>
      </c>
      <c r="B1069" s="183">
        <v>42.0</v>
      </c>
      <c r="C1069" s="27" t="s">
        <v>3404</v>
      </c>
      <c r="D1069" s="27" t="s">
        <v>1629</v>
      </c>
      <c r="E1069" s="129">
        <v>100.5</v>
      </c>
      <c r="F1069" s="66">
        <v>734.3318073749542</v>
      </c>
      <c r="G1069" s="27" t="s">
        <v>3667</v>
      </c>
      <c r="H1069" s="167">
        <v>45414.0</v>
      </c>
      <c r="I1069" s="167">
        <v>45422.0</v>
      </c>
      <c r="J1069" s="66">
        <v>669.8825268745422</v>
      </c>
      <c r="K1069" s="1"/>
      <c r="L1069" s="1"/>
      <c r="M1069" s="1" t="str">
        <f>VLOOKUP(B1069,Bounties!A:D,3,FALSE)</f>
        <v>Outreach</v>
      </c>
      <c r="N1069" s="1" t="str">
        <f>VLOOKUP(B1069,Bounties!A:D,4,FALSE)</f>
        <v>Media</v>
      </c>
      <c r="O1069" s="1" t="str">
        <f t="shared" ref="O1069:P1069" si="1073">IF(ISBLANK(K1069),M1069,K1069)</f>
        <v>Outreach</v>
      </c>
      <c r="P1069" s="1" t="str">
        <f t="shared" si="1073"/>
        <v>Media</v>
      </c>
      <c r="Q1069" s="108" t="str">
        <f t="shared" si="3"/>
        <v>2024</v>
      </c>
      <c r="R1069" s="110">
        <f t="shared" si="4"/>
        <v>5</v>
      </c>
      <c r="S1069" s="108" t="str">
        <f t="shared" si="5"/>
        <v>2024-Q2</v>
      </c>
      <c r="T1069" s="111" t="str">
        <f t="shared" si="6"/>
        <v>2024-05</v>
      </c>
      <c r="U1069" s="112" t="str">
        <f t="shared" si="7"/>
        <v>2024-H1</v>
      </c>
      <c r="V1069" s="1" t="str">
        <f>VLOOKUP(B1069,Bounties!A:E,2,FALSE)</f>
        <v>Spanish Bounty</v>
      </c>
    </row>
    <row r="1070" hidden="1">
      <c r="A1070" s="109">
        <f>HYPERLINK("https://polkadot.subsquare.io/treasury/child-bounties/1068", 1068)</f>
        <v>1068</v>
      </c>
      <c r="B1070" s="183">
        <v>11.0</v>
      </c>
      <c r="C1070" s="27" t="s">
        <v>3404</v>
      </c>
      <c r="D1070" s="27" t="s">
        <v>1630</v>
      </c>
      <c r="E1070" s="129">
        <v>985.12</v>
      </c>
      <c r="F1070" s="66">
        <v>7198.059204788208</v>
      </c>
      <c r="G1070" s="27" t="s">
        <v>3407</v>
      </c>
      <c r="H1070" s="167">
        <v>45414.0</v>
      </c>
      <c r="I1070" s="167">
        <v>45423.0</v>
      </c>
      <c r="J1070" s="66">
        <v>6382.495803375245</v>
      </c>
      <c r="K1070" s="1"/>
      <c r="L1070" s="1"/>
      <c r="M1070" s="1" t="str">
        <f>VLOOKUP(B1070,Bounties!A:D,3,FALSE)</f>
        <v>Research</v>
      </c>
      <c r="N1070" s="1" t="str">
        <f>VLOOKUP(B1070,Bounties!A:D,4,FALSE)</f>
        <v>Anti-Scam</v>
      </c>
      <c r="O1070" s="1" t="str">
        <f t="shared" ref="O1070:P1070" si="1074">IF(ISBLANK(K1070),M1070,K1070)</f>
        <v>Research</v>
      </c>
      <c r="P1070" s="1" t="str">
        <f t="shared" si="1074"/>
        <v>Anti-Scam</v>
      </c>
      <c r="Q1070" s="108" t="str">
        <f t="shared" si="3"/>
        <v>2024</v>
      </c>
      <c r="R1070" s="110">
        <f t="shared" si="4"/>
        <v>5</v>
      </c>
      <c r="S1070" s="108" t="str">
        <f t="shared" si="5"/>
        <v>2024-Q2</v>
      </c>
      <c r="T1070" s="111" t="str">
        <f t="shared" si="6"/>
        <v>2024-05</v>
      </c>
      <c r="U1070" s="112" t="str">
        <f t="shared" si="7"/>
        <v>2024-H1</v>
      </c>
      <c r="V1070" s="1" t="str">
        <f>VLOOKUP(B1070,Bounties!A:E,2,FALSE)</f>
        <v>Anti-Scam Bounty</v>
      </c>
    </row>
    <row r="1071" hidden="1">
      <c r="A1071" s="109">
        <f>HYPERLINK("https://polkadot.subsquare.io/treasury/child-bounties/1069", 1069)</f>
        <v>1069</v>
      </c>
      <c r="B1071" s="183">
        <v>11.0</v>
      </c>
      <c r="C1071" s="27" t="s">
        <v>3404</v>
      </c>
      <c r="D1071" s="27" t="s">
        <v>1631</v>
      </c>
      <c r="E1071" s="129">
        <v>248.6</v>
      </c>
      <c r="F1071" s="66">
        <v>1816.4665404319762</v>
      </c>
      <c r="G1071" s="27" t="s">
        <v>3406</v>
      </c>
      <c r="H1071" s="167">
        <v>45414.0</v>
      </c>
      <c r="I1071" s="167">
        <v>45423.0</v>
      </c>
      <c r="J1071" s="66">
        <v>1610.6550031661986</v>
      </c>
      <c r="K1071" s="1"/>
      <c r="L1071" s="1"/>
      <c r="M1071" s="1" t="str">
        <f>VLOOKUP(B1071,Bounties!A:D,3,FALSE)</f>
        <v>Research</v>
      </c>
      <c r="N1071" s="1" t="str">
        <f>VLOOKUP(B1071,Bounties!A:D,4,FALSE)</f>
        <v>Anti-Scam</v>
      </c>
      <c r="O1071" s="1" t="str">
        <f t="shared" ref="O1071:P1071" si="1075">IF(ISBLANK(K1071),M1071,K1071)</f>
        <v>Research</v>
      </c>
      <c r="P1071" s="1" t="str">
        <f t="shared" si="1075"/>
        <v>Anti-Scam</v>
      </c>
      <c r="Q1071" s="108" t="str">
        <f t="shared" si="3"/>
        <v>2024</v>
      </c>
      <c r="R1071" s="110">
        <f t="shared" si="4"/>
        <v>5</v>
      </c>
      <c r="S1071" s="108" t="str">
        <f t="shared" si="5"/>
        <v>2024-Q2</v>
      </c>
      <c r="T1071" s="111" t="str">
        <f t="shared" si="6"/>
        <v>2024-05</v>
      </c>
      <c r="U1071" s="112" t="str">
        <f t="shared" si="7"/>
        <v>2024-H1</v>
      </c>
      <c r="V1071" s="1" t="str">
        <f>VLOOKUP(B1071,Bounties!A:E,2,FALSE)</f>
        <v>Anti-Scam Bounty</v>
      </c>
    </row>
    <row r="1072" hidden="1">
      <c r="A1072" s="109">
        <f>HYPERLINK("https://polkadot.subsquare.io/treasury/child-bounties/1070", 1070)</f>
        <v>1070</v>
      </c>
      <c r="B1072" s="183">
        <v>11.0</v>
      </c>
      <c r="C1072" s="27" t="s">
        <v>3404</v>
      </c>
      <c r="D1072" s="27" t="s">
        <v>1632</v>
      </c>
      <c r="E1072" s="129">
        <v>377.91</v>
      </c>
      <c r="F1072" s="66">
        <v>2761.3067992544175</v>
      </c>
      <c r="G1072" s="27" t="s">
        <v>3562</v>
      </c>
      <c r="H1072" s="167">
        <v>45414.0</v>
      </c>
      <c r="I1072" s="167">
        <v>45423.0</v>
      </c>
      <c r="J1072" s="66">
        <v>2518.9582659816742</v>
      </c>
      <c r="K1072" s="1"/>
      <c r="L1072" s="1"/>
      <c r="M1072" s="1" t="str">
        <f>VLOOKUP(B1072,Bounties!A:D,3,FALSE)</f>
        <v>Research</v>
      </c>
      <c r="N1072" s="1" t="str">
        <f>VLOOKUP(B1072,Bounties!A:D,4,FALSE)</f>
        <v>Anti-Scam</v>
      </c>
      <c r="O1072" s="1" t="str">
        <f t="shared" ref="O1072:P1072" si="1076">IF(ISBLANK(K1072),M1072,K1072)</f>
        <v>Research</v>
      </c>
      <c r="P1072" s="1" t="str">
        <f t="shared" si="1076"/>
        <v>Anti-Scam</v>
      </c>
      <c r="Q1072" s="108" t="str">
        <f t="shared" si="3"/>
        <v>2024</v>
      </c>
      <c r="R1072" s="110">
        <f t="shared" si="4"/>
        <v>5</v>
      </c>
      <c r="S1072" s="108" t="str">
        <f t="shared" si="5"/>
        <v>2024-Q2</v>
      </c>
      <c r="T1072" s="111" t="str">
        <f t="shared" si="6"/>
        <v>2024-05</v>
      </c>
      <c r="U1072" s="112" t="str">
        <f t="shared" si="7"/>
        <v>2024-H1</v>
      </c>
      <c r="V1072" s="1" t="str">
        <f>VLOOKUP(B1072,Bounties!A:E,2,FALSE)</f>
        <v>Anti-Scam Bounty</v>
      </c>
    </row>
    <row r="1073" hidden="1">
      <c r="A1073" s="109">
        <f>HYPERLINK("https://polkadot.subsquare.io/treasury/child-bounties/1071", 1071)</f>
        <v>1071</v>
      </c>
      <c r="B1073" s="183">
        <v>17.0</v>
      </c>
      <c r="C1073" s="27" t="s">
        <v>3404</v>
      </c>
      <c r="D1073" s="27" t="s">
        <v>1633</v>
      </c>
      <c r="E1073" s="129">
        <v>4389.0</v>
      </c>
      <c r="F1073" s="66">
        <v>30708.68707895279</v>
      </c>
      <c r="G1073" s="27" t="s">
        <v>3668</v>
      </c>
      <c r="H1073" s="167">
        <v>45417.0</v>
      </c>
      <c r="I1073" s="167">
        <v>45448.0</v>
      </c>
      <c r="J1073" s="66">
        <v>29220.93856859207</v>
      </c>
      <c r="K1073" s="1"/>
      <c r="L1073" s="1" t="s">
        <v>266</v>
      </c>
      <c r="M1073" s="1" t="str">
        <f>VLOOKUP(B1073,Bounties!A:D,3,FALSE)</f>
        <v>Outreach</v>
      </c>
      <c r="N1073" s="1" t="str">
        <f>VLOOKUP(B1073,Bounties!A:D,4,FALSE)</f>
        <v>Events/Meetups</v>
      </c>
      <c r="O1073" s="1" t="str">
        <f t="shared" ref="O1073:P1073" si="1077">IF(ISBLANK(K1073),M1073,K1073)</f>
        <v>Outreach</v>
      </c>
      <c r="P1073" s="1" t="str">
        <f t="shared" si="1077"/>
        <v>Events/Conference Attendance &amp; Side Events</v>
      </c>
      <c r="Q1073" s="108" t="str">
        <f t="shared" si="3"/>
        <v>2024</v>
      </c>
      <c r="R1073" s="110">
        <f t="shared" si="4"/>
        <v>6</v>
      </c>
      <c r="S1073" s="108" t="str">
        <f t="shared" si="5"/>
        <v>2024-Q2</v>
      </c>
      <c r="T1073" s="111" t="str">
        <f t="shared" si="6"/>
        <v>2024-06</v>
      </c>
      <c r="U1073" s="112" t="str">
        <f t="shared" si="7"/>
        <v>2024-H1</v>
      </c>
      <c r="V1073" s="1" t="str">
        <f>VLOOKUP(B1073,Bounties!A:E,2,FALSE)</f>
        <v>Events Bounty</v>
      </c>
    </row>
    <row r="1074" hidden="1">
      <c r="A1074" s="109">
        <f>HYPERLINK("https://polkadot.subsquare.io/treasury/child-bounties/1072", 1072)</f>
        <v>1072</v>
      </c>
      <c r="B1074" s="183">
        <v>17.0</v>
      </c>
      <c r="C1074" s="27" t="s">
        <v>3404</v>
      </c>
      <c r="D1074" s="27" t="s">
        <v>1634</v>
      </c>
      <c r="E1074" s="129">
        <v>6217.0</v>
      </c>
      <c r="F1074" s="66">
        <v>43498.72580766678</v>
      </c>
      <c r="G1074" s="27" t="s">
        <v>3618</v>
      </c>
      <c r="H1074" s="167">
        <v>45417.0</v>
      </c>
      <c r="I1074" s="167">
        <v>45429.0</v>
      </c>
      <c r="J1074" s="66">
        <v>43130.653908252716</v>
      </c>
      <c r="K1074" s="1"/>
      <c r="L1074" s="1" t="s">
        <v>266</v>
      </c>
      <c r="M1074" s="1" t="str">
        <f>VLOOKUP(B1074,Bounties!A:D,3,FALSE)</f>
        <v>Outreach</v>
      </c>
      <c r="N1074" s="1" t="str">
        <f>VLOOKUP(B1074,Bounties!A:D,4,FALSE)</f>
        <v>Events/Meetups</v>
      </c>
      <c r="O1074" s="1" t="str">
        <f t="shared" ref="O1074:P1074" si="1078">IF(ISBLANK(K1074),M1074,K1074)</f>
        <v>Outreach</v>
      </c>
      <c r="P1074" s="1" t="str">
        <f t="shared" si="1078"/>
        <v>Events/Conference Attendance &amp; Side Events</v>
      </c>
      <c r="Q1074" s="108" t="str">
        <f t="shared" si="3"/>
        <v>2024</v>
      </c>
      <c r="R1074" s="110">
        <f t="shared" si="4"/>
        <v>5</v>
      </c>
      <c r="S1074" s="108" t="str">
        <f t="shared" si="5"/>
        <v>2024-Q2</v>
      </c>
      <c r="T1074" s="111" t="str">
        <f t="shared" si="6"/>
        <v>2024-05</v>
      </c>
      <c r="U1074" s="112" t="str">
        <f t="shared" si="7"/>
        <v>2024-H1</v>
      </c>
      <c r="V1074" s="1" t="str">
        <f>VLOOKUP(B1074,Bounties!A:E,2,FALSE)</f>
        <v>Events Bounty</v>
      </c>
    </row>
    <row r="1075" hidden="1">
      <c r="A1075" s="109">
        <f>HYPERLINK("https://polkadot.subsquare.io/treasury/child-bounties/1073", 1073)</f>
        <v>1073</v>
      </c>
      <c r="B1075" s="183">
        <v>17.0</v>
      </c>
      <c r="C1075" s="27" t="s">
        <v>3404</v>
      </c>
      <c r="D1075" s="27" t="s">
        <v>1635</v>
      </c>
      <c r="E1075" s="129">
        <v>2142.0</v>
      </c>
      <c r="F1075" s="66">
        <v>14987.014746665955</v>
      </c>
      <c r="G1075" s="27" t="s">
        <v>3485</v>
      </c>
      <c r="H1075" s="167">
        <v>45417.0</v>
      </c>
      <c r="I1075" s="167">
        <v>45436.0</v>
      </c>
      <c r="J1075" s="66">
        <v>16166.175353050232</v>
      </c>
      <c r="K1075" s="1"/>
      <c r="L1075" s="1"/>
      <c r="M1075" s="1" t="str">
        <f>VLOOKUP(B1075,Bounties!A:D,3,FALSE)</f>
        <v>Outreach</v>
      </c>
      <c r="N1075" s="1" t="str">
        <f>VLOOKUP(B1075,Bounties!A:D,4,FALSE)</f>
        <v>Events/Meetups</v>
      </c>
      <c r="O1075" s="1" t="str">
        <f t="shared" ref="O1075:P1075" si="1079">IF(ISBLANK(K1075),M1075,K1075)</f>
        <v>Outreach</v>
      </c>
      <c r="P1075" s="1" t="str">
        <f t="shared" si="1079"/>
        <v>Events/Meetups</v>
      </c>
      <c r="Q1075" s="108" t="str">
        <f t="shared" si="3"/>
        <v>2024</v>
      </c>
      <c r="R1075" s="110">
        <f t="shared" si="4"/>
        <v>5</v>
      </c>
      <c r="S1075" s="108" t="str">
        <f t="shared" si="5"/>
        <v>2024-Q2</v>
      </c>
      <c r="T1075" s="111" t="str">
        <f t="shared" si="6"/>
        <v>2024-05</v>
      </c>
      <c r="U1075" s="112" t="str">
        <f t="shared" si="7"/>
        <v>2024-H1</v>
      </c>
      <c r="V1075" s="1" t="str">
        <f>VLOOKUP(B1075,Bounties!A:E,2,FALSE)</f>
        <v>Events Bounty</v>
      </c>
    </row>
    <row r="1076" hidden="1">
      <c r="A1076" s="109">
        <f>HYPERLINK("https://polkadot.subsquare.io/treasury/child-bounties/1074", 1074)</f>
        <v>1074</v>
      </c>
      <c r="B1076" s="183">
        <v>17.0</v>
      </c>
      <c r="C1076" s="27" t="s">
        <v>3404</v>
      </c>
      <c r="D1076" s="27" t="s">
        <v>1636</v>
      </c>
      <c r="E1076" s="129">
        <v>4255.0</v>
      </c>
      <c r="F1076" s="66">
        <v>29771.124064922333</v>
      </c>
      <c r="G1076" s="27" t="s">
        <v>3640</v>
      </c>
      <c r="H1076" s="167">
        <v>45417.0</v>
      </c>
      <c r="I1076" s="167">
        <v>45428.0</v>
      </c>
      <c r="J1076" s="66">
        <v>29519.210612773895</v>
      </c>
      <c r="K1076" s="1"/>
      <c r="L1076" s="1" t="s">
        <v>266</v>
      </c>
      <c r="M1076" s="1" t="str">
        <f>VLOOKUP(B1076,Bounties!A:D,3,FALSE)</f>
        <v>Outreach</v>
      </c>
      <c r="N1076" s="1" t="str">
        <f>VLOOKUP(B1076,Bounties!A:D,4,FALSE)</f>
        <v>Events/Meetups</v>
      </c>
      <c r="O1076" s="1" t="str">
        <f t="shared" ref="O1076:P1076" si="1080">IF(ISBLANK(K1076),M1076,K1076)</f>
        <v>Outreach</v>
      </c>
      <c r="P1076" s="1" t="str">
        <f t="shared" si="1080"/>
        <v>Events/Conference Attendance &amp; Side Events</v>
      </c>
      <c r="Q1076" s="108" t="str">
        <f t="shared" si="3"/>
        <v>2024</v>
      </c>
      <c r="R1076" s="110">
        <f t="shared" si="4"/>
        <v>5</v>
      </c>
      <c r="S1076" s="108" t="str">
        <f t="shared" si="5"/>
        <v>2024-Q2</v>
      </c>
      <c r="T1076" s="111" t="str">
        <f t="shared" si="6"/>
        <v>2024-05</v>
      </c>
      <c r="U1076" s="112" t="str">
        <f t="shared" si="7"/>
        <v>2024-H1</v>
      </c>
      <c r="V1076" s="1" t="str">
        <f>VLOOKUP(B1076,Bounties!A:E,2,FALSE)</f>
        <v>Events Bounty</v>
      </c>
    </row>
    <row r="1077" hidden="1">
      <c r="A1077" s="109">
        <f>HYPERLINK("https://polkadot.subsquare.io/treasury/child-bounties/1075", 1075)</f>
        <v>1075</v>
      </c>
      <c r="B1077" s="183">
        <v>17.0</v>
      </c>
      <c r="C1077" s="27" t="s">
        <v>3404</v>
      </c>
      <c r="D1077" s="27" t="s">
        <v>1637</v>
      </c>
      <c r="E1077" s="129">
        <v>146.0</v>
      </c>
      <c r="F1077" s="66">
        <v>1021.5238809585571</v>
      </c>
      <c r="G1077" s="27" t="s">
        <v>3413</v>
      </c>
      <c r="H1077" s="167">
        <v>45417.0</v>
      </c>
      <c r="I1077" s="167">
        <v>45441.0</v>
      </c>
      <c r="J1077" s="66">
        <v>1030.5573329925537</v>
      </c>
      <c r="K1077" s="1"/>
      <c r="L1077" s="1"/>
      <c r="M1077" s="1" t="str">
        <f>VLOOKUP(B1077,Bounties!A:D,3,FALSE)</f>
        <v>Outreach</v>
      </c>
      <c r="N1077" s="1" t="str">
        <f>VLOOKUP(B1077,Bounties!A:D,4,FALSE)</f>
        <v>Events/Meetups</v>
      </c>
      <c r="O1077" s="1" t="str">
        <f t="shared" ref="O1077:P1077" si="1081">IF(ISBLANK(K1077),M1077,K1077)</f>
        <v>Outreach</v>
      </c>
      <c r="P1077" s="1" t="str">
        <f t="shared" si="1081"/>
        <v>Events/Meetups</v>
      </c>
      <c r="Q1077" s="108" t="str">
        <f t="shared" si="3"/>
        <v>2024</v>
      </c>
      <c r="R1077" s="110">
        <f t="shared" si="4"/>
        <v>5</v>
      </c>
      <c r="S1077" s="108" t="str">
        <f t="shared" si="5"/>
        <v>2024-Q2</v>
      </c>
      <c r="T1077" s="111" t="str">
        <f t="shared" si="6"/>
        <v>2024-05</v>
      </c>
      <c r="U1077" s="112" t="str">
        <f t="shared" si="7"/>
        <v>2024-H1</v>
      </c>
      <c r="V1077" s="1" t="str">
        <f>VLOOKUP(B1077,Bounties!A:E,2,FALSE)</f>
        <v>Events Bounty</v>
      </c>
    </row>
    <row r="1078" hidden="1">
      <c r="A1078" s="109">
        <f>HYPERLINK("https://polkadot.subsquare.io/treasury/child-bounties/1076", 1076)</f>
        <v>1076</v>
      </c>
      <c r="B1078" s="183">
        <v>17.0</v>
      </c>
      <c r="C1078" s="27" t="s">
        <v>3404</v>
      </c>
      <c r="D1078" s="27" t="s">
        <v>1638</v>
      </c>
      <c r="E1078" s="129">
        <v>1754.0</v>
      </c>
      <c r="F1078" s="66">
        <v>12272.280049324036</v>
      </c>
      <c r="G1078" s="27" t="s">
        <v>3618</v>
      </c>
      <c r="H1078" s="167">
        <v>45417.0</v>
      </c>
      <c r="I1078" s="167">
        <v>45453.0</v>
      </c>
      <c r="J1078" s="66">
        <v>11824.971375465393</v>
      </c>
      <c r="K1078" s="1"/>
      <c r="L1078" s="1"/>
      <c r="M1078" s="1" t="str">
        <f>VLOOKUP(B1078,Bounties!A:D,3,FALSE)</f>
        <v>Outreach</v>
      </c>
      <c r="N1078" s="1" t="str">
        <f>VLOOKUP(B1078,Bounties!A:D,4,FALSE)</f>
        <v>Events/Meetups</v>
      </c>
      <c r="O1078" s="1" t="str">
        <f t="shared" ref="O1078:P1078" si="1082">IF(ISBLANK(K1078),M1078,K1078)</f>
        <v>Outreach</v>
      </c>
      <c r="P1078" s="1" t="str">
        <f t="shared" si="1082"/>
        <v>Events/Meetups</v>
      </c>
      <c r="Q1078" s="108" t="str">
        <f t="shared" si="3"/>
        <v>2024</v>
      </c>
      <c r="R1078" s="110">
        <f t="shared" si="4"/>
        <v>6</v>
      </c>
      <c r="S1078" s="108" t="str">
        <f t="shared" si="5"/>
        <v>2024-Q2</v>
      </c>
      <c r="T1078" s="111" t="str">
        <f t="shared" si="6"/>
        <v>2024-06</v>
      </c>
      <c r="U1078" s="112" t="str">
        <f t="shared" si="7"/>
        <v>2024-H1</v>
      </c>
      <c r="V1078" s="1" t="str">
        <f>VLOOKUP(B1078,Bounties!A:E,2,FALSE)</f>
        <v>Events Bounty</v>
      </c>
    </row>
    <row r="1079" hidden="1">
      <c r="A1079" s="109">
        <f>HYPERLINK("https://polkadot.subsquare.io/treasury/child-bounties/1077", 1077)</f>
        <v>1077</v>
      </c>
      <c r="B1079" s="183">
        <v>17.0</v>
      </c>
      <c r="C1079" s="27" t="s">
        <v>3404</v>
      </c>
      <c r="D1079" s="27" t="s">
        <v>1639</v>
      </c>
      <c r="E1079" s="129">
        <v>1719.0</v>
      </c>
      <c r="F1079" s="66">
        <v>12027.394187450409</v>
      </c>
      <c r="G1079" s="27" t="s">
        <v>3619</v>
      </c>
      <c r="H1079" s="167">
        <v>45417.0</v>
      </c>
      <c r="I1079" s="167">
        <v>45526.0</v>
      </c>
      <c r="J1079" s="66">
        <v>8572.543142795563</v>
      </c>
      <c r="K1079" s="1"/>
      <c r="L1079" s="1"/>
      <c r="M1079" s="1" t="str">
        <f>VLOOKUP(B1079,Bounties!A:D,3,FALSE)</f>
        <v>Outreach</v>
      </c>
      <c r="N1079" s="1" t="str">
        <f>VLOOKUP(B1079,Bounties!A:D,4,FALSE)</f>
        <v>Events/Meetups</v>
      </c>
      <c r="O1079" s="1" t="str">
        <f t="shared" ref="O1079:P1079" si="1083">IF(ISBLANK(K1079),M1079,K1079)</f>
        <v>Outreach</v>
      </c>
      <c r="P1079" s="1" t="str">
        <f t="shared" si="1083"/>
        <v>Events/Meetups</v>
      </c>
      <c r="Q1079" s="108" t="str">
        <f t="shared" si="3"/>
        <v>2024</v>
      </c>
      <c r="R1079" s="110">
        <f t="shared" si="4"/>
        <v>8</v>
      </c>
      <c r="S1079" s="108" t="str">
        <f t="shared" si="5"/>
        <v>2024-Q3</v>
      </c>
      <c r="T1079" s="111" t="str">
        <f t="shared" si="6"/>
        <v>2024-08</v>
      </c>
      <c r="U1079" s="112" t="str">
        <f t="shared" si="7"/>
        <v>2024-H2</v>
      </c>
      <c r="V1079" s="1" t="str">
        <f>VLOOKUP(B1079,Bounties!A:E,2,FALSE)</f>
        <v>Events Bounty</v>
      </c>
    </row>
    <row r="1080" hidden="1">
      <c r="A1080" s="109">
        <f>HYPERLINK("https://polkadot.subsquare.io/treasury/child-bounties/1078", 1078)</f>
        <v>1078</v>
      </c>
      <c r="B1080" s="183">
        <v>17.0</v>
      </c>
      <c r="C1080" s="27" t="s">
        <v>3404</v>
      </c>
      <c r="D1080" s="27" t="s">
        <v>1640</v>
      </c>
      <c r="E1080" s="129">
        <v>1719.0</v>
      </c>
      <c r="F1080" s="66">
        <v>12027.394187450409</v>
      </c>
      <c r="G1080" s="27" t="s">
        <v>3617</v>
      </c>
      <c r="H1080" s="167">
        <v>45417.0</v>
      </c>
      <c r="I1080" s="167">
        <v>45431.0</v>
      </c>
      <c r="J1080" s="66">
        <v>12814.235840320587</v>
      </c>
      <c r="K1080" s="1"/>
      <c r="L1080" s="1"/>
      <c r="M1080" s="1" t="str">
        <f>VLOOKUP(B1080,Bounties!A:D,3,FALSE)</f>
        <v>Outreach</v>
      </c>
      <c r="N1080" s="1" t="str">
        <f>VLOOKUP(B1080,Bounties!A:D,4,FALSE)</f>
        <v>Events/Meetups</v>
      </c>
      <c r="O1080" s="1" t="str">
        <f t="shared" ref="O1080:P1080" si="1084">IF(ISBLANK(K1080),M1080,K1080)</f>
        <v>Outreach</v>
      </c>
      <c r="P1080" s="1" t="str">
        <f t="shared" si="1084"/>
        <v>Events/Meetups</v>
      </c>
      <c r="Q1080" s="108" t="str">
        <f t="shared" si="3"/>
        <v>2024</v>
      </c>
      <c r="R1080" s="110">
        <f t="shared" si="4"/>
        <v>5</v>
      </c>
      <c r="S1080" s="108" t="str">
        <f t="shared" si="5"/>
        <v>2024-Q2</v>
      </c>
      <c r="T1080" s="111" t="str">
        <f t="shared" si="6"/>
        <v>2024-05</v>
      </c>
      <c r="U1080" s="112" t="str">
        <f t="shared" si="7"/>
        <v>2024-H1</v>
      </c>
      <c r="V1080" s="1" t="str">
        <f>VLOOKUP(B1080,Bounties!A:E,2,FALSE)</f>
        <v>Events Bounty</v>
      </c>
    </row>
    <row r="1081" hidden="1">
      <c r="A1081" s="109">
        <f>HYPERLINK("https://polkadot.subsquare.io/treasury/child-bounties/1079", 1079)</f>
        <v>1079</v>
      </c>
      <c r="B1081" s="183">
        <v>17.0</v>
      </c>
      <c r="C1081" s="27" t="s">
        <v>3404</v>
      </c>
      <c r="D1081" s="27" t="s">
        <v>1641</v>
      </c>
      <c r="E1081" s="129">
        <v>1797.0</v>
      </c>
      <c r="F1081" s="66">
        <v>12573.139822483063</v>
      </c>
      <c r="G1081" s="27" t="s">
        <v>3559</v>
      </c>
      <c r="H1081" s="167">
        <v>45417.0</v>
      </c>
      <c r="I1081" s="167">
        <v>45430.0</v>
      </c>
      <c r="J1081" s="66">
        <v>13612.328640460968</v>
      </c>
      <c r="K1081" s="1"/>
      <c r="L1081" s="1"/>
      <c r="M1081" s="1" t="str">
        <f>VLOOKUP(B1081,Bounties!A:D,3,FALSE)</f>
        <v>Outreach</v>
      </c>
      <c r="N1081" s="1" t="str">
        <f>VLOOKUP(B1081,Bounties!A:D,4,FALSE)</f>
        <v>Events/Meetups</v>
      </c>
      <c r="O1081" s="1" t="str">
        <f t="shared" ref="O1081:P1081" si="1085">IF(ISBLANK(K1081),M1081,K1081)</f>
        <v>Outreach</v>
      </c>
      <c r="P1081" s="1" t="str">
        <f t="shared" si="1085"/>
        <v>Events/Meetups</v>
      </c>
      <c r="Q1081" s="108" t="str">
        <f t="shared" si="3"/>
        <v>2024</v>
      </c>
      <c r="R1081" s="110">
        <f t="shared" si="4"/>
        <v>5</v>
      </c>
      <c r="S1081" s="108" t="str">
        <f t="shared" si="5"/>
        <v>2024-Q2</v>
      </c>
      <c r="T1081" s="111" t="str">
        <f t="shared" si="6"/>
        <v>2024-05</v>
      </c>
      <c r="U1081" s="112" t="str">
        <f t="shared" si="7"/>
        <v>2024-H1</v>
      </c>
      <c r="V1081" s="1" t="str">
        <f>VLOOKUP(B1081,Bounties!A:E,2,FALSE)</f>
        <v>Events Bounty</v>
      </c>
    </row>
    <row r="1082" hidden="1">
      <c r="A1082" s="109">
        <f>HYPERLINK("https://polkadot.subsquare.io/treasury/child-bounties/1080", 1080)</f>
        <v>1080</v>
      </c>
      <c r="B1082" s="183">
        <v>17.0</v>
      </c>
      <c r="C1082" s="27" t="s">
        <v>3404</v>
      </c>
      <c r="D1082" s="27" t="s">
        <v>1642</v>
      </c>
      <c r="E1082" s="129">
        <v>1719.0</v>
      </c>
      <c r="F1082" s="66">
        <v>12027.394187450409</v>
      </c>
      <c r="G1082" s="27" t="s">
        <v>3413</v>
      </c>
      <c r="H1082" s="167">
        <v>45417.0</v>
      </c>
      <c r="I1082" s="167">
        <v>45441.0</v>
      </c>
      <c r="J1082" s="66">
        <v>12133.753804206848</v>
      </c>
      <c r="K1082" s="1"/>
      <c r="L1082" s="1"/>
      <c r="M1082" s="1" t="str">
        <f>VLOOKUP(B1082,Bounties!A:D,3,FALSE)</f>
        <v>Outreach</v>
      </c>
      <c r="N1082" s="1" t="str">
        <f>VLOOKUP(B1082,Bounties!A:D,4,FALSE)</f>
        <v>Events/Meetups</v>
      </c>
      <c r="O1082" s="1" t="str">
        <f t="shared" ref="O1082:P1082" si="1086">IF(ISBLANK(K1082),M1082,K1082)</f>
        <v>Outreach</v>
      </c>
      <c r="P1082" s="1" t="str">
        <f t="shared" si="1086"/>
        <v>Events/Meetups</v>
      </c>
      <c r="Q1082" s="108" t="str">
        <f t="shared" si="3"/>
        <v>2024</v>
      </c>
      <c r="R1082" s="110">
        <f t="shared" si="4"/>
        <v>5</v>
      </c>
      <c r="S1082" s="108" t="str">
        <f t="shared" si="5"/>
        <v>2024-Q2</v>
      </c>
      <c r="T1082" s="111" t="str">
        <f t="shared" si="6"/>
        <v>2024-05</v>
      </c>
      <c r="U1082" s="112" t="str">
        <f t="shared" si="7"/>
        <v>2024-H1</v>
      </c>
      <c r="V1082" s="1" t="str">
        <f>VLOOKUP(B1082,Bounties!A:E,2,FALSE)</f>
        <v>Events Bounty</v>
      </c>
    </row>
    <row r="1083" hidden="1">
      <c r="A1083" s="109">
        <f>HYPERLINK("https://polkadot.subsquare.io/treasury/child-bounties/1081", 1081)</f>
        <v>1081</v>
      </c>
      <c r="B1083" s="183">
        <v>17.0</v>
      </c>
      <c r="C1083" s="27" t="s">
        <v>3404</v>
      </c>
      <c r="D1083" s="27" t="s">
        <v>1643</v>
      </c>
      <c r="E1083" s="129">
        <v>50.0</v>
      </c>
      <c r="F1083" s="66">
        <v>349.83694553375244</v>
      </c>
      <c r="G1083" s="27" t="s">
        <v>3453</v>
      </c>
      <c r="H1083" s="167">
        <v>45417.0</v>
      </c>
      <c r="I1083" s="167">
        <v>45429.0</v>
      </c>
      <c r="J1083" s="66">
        <v>346.87674045562744</v>
      </c>
      <c r="K1083" s="1"/>
      <c r="L1083" s="1"/>
      <c r="M1083" s="1" t="str">
        <f>VLOOKUP(B1083,Bounties!A:D,3,FALSE)</f>
        <v>Outreach</v>
      </c>
      <c r="N1083" s="1" t="str">
        <f>VLOOKUP(B1083,Bounties!A:D,4,FALSE)</f>
        <v>Events/Meetups</v>
      </c>
      <c r="O1083" s="1" t="str">
        <f t="shared" ref="O1083:P1083" si="1087">IF(ISBLANK(K1083),M1083,K1083)</f>
        <v>Outreach</v>
      </c>
      <c r="P1083" s="1" t="str">
        <f t="shared" si="1087"/>
        <v>Events/Meetups</v>
      </c>
      <c r="Q1083" s="108" t="str">
        <f t="shared" si="3"/>
        <v>2024</v>
      </c>
      <c r="R1083" s="110">
        <f t="shared" si="4"/>
        <v>5</v>
      </c>
      <c r="S1083" s="108" t="str">
        <f t="shared" si="5"/>
        <v>2024-Q2</v>
      </c>
      <c r="T1083" s="111" t="str">
        <f t="shared" si="6"/>
        <v>2024-05</v>
      </c>
      <c r="U1083" s="112" t="str">
        <f t="shared" si="7"/>
        <v>2024-H1</v>
      </c>
      <c r="V1083" s="1" t="str">
        <f>VLOOKUP(B1083,Bounties!A:E,2,FALSE)</f>
        <v>Events Bounty</v>
      </c>
    </row>
    <row r="1084" hidden="1">
      <c r="A1084" s="109">
        <f>HYPERLINK("https://polkadot.subsquare.io/treasury/child-bounties/1082", 1082)</f>
        <v>1082</v>
      </c>
      <c r="B1084" s="183">
        <v>17.0</v>
      </c>
      <c r="C1084" s="27" t="s">
        <v>3404</v>
      </c>
      <c r="D1084" s="27" t="s">
        <v>1644</v>
      </c>
      <c r="E1084" s="129">
        <v>50.0</v>
      </c>
      <c r="F1084" s="66">
        <v>349.83694553375244</v>
      </c>
      <c r="G1084" s="27" t="s">
        <v>3470</v>
      </c>
      <c r="H1084" s="167">
        <v>45417.0</v>
      </c>
      <c r="I1084" s="167">
        <v>45440.0</v>
      </c>
      <c r="J1084" s="66">
        <v>349.8929977416992</v>
      </c>
      <c r="K1084" s="1"/>
      <c r="L1084" s="1"/>
      <c r="M1084" s="1" t="str">
        <f>VLOOKUP(B1084,Bounties!A:D,3,FALSE)</f>
        <v>Outreach</v>
      </c>
      <c r="N1084" s="1" t="str">
        <f>VLOOKUP(B1084,Bounties!A:D,4,FALSE)</f>
        <v>Events/Meetups</v>
      </c>
      <c r="O1084" s="1" t="str">
        <f t="shared" ref="O1084:P1084" si="1088">IF(ISBLANK(K1084),M1084,K1084)</f>
        <v>Outreach</v>
      </c>
      <c r="P1084" s="1" t="str">
        <f t="shared" si="1088"/>
        <v>Events/Meetups</v>
      </c>
      <c r="Q1084" s="108" t="str">
        <f t="shared" si="3"/>
        <v>2024</v>
      </c>
      <c r="R1084" s="110">
        <f t="shared" si="4"/>
        <v>5</v>
      </c>
      <c r="S1084" s="108" t="str">
        <f t="shared" si="5"/>
        <v>2024-Q2</v>
      </c>
      <c r="T1084" s="111" t="str">
        <f t="shared" si="6"/>
        <v>2024-05</v>
      </c>
      <c r="U1084" s="112" t="str">
        <f t="shared" si="7"/>
        <v>2024-H1</v>
      </c>
      <c r="V1084" s="1" t="str">
        <f>VLOOKUP(B1084,Bounties!A:E,2,FALSE)</f>
        <v>Events Bounty</v>
      </c>
    </row>
    <row r="1085" hidden="1">
      <c r="A1085" s="109">
        <f>HYPERLINK("https://polkadot.subsquare.io/treasury/child-bounties/1083", 1083)</f>
        <v>1083</v>
      </c>
      <c r="B1085" s="183">
        <v>17.0</v>
      </c>
      <c r="C1085" s="27" t="s">
        <v>3404</v>
      </c>
      <c r="D1085" s="27" t="s">
        <v>1645</v>
      </c>
      <c r="E1085" s="129">
        <v>50.0</v>
      </c>
      <c r="F1085" s="66">
        <v>349.83694553375244</v>
      </c>
      <c r="G1085" s="27" t="s">
        <v>3424</v>
      </c>
      <c r="H1085" s="167">
        <v>45417.0</v>
      </c>
      <c r="I1085" s="167">
        <v>45428.0</v>
      </c>
      <c r="J1085" s="66">
        <v>346.87674045562744</v>
      </c>
      <c r="K1085" s="1"/>
      <c r="L1085" s="1"/>
      <c r="M1085" s="1" t="str">
        <f>VLOOKUP(B1085,Bounties!A:D,3,FALSE)</f>
        <v>Outreach</v>
      </c>
      <c r="N1085" s="1" t="str">
        <f>VLOOKUP(B1085,Bounties!A:D,4,FALSE)</f>
        <v>Events/Meetups</v>
      </c>
      <c r="O1085" s="1" t="str">
        <f t="shared" ref="O1085:P1085" si="1089">IF(ISBLANK(K1085),M1085,K1085)</f>
        <v>Outreach</v>
      </c>
      <c r="P1085" s="1" t="str">
        <f t="shared" si="1089"/>
        <v>Events/Meetups</v>
      </c>
      <c r="Q1085" s="108" t="str">
        <f t="shared" si="3"/>
        <v>2024</v>
      </c>
      <c r="R1085" s="110">
        <f t="shared" si="4"/>
        <v>5</v>
      </c>
      <c r="S1085" s="108" t="str">
        <f t="shared" si="5"/>
        <v>2024-Q2</v>
      </c>
      <c r="T1085" s="111" t="str">
        <f t="shared" si="6"/>
        <v>2024-05</v>
      </c>
      <c r="U1085" s="112" t="str">
        <f t="shared" si="7"/>
        <v>2024-H1</v>
      </c>
      <c r="V1085" s="1" t="str">
        <f>VLOOKUP(B1085,Bounties!A:E,2,FALSE)</f>
        <v>Events Bounty</v>
      </c>
    </row>
    <row r="1086" hidden="1">
      <c r="A1086" s="109">
        <f>HYPERLINK("https://polkadot.subsquare.io/treasury/child-bounties/1084", 1084)</f>
        <v>1084</v>
      </c>
      <c r="B1086" s="183">
        <v>17.0</v>
      </c>
      <c r="C1086" s="27" t="s">
        <v>3404</v>
      </c>
      <c r="D1086" s="27" t="s">
        <v>1646</v>
      </c>
      <c r="E1086" s="129">
        <v>5298.0</v>
      </c>
      <c r="F1086" s="66">
        <v>37068.72274875641</v>
      </c>
      <c r="G1086" s="27" t="s">
        <v>3669</v>
      </c>
      <c r="H1086" s="167">
        <v>45417.0</v>
      </c>
      <c r="I1086" s="167">
        <v>45430.0</v>
      </c>
      <c r="J1086" s="66">
        <v>40132.50814533234</v>
      </c>
      <c r="K1086" s="1"/>
      <c r="L1086" s="1" t="s">
        <v>266</v>
      </c>
      <c r="M1086" s="1" t="str">
        <f>VLOOKUP(B1086,Bounties!A:D,3,FALSE)</f>
        <v>Outreach</v>
      </c>
      <c r="N1086" s="1" t="str">
        <f>VLOOKUP(B1086,Bounties!A:D,4,FALSE)</f>
        <v>Events/Meetups</v>
      </c>
      <c r="O1086" s="1" t="str">
        <f t="shared" ref="O1086:P1086" si="1090">IF(ISBLANK(K1086),M1086,K1086)</f>
        <v>Outreach</v>
      </c>
      <c r="P1086" s="1" t="str">
        <f t="shared" si="1090"/>
        <v>Events/Conference Attendance &amp; Side Events</v>
      </c>
      <c r="Q1086" s="108" t="str">
        <f t="shared" si="3"/>
        <v>2024</v>
      </c>
      <c r="R1086" s="110">
        <f t="shared" si="4"/>
        <v>5</v>
      </c>
      <c r="S1086" s="108" t="str">
        <f t="shared" si="5"/>
        <v>2024-Q2</v>
      </c>
      <c r="T1086" s="111" t="str">
        <f t="shared" si="6"/>
        <v>2024-05</v>
      </c>
      <c r="U1086" s="112" t="str">
        <f t="shared" si="7"/>
        <v>2024-H1</v>
      </c>
      <c r="V1086" s="1" t="str">
        <f>VLOOKUP(B1086,Bounties!A:E,2,FALSE)</f>
        <v>Events Bounty</v>
      </c>
    </row>
    <row r="1087" hidden="1">
      <c r="A1087" s="109">
        <f>HYPERLINK("https://polkadot.subsquare.io/treasury/child-bounties/1085", 1085)</f>
        <v>1085</v>
      </c>
      <c r="B1087" s="183">
        <v>17.0</v>
      </c>
      <c r="C1087" s="27" t="s">
        <v>3404</v>
      </c>
      <c r="D1087" s="27" t="s">
        <v>1647</v>
      </c>
      <c r="E1087" s="129">
        <v>1229.5</v>
      </c>
      <c r="F1087" s="66">
        <v>8299.07809829712</v>
      </c>
      <c r="G1087" s="27" t="s">
        <v>3670</v>
      </c>
      <c r="H1087" s="167">
        <v>45419.0</v>
      </c>
      <c r="I1087" s="167">
        <v>45438.0</v>
      </c>
      <c r="J1087" s="66">
        <v>9057.816326141357</v>
      </c>
      <c r="K1087" s="1"/>
      <c r="L1087" s="1"/>
      <c r="M1087" s="1" t="str">
        <f>VLOOKUP(B1087,Bounties!A:D,3,FALSE)</f>
        <v>Outreach</v>
      </c>
      <c r="N1087" s="1" t="str">
        <f>VLOOKUP(B1087,Bounties!A:D,4,FALSE)</f>
        <v>Events/Meetups</v>
      </c>
      <c r="O1087" s="1" t="str">
        <f t="shared" ref="O1087:P1087" si="1091">IF(ISBLANK(K1087),M1087,K1087)</f>
        <v>Outreach</v>
      </c>
      <c r="P1087" s="1" t="str">
        <f t="shared" si="1091"/>
        <v>Events/Meetups</v>
      </c>
      <c r="Q1087" s="108" t="str">
        <f t="shared" si="3"/>
        <v>2024</v>
      </c>
      <c r="R1087" s="110">
        <f t="shared" si="4"/>
        <v>5</v>
      </c>
      <c r="S1087" s="108" t="str">
        <f t="shared" si="5"/>
        <v>2024-Q2</v>
      </c>
      <c r="T1087" s="111" t="str">
        <f t="shared" si="6"/>
        <v>2024-05</v>
      </c>
      <c r="U1087" s="112" t="str">
        <f t="shared" si="7"/>
        <v>2024-H1</v>
      </c>
      <c r="V1087" s="1" t="str">
        <f>VLOOKUP(B1087,Bounties!A:E,2,FALSE)</f>
        <v>Events Bounty</v>
      </c>
    </row>
    <row r="1088" hidden="1">
      <c r="A1088" s="109">
        <f>HYPERLINK("https://polkadot.subsquare.io/treasury/child-bounties/1086", 1086)</f>
        <v>1086</v>
      </c>
      <c r="B1088" s="183">
        <v>17.0</v>
      </c>
      <c r="C1088" s="27" t="s">
        <v>3404</v>
      </c>
      <c r="D1088" s="27" t="s">
        <v>1648</v>
      </c>
      <c r="E1088" s="129">
        <v>7915.8</v>
      </c>
      <c r="F1088" s="66">
        <v>53431.34803619385</v>
      </c>
      <c r="G1088" s="27" t="s">
        <v>3614</v>
      </c>
      <c r="H1088" s="167">
        <v>45419.0</v>
      </c>
      <c r="I1088" s="167">
        <v>45428.0</v>
      </c>
      <c r="J1088" s="66">
        <v>56692.587339019774</v>
      </c>
      <c r="K1088" s="1"/>
      <c r="L1088" s="1" t="s">
        <v>266</v>
      </c>
      <c r="M1088" s="1" t="str">
        <f>VLOOKUP(B1088,Bounties!A:D,3,FALSE)</f>
        <v>Outreach</v>
      </c>
      <c r="N1088" s="1" t="str">
        <f>VLOOKUP(B1088,Bounties!A:D,4,FALSE)</f>
        <v>Events/Meetups</v>
      </c>
      <c r="O1088" s="1" t="str">
        <f t="shared" ref="O1088:P1088" si="1092">IF(ISBLANK(K1088),M1088,K1088)</f>
        <v>Outreach</v>
      </c>
      <c r="P1088" s="1" t="str">
        <f t="shared" si="1092"/>
        <v>Events/Conference Attendance &amp; Side Events</v>
      </c>
      <c r="Q1088" s="108" t="str">
        <f t="shared" si="3"/>
        <v>2024</v>
      </c>
      <c r="R1088" s="110">
        <f t="shared" si="4"/>
        <v>5</v>
      </c>
      <c r="S1088" s="108" t="str">
        <f t="shared" si="5"/>
        <v>2024-Q2</v>
      </c>
      <c r="T1088" s="111" t="str">
        <f t="shared" si="6"/>
        <v>2024-05</v>
      </c>
      <c r="U1088" s="112" t="str">
        <f t="shared" si="7"/>
        <v>2024-H1</v>
      </c>
      <c r="V1088" s="1" t="str">
        <f>VLOOKUP(B1088,Bounties!A:E,2,FALSE)</f>
        <v>Events Bounty</v>
      </c>
    </row>
    <row r="1089" hidden="1">
      <c r="A1089" s="109">
        <f>HYPERLINK("https://polkadot.subsquare.io/treasury/child-bounties/1087", 1087)</f>
        <v>1087</v>
      </c>
      <c r="B1089" s="183">
        <v>17.0</v>
      </c>
      <c r="C1089" s="27" t="s">
        <v>3404</v>
      </c>
      <c r="D1089" s="27" t="s">
        <v>1649</v>
      </c>
      <c r="E1089" s="129">
        <v>13666.7</v>
      </c>
      <c r="F1089" s="66">
        <v>92249.7036567688</v>
      </c>
      <c r="G1089" s="27" t="s">
        <v>3671</v>
      </c>
      <c r="H1089" s="167">
        <v>45419.0</v>
      </c>
      <c r="I1089" s="167">
        <v>45428.0</v>
      </c>
      <c r="J1089" s="66">
        <v>94813.20697569847</v>
      </c>
      <c r="K1089" s="1"/>
      <c r="L1089" s="1" t="s">
        <v>266</v>
      </c>
      <c r="M1089" s="1" t="str">
        <f>VLOOKUP(B1089,Bounties!A:D,3,FALSE)</f>
        <v>Outreach</v>
      </c>
      <c r="N1089" s="1" t="str">
        <f>VLOOKUP(B1089,Bounties!A:D,4,FALSE)</f>
        <v>Events/Meetups</v>
      </c>
      <c r="O1089" s="1" t="str">
        <f t="shared" ref="O1089:P1089" si="1093">IF(ISBLANK(K1089),M1089,K1089)</f>
        <v>Outreach</v>
      </c>
      <c r="P1089" s="1" t="str">
        <f t="shared" si="1093"/>
        <v>Events/Conference Attendance &amp; Side Events</v>
      </c>
      <c r="Q1089" s="108" t="str">
        <f t="shared" si="3"/>
        <v>2024</v>
      </c>
      <c r="R1089" s="110">
        <f t="shared" si="4"/>
        <v>5</v>
      </c>
      <c r="S1089" s="108" t="str">
        <f t="shared" si="5"/>
        <v>2024-Q2</v>
      </c>
      <c r="T1089" s="111" t="str">
        <f t="shared" si="6"/>
        <v>2024-05</v>
      </c>
      <c r="U1089" s="112" t="str">
        <f t="shared" si="7"/>
        <v>2024-H1</v>
      </c>
      <c r="V1089" s="1" t="str">
        <f>VLOOKUP(B1089,Bounties!A:E,2,FALSE)</f>
        <v>Events Bounty</v>
      </c>
    </row>
    <row r="1090" hidden="1">
      <c r="A1090" s="109">
        <f>HYPERLINK("https://polkadot.subsquare.io/treasury/child-bounties/1088", 1088)</f>
        <v>1088</v>
      </c>
      <c r="B1090" s="183">
        <v>11.0</v>
      </c>
      <c r="C1090" s="27" t="s">
        <v>3404</v>
      </c>
      <c r="D1090" s="27" t="s">
        <v>1650</v>
      </c>
      <c r="E1090" s="129">
        <v>106.41</v>
      </c>
      <c r="F1090" s="66">
        <v>708.6084353113174</v>
      </c>
      <c r="G1090" s="27" t="s">
        <v>3526</v>
      </c>
      <c r="H1090" s="167">
        <v>45421.0</v>
      </c>
      <c r="I1090" s="167">
        <v>45429.0</v>
      </c>
      <c r="J1090" s="66">
        <v>806.0589263391495</v>
      </c>
      <c r="K1090" s="1"/>
      <c r="L1090" s="1"/>
      <c r="M1090" s="1" t="str">
        <f>VLOOKUP(B1090,Bounties!A:D,3,FALSE)</f>
        <v>Research</v>
      </c>
      <c r="N1090" s="1" t="str">
        <f>VLOOKUP(B1090,Bounties!A:D,4,FALSE)</f>
        <v>Anti-Scam</v>
      </c>
      <c r="O1090" s="1" t="str">
        <f t="shared" ref="O1090:P1090" si="1094">IF(ISBLANK(K1090),M1090,K1090)</f>
        <v>Research</v>
      </c>
      <c r="P1090" s="1" t="str">
        <f t="shared" si="1094"/>
        <v>Anti-Scam</v>
      </c>
      <c r="Q1090" s="108" t="str">
        <f t="shared" si="3"/>
        <v>2024</v>
      </c>
      <c r="R1090" s="110">
        <f t="shared" si="4"/>
        <v>5</v>
      </c>
      <c r="S1090" s="108" t="str">
        <f t="shared" si="5"/>
        <v>2024-Q2</v>
      </c>
      <c r="T1090" s="111" t="str">
        <f t="shared" si="6"/>
        <v>2024-05</v>
      </c>
      <c r="U1090" s="112" t="str">
        <f t="shared" si="7"/>
        <v>2024-H1</v>
      </c>
      <c r="V1090" s="1" t="str">
        <f>VLOOKUP(B1090,Bounties!A:E,2,FALSE)</f>
        <v>Anti-Scam Bounty</v>
      </c>
    </row>
    <row r="1091" hidden="1">
      <c r="A1091" s="109">
        <f>HYPERLINK("https://polkadot.subsquare.io/treasury/child-bounties/1089", 1089)</f>
        <v>1089</v>
      </c>
      <c r="B1091" s="183">
        <v>11.0</v>
      </c>
      <c r="C1091" s="27" t="s">
        <v>3404</v>
      </c>
      <c r="D1091" s="27" t="s">
        <v>1651</v>
      </c>
      <c r="E1091" s="129">
        <v>70.94</v>
      </c>
      <c r="F1091" s="66">
        <v>472.40562354087825</v>
      </c>
      <c r="G1091" s="27" t="s">
        <v>3424</v>
      </c>
      <c r="H1091" s="167">
        <v>45421.0</v>
      </c>
      <c r="I1091" s="167">
        <v>45429.0</v>
      </c>
      <c r="J1091" s="66">
        <v>537.3726175594329</v>
      </c>
      <c r="K1091" s="1"/>
      <c r="L1091" s="1"/>
      <c r="M1091" s="1" t="str">
        <f>VLOOKUP(B1091,Bounties!A:D,3,FALSE)</f>
        <v>Research</v>
      </c>
      <c r="N1091" s="1" t="str">
        <f>VLOOKUP(B1091,Bounties!A:D,4,FALSE)</f>
        <v>Anti-Scam</v>
      </c>
      <c r="O1091" s="1" t="str">
        <f t="shared" ref="O1091:P1091" si="1095">IF(ISBLANK(K1091),M1091,K1091)</f>
        <v>Research</v>
      </c>
      <c r="P1091" s="1" t="str">
        <f t="shared" si="1095"/>
        <v>Anti-Scam</v>
      </c>
      <c r="Q1091" s="108" t="str">
        <f t="shared" si="3"/>
        <v>2024</v>
      </c>
      <c r="R1091" s="110">
        <f t="shared" si="4"/>
        <v>5</v>
      </c>
      <c r="S1091" s="108" t="str">
        <f t="shared" si="5"/>
        <v>2024-Q2</v>
      </c>
      <c r="T1091" s="111" t="str">
        <f t="shared" si="6"/>
        <v>2024-05</v>
      </c>
      <c r="U1091" s="112" t="str">
        <f t="shared" si="7"/>
        <v>2024-H1</v>
      </c>
      <c r="V1091" s="1" t="str">
        <f>VLOOKUP(B1091,Bounties!A:E,2,FALSE)</f>
        <v>Anti-Scam Bounty</v>
      </c>
    </row>
    <row r="1092" hidden="1">
      <c r="A1092" s="109">
        <f>HYPERLINK("https://polkadot.subsquare.io/treasury/child-bounties/1090", 1090)</f>
        <v>1090</v>
      </c>
      <c r="B1092" s="183">
        <v>19.0</v>
      </c>
      <c r="C1092" s="27" t="s">
        <v>3404</v>
      </c>
      <c r="D1092" s="27" t="s">
        <v>1652</v>
      </c>
      <c r="E1092" s="129">
        <v>1374.0</v>
      </c>
      <c r="F1092" s="66">
        <v>9567.821514129639</v>
      </c>
      <c r="G1092" s="27" t="s">
        <v>3544</v>
      </c>
      <c r="H1092" s="167">
        <v>45424.0</v>
      </c>
      <c r="I1092" s="167">
        <v>45436.0</v>
      </c>
      <c r="J1092" s="66">
        <v>10369.899596214294</v>
      </c>
      <c r="K1092" s="1"/>
      <c r="L1092" s="1"/>
      <c r="M1092" s="1" t="str">
        <f>VLOOKUP(B1092,Bounties!A:D,3,FALSE)</f>
        <v>Development</v>
      </c>
      <c r="N1092" s="1" t="str">
        <f>VLOOKUP(B1092,Bounties!A:D,4,FALSE)</f>
        <v>Smart Contracts</v>
      </c>
      <c r="O1092" s="1" t="str">
        <f t="shared" ref="O1092:P1092" si="1096">IF(ISBLANK(K1092),M1092,K1092)</f>
        <v>Development</v>
      </c>
      <c r="P1092" s="1" t="str">
        <f t="shared" si="1096"/>
        <v>Smart Contracts</v>
      </c>
      <c r="Q1092" s="108" t="str">
        <f t="shared" si="3"/>
        <v>2024</v>
      </c>
      <c r="R1092" s="110">
        <f t="shared" si="4"/>
        <v>5</v>
      </c>
      <c r="S1092" s="108" t="str">
        <f t="shared" si="5"/>
        <v>2024-Q2</v>
      </c>
      <c r="T1092" s="111" t="str">
        <f t="shared" si="6"/>
        <v>2024-05</v>
      </c>
      <c r="U1092" s="112" t="str">
        <f t="shared" si="7"/>
        <v>2024-H1</v>
      </c>
      <c r="V1092" s="1" t="str">
        <f>VLOOKUP(B1092,Bounties!A:E,2,FALSE)</f>
        <v>Wasm Smart Contracts Bounty</v>
      </c>
    </row>
    <row r="1093" hidden="1">
      <c r="A1093" s="109">
        <f>HYPERLINK("https://polkadot.subsquare.io/treasury/child-bounties/1091", 1091)</f>
        <v>1091</v>
      </c>
      <c r="B1093" s="183">
        <v>32.0</v>
      </c>
      <c r="C1093" s="27" t="s">
        <v>3404</v>
      </c>
      <c r="D1093" s="27" t="s">
        <v>1653</v>
      </c>
      <c r="E1093" s="129">
        <v>6.3847900114</v>
      </c>
      <c r="F1093" s="66">
        <v>44.46035752130491</v>
      </c>
      <c r="G1093" s="27" t="s">
        <v>3587</v>
      </c>
      <c r="H1093" s="167">
        <v>45424.0</v>
      </c>
      <c r="I1093" s="167">
        <v>45432.0</v>
      </c>
      <c r="J1093" s="66">
        <v>45.975431140600556</v>
      </c>
      <c r="K1093" s="1"/>
      <c r="L1093" s="1"/>
      <c r="M1093" s="1" t="str">
        <f>VLOOKUP(B1093,Bounties!A:D,3,FALSE)</f>
        <v>Operations</v>
      </c>
      <c r="N1093" s="1" t="str">
        <f>VLOOKUP(B1093,Bounties!A:D,4,FALSE)</f>
        <v>RPCs and Nodes</v>
      </c>
      <c r="O1093" s="1" t="str">
        <f t="shared" ref="O1093:P1093" si="1097">IF(ISBLANK(K1093),M1093,K1093)</f>
        <v>Operations</v>
      </c>
      <c r="P1093" s="1" t="str">
        <f t="shared" si="1097"/>
        <v>RPCs and Nodes</v>
      </c>
      <c r="Q1093" s="108" t="str">
        <f t="shared" si="3"/>
        <v>2024</v>
      </c>
      <c r="R1093" s="110">
        <f t="shared" si="4"/>
        <v>5</v>
      </c>
      <c r="S1093" s="108" t="str">
        <f t="shared" si="5"/>
        <v>2024-Q2</v>
      </c>
      <c r="T1093" s="111" t="str">
        <f t="shared" si="6"/>
        <v>2024-05</v>
      </c>
      <c r="U1093" s="112" t="str">
        <f t="shared" si="7"/>
        <v>2024-H1</v>
      </c>
      <c r="V1093" s="1" t="str">
        <f>VLOOKUP(B1093,Bounties!A:E,2,FALSE)</f>
        <v>System Parachains Collator Bounty</v>
      </c>
    </row>
    <row r="1094" hidden="1">
      <c r="A1094" s="109">
        <f>HYPERLINK("https://polkadot.subsquare.io/treasury/child-bounties/1092", 1092)</f>
        <v>1092</v>
      </c>
      <c r="B1094" s="183">
        <v>32.0</v>
      </c>
      <c r="C1094" s="27" t="s">
        <v>3404</v>
      </c>
      <c r="D1094" s="27" t="s">
        <v>1654</v>
      </c>
      <c r="E1094" s="129">
        <v>37.1172386658</v>
      </c>
      <c r="F1094" s="66">
        <v>258.46514894594304</v>
      </c>
      <c r="G1094" s="27" t="s">
        <v>3601</v>
      </c>
      <c r="H1094" s="167">
        <v>45424.0</v>
      </c>
      <c r="I1094" s="167">
        <v>45432.0</v>
      </c>
      <c r="J1094" s="66">
        <v>267.2728542930643</v>
      </c>
      <c r="K1094" s="1"/>
      <c r="L1094" s="1"/>
      <c r="M1094" s="1" t="str">
        <f>VLOOKUP(B1094,Bounties!A:D,3,FALSE)</f>
        <v>Operations</v>
      </c>
      <c r="N1094" s="1" t="str">
        <f>VLOOKUP(B1094,Bounties!A:D,4,FALSE)</f>
        <v>RPCs and Nodes</v>
      </c>
      <c r="O1094" s="1" t="str">
        <f t="shared" ref="O1094:P1094" si="1098">IF(ISBLANK(K1094),M1094,K1094)</f>
        <v>Operations</v>
      </c>
      <c r="P1094" s="1" t="str">
        <f t="shared" si="1098"/>
        <v>RPCs and Nodes</v>
      </c>
      <c r="Q1094" s="108" t="str">
        <f t="shared" si="3"/>
        <v>2024</v>
      </c>
      <c r="R1094" s="110">
        <f t="shared" si="4"/>
        <v>5</v>
      </c>
      <c r="S1094" s="108" t="str">
        <f t="shared" si="5"/>
        <v>2024-Q2</v>
      </c>
      <c r="T1094" s="111" t="str">
        <f t="shared" si="6"/>
        <v>2024-05</v>
      </c>
      <c r="U1094" s="112" t="str">
        <f t="shared" si="7"/>
        <v>2024-H1</v>
      </c>
      <c r="V1094" s="1" t="str">
        <f>VLOOKUP(B1094,Bounties!A:E,2,FALSE)</f>
        <v>System Parachains Collator Bounty</v>
      </c>
    </row>
    <row r="1095" hidden="1">
      <c r="A1095" s="109">
        <f>HYPERLINK("https://polkadot.subsquare.io/treasury/child-bounties/1093", 1093)</f>
        <v>1093</v>
      </c>
      <c r="B1095" s="183">
        <v>32.0</v>
      </c>
      <c r="C1095" s="27" t="s">
        <v>3404</v>
      </c>
      <c r="D1095" s="27" t="s">
        <v>1655</v>
      </c>
      <c r="E1095" s="129">
        <v>38.1959753972</v>
      </c>
      <c r="F1095" s="66">
        <v>265.97691059570343</v>
      </c>
      <c r="G1095" s="27" t="s">
        <v>3602</v>
      </c>
      <c r="H1095" s="167">
        <v>45424.0</v>
      </c>
      <c r="I1095" s="167">
        <v>45432.0</v>
      </c>
      <c r="J1095" s="66">
        <v>275.0405939093657</v>
      </c>
      <c r="K1095" s="1"/>
      <c r="L1095" s="1"/>
      <c r="M1095" s="1" t="str">
        <f>VLOOKUP(B1095,Bounties!A:D,3,FALSE)</f>
        <v>Operations</v>
      </c>
      <c r="N1095" s="1" t="str">
        <f>VLOOKUP(B1095,Bounties!A:D,4,FALSE)</f>
        <v>RPCs and Nodes</v>
      </c>
      <c r="O1095" s="1" t="str">
        <f t="shared" ref="O1095:P1095" si="1099">IF(ISBLANK(K1095),M1095,K1095)</f>
        <v>Operations</v>
      </c>
      <c r="P1095" s="1" t="str">
        <f t="shared" si="1099"/>
        <v>RPCs and Nodes</v>
      </c>
      <c r="Q1095" s="108" t="str">
        <f t="shared" si="3"/>
        <v>2024</v>
      </c>
      <c r="R1095" s="110">
        <f t="shared" si="4"/>
        <v>5</v>
      </c>
      <c r="S1095" s="108" t="str">
        <f t="shared" si="5"/>
        <v>2024-Q2</v>
      </c>
      <c r="T1095" s="111" t="str">
        <f t="shared" si="6"/>
        <v>2024-05</v>
      </c>
      <c r="U1095" s="112" t="str">
        <f t="shared" si="7"/>
        <v>2024-H1</v>
      </c>
      <c r="V1095" s="1" t="str">
        <f>VLOOKUP(B1095,Bounties!A:E,2,FALSE)</f>
        <v>System Parachains Collator Bounty</v>
      </c>
    </row>
    <row r="1096" hidden="1">
      <c r="A1096" s="109">
        <f>HYPERLINK("https://polkadot.subsquare.io/treasury/child-bounties/1094", 1094)</f>
        <v>1094</v>
      </c>
      <c r="B1096" s="183">
        <v>32.0</v>
      </c>
      <c r="C1096" s="27" t="s">
        <v>3404</v>
      </c>
      <c r="D1096" s="27" t="s">
        <v>1656</v>
      </c>
      <c r="E1096" s="129">
        <v>38.0818521158</v>
      </c>
      <c r="F1096" s="66">
        <v>265.1822154086277</v>
      </c>
      <c r="G1096" s="27" t="s">
        <v>3589</v>
      </c>
      <c r="H1096" s="167">
        <v>45424.0</v>
      </c>
      <c r="I1096" s="167">
        <v>45432.0</v>
      </c>
      <c r="J1096" s="66">
        <v>274.21881792986176</v>
      </c>
      <c r="K1096" s="1"/>
      <c r="L1096" s="1"/>
      <c r="M1096" s="1" t="str">
        <f>VLOOKUP(B1096,Bounties!A:D,3,FALSE)</f>
        <v>Operations</v>
      </c>
      <c r="N1096" s="1" t="str">
        <f>VLOOKUP(B1096,Bounties!A:D,4,FALSE)</f>
        <v>RPCs and Nodes</v>
      </c>
      <c r="O1096" s="1" t="str">
        <f t="shared" ref="O1096:P1096" si="1100">IF(ISBLANK(K1096),M1096,K1096)</f>
        <v>Operations</v>
      </c>
      <c r="P1096" s="1" t="str">
        <f t="shared" si="1100"/>
        <v>RPCs and Nodes</v>
      </c>
      <c r="Q1096" s="108" t="str">
        <f t="shared" si="3"/>
        <v>2024</v>
      </c>
      <c r="R1096" s="110">
        <f t="shared" si="4"/>
        <v>5</v>
      </c>
      <c r="S1096" s="108" t="str">
        <f t="shared" si="5"/>
        <v>2024-Q2</v>
      </c>
      <c r="T1096" s="111" t="str">
        <f t="shared" si="6"/>
        <v>2024-05</v>
      </c>
      <c r="U1096" s="112" t="str">
        <f t="shared" si="7"/>
        <v>2024-H1</v>
      </c>
      <c r="V1096" s="1" t="str">
        <f>VLOOKUP(B1096,Bounties!A:E,2,FALSE)</f>
        <v>System Parachains Collator Bounty</v>
      </c>
    </row>
    <row r="1097" hidden="1">
      <c r="A1097" s="109">
        <f>HYPERLINK("https://polkadot.subsquare.io/treasury/child-bounties/1095", 1095)</f>
        <v>1095</v>
      </c>
      <c r="B1097" s="183">
        <v>32.0</v>
      </c>
      <c r="C1097" s="27" t="s">
        <v>3404</v>
      </c>
      <c r="D1097" s="27" t="s">
        <v>1657</v>
      </c>
      <c r="E1097" s="129">
        <v>39.1143960904</v>
      </c>
      <c r="F1097" s="66">
        <v>272.37231472046386</v>
      </c>
      <c r="G1097" s="27" t="s">
        <v>3592</v>
      </c>
      <c r="H1097" s="167">
        <v>45424.0</v>
      </c>
      <c r="I1097" s="167">
        <v>45432.0</v>
      </c>
      <c r="J1097" s="66">
        <v>281.65393393510294</v>
      </c>
      <c r="K1097" s="1"/>
      <c r="L1097" s="1"/>
      <c r="M1097" s="1" t="str">
        <f>VLOOKUP(B1097,Bounties!A:D,3,FALSE)</f>
        <v>Operations</v>
      </c>
      <c r="N1097" s="1" t="str">
        <f>VLOOKUP(B1097,Bounties!A:D,4,FALSE)</f>
        <v>RPCs and Nodes</v>
      </c>
      <c r="O1097" s="1" t="str">
        <f t="shared" ref="O1097:P1097" si="1101">IF(ISBLANK(K1097),M1097,K1097)</f>
        <v>Operations</v>
      </c>
      <c r="P1097" s="1" t="str">
        <f t="shared" si="1101"/>
        <v>RPCs and Nodes</v>
      </c>
      <c r="Q1097" s="108" t="str">
        <f t="shared" si="3"/>
        <v>2024</v>
      </c>
      <c r="R1097" s="110">
        <f t="shared" si="4"/>
        <v>5</v>
      </c>
      <c r="S1097" s="108" t="str">
        <f t="shared" si="5"/>
        <v>2024-Q2</v>
      </c>
      <c r="T1097" s="111" t="str">
        <f t="shared" si="6"/>
        <v>2024-05</v>
      </c>
      <c r="U1097" s="112" t="str">
        <f t="shared" si="7"/>
        <v>2024-H1</v>
      </c>
      <c r="V1097" s="1" t="str">
        <f>VLOOKUP(B1097,Bounties!A:E,2,FALSE)</f>
        <v>System Parachains Collator Bounty</v>
      </c>
    </row>
    <row r="1098" hidden="1">
      <c r="A1098" s="109">
        <f>HYPERLINK("https://polkadot.subsquare.io/treasury/child-bounties/1096", 1096)</f>
        <v>1096</v>
      </c>
      <c r="B1098" s="183">
        <v>32.0</v>
      </c>
      <c r="C1098" s="27" t="s">
        <v>3404</v>
      </c>
      <c r="D1098" s="27" t="s">
        <v>1658</v>
      </c>
      <c r="E1098" s="129">
        <v>52.4605687742</v>
      </c>
      <c r="F1098" s="66">
        <v>365.30812122363045</v>
      </c>
      <c r="G1098" s="27" t="s">
        <v>3594</v>
      </c>
      <c r="H1098" s="167">
        <v>45424.0</v>
      </c>
      <c r="I1098" s="167">
        <v>45432.0</v>
      </c>
      <c r="J1098" s="66">
        <v>377.75670976939654</v>
      </c>
      <c r="K1098" s="1"/>
      <c r="L1098" s="1"/>
      <c r="M1098" s="1" t="str">
        <f>VLOOKUP(B1098,Bounties!A:D,3,FALSE)</f>
        <v>Operations</v>
      </c>
      <c r="N1098" s="1" t="str">
        <f>VLOOKUP(B1098,Bounties!A:D,4,FALSE)</f>
        <v>RPCs and Nodes</v>
      </c>
      <c r="O1098" s="1" t="str">
        <f t="shared" ref="O1098:P1098" si="1102">IF(ISBLANK(K1098),M1098,K1098)</f>
        <v>Operations</v>
      </c>
      <c r="P1098" s="1" t="str">
        <f t="shared" si="1102"/>
        <v>RPCs and Nodes</v>
      </c>
      <c r="Q1098" s="108" t="str">
        <f t="shared" si="3"/>
        <v>2024</v>
      </c>
      <c r="R1098" s="110">
        <f t="shared" si="4"/>
        <v>5</v>
      </c>
      <c r="S1098" s="108" t="str">
        <f t="shared" si="5"/>
        <v>2024-Q2</v>
      </c>
      <c r="T1098" s="111" t="str">
        <f t="shared" si="6"/>
        <v>2024-05</v>
      </c>
      <c r="U1098" s="112" t="str">
        <f t="shared" si="7"/>
        <v>2024-H1</v>
      </c>
      <c r="V1098" s="1" t="str">
        <f>VLOOKUP(B1098,Bounties!A:E,2,FALSE)</f>
        <v>System Parachains Collator Bounty</v>
      </c>
    </row>
    <row r="1099" hidden="1">
      <c r="A1099" s="109">
        <f>HYPERLINK("https://polkadot.subsquare.io/treasury/child-bounties/1097", 1097)</f>
        <v>1097</v>
      </c>
      <c r="B1099" s="183">
        <v>32.0</v>
      </c>
      <c r="C1099" s="27" t="s">
        <v>3404</v>
      </c>
      <c r="D1099" s="27" t="s">
        <v>1659</v>
      </c>
      <c r="E1099" s="129">
        <v>57.3518605518</v>
      </c>
      <c r="F1099" s="66">
        <v>399.3685336702147</v>
      </c>
      <c r="G1099" s="27" t="s">
        <v>3591</v>
      </c>
      <c r="H1099" s="167">
        <v>45424.0</v>
      </c>
      <c r="I1099" s="167">
        <v>45432.0</v>
      </c>
      <c r="J1099" s="66">
        <v>412.9777973710427</v>
      </c>
      <c r="K1099" s="1"/>
      <c r="L1099" s="1"/>
      <c r="M1099" s="1" t="str">
        <f>VLOOKUP(B1099,Bounties!A:D,3,FALSE)</f>
        <v>Operations</v>
      </c>
      <c r="N1099" s="1" t="str">
        <f>VLOOKUP(B1099,Bounties!A:D,4,FALSE)</f>
        <v>RPCs and Nodes</v>
      </c>
      <c r="O1099" s="1" t="str">
        <f t="shared" ref="O1099:P1099" si="1103">IF(ISBLANK(K1099),M1099,K1099)</f>
        <v>Operations</v>
      </c>
      <c r="P1099" s="1" t="str">
        <f t="shared" si="1103"/>
        <v>RPCs and Nodes</v>
      </c>
      <c r="Q1099" s="108" t="str">
        <f t="shared" si="3"/>
        <v>2024</v>
      </c>
      <c r="R1099" s="110">
        <f t="shared" si="4"/>
        <v>5</v>
      </c>
      <c r="S1099" s="108" t="str">
        <f t="shared" si="5"/>
        <v>2024-Q2</v>
      </c>
      <c r="T1099" s="111" t="str">
        <f t="shared" si="6"/>
        <v>2024-05</v>
      </c>
      <c r="U1099" s="112" t="str">
        <f t="shared" si="7"/>
        <v>2024-H1</v>
      </c>
      <c r="V1099" s="1" t="str">
        <f>VLOOKUP(B1099,Bounties!A:E,2,FALSE)</f>
        <v>System Parachains Collator Bounty</v>
      </c>
    </row>
    <row r="1100" hidden="1">
      <c r="A1100" s="109">
        <f>HYPERLINK("https://polkadot.subsquare.io/treasury/child-bounties/1098", 1098)</f>
        <v>1098</v>
      </c>
      <c r="B1100" s="183">
        <v>32.0</v>
      </c>
      <c r="C1100" s="27" t="s">
        <v>3404</v>
      </c>
      <c r="D1100" s="27" t="s">
        <v>1660</v>
      </c>
      <c r="E1100" s="129">
        <v>54.7378019222</v>
      </c>
      <c r="F1100" s="66">
        <v>381.1655886953361</v>
      </c>
      <c r="G1100" s="27" t="s">
        <v>3590</v>
      </c>
      <c r="H1100" s="167">
        <v>45424.0</v>
      </c>
      <c r="I1100" s="167">
        <v>45432.0</v>
      </c>
      <c r="J1100" s="66">
        <v>394.15455145252656</v>
      </c>
      <c r="K1100" s="1"/>
      <c r="L1100" s="1"/>
      <c r="M1100" s="1" t="str">
        <f>VLOOKUP(B1100,Bounties!A:D,3,FALSE)</f>
        <v>Operations</v>
      </c>
      <c r="N1100" s="1" t="str">
        <f>VLOOKUP(B1100,Bounties!A:D,4,FALSE)</f>
        <v>RPCs and Nodes</v>
      </c>
      <c r="O1100" s="1" t="str">
        <f t="shared" ref="O1100:P1100" si="1104">IF(ISBLANK(K1100),M1100,K1100)</f>
        <v>Operations</v>
      </c>
      <c r="P1100" s="1" t="str">
        <f t="shared" si="1104"/>
        <v>RPCs and Nodes</v>
      </c>
      <c r="Q1100" s="108" t="str">
        <f t="shared" si="3"/>
        <v>2024</v>
      </c>
      <c r="R1100" s="110">
        <f t="shared" si="4"/>
        <v>5</v>
      </c>
      <c r="S1100" s="108" t="str">
        <f t="shared" si="5"/>
        <v>2024-Q2</v>
      </c>
      <c r="T1100" s="111" t="str">
        <f t="shared" si="6"/>
        <v>2024-05</v>
      </c>
      <c r="U1100" s="112" t="str">
        <f t="shared" si="7"/>
        <v>2024-H1</v>
      </c>
      <c r="V1100" s="1" t="str">
        <f>VLOOKUP(B1100,Bounties!A:E,2,FALSE)</f>
        <v>System Parachains Collator Bounty</v>
      </c>
    </row>
    <row r="1101" hidden="1">
      <c r="A1101" s="109">
        <f>HYPERLINK("https://polkadot.subsquare.io/treasury/child-bounties/1099", 1099)</f>
        <v>1099</v>
      </c>
      <c r="B1101" s="183">
        <v>32.0</v>
      </c>
      <c r="C1101" s="27" t="s">
        <v>3404</v>
      </c>
      <c r="D1101" s="27" t="s">
        <v>1661</v>
      </c>
      <c r="E1101" s="129">
        <v>51.4647369152</v>
      </c>
      <c r="F1101" s="66">
        <v>358.3736659943758</v>
      </c>
      <c r="G1101" s="27" t="s">
        <v>3599</v>
      </c>
      <c r="H1101" s="167">
        <v>45424.0</v>
      </c>
      <c r="I1101" s="167">
        <v>45432.0</v>
      </c>
      <c r="J1101" s="66">
        <v>370.5859494187313</v>
      </c>
      <c r="K1101" s="1"/>
      <c r="L1101" s="1"/>
      <c r="M1101" s="1" t="str">
        <f>VLOOKUP(B1101,Bounties!A:D,3,FALSE)</f>
        <v>Operations</v>
      </c>
      <c r="N1101" s="1" t="str">
        <f>VLOOKUP(B1101,Bounties!A:D,4,FALSE)</f>
        <v>RPCs and Nodes</v>
      </c>
      <c r="O1101" s="1" t="str">
        <f t="shared" ref="O1101:P1101" si="1105">IF(ISBLANK(K1101),M1101,K1101)</f>
        <v>Operations</v>
      </c>
      <c r="P1101" s="1" t="str">
        <f t="shared" si="1105"/>
        <v>RPCs and Nodes</v>
      </c>
      <c r="Q1101" s="108" t="str">
        <f t="shared" si="3"/>
        <v>2024</v>
      </c>
      <c r="R1101" s="110">
        <f t="shared" si="4"/>
        <v>5</v>
      </c>
      <c r="S1101" s="108" t="str">
        <f t="shared" si="5"/>
        <v>2024-Q2</v>
      </c>
      <c r="T1101" s="111" t="str">
        <f t="shared" si="6"/>
        <v>2024-05</v>
      </c>
      <c r="U1101" s="112" t="str">
        <f t="shared" si="7"/>
        <v>2024-H1</v>
      </c>
      <c r="V1101" s="1" t="str">
        <f>VLOOKUP(B1101,Bounties!A:E,2,FALSE)</f>
        <v>System Parachains Collator Bounty</v>
      </c>
    </row>
    <row r="1102" hidden="1">
      <c r="A1102" s="109">
        <f>HYPERLINK("https://polkadot.subsquare.io/treasury/child-bounties/1100", 1100)</f>
        <v>1100</v>
      </c>
      <c r="B1102" s="183">
        <v>32.0</v>
      </c>
      <c r="C1102" s="27" t="s">
        <v>3404</v>
      </c>
      <c r="D1102" s="27" t="s">
        <v>1662</v>
      </c>
      <c r="E1102" s="129">
        <v>34.6783800285</v>
      </c>
      <c r="F1102" s="66">
        <v>241.48220561269716</v>
      </c>
      <c r="G1102" s="27" t="s">
        <v>3600</v>
      </c>
      <c r="H1102" s="167">
        <v>45424.0</v>
      </c>
      <c r="I1102" s="167">
        <v>45432.0</v>
      </c>
      <c r="J1102" s="66">
        <v>249.71118395768255</v>
      </c>
      <c r="K1102" s="1"/>
      <c r="L1102" s="1"/>
      <c r="M1102" s="1" t="str">
        <f>VLOOKUP(B1102,Bounties!A:D,3,FALSE)</f>
        <v>Operations</v>
      </c>
      <c r="N1102" s="1" t="str">
        <f>VLOOKUP(B1102,Bounties!A:D,4,FALSE)</f>
        <v>RPCs and Nodes</v>
      </c>
      <c r="O1102" s="1" t="str">
        <f t="shared" ref="O1102:P1102" si="1106">IF(ISBLANK(K1102),M1102,K1102)</f>
        <v>Operations</v>
      </c>
      <c r="P1102" s="1" t="str">
        <f t="shared" si="1106"/>
        <v>RPCs and Nodes</v>
      </c>
      <c r="Q1102" s="108" t="str">
        <f t="shared" si="3"/>
        <v>2024</v>
      </c>
      <c r="R1102" s="110">
        <f t="shared" si="4"/>
        <v>5</v>
      </c>
      <c r="S1102" s="108" t="str">
        <f t="shared" si="5"/>
        <v>2024-Q2</v>
      </c>
      <c r="T1102" s="111" t="str">
        <f t="shared" si="6"/>
        <v>2024-05</v>
      </c>
      <c r="U1102" s="112" t="str">
        <f t="shared" si="7"/>
        <v>2024-H1</v>
      </c>
      <c r="V1102" s="1" t="str">
        <f>VLOOKUP(B1102,Bounties!A:E,2,FALSE)</f>
        <v>System Parachains Collator Bounty</v>
      </c>
    </row>
    <row r="1103" hidden="1">
      <c r="A1103" s="109">
        <f>HYPERLINK("https://polkadot.subsquare.io/treasury/child-bounties/1101", 1101)</f>
        <v>1101</v>
      </c>
      <c r="B1103" s="183">
        <v>32.0</v>
      </c>
      <c r="C1103" s="27" t="s">
        <v>3404</v>
      </c>
      <c r="D1103" s="27" t="s">
        <v>1663</v>
      </c>
      <c r="E1103" s="129">
        <v>39.3209048853</v>
      </c>
      <c r="F1103" s="66">
        <v>273.81033458269184</v>
      </c>
      <c r="G1103" s="27" t="s">
        <v>3587</v>
      </c>
      <c r="H1103" s="167">
        <v>45424.0</v>
      </c>
      <c r="I1103" s="167">
        <v>45432.0</v>
      </c>
      <c r="J1103" s="66">
        <v>283.1409571360072</v>
      </c>
      <c r="K1103" s="1"/>
      <c r="L1103" s="1"/>
      <c r="M1103" s="1" t="str">
        <f>VLOOKUP(B1103,Bounties!A:D,3,FALSE)</f>
        <v>Operations</v>
      </c>
      <c r="N1103" s="1" t="str">
        <f>VLOOKUP(B1103,Bounties!A:D,4,FALSE)</f>
        <v>RPCs and Nodes</v>
      </c>
      <c r="O1103" s="1" t="str">
        <f t="shared" ref="O1103:P1103" si="1107">IF(ISBLANK(K1103),M1103,K1103)</f>
        <v>Operations</v>
      </c>
      <c r="P1103" s="1" t="str">
        <f t="shared" si="1107"/>
        <v>RPCs and Nodes</v>
      </c>
      <c r="Q1103" s="108" t="str">
        <f t="shared" si="3"/>
        <v>2024</v>
      </c>
      <c r="R1103" s="110">
        <f t="shared" si="4"/>
        <v>5</v>
      </c>
      <c r="S1103" s="108" t="str">
        <f t="shared" si="5"/>
        <v>2024-Q2</v>
      </c>
      <c r="T1103" s="111" t="str">
        <f t="shared" si="6"/>
        <v>2024-05</v>
      </c>
      <c r="U1103" s="112" t="str">
        <f t="shared" si="7"/>
        <v>2024-H1</v>
      </c>
      <c r="V1103" s="1" t="str">
        <f>VLOOKUP(B1103,Bounties!A:E,2,FALSE)</f>
        <v>System Parachains Collator Bounty</v>
      </c>
    </row>
    <row r="1104" hidden="1">
      <c r="A1104" s="109">
        <f>HYPERLINK("https://polkadot.subsquare.io/treasury/child-bounties/1102", 1102)</f>
        <v>1102</v>
      </c>
      <c r="B1104" s="183">
        <v>32.0</v>
      </c>
      <c r="C1104" s="27" t="s">
        <v>3404</v>
      </c>
      <c r="D1104" s="27" t="s">
        <v>1664</v>
      </c>
      <c r="E1104" s="129">
        <v>51.6697611215</v>
      </c>
      <c r="F1104" s="66">
        <v>359.8013479535858</v>
      </c>
      <c r="G1104" s="27" t="s">
        <v>3596</v>
      </c>
      <c r="H1104" s="167">
        <v>45424.0</v>
      </c>
      <c r="I1104" s="167">
        <v>45432.0</v>
      </c>
      <c r="J1104" s="66">
        <v>372.06228243235773</v>
      </c>
      <c r="K1104" s="1"/>
      <c r="L1104" s="1"/>
      <c r="M1104" s="1" t="str">
        <f>VLOOKUP(B1104,Bounties!A:D,3,FALSE)</f>
        <v>Operations</v>
      </c>
      <c r="N1104" s="1" t="str">
        <f>VLOOKUP(B1104,Bounties!A:D,4,FALSE)</f>
        <v>RPCs and Nodes</v>
      </c>
      <c r="O1104" s="1" t="str">
        <f t="shared" ref="O1104:P1104" si="1108">IF(ISBLANK(K1104),M1104,K1104)</f>
        <v>Operations</v>
      </c>
      <c r="P1104" s="1" t="str">
        <f t="shared" si="1108"/>
        <v>RPCs and Nodes</v>
      </c>
      <c r="Q1104" s="108" t="str">
        <f t="shared" si="3"/>
        <v>2024</v>
      </c>
      <c r="R1104" s="110">
        <f t="shared" si="4"/>
        <v>5</v>
      </c>
      <c r="S1104" s="108" t="str">
        <f t="shared" si="5"/>
        <v>2024-Q2</v>
      </c>
      <c r="T1104" s="111" t="str">
        <f t="shared" si="6"/>
        <v>2024-05</v>
      </c>
      <c r="U1104" s="112" t="str">
        <f t="shared" si="7"/>
        <v>2024-H1</v>
      </c>
      <c r="V1104" s="1" t="str">
        <f>VLOOKUP(B1104,Bounties!A:E,2,FALSE)</f>
        <v>System Parachains Collator Bounty</v>
      </c>
    </row>
    <row r="1105" hidden="1">
      <c r="A1105" s="109">
        <f>HYPERLINK("https://polkadot.subsquare.io/treasury/child-bounties/1103", 1103)</f>
        <v>1103</v>
      </c>
      <c r="B1105" s="183">
        <v>32.0</v>
      </c>
      <c r="C1105" s="27" t="s">
        <v>3404</v>
      </c>
      <c r="D1105" s="27" t="s">
        <v>1665</v>
      </c>
      <c r="E1105" s="129">
        <v>51.8674630347</v>
      </c>
      <c r="F1105" s="66">
        <v>361.17804127127107</v>
      </c>
      <c r="G1105" s="27" t="s">
        <v>3595</v>
      </c>
      <c r="H1105" s="167">
        <v>45424.0</v>
      </c>
      <c r="I1105" s="167">
        <v>45432.0</v>
      </c>
      <c r="J1105" s="66">
        <v>373.48588926679747</v>
      </c>
      <c r="K1105" s="1"/>
      <c r="L1105" s="1"/>
      <c r="M1105" s="1" t="str">
        <f>VLOOKUP(B1105,Bounties!A:D,3,FALSE)</f>
        <v>Operations</v>
      </c>
      <c r="N1105" s="1" t="str">
        <f>VLOOKUP(B1105,Bounties!A:D,4,FALSE)</f>
        <v>RPCs and Nodes</v>
      </c>
      <c r="O1105" s="1" t="str">
        <f t="shared" ref="O1105:P1105" si="1109">IF(ISBLANK(K1105),M1105,K1105)</f>
        <v>Operations</v>
      </c>
      <c r="P1105" s="1" t="str">
        <f t="shared" si="1109"/>
        <v>RPCs and Nodes</v>
      </c>
      <c r="Q1105" s="108" t="str">
        <f t="shared" si="3"/>
        <v>2024</v>
      </c>
      <c r="R1105" s="110">
        <f t="shared" si="4"/>
        <v>5</v>
      </c>
      <c r="S1105" s="108" t="str">
        <f t="shared" si="5"/>
        <v>2024-Q2</v>
      </c>
      <c r="T1105" s="111" t="str">
        <f t="shared" si="6"/>
        <v>2024-05</v>
      </c>
      <c r="U1105" s="112" t="str">
        <f t="shared" si="7"/>
        <v>2024-H1</v>
      </c>
      <c r="V1105" s="1" t="str">
        <f>VLOOKUP(B1105,Bounties!A:E,2,FALSE)</f>
        <v>System Parachains Collator Bounty</v>
      </c>
    </row>
    <row r="1106" hidden="1">
      <c r="A1106" s="109">
        <f>HYPERLINK("https://polkadot.subsquare.io/treasury/child-bounties/1104", 1104)</f>
        <v>1104</v>
      </c>
      <c r="B1106" s="183">
        <v>32.0</v>
      </c>
      <c r="C1106" s="27" t="s">
        <v>3404</v>
      </c>
      <c r="D1106" s="27" t="s">
        <v>1666</v>
      </c>
      <c r="E1106" s="129">
        <v>16.2115568799</v>
      </c>
      <c r="F1106" s="66">
        <v>112.88885203278282</v>
      </c>
      <c r="G1106" s="27" t="s">
        <v>3593</v>
      </c>
      <c r="H1106" s="167">
        <v>45424.0</v>
      </c>
      <c r="I1106" s="167">
        <v>45432.0</v>
      </c>
      <c r="J1106" s="66">
        <v>116.73576040605629</v>
      </c>
      <c r="K1106" s="1"/>
      <c r="L1106" s="1"/>
      <c r="M1106" s="1" t="str">
        <f>VLOOKUP(B1106,Bounties!A:D,3,FALSE)</f>
        <v>Operations</v>
      </c>
      <c r="N1106" s="1" t="str">
        <f>VLOOKUP(B1106,Bounties!A:D,4,FALSE)</f>
        <v>RPCs and Nodes</v>
      </c>
      <c r="O1106" s="1" t="str">
        <f t="shared" ref="O1106:P1106" si="1110">IF(ISBLANK(K1106),M1106,K1106)</f>
        <v>Operations</v>
      </c>
      <c r="P1106" s="1" t="str">
        <f t="shared" si="1110"/>
        <v>RPCs and Nodes</v>
      </c>
      <c r="Q1106" s="108" t="str">
        <f t="shared" si="3"/>
        <v>2024</v>
      </c>
      <c r="R1106" s="110">
        <f t="shared" si="4"/>
        <v>5</v>
      </c>
      <c r="S1106" s="108" t="str">
        <f t="shared" si="5"/>
        <v>2024-Q2</v>
      </c>
      <c r="T1106" s="111" t="str">
        <f t="shared" si="6"/>
        <v>2024-05</v>
      </c>
      <c r="U1106" s="112" t="str">
        <f t="shared" si="7"/>
        <v>2024-H1</v>
      </c>
      <c r="V1106" s="1" t="str">
        <f>VLOOKUP(B1106,Bounties!A:E,2,FALSE)</f>
        <v>System Parachains Collator Bounty</v>
      </c>
    </row>
    <row r="1107" hidden="1">
      <c r="A1107" s="109">
        <f>HYPERLINK("https://polkadot.subsquare.io/treasury/child-bounties/1105", 1105)</f>
        <v>1105</v>
      </c>
      <c r="B1107" s="183">
        <v>32.0</v>
      </c>
      <c r="C1107" s="27" t="s">
        <v>3404</v>
      </c>
      <c r="D1107" s="27" t="s">
        <v>1667</v>
      </c>
      <c r="E1107" s="129">
        <v>9.4776214399</v>
      </c>
      <c r="F1107" s="66">
        <v>65.99722730382209</v>
      </c>
      <c r="G1107" s="27" t="s">
        <v>3407</v>
      </c>
      <c r="H1107" s="167">
        <v>45424.0</v>
      </c>
      <c r="I1107" s="167">
        <v>45432.0</v>
      </c>
      <c r="J1107" s="66">
        <v>68.24621187365523</v>
      </c>
      <c r="K1107" s="1"/>
      <c r="L1107" s="1"/>
      <c r="M1107" s="1" t="str">
        <f>VLOOKUP(B1107,Bounties!A:D,3,FALSE)</f>
        <v>Operations</v>
      </c>
      <c r="N1107" s="1" t="str">
        <f>VLOOKUP(B1107,Bounties!A:D,4,FALSE)</f>
        <v>RPCs and Nodes</v>
      </c>
      <c r="O1107" s="1" t="str">
        <f t="shared" ref="O1107:P1107" si="1111">IF(ISBLANK(K1107),M1107,K1107)</f>
        <v>Operations</v>
      </c>
      <c r="P1107" s="1" t="str">
        <f t="shared" si="1111"/>
        <v>RPCs and Nodes</v>
      </c>
      <c r="Q1107" s="108" t="str">
        <f t="shared" si="3"/>
        <v>2024</v>
      </c>
      <c r="R1107" s="110">
        <f t="shared" si="4"/>
        <v>5</v>
      </c>
      <c r="S1107" s="108" t="str">
        <f t="shared" si="5"/>
        <v>2024-Q2</v>
      </c>
      <c r="T1107" s="111" t="str">
        <f t="shared" si="6"/>
        <v>2024-05</v>
      </c>
      <c r="U1107" s="112" t="str">
        <f t="shared" si="7"/>
        <v>2024-H1</v>
      </c>
      <c r="V1107" s="1" t="str">
        <f>VLOOKUP(B1107,Bounties!A:E,2,FALSE)</f>
        <v>System Parachains Collator Bounty</v>
      </c>
    </row>
    <row r="1108" hidden="1">
      <c r="A1108" s="109">
        <f>HYPERLINK("https://polkadot.subsquare.io/treasury/child-bounties/1106", 1106)</f>
        <v>1106</v>
      </c>
      <c r="B1108" s="183">
        <v>32.0</v>
      </c>
      <c r="C1108" s="27" t="s">
        <v>3404</v>
      </c>
      <c r="D1108" s="27" t="s">
        <v>1668</v>
      </c>
      <c r="E1108" s="129">
        <v>9.4776214399</v>
      </c>
      <c r="F1108" s="66">
        <v>65.99722730382209</v>
      </c>
      <c r="G1108" s="27" t="s">
        <v>3406</v>
      </c>
      <c r="H1108" s="167">
        <v>45424.0</v>
      </c>
      <c r="I1108" s="167">
        <v>45432.0</v>
      </c>
      <c r="J1108" s="66">
        <v>68.24621187365523</v>
      </c>
      <c r="K1108" s="1"/>
      <c r="L1108" s="1"/>
      <c r="M1108" s="1" t="str">
        <f>VLOOKUP(B1108,Bounties!A:D,3,FALSE)</f>
        <v>Operations</v>
      </c>
      <c r="N1108" s="1" t="str">
        <f>VLOOKUP(B1108,Bounties!A:D,4,FALSE)</f>
        <v>RPCs and Nodes</v>
      </c>
      <c r="O1108" s="1" t="str">
        <f t="shared" ref="O1108:P1108" si="1112">IF(ISBLANK(K1108),M1108,K1108)</f>
        <v>Operations</v>
      </c>
      <c r="P1108" s="1" t="str">
        <f t="shared" si="1112"/>
        <v>RPCs and Nodes</v>
      </c>
      <c r="Q1108" s="108" t="str">
        <f t="shared" si="3"/>
        <v>2024</v>
      </c>
      <c r="R1108" s="110">
        <f t="shared" si="4"/>
        <v>5</v>
      </c>
      <c r="S1108" s="108" t="str">
        <f t="shared" si="5"/>
        <v>2024-Q2</v>
      </c>
      <c r="T1108" s="111" t="str">
        <f t="shared" si="6"/>
        <v>2024-05</v>
      </c>
      <c r="U1108" s="112" t="str">
        <f t="shared" si="7"/>
        <v>2024-H1</v>
      </c>
      <c r="V1108" s="1" t="str">
        <f>VLOOKUP(B1108,Bounties!A:E,2,FALSE)</f>
        <v>System Parachains Collator Bounty</v>
      </c>
    </row>
    <row r="1109" hidden="1">
      <c r="A1109" s="109">
        <f>HYPERLINK("https://polkadot.subsquare.io/treasury/child-bounties/1107", 1107)</f>
        <v>1107</v>
      </c>
      <c r="B1109" s="183">
        <v>32.0</v>
      </c>
      <c r="C1109" s="27" t="s">
        <v>3404</v>
      </c>
      <c r="D1109" s="27" t="s">
        <v>1669</v>
      </c>
      <c r="E1109" s="129">
        <v>9.4776214399</v>
      </c>
      <c r="F1109" s="66">
        <v>65.99722730382209</v>
      </c>
      <c r="G1109" s="27" t="s">
        <v>3411</v>
      </c>
      <c r="H1109" s="167">
        <v>45424.0</v>
      </c>
      <c r="I1109" s="167">
        <v>45432.0</v>
      </c>
      <c r="J1109" s="66">
        <v>68.24621187365523</v>
      </c>
      <c r="K1109" s="1"/>
      <c r="L1109" s="1"/>
      <c r="M1109" s="1" t="str">
        <f>VLOOKUP(B1109,Bounties!A:D,3,FALSE)</f>
        <v>Operations</v>
      </c>
      <c r="N1109" s="1" t="str">
        <f>VLOOKUP(B1109,Bounties!A:D,4,FALSE)</f>
        <v>RPCs and Nodes</v>
      </c>
      <c r="O1109" s="1" t="str">
        <f t="shared" ref="O1109:P1109" si="1113">IF(ISBLANK(K1109),M1109,K1109)</f>
        <v>Operations</v>
      </c>
      <c r="P1109" s="1" t="str">
        <f t="shared" si="1113"/>
        <v>RPCs and Nodes</v>
      </c>
      <c r="Q1109" s="108" t="str">
        <f t="shared" si="3"/>
        <v>2024</v>
      </c>
      <c r="R1109" s="110">
        <f t="shared" si="4"/>
        <v>5</v>
      </c>
      <c r="S1109" s="108" t="str">
        <f t="shared" si="5"/>
        <v>2024-Q2</v>
      </c>
      <c r="T1109" s="111" t="str">
        <f t="shared" si="6"/>
        <v>2024-05</v>
      </c>
      <c r="U1109" s="112" t="str">
        <f t="shared" si="7"/>
        <v>2024-H1</v>
      </c>
      <c r="V1109" s="1" t="str">
        <f>VLOOKUP(B1109,Bounties!A:E,2,FALSE)</f>
        <v>System Parachains Collator Bounty</v>
      </c>
    </row>
    <row r="1110" hidden="1">
      <c r="A1110" s="109">
        <f>HYPERLINK("https://polkadot.subsquare.io/treasury/child-bounties/1108", 1108)</f>
        <v>1108</v>
      </c>
      <c r="B1110" s="183">
        <v>32.0</v>
      </c>
      <c r="C1110" s="27" t="s">
        <v>3404</v>
      </c>
      <c r="D1110" s="27" t="s">
        <v>1653</v>
      </c>
      <c r="E1110" s="129">
        <v>6.3847900114</v>
      </c>
      <c r="F1110" s="66">
        <v>44.46035752130491</v>
      </c>
      <c r="G1110" s="27" t="s">
        <v>3587</v>
      </c>
      <c r="H1110" s="167">
        <v>45424.0</v>
      </c>
      <c r="I1110" s="167">
        <v>45432.0</v>
      </c>
      <c r="J1110" s="66">
        <v>45.975431140600556</v>
      </c>
      <c r="K1110" s="1"/>
      <c r="L1110" s="1"/>
      <c r="M1110" s="1" t="str">
        <f>VLOOKUP(B1110,Bounties!A:D,3,FALSE)</f>
        <v>Operations</v>
      </c>
      <c r="N1110" s="1" t="str">
        <f>VLOOKUP(B1110,Bounties!A:D,4,FALSE)</f>
        <v>RPCs and Nodes</v>
      </c>
      <c r="O1110" s="1" t="str">
        <f t="shared" ref="O1110:P1110" si="1114">IF(ISBLANK(K1110),M1110,K1110)</f>
        <v>Operations</v>
      </c>
      <c r="P1110" s="1" t="str">
        <f t="shared" si="1114"/>
        <v>RPCs and Nodes</v>
      </c>
      <c r="Q1110" s="108" t="str">
        <f t="shared" si="3"/>
        <v>2024</v>
      </c>
      <c r="R1110" s="110">
        <f t="shared" si="4"/>
        <v>5</v>
      </c>
      <c r="S1110" s="108" t="str">
        <f t="shared" si="5"/>
        <v>2024-Q2</v>
      </c>
      <c r="T1110" s="111" t="str">
        <f t="shared" si="6"/>
        <v>2024-05</v>
      </c>
      <c r="U1110" s="112" t="str">
        <f t="shared" si="7"/>
        <v>2024-H1</v>
      </c>
      <c r="V1110" s="1" t="str">
        <f>VLOOKUP(B1110,Bounties!A:E,2,FALSE)</f>
        <v>System Parachains Collator Bounty</v>
      </c>
    </row>
    <row r="1111" hidden="1">
      <c r="A1111" s="109">
        <f>HYPERLINK("https://polkadot.subsquare.io/treasury/child-bounties/1109", 1109)</f>
        <v>1109</v>
      </c>
      <c r="B1111" s="183">
        <v>32.0</v>
      </c>
      <c r="C1111" s="27" t="s">
        <v>3404</v>
      </c>
      <c r="D1111" s="27" t="s">
        <v>1670</v>
      </c>
      <c r="E1111" s="129">
        <v>38.7764365289</v>
      </c>
      <c r="F1111" s="66">
        <v>270.0189400745938</v>
      </c>
      <c r="G1111" s="27" t="s">
        <v>3595</v>
      </c>
      <c r="H1111" s="167">
        <v>45424.0</v>
      </c>
      <c r="I1111" s="167">
        <v>45432.0</v>
      </c>
      <c r="J1111" s="66">
        <v>279.2203634464404</v>
      </c>
      <c r="K1111" s="1"/>
      <c r="L1111" s="1"/>
      <c r="M1111" s="1" t="str">
        <f>VLOOKUP(B1111,Bounties!A:D,3,FALSE)</f>
        <v>Operations</v>
      </c>
      <c r="N1111" s="1" t="str">
        <f>VLOOKUP(B1111,Bounties!A:D,4,FALSE)</f>
        <v>RPCs and Nodes</v>
      </c>
      <c r="O1111" s="1" t="str">
        <f t="shared" ref="O1111:P1111" si="1115">IF(ISBLANK(K1111),M1111,K1111)</f>
        <v>Operations</v>
      </c>
      <c r="P1111" s="1" t="str">
        <f t="shared" si="1115"/>
        <v>RPCs and Nodes</v>
      </c>
      <c r="Q1111" s="108" t="str">
        <f t="shared" si="3"/>
        <v>2024</v>
      </c>
      <c r="R1111" s="110">
        <f t="shared" si="4"/>
        <v>5</v>
      </c>
      <c r="S1111" s="108" t="str">
        <f t="shared" si="5"/>
        <v>2024-Q2</v>
      </c>
      <c r="T1111" s="111" t="str">
        <f t="shared" si="6"/>
        <v>2024-05</v>
      </c>
      <c r="U1111" s="112" t="str">
        <f t="shared" si="7"/>
        <v>2024-H1</v>
      </c>
      <c r="V1111" s="1" t="str">
        <f>VLOOKUP(B1111,Bounties!A:E,2,FALSE)</f>
        <v>System Parachains Collator Bounty</v>
      </c>
    </row>
    <row r="1112" hidden="1">
      <c r="A1112" s="109">
        <f>HYPERLINK("https://polkadot.subsquare.io/treasury/child-bounties/1110", 1110)</f>
        <v>1110</v>
      </c>
      <c r="B1112" s="183">
        <v>32.0</v>
      </c>
      <c r="C1112" s="27" t="s">
        <v>3404</v>
      </c>
      <c r="D1112" s="27" t="s">
        <v>1671</v>
      </c>
      <c r="E1112" s="129">
        <v>38.1952109621</v>
      </c>
      <c r="F1112" s="66">
        <v>265.97158746717656</v>
      </c>
      <c r="G1112" s="27" t="s">
        <v>3596</v>
      </c>
      <c r="H1112" s="167">
        <v>45424.0</v>
      </c>
      <c r="I1112" s="167">
        <v>45432.0</v>
      </c>
      <c r="J1112" s="66">
        <v>275.03508938482554</v>
      </c>
      <c r="K1112" s="1"/>
      <c r="L1112" s="1"/>
      <c r="M1112" s="1" t="str">
        <f>VLOOKUP(B1112,Bounties!A:D,3,FALSE)</f>
        <v>Operations</v>
      </c>
      <c r="N1112" s="1" t="str">
        <f>VLOOKUP(B1112,Bounties!A:D,4,FALSE)</f>
        <v>RPCs and Nodes</v>
      </c>
      <c r="O1112" s="1" t="str">
        <f t="shared" ref="O1112:P1112" si="1116">IF(ISBLANK(K1112),M1112,K1112)</f>
        <v>Operations</v>
      </c>
      <c r="P1112" s="1" t="str">
        <f t="shared" si="1116"/>
        <v>RPCs and Nodes</v>
      </c>
      <c r="Q1112" s="108" t="str">
        <f t="shared" si="3"/>
        <v>2024</v>
      </c>
      <c r="R1112" s="110">
        <f t="shared" si="4"/>
        <v>5</v>
      </c>
      <c r="S1112" s="108" t="str">
        <f t="shared" si="5"/>
        <v>2024-Q2</v>
      </c>
      <c r="T1112" s="111" t="str">
        <f t="shared" si="6"/>
        <v>2024-05</v>
      </c>
      <c r="U1112" s="112" t="str">
        <f t="shared" si="7"/>
        <v>2024-H1</v>
      </c>
      <c r="V1112" s="1" t="str">
        <f>VLOOKUP(B1112,Bounties!A:E,2,FALSE)</f>
        <v>System Parachains Collator Bounty</v>
      </c>
    </row>
    <row r="1113" hidden="1">
      <c r="A1113" s="109">
        <f>HYPERLINK("https://polkadot.subsquare.io/treasury/child-bounties/1111", 1111)</f>
        <v>1111</v>
      </c>
      <c r="B1113" s="183">
        <v>32.0</v>
      </c>
      <c r="C1113" s="27" t="s">
        <v>3404</v>
      </c>
      <c r="D1113" s="27" t="s">
        <v>1672</v>
      </c>
      <c r="E1113" s="129">
        <v>38.3310113281</v>
      </c>
      <c r="F1113" s="66">
        <v>266.91723059923004</v>
      </c>
      <c r="G1113" s="27" t="s">
        <v>3597</v>
      </c>
      <c r="H1113" s="167">
        <v>45424.0</v>
      </c>
      <c r="I1113" s="167">
        <v>45432.0</v>
      </c>
      <c r="J1113" s="66">
        <v>276.01295715569245</v>
      </c>
      <c r="K1113" s="1"/>
      <c r="L1113" s="1"/>
      <c r="M1113" s="1" t="str">
        <f>VLOOKUP(B1113,Bounties!A:D,3,FALSE)</f>
        <v>Operations</v>
      </c>
      <c r="N1113" s="1" t="str">
        <f>VLOOKUP(B1113,Bounties!A:D,4,FALSE)</f>
        <v>RPCs and Nodes</v>
      </c>
      <c r="O1113" s="1" t="str">
        <f t="shared" ref="O1113:P1113" si="1117">IF(ISBLANK(K1113),M1113,K1113)</f>
        <v>Operations</v>
      </c>
      <c r="P1113" s="1" t="str">
        <f t="shared" si="1117"/>
        <v>RPCs and Nodes</v>
      </c>
      <c r="Q1113" s="108" t="str">
        <f t="shared" si="3"/>
        <v>2024</v>
      </c>
      <c r="R1113" s="110">
        <f t="shared" si="4"/>
        <v>5</v>
      </c>
      <c r="S1113" s="108" t="str">
        <f t="shared" si="5"/>
        <v>2024-Q2</v>
      </c>
      <c r="T1113" s="111" t="str">
        <f t="shared" si="6"/>
        <v>2024-05</v>
      </c>
      <c r="U1113" s="112" t="str">
        <f t="shared" si="7"/>
        <v>2024-H1</v>
      </c>
      <c r="V1113" s="1" t="str">
        <f>VLOOKUP(B1113,Bounties!A:E,2,FALSE)</f>
        <v>System Parachains Collator Bounty</v>
      </c>
    </row>
    <row r="1114" hidden="1">
      <c r="A1114" s="109">
        <f>HYPERLINK("https://polkadot.subsquare.io/treasury/child-bounties/1112", 1112)</f>
        <v>1112</v>
      </c>
      <c r="B1114" s="183">
        <v>32.0</v>
      </c>
      <c r="C1114" s="27" t="s">
        <v>3404</v>
      </c>
      <c r="D1114" s="27" t="s">
        <v>1673</v>
      </c>
      <c r="E1114" s="129">
        <v>38.447799643</v>
      </c>
      <c r="F1114" s="66">
        <v>267.73048369377096</v>
      </c>
      <c r="G1114" s="27" t="s">
        <v>3599</v>
      </c>
      <c r="H1114" s="167">
        <v>45424.0</v>
      </c>
      <c r="I1114" s="167">
        <v>45432.0</v>
      </c>
      <c r="J1114" s="66">
        <v>276.8539234396462</v>
      </c>
      <c r="K1114" s="1"/>
      <c r="L1114" s="1"/>
      <c r="M1114" s="1" t="str">
        <f>VLOOKUP(B1114,Bounties!A:D,3,FALSE)</f>
        <v>Operations</v>
      </c>
      <c r="N1114" s="1" t="str">
        <f>VLOOKUP(B1114,Bounties!A:D,4,FALSE)</f>
        <v>RPCs and Nodes</v>
      </c>
      <c r="O1114" s="1" t="str">
        <f t="shared" ref="O1114:P1114" si="1118">IF(ISBLANK(K1114),M1114,K1114)</f>
        <v>Operations</v>
      </c>
      <c r="P1114" s="1" t="str">
        <f t="shared" si="1118"/>
        <v>RPCs and Nodes</v>
      </c>
      <c r="Q1114" s="108" t="str">
        <f t="shared" si="3"/>
        <v>2024</v>
      </c>
      <c r="R1114" s="110">
        <f t="shared" si="4"/>
        <v>5</v>
      </c>
      <c r="S1114" s="108" t="str">
        <f t="shared" si="5"/>
        <v>2024-Q2</v>
      </c>
      <c r="T1114" s="111" t="str">
        <f t="shared" si="6"/>
        <v>2024-05</v>
      </c>
      <c r="U1114" s="112" t="str">
        <f t="shared" si="7"/>
        <v>2024-H1</v>
      </c>
      <c r="V1114" s="1" t="str">
        <f>VLOOKUP(B1114,Bounties!A:E,2,FALSE)</f>
        <v>System Parachains Collator Bounty</v>
      </c>
    </row>
    <row r="1115" hidden="1">
      <c r="A1115" s="109">
        <f>HYPERLINK("https://polkadot.subsquare.io/treasury/child-bounties/1113", 1113)</f>
        <v>1113</v>
      </c>
      <c r="B1115" s="183">
        <v>32.0</v>
      </c>
      <c r="C1115" s="27" t="s">
        <v>3404</v>
      </c>
      <c r="D1115" s="27" t="s">
        <v>1674</v>
      </c>
      <c r="E1115" s="129">
        <v>52.9311709432</v>
      </c>
      <c r="F1115" s="66">
        <v>368.585150013408</v>
      </c>
      <c r="G1115" s="27" t="s">
        <v>3587</v>
      </c>
      <c r="H1115" s="167">
        <v>45424.0</v>
      </c>
      <c r="I1115" s="167">
        <v>45432.0</v>
      </c>
      <c r="J1115" s="66">
        <v>381.1454097230122</v>
      </c>
      <c r="K1115" s="1"/>
      <c r="L1115" s="1"/>
      <c r="M1115" s="1" t="str">
        <f>VLOOKUP(B1115,Bounties!A:D,3,FALSE)</f>
        <v>Operations</v>
      </c>
      <c r="N1115" s="1" t="str">
        <f>VLOOKUP(B1115,Bounties!A:D,4,FALSE)</f>
        <v>RPCs and Nodes</v>
      </c>
      <c r="O1115" s="1" t="str">
        <f t="shared" ref="O1115:P1115" si="1119">IF(ISBLANK(K1115),M1115,K1115)</f>
        <v>Operations</v>
      </c>
      <c r="P1115" s="1" t="str">
        <f t="shared" si="1119"/>
        <v>RPCs and Nodes</v>
      </c>
      <c r="Q1115" s="108" t="str">
        <f t="shared" si="3"/>
        <v>2024</v>
      </c>
      <c r="R1115" s="110">
        <f t="shared" si="4"/>
        <v>5</v>
      </c>
      <c r="S1115" s="108" t="str">
        <f t="shared" si="5"/>
        <v>2024-Q2</v>
      </c>
      <c r="T1115" s="111" t="str">
        <f t="shared" si="6"/>
        <v>2024-05</v>
      </c>
      <c r="U1115" s="112" t="str">
        <f t="shared" si="7"/>
        <v>2024-H1</v>
      </c>
      <c r="V1115" s="1" t="str">
        <f>VLOOKUP(B1115,Bounties!A:E,2,FALSE)</f>
        <v>System Parachains Collator Bounty</v>
      </c>
    </row>
    <row r="1116" hidden="1">
      <c r="A1116" s="109">
        <f>HYPERLINK("https://polkadot.subsquare.io/treasury/child-bounties/1114", 1114)</f>
        <v>1114</v>
      </c>
      <c r="B1116" s="183">
        <v>32.0</v>
      </c>
      <c r="C1116" s="27" t="s">
        <v>3404</v>
      </c>
      <c r="D1116" s="27" t="s">
        <v>1675</v>
      </c>
      <c r="E1116" s="129">
        <v>31.2009930491</v>
      </c>
      <c r="F1116" s="66">
        <v>217.26749094424184</v>
      </c>
      <c r="G1116" s="27" t="s">
        <v>3588</v>
      </c>
      <c r="H1116" s="167">
        <v>45424.0</v>
      </c>
      <c r="I1116" s="167">
        <v>45432.0</v>
      </c>
      <c r="J1116" s="66">
        <v>224.6713055380053</v>
      </c>
      <c r="K1116" s="1"/>
      <c r="L1116" s="1"/>
      <c r="M1116" s="1" t="str">
        <f>VLOOKUP(B1116,Bounties!A:D,3,FALSE)</f>
        <v>Operations</v>
      </c>
      <c r="N1116" s="1" t="str">
        <f>VLOOKUP(B1116,Bounties!A:D,4,FALSE)</f>
        <v>RPCs and Nodes</v>
      </c>
      <c r="O1116" s="1" t="str">
        <f t="shared" ref="O1116:P1116" si="1120">IF(ISBLANK(K1116),M1116,K1116)</f>
        <v>Operations</v>
      </c>
      <c r="P1116" s="1" t="str">
        <f t="shared" si="1120"/>
        <v>RPCs and Nodes</v>
      </c>
      <c r="Q1116" s="108" t="str">
        <f t="shared" si="3"/>
        <v>2024</v>
      </c>
      <c r="R1116" s="110">
        <f t="shared" si="4"/>
        <v>5</v>
      </c>
      <c r="S1116" s="108" t="str">
        <f t="shared" si="5"/>
        <v>2024-Q2</v>
      </c>
      <c r="T1116" s="111" t="str">
        <f t="shared" si="6"/>
        <v>2024-05</v>
      </c>
      <c r="U1116" s="112" t="str">
        <f t="shared" si="7"/>
        <v>2024-H1</v>
      </c>
      <c r="V1116" s="1" t="str">
        <f>VLOOKUP(B1116,Bounties!A:E,2,FALSE)</f>
        <v>System Parachains Collator Bounty</v>
      </c>
    </row>
    <row r="1117" hidden="1">
      <c r="A1117" s="109">
        <f>HYPERLINK("https://polkadot.subsquare.io/treasury/child-bounties/1115", 1115)</f>
        <v>1115</v>
      </c>
      <c r="B1117" s="183">
        <v>32.0</v>
      </c>
      <c r="C1117" s="27" t="s">
        <v>3404</v>
      </c>
      <c r="D1117" s="27" t="s">
        <v>1676</v>
      </c>
      <c r="E1117" s="129">
        <v>51.7711058721</v>
      </c>
      <c r="F1117" s="66">
        <v>360.5070600970609</v>
      </c>
      <c r="G1117" s="27" t="s">
        <v>3589</v>
      </c>
      <c r="H1117" s="167">
        <v>45424.0</v>
      </c>
      <c r="I1117" s="167">
        <v>45432.0</v>
      </c>
      <c r="J1117" s="66">
        <v>372.792043097055</v>
      </c>
      <c r="K1117" s="1"/>
      <c r="L1117" s="1"/>
      <c r="M1117" s="1" t="str">
        <f>VLOOKUP(B1117,Bounties!A:D,3,FALSE)</f>
        <v>Operations</v>
      </c>
      <c r="N1117" s="1" t="str">
        <f>VLOOKUP(B1117,Bounties!A:D,4,FALSE)</f>
        <v>RPCs and Nodes</v>
      </c>
      <c r="O1117" s="1" t="str">
        <f t="shared" ref="O1117:P1117" si="1121">IF(ISBLANK(K1117),M1117,K1117)</f>
        <v>Operations</v>
      </c>
      <c r="P1117" s="1" t="str">
        <f t="shared" si="1121"/>
        <v>RPCs and Nodes</v>
      </c>
      <c r="Q1117" s="108" t="str">
        <f t="shared" si="3"/>
        <v>2024</v>
      </c>
      <c r="R1117" s="110">
        <f t="shared" si="4"/>
        <v>5</v>
      </c>
      <c r="S1117" s="108" t="str">
        <f t="shared" si="5"/>
        <v>2024-Q2</v>
      </c>
      <c r="T1117" s="111" t="str">
        <f t="shared" si="6"/>
        <v>2024-05</v>
      </c>
      <c r="U1117" s="112" t="str">
        <f t="shared" si="7"/>
        <v>2024-H1</v>
      </c>
      <c r="V1117" s="1" t="str">
        <f>VLOOKUP(B1117,Bounties!A:E,2,FALSE)</f>
        <v>System Parachains Collator Bounty</v>
      </c>
    </row>
    <row r="1118" hidden="1">
      <c r="A1118" s="109">
        <f>HYPERLINK("https://polkadot.subsquare.io/treasury/child-bounties/1116", 1116)</f>
        <v>1116</v>
      </c>
      <c r="B1118" s="183">
        <v>32.0</v>
      </c>
      <c r="C1118" s="27" t="s">
        <v>3404</v>
      </c>
      <c r="D1118" s="27" t="s">
        <v>1677</v>
      </c>
      <c r="E1118" s="129">
        <v>54.8780309364</v>
      </c>
      <c r="F1118" s="66">
        <v>382.14207063053846</v>
      </c>
      <c r="G1118" s="27" t="s">
        <v>3590</v>
      </c>
      <c r="H1118" s="167">
        <v>45424.0</v>
      </c>
      <c r="I1118" s="167">
        <v>45432.0</v>
      </c>
      <c r="J1118" s="66">
        <v>395.16430891906117</v>
      </c>
      <c r="K1118" s="1"/>
      <c r="L1118" s="1"/>
      <c r="M1118" s="1" t="str">
        <f>VLOOKUP(B1118,Bounties!A:D,3,FALSE)</f>
        <v>Operations</v>
      </c>
      <c r="N1118" s="1" t="str">
        <f>VLOOKUP(B1118,Bounties!A:D,4,FALSE)</f>
        <v>RPCs and Nodes</v>
      </c>
      <c r="O1118" s="1" t="str">
        <f t="shared" ref="O1118:P1118" si="1122">IF(ISBLANK(K1118),M1118,K1118)</f>
        <v>Operations</v>
      </c>
      <c r="P1118" s="1" t="str">
        <f t="shared" si="1122"/>
        <v>RPCs and Nodes</v>
      </c>
      <c r="Q1118" s="108" t="str">
        <f t="shared" si="3"/>
        <v>2024</v>
      </c>
      <c r="R1118" s="110">
        <f t="shared" si="4"/>
        <v>5</v>
      </c>
      <c r="S1118" s="108" t="str">
        <f t="shared" si="5"/>
        <v>2024-Q2</v>
      </c>
      <c r="T1118" s="111" t="str">
        <f t="shared" si="6"/>
        <v>2024-05</v>
      </c>
      <c r="U1118" s="112" t="str">
        <f t="shared" si="7"/>
        <v>2024-H1</v>
      </c>
      <c r="V1118" s="1" t="str">
        <f>VLOOKUP(B1118,Bounties!A:E,2,FALSE)</f>
        <v>System Parachains Collator Bounty</v>
      </c>
    </row>
    <row r="1119" hidden="1">
      <c r="A1119" s="109">
        <f>HYPERLINK("https://polkadot.subsquare.io/treasury/child-bounties/1117", 1117)</f>
        <v>1117</v>
      </c>
      <c r="B1119" s="183">
        <v>32.0</v>
      </c>
      <c r="C1119" s="27" t="s">
        <v>3404</v>
      </c>
      <c r="D1119" s="27" t="s">
        <v>1678</v>
      </c>
      <c r="E1119" s="129">
        <v>57.3518605518</v>
      </c>
      <c r="F1119" s="66">
        <v>399.3685336702147</v>
      </c>
      <c r="G1119" s="27" t="s">
        <v>3591</v>
      </c>
      <c r="H1119" s="167">
        <v>45424.0</v>
      </c>
      <c r="I1119" s="167">
        <v>45432.0</v>
      </c>
      <c r="J1119" s="66">
        <v>412.9777973710427</v>
      </c>
      <c r="K1119" s="1"/>
      <c r="L1119" s="1"/>
      <c r="M1119" s="1" t="str">
        <f>VLOOKUP(B1119,Bounties!A:D,3,FALSE)</f>
        <v>Operations</v>
      </c>
      <c r="N1119" s="1" t="str">
        <f>VLOOKUP(B1119,Bounties!A:D,4,FALSE)</f>
        <v>RPCs and Nodes</v>
      </c>
      <c r="O1119" s="1" t="str">
        <f t="shared" ref="O1119:P1119" si="1123">IF(ISBLANK(K1119),M1119,K1119)</f>
        <v>Operations</v>
      </c>
      <c r="P1119" s="1" t="str">
        <f t="shared" si="1123"/>
        <v>RPCs and Nodes</v>
      </c>
      <c r="Q1119" s="108" t="str">
        <f t="shared" si="3"/>
        <v>2024</v>
      </c>
      <c r="R1119" s="110">
        <f t="shared" si="4"/>
        <v>5</v>
      </c>
      <c r="S1119" s="108" t="str">
        <f t="shared" si="5"/>
        <v>2024-Q2</v>
      </c>
      <c r="T1119" s="111" t="str">
        <f t="shared" si="6"/>
        <v>2024-05</v>
      </c>
      <c r="U1119" s="112" t="str">
        <f t="shared" si="7"/>
        <v>2024-H1</v>
      </c>
      <c r="V1119" s="1" t="str">
        <f>VLOOKUP(B1119,Bounties!A:E,2,FALSE)</f>
        <v>System Parachains Collator Bounty</v>
      </c>
    </row>
    <row r="1120" hidden="1">
      <c r="A1120" s="109">
        <f>HYPERLINK("https://polkadot.subsquare.io/treasury/child-bounties/1118", 1118)</f>
        <v>1118</v>
      </c>
      <c r="B1120" s="183">
        <v>32.0</v>
      </c>
      <c r="C1120" s="27" t="s">
        <v>3404</v>
      </c>
      <c r="D1120" s="27" t="s">
        <v>1679</v>
      </c>
      <c r="E1120" s="129">
        <v>52.6713456434</v>
      </c>
      <c r="F1120" s="66">
        <v>366.7758617358668</v>
      </c>
      <c r="G1120" s="27" t="s">
        <v>3592</v>
      </c>
      <c r="H1120" s="167">
        <v>45424.0</v>
      </c>
      <c r="I1120" s="167">
        <v>45432.0</v>
      </c>
      <c r="J1120" s="66">
        <v>379.2744664095732</v>
      </c>
      <c r="K1120" s="1"/>
      <c r="L1120" s="1"/>
      <c r="M1120" s="1" t="str">
        <f>VLOOKUP(B1120,Bounties!A:D,3,FALSE)</f>
        <v>Operations</v>
      </c>
      <c r="N1120" s="1" t="str">
        <f>VLOOKUP(B1120,Bounties!A:D,4,FALSE)</f>
        <v>RPCs and Nodes</v>
      </c>
      <c r="O1120" s="1" t="str">
        <f t="shared" ref="O1120:P1120" si="1124">IF(ISBLANK(K1120),M1120,K1120)</f>
        <v>Operations</v>
      </c>
      <c r="P1120" s="1" t="str">
        <f t="shared" si="1124"/>
        <v>RPCs and Nodes</v>
      </c>
      <c r="Q1120" s="108" t="str">
        <f t="shared" si="3"/>
        <v>2024</v>
      </c>
      <c r="R1120" s="110">
        <f t="shared" si="4"/>
        <v>5</v>
      </c>
      <c r="S1120" s="108" t="str">
        <f t="shared" si="5"/>
        <v>2024-Q2</v>
      </c>
      <c r="T1120" s="111" t="str">
        <f t="shared" si="6"/>
        <v>2024-05</v>
      </c>
      <c r="U1120" s="112" t="str">
        <f t="shared" si="7"/>
        <v>2024-H1</v>
      </c>
      <c r="V1120" s="1" t="str">
        <f>VLOOKUP(B1120,Bounties!A:E,2,FALSE)</f>
        <v>System Parachains Collator Bounty</v>
      </c>
    </row>
    <row r="1121" hidden="1">
      <c r="A1121" s="109">
        <f>HYPERLINK("https://polkadot.subsquare.io/treasury/child-bounties/1119", 1119)</f>
        <v>1119</v>
      </c>
      <c r="B1121" s="183">
        <v>32.0</v>
      </c>
      <c r="C1121" s="27" t="s">
        <v>3404</v>
      </c>
      <c r="D1121" s="27" t="s">
        <v>1680</v>
      </c>
      <c r="E1121" s="129">
        <v>15.1833122403</v>
      </c>
      <c r="F1121" s="66">
        <v>105.72869105421412</v>
      </c>
      <c r="G1121" s="27" t="s">
        <v>3593</v>
      </c>
      <c r="H1121" s="167">
        <v>45424.0</v>
      </c>
      <c r="I1121" s="167">
        <v>45432.0</v>
      </c>
      <c r="J1121" s="66">
        <v>109.33160294132931</v>
      </c>
      <c r="K1121" s="1"/>
      <c r="L1121" s="1"/>
      <c r="M1121" s="1" t="str">
        <f>VLOOKUP(B1121,Bounties!A:D,3,FALSE)</f>
        <v>Operations</v>
      </c>
      <c r="N1121" s="1" t="str">
        <f>VLOOKUP(B1121,Bounties!A:D,4,FALSE)</f>
        <v>RPCs and Nodes</v>
      </c>
      <c r="O1121" s="1" t="str">
        <f t="shared" ref="O1121:P1121" si="1125">IF(ISBLANK(K1121),M1121,K1121)</f>
        <v>Operations</v>
      </c>
      <c r="P1121" s="1" t="str">
        <f t="shared" si="1125"/>
        <v>RPCs and Nodes</v>
      </c>
      <c r="Q1121" s="108" t="str">
        <f t="shared" si="3"/>
        <v>2024</v>
      </c>
      <c r="R1121" s="110">
        <f t="shared" si="4"/>
        <v>5</v>
      </c>
      <c r="S1121" s="108" t="str">
        <f t="shared" si="5"/>
        <v>2024-Q2</v>
      </c>
      <c r="T1121" s="111" t="str">
        <f t="shared" si="6"/>
        <v>2024-05</v>
      </c>
      <c r="U1121" s="112" t="str">
        <f t="shared" si="7"/>
        <v>2024-H1</v>
      </c>
      <c r="V1121" s="1" t="str">
        <f>VLOOKUP(B1121,Bounties!A:E,2,FALSE)</f>
        <v>System Parachains Collator Bounty</v>
      </c>
    </row>
    <row r="1122" hidden="1">
      <c r="A1122" s="109">
        <f>HYPERLINK("https://polkadot.subsquare.io/treasury/child-bounties/1120", 1120)</f>
        <v>1120</v>
      </c>
      <c r="B1122" s="183">
        <v>32.0</v>
      </c>
      <c r="C1122" s="27" t="s">
        <v>3404</v>
      </c>
      <c r="D1122" s="27" t="s">
        <v>1681</v>
      </c>
      <c r="E1122" s="129">
        <v>39.0045811439</v>
      </c>
      <c r="F1122" s="66">
        <v>271.6076205372792</v>
      </c>
      <c r="G1122" s="27" t="s">
        <v>3594</v>
      </c>
      <c r="H1122" s="167">
        <v>45424.0</v>
      </c>
      <c r="I1122" s="167">
        <v>45432.0</v>
      </c>
      <c r="J1122" s="66">
        <v>280.86318130236094</v>
      </c>
      <c r="K1122" s="1"/>
      <c r="L1122" s="1"/>
      <c r="M1122" s="1" t="str">
        <f>VLOOKUP(B1122,Bounties!A:D,3,FALSE)</f>
        <v>Operations</v>
      </c>
      <c r="N1122" s="1" t="str">
        <f>VLOOKUP(B1122,Bounties!A:D,4,FALSE)</f>
        <v>RPCs and Nodes</v>
      </c>
      <c r="O1122" s="1" t="str">
        <f t="shared" ref="O1122:P1122" si="1126">IF(ISBLANK(K1122),M1122,K1122)</f>
        <v>Operations</v>
      </c>
      <c r="P1122" s="1" t="str">
        <f t="shared" si="1126"/>
        <v>RPCs and Nodes</v>
      </c>
      <c r="Q1122" s="108" t="str">
        <f t="shared" si="3"/>
        <v>2024</v>
      </c>
      <c r="R1122" s="110">
        <f t="shared" si="4"/>
        <v>5</v>
      </c>
      <c r="S1122" s="108" t="str">
        <f t="shared" si="5"/>
        <v>2024-Q2</v>
      </c>
      <c r="T1122" s="111" t="str">
        <f t="shared" si="6"/>
        <v>2024-05</v>
      </c>
      <c r="U1122" s="112" t="str">
        <f t="shared" si="7"/>
        <v>2024-H1</v>
      </c>
      <c r="V1122" s="1" t="str">
        <f>VLOOKUP(B1122,Bounties!A:E,2,FALSE)</f>
        <v>System Parachains Collator Bounty</v>
      </c>
    </row>
    <row r="1123" hidden="1">
      <c r="A1123" s="109">
        <f>HYPERLINK("https://polkadot.subsquare.io/treasury/child-bounties/1121", 1121)</f>
        <v>1121</v>
      </c>
      <c r="B1123" s="183">
        <v>32.0</v>
      </c>
      <c r="C1123" s="27" t="s">
        <v>3404</v>
      </c>
      <c r="D1123" s="27" t="s">
        <v>1682</v>
      </c>
      <c r="E1123" s="129">
        <v>35.3801549142</v>
      </c>
      <c r="F1123" s="66">
        <v>246.3690009907731</v>
      </c>
      <c r="G1123" s="27" t="s">
        <v>3672</v>
      </c>
      <c r="H1123" s="167">
        <v>45424.0</v>
      </c>
      <c r="I1123" s="167">
        <v>45432.0</v>
      </c>
      <c r="J1123" s="66">
        <v>254.76450644379332</v>
      </c>
      <c r="K1123" s="1"/>
      <c r="L1123" s="1"/>
      <c r="M1123" s="1" t="str">
        <f>VLOOKUP(B1123,Bounties!A:D,3,FALSE)</f>
        <v>Operations</v>
      </c>
      <c r="N1123" s="1" t="str">
        <f>VLOOKUP(B1123,Bounties!A:D,4,FALSE)</f>
        <v>RPCs and Nodes</v>
      </c>
      <c r="O1123" s="1" t="str">
        <f t="shared" ref="O1123:P1123" si="1127">IF(ISBLANK(K1123),M1123,K1123)</f>
        <v>Operations</v>
      </c>
      <c r="P1123" s="1" t="str">
        <f t="shared" si="1127"/>
        <v>RPCs and Nodes</v>
      </c>
      <c r="Q1123" s="108" t="str">
        <f t="shared" si="3"/>
        <v>2024</v>
      </c>
      <c r="R1123" s="110">
        <f t="shared" si="4"/>
        <v>5</v>
      </c>
      <c r="S1123" s="108" t="str">
        <f t="shared" si="5"/>
        <v>2024-Q2</v>
      </c>
      <c r="T1123" s="111" t="str">
        <f t="shared" si="6"/>
        <v>2024-05</v>
      </c>
      <c r="U1123" s="112" t="str">
        <f t="shared" si="7"/>
        <v>2024-H1</v>
      </c>
      <c r="V1123" s="1" t="str">
        <f>VLOOKUP(B1123,Bounties!A:E,2,FALSE)</f>
        <v>System Parachains Collator Bounty</v>
      </c>
    </row>
    <row r="1124" hidden="1">
      <c r="A1124" s="109">
        <f>HYPERLINK("https://polkadot.subsquare.io/treasury/child-bounties/1122", 1122)</f>
        <v>1122</v>
      </c>
      <c r="B1124" s="183">
        <v>32.0</v>
      </c>
      <c r="C1124" s="27" t="s">
        <v>3404</v>
      </c>
      <c r="D1124" s="27" t="s">
        <v>1683</v>
      </c>
      <c r="E1124" s="129">
        <v>17.6022491867</v>
      </c>
      <c r="F1124" s="66">
        <v>122.57291009139679</v>
      </c>
      <c r="G1124" s="27" t="s">
        <v>3673</v>
      </c>
      <c r="H1124" s="167">
        <v>45424.0</v>
      </c>
      <c r="I1124" s="167">
        <v>45432.0</v>
      </c>
      <c r="J1124" s="66">
        <v>126.7498216790012</v>
      </c>
      <c r="K1124" s="1"/>
      <c r="L1124" s="1"/>
      <c r="M1124" s="1" t="str">
        <f>VLOOKUP(B1124,Bounties!A:D,3,FALSE)</f>
        <v>Operations</v>
      </c>
      <c r="N1124" s="1" t="str">
        <f>VLOOKUP(B1124,Bounties!A:D,4,FALSE)</f>
        <v>RPCs and Nodes</v>
      </c>
      <c r="O1124" s="1" t="str">
        <f t="shared" ref="O1124:P1124" si="1128">IF(ISBLANK(K1124),M1124,K1124)</f>
        <v>Operations</v>
      </c>
      <c r="P1124" s="1" t="str">
        <f t="shared" si="1128"/>
        <v>RPCs and Nodes</v>
      </c>
      <c r="Q1124" s="108" t="str">
        <f t="shared" si="3"/>
        <v>2024</v>
      </c>
      <c r="R1124" s="110">
        <f t="shared" si="4"/>
        <v>5</v>
      </c>
      <c r="S1124" s="108" t="str">
        <f t="shared" si="5"/>
        <v>2024-Q2</v>
      </c>
      <c r="T1124" s="111" t="str">
        <f t="shared" si="6"/>
        <v>2024-05</v>
      </c>
      <c r="U1124" s="112" t="str">
        <f t="shared" si="7"/>
        <v>2024-H1</v>
      </c>
      <c r="V1124" s="1" t="str">
        <f>VLOOKUP(B1124,Bounties!A:E,2,FALSE)</f>
        <v>System Parachains Collator Bounty</v>
      </c>
    </row>
    <row r="1125" hidden="1">
      <c r="A1125" s="109">
        <f>HYPERLINK("https://polkadot.subsquare.io/treasury/child-bounties/1123", 1123)</f>
        <v>1123</v>
      </c>
      <c r="B1125" s="183">
        <v>32.0</v>
      </c>
      <c r="C1125" s="27" t="s">
        <v>3404</v>
      </c>
      <c r="D1125" s="27" t="s">
        <v>1684</v>
      </c>
      <c r="E1125" s="129">
        <v>9.4685008826</v>
      </c>
      <c r="F1125" s="66">
        <v>65.93371648551366</v>
      </c>
      <c r="G1125" s="27" t="s">
        <v>3407</v>
      </c>
      <c r="H1125" s="167">
        <v>45424.0</v>
      </c>
      <c r="I1125" s="167">
        <v>45432.0</v>
      </c>
      <c r="J1125" s="66">
        <v>68.18053680002535</v>
      </c>
      <c r="K1125" s="1"/>
      <c r="L1125" s="1"/>
      <c r="M1125" s="1" t="str">
        <f>VLOOKUP(B1125,Bounties!A:D,3,FALSE)</f>
        <v>Operations</v>
      </c>
      <c r="N1125" s="1" t="str">
        <f>VLOOKUP(B1125,Bounties!A:D,4,FALSE)</f>
        <v>RPCs and Nodes</v>
      </c>
      <c r="O1125" s="1" t="str">
        <f t="shared" ref="O1125:P1125" si="1129">IF(ISBLANK(K1125),M1125,K1125)</f>
        <v>Operations</v>
      </c>
      <c r="P1125" s="1" t="str">
        <f t="shared" si="1129"/>
        <v>RPCs and Nodes</v>
      </c>
      <c r="Q1125" s="108" t="str">
        <f t="shared" si="3"/>
        <v>2024</v>
      </c>
      <c r="R1125" s="110">
        <f t="shared" si="4"/>
        <v>5</v>
      </c>
      <c r="S1125" s="108" t="str">
        <f t="shared" si="5"/>
        <v>2024-Q2</v>
      </c>
      <c r="T1125" s="111" t="str">
        <f t="shared" si="6"/>
        <v>2024-05</v>
      </c>
      <c r="U1125" s="112" t="str">
        <f t="shared" si="7"/>
        <v>2024-H1</v>
      </c>
      <c r="V1125" s="1" t="str">
        <f>VLOOKUP(B1125,Bounties!A:E,2,FALSE)</f>
        <v>System Parachains Collator Bounty</v>
      </c>
    </row>
    <row r="1126" hidden="1">
      <c r="A1126" s="109">
        <f>HYPERLINK("https://polkadot.subsquare.io/treasury/child-bounties/1124", 1124)</f>
        <v>1124</v>
      </c>
      <c r="B1126" s="183">
        <v>32.0</v>
      </c>
      <c r="C1126" s="27" t="s">
        <v>3404</v>
      </c>
      <c r="D1126" s="27" t="s">
        <v>1685</v>
      </c>
      <c r="E1126" s="129">
        <v>9.4685008826</v>
      </c>
      <c r="F1126" s="66">
        <v>65.93371648551366</v>
      </c>
      <c r="G1126" s="27" t="s">
        <v>3406</v>
      </c>
      <c r="H1126" s="167">
        <v>45424.0</v>
      </c>
      <c r="I1126" s="167">
        <v>45432.0</v>
      </c>
      <c r="J1126" s="66">
        <v>68.18053680002535</v>
      </c>
      <c r="K1126" s="1"/>
      <c r="L1126" s="1"/>
      <c r="M1126" s="1" t="str">
        <f>VLOOKUP(B1126,Bounties!A:D,3,FALSE)</f>
        <v>Operations</v>
      </c>
      <c r="N1126" s="1" t="str">
        <f>VLOOKUP(B1126,Bounties!A:D,4,FALSE)</f>
        <v>RPCs and Nodes</v>
      </c>
      <c r="O1126" s="1" t="str">
        <f t="shared" ref="O1126:P1126" si="1130">IF(ISBLANK(K1126),M1126,K1126)</f>
        <v>Operations</v>
      </c>
      <c r="P1126" s="1" t="str">
        <f t="shared" si="1130"/>
        <v>RPCs and Nodes</v>
      </c>
      <c r="Q1126" s="108" t="str">
        <f t="shared" si="3"/>
        <v>2024</v>
      </c>
      <c r="R1126" s="110">
        <f t="shared" si="4"/>
        <v>5</v>
      </c>
      <c r="S1126" s="108" t="str">
        <f t="shared" si="5"/>
        <v>2024-Q2</v>
      </c>
      <c r="T1126" s="111" t="str">
        <f t="shared" si="6"/>
        <v>2024-05</v>
      </c>
      <c r="U1126" s="112" t="str">
        <f t="shared" si="7"/>
        <v>2024-H1</v>
      </c>
      <c r="V1126" s="1" t="str">
        <f>VLOOKUP(B1126,Bounties!A:E,2,FALSE)</f>
        <v>System Parachains Collator Bounty</v>
      </c>
    </row>
    <row r="1127" hidden="1">
      <c r="A1127" s="109">
        <f>HYPERLINK("https://polkadot.subsquare.io/treasury/child-bounties/1125", 1125)</f>
        <v>1125</v>
      </c>
      <c r="B1127" s="183">
        <v>32.0</v>
      </c>
      <c r="C1127" s="27" t="s">
        <v>3404</v>
      </c>
      <c r="D1127" s="27" t="s">
        <v>1686</v>
      </c>
      <c r="E1127" s="129">
        <v>9.4685008826</v>
      </c>
      <c r="F1127" s="66">
        <v>65.93371648551366</v>
      </c>
      <c r="G1127" s="27" t="s">
        <v>3411</v>
      </c>
      <c r="H1127" s="167">
        <v>45424.0</v>
      </c>
      <c r="I1127" s="167">
        <v>45432.0</v>
      </c>
      <c r="J1127" s="66">
        <v>68.18053680002535</v>
      </c>
      <c r="K1127" s="1"/>
      <c r="L1127" s="1"/>
      <c r="M1127" s="1" t="str">
        <f>VLOOKUP(B1127,Bounties!A:D,3,FALSE)</f>
        <v>Operations</v>
      </c>
      <c r="N1127" s="1" t="str">
        <f>VLOOKUP(B1127,Bounties!A:D,4,FALSE)</f>
        <v>RPCs and Nodes</v>
      </c>
      <c r="O1127" s="1" t="str">
        <f t="shared" ref="O1127:P1127" si="1131">IF(ISBLANK(K1127),M1127,K1127)</f>
        <v>Operations</v>
      </c>
      <c r="P1127" s="1" t="str">
        <f t="shared" si="1131"/>
        <v>RPCs and Nodes</v>
      </c>
      <c r="Q1127" s="108" t="str">
        <f t="shared" si="3"/>
        <v>2024</v>
      </c>
      <c r="R1127" s="110">
        <f t="shared" si="4"/>
        <v>5</v>
      </c>
      <c r="S1127" s="108" t="str">
        <f t="shared" si="5"/>
        <v>2024-Q2</v>
      </c>
      <c r="T1127" s="111" t="str">
        <f t="shared" si="6"/>
        <v>2024-05</v>
      </c>
      <c r="U1127" s="112" t="str">
        <f t="shared" si="7"/>
        <v>2024-H1</v>
      </c>
      <c r="V1127" s="1" t="str">
        <f>VLOOKUP(B1127,Bounties!A:E,2,FALSE)</f>
        <v>System Parachains Collator Bounty</v>
      </c>
    </row>
    <row r="1128" hidden="1">
      <c r="A1128" s="109">
        <f>HYPERLINK("https://polkadot.subsquare.io/treasury/child-bounties/1126", 1126)</f>
        <v>1126</v>
      </c>
      <c r="B1128" s="183">
        <v>32.0</v>
      </c>
      <c r="C1128" s="27" t="s">
        <v>3404</v>
      </c>
      <c r="D1128" s="27" t="s">
        <v>1653</v>
      </c>
      <c r="E1128" s="129">
        <v>6.3847900114</v>
      </c>
      <c r="F1128" s="66">
        <v>44.46035752130491</v>
      </c>
      <c r="G1128" s="27" t="s">
        <v>3587</v>
      </c>
      <c r="H1128" s="167">
        <v>45424.0</v>
      </c>
      <c r="I1128" s="167">
        <v>45432.0</v>
      </c>
      <c r="J1128" s="66">
        <v>45.975431140600556</v>
      </c>
      <c r="K1128" s="1"/>
      <c r="L1128" s="1"/>
      <c r="M1128" s="1" t="str">
        <f>VLOOKUP(B1128,Bounties!A:D,3,FALSE)</f>
        <v>Operations</v>
      </c>
      <c r="N1128" s="1" t="str">
        <f>VLOOKUP(B1128,Bounties!A:D,4,FALSE)</f>
        <v>RPCs and Nodes</v>
      </c>
      <c r="O1128" s="1" t="str">
        <f t="shared" ref="O1128:P1128" si="1132">IF(ISBLANK(K1128),M1128,K1128)</f>
        <v>Operations</v>
      </c>
      <c r="P1128" s="1" t="str">
        <f t="shared" si="1132"/>
        <v>RPCs and Nodes</v>
      </c>
      <c r="Q1128" s="108" t="str">
        <f t="shared" si="3"/>
        <v>2024</v>
      </c>
      <c r="R1128" s="110">
        <f t="shared" si="4"/>
        <v>5</v>
      </c>
      <c r="S1128" s="108" t="str">
        <f t="shared" si="5"/>
        <v>2024-Q2</v>
      </c>
      <c r="T1128" s="111" t="str">
        <f t="shared" si="6"/>
        <v>2024-05</v>
      </c>
      <c r="U1128" s="112" t="str">
        <f t="shared" si="7"/>
        <v>2024-H1</v>
      </c>
      <c r="V1128" s="1" t="str">
        <f>VLOOKUP(B1128,Bounties!A:E,2,FALSE)</f>
        <v>System Parachains Collator Bounty</v>
      </c>
    </row>
    <row r="1129" hidden="1">
      <c r="A1129" s="109">
        <f>HYPERLINK("https://polkadot.subsquare.io/treasury/child-bounties/1127", 1127)</f>
        <v>1127</v>
      </c>
      <c r="B1129" s="183">
        <v>32.0</v>
      </c>
      <c r="C1129" s="27" t="s">
        <v>3404</v>
      </c>
      <c r="D1129" s="27" t="s">
        <v>1687</v>
      </c>
      <c r="E1129" s="129">
        <v>41.3311491286</v>
      </c>
      <c r="F1129" s="66">
        <v>287.80863015743785</v>
      </c>
      <c r="G1129" s="27" t="s">
        <v>3591</v>
      </c>
      <c r="H1129" s="167">
        <v>45424.0</v>
      </c>
      <c r="I1129" s="167">
        <v>45432.0</v>
      </c>
      <c r="J1129" s="66">
        <v>297.6162720044068</v>
      </c>
      <c r="K1129" s="1"/>
      <c r="L1129" s="1"/>
      <c r="M1129" s="1" t="str">
        <f>VLOOKUP(B1129,Bounties!A:D,3,FALSE)</f>
        <v>Operations</v>
      </c>
      <c r="N1129" s="1" t="str">
        <f>VLOOKUP(B1129,Bounties!A:D,4,FALSE)</f>
        <v>RPCs and Nodes</v>
      </c>
      <c r="O1129" s="1" t="str">
        <f t="shared" ref="O1129:P1129" si="1133">IF(ISBLANK(K1129),M1129,K1129)</f>
        <v>Operations</v>
      </c>
      <c r="P1129" s="1" t="str">
        <f t="shared" si="1133"/>
        <v>RPCs and Nodes</v>
      </c>
      <c r="Q1129" s="108" t="str">
        <f t="shared" si="3"/>
        <v>2024</v>
      </c>
      <c r="R1129" s="110">
        <f t="shared" si="4"/>
        <v>5</v>
      </c>
      <c r="S1129" s="108" t="str">
        <f t="shared" si="5"/>
        <v>2024-Q2</v>
      </c>
      <c r="T1129" s="111" t="str">
        <f t="shared" si="6"/>
        <v>2024-05</v>
      </c>
      <c r="U1129" s="112" t="str">
        <f t="shared" si="7"/>
        <v>2024-H1</v>
      </c>
      <c r="V1129" s="1" t="str">
        <f>VLOOKUP(B1129,Bounties!A:E,2,FALSE)</f>
        <v>System Parachains Collator Bounty</v>
      </c>
    </row>
    <row r="1130" hidden="1">
      <c r="A1130" s="109">
        <f>HYPERLINK("https://polkadot.subsquare.io/treasury/child-bounties/1128", 1128)</f>
        <v>1128</v>
      </c>
      <c r="B1130" s="183">
        <v>32.0</v>
      </c>
      <c r="C1130" s="27" t="s">
        <v>3404</v>
      </c>
      <c r="D1130" s="27" t="s">
        <v>1688</v>
      </c>
      <c r="E1130" s="129">
        <v>36.8401139056</v>
      </c>
      <c r="F1130" s="66">
        <v>256.5353962219695</v>
      </c>
      <c r="G1130" s="27" t="s">
        <v>3604</v>
      </c>
      <c r="H1130" s="167">
        <v>45424.0</v>
      </c>
      <c r="I1130" s="167">
        <v>45432.0</v>
      </c>
      <c r="J1130" s="66">
        <v>265.27734147162744</v>
      </c>
      <c r="K1130" s="1"/>
      <c r="L1130" s="1"/>
      <c r="M1130" s="1" t="str">
        <f>VLOOKUP(B1130,Bounties!A:D,3,FALSE)</f>
        <v>Operations</v>
      </c>
      <c r="N1130" s="1" t="str">
        <f>VLOOKUP(B1130,Bounties!A:D,4,FALSE)</f>
        <v>RPCs and Nodes</v>
      </c>
      <c r="O1130" s="1" t="str">
        <f t="shared" ref="O1130:P1130" si="1134">IF(ISBLANK(K1130),M1130,K1130)</f>
        <v>Operations</v>
      </c>
      <c r="P1130" s="1" t="str">
        <f t="shared" si="1134"/>
        <v>RPCs and Nodes</v>
      </c>
      <c r="Q1130" s="108" t="str">
        <f t="shared" si="3"/>
        <v>2024</v>
      </c>
      <c r="R1130" s="110">
        <f t="shared" si="4"/>
        <v>5</v>
      </c>
      <c r="S1130" s="108" t="str">
        <f t="shared" si="5"/>
        <v>2024-Q2</v>
      </c>
      <c r="T1130" s="111" t="str">
        <f t="shared" si="6"/>
        <v>2024-05</v>
      </c>
      <c r="U1130" s="112" t="str">
        <f t="shared" si="7"/>
        <v>2024-H1</v>
      </c>
      <c r="V1130" s="1" t="str">
        <f>VLOOKUP(B1130,Bounties!A:E,2,FALSE)</f>
        <v>System Parachains Collator Bounty</v>
      </c>
    </row>
    <row r="1131" hidden="1">
      <c r="A1131" s="109">
        <f>HYPERLINK("https://polkadot.subsquare.io/treasury/child-bounties/1129", 1129)</f>
        <v>1129</v>
      </c>
      <c r="B1131" s="183">
        <v>32.0</v>
      </c>
      <c r="C1131" s="27" t="s">
        <v>3404</v>
      </c>
      <c r="D1131" s="27" t="s">
        <v>1689</v>
      </c>
      <c r="E1131" s="129">
        <v>39.7302025001</v>
      </c>
      <c r="F1131" s="66">
        <v>276.6604703356506</v>
      </c>
      <c r="G1131" s="27" t="s">
        <v>3590</v>
      </c>
      <c r="H1131" s="167">
        <v>45424.0</v>
      </c>
      <c r="I1131" s="167">
        <v>45432.0</v>
      </c>
      <c r="J1131" s="66">
        <v>286.08821683783776</v>
      </c>
      <c r="K1131" s="1"/>
      <c r="L1131" s="1"/>
      <c r="M1131" s="1" t="str">
        <f>VLOOKUP(B1131,Bounties!A:D,3,FALSE)</f>
        <v>Operations</v>
      </c>
      <c r="N1131" s="1" t="str">
        <f>VLOOKUP(B1131,Bounties!A:D,4,FALSE)</f>
        <v>RPCs and Nodes</v>
      </c>
      <c r="O1131" s="1" t="str">
        <f t="shared" ref="O1131:P1131" si="1135">IF(ISBLANK(K1131),M1131,K1131)</f>
        <v>Operations</v>
      </c>
      <c r="P1131" s="1" t="str">
        <f t="shared" si="1135"/>
        <v>RPCs and Nodes</v>
      </c>
      <c r="Q1131" s="108" t="str">
        <f t="shared" si="3"/>
        <v>2024</v>
      </c>
      <c r="R1131" s="110">
        <f t="shared" si="4"/>
        <v>5</v>
      </c>
      <c r="S1131" s="108" t="str">
        <f t="shared" si="5"/>
        <v>2024-Q2</v>
      </c>
      <c r="T1131" s="111" t="str">
        <f t="shared" si="6"/>
        <v>2024-05</v>
      </c>
      <c r="U1131" s="112" t="str">
        <f t="shared" si="7"/>
        <v>2024-H1</v>
      </c>
      <c r="V1131" s="1" t="str">
        <f>VLOOKUP(B1131,Bounties!A:E,2,FALSE)</f>
        <v>System Parachains Collator Bounty</v>
      </c>
    </row>
    <row r="1132" hidden="1">
      <c r="A1132" s="109">
        <f>HYPERLINK("https://polkadot.subsquare.io/treasury/child-bounties/1130", 1130)</f>
        <v>1130</v>
      </c>
      <c r="B1132" s="183">
        <v>32.0</v>
      </c>
      <c r="C1132" s="27" t="s">
        <v>3404</v>
      </c>
      <c r="D1132" s="27" t="s">
        <v>1690</v>
      </c>
      <c r="E1132" s="129">
        <v>36.5125879997</v>
      </c>
      <c r="F1132" s="66">
        <v>254.25467612815237</v>
      </c>
      <c r="G1132" s="27" t="s">
        <v>3605</v>
      </c>
      <c r="H1132" s="167">
        <v>45424.0</v>
      </c>
      <c r="I1132" s="167">
        <v>45432.0</v>
      </c>
      <c r="J1132" s="66">
        <v>262.918901380946</v>
      </c>
      <c r="K1132" s="1"/>
      <c r="L1132" s="1"/>
      <c r="M1132" s="1" t="str">
        <f>VLOOKUP(B1132,Bounties!A:D,3,FALSE)</f>
        <v>Operations</v>
      </c>
      <c r="N1132" s="1" t="str">
        <f>VLOOKUP(B1132,Bounties!A:D,4,FALSE)</f>
        <v>RPCs and Nodes</v>
      </c>
      <c r="O1132" s="1" t="str">
        <f t="shared" ref="O1132:P1132" si="1136">IF(ISBLANK(K1132),M1132,K1132)</f>
        <v>Operations</v>
      </c>
      <c r="P1132" s="1" t="str">
        <f t="shared" si="1136"/>
        <v>RPCs and Nodes</v>
      </c>
      <c r="Q1132" s="108" t="str">
        <f t="shared" si="3"/>
        <v>2024</v>
      </c>
      <c r="R1132" s="110">
        <f t="shared" si="4"/>
        <v>5</v>
      </c>
      <c r="S1132" s="108" t="str">
        <f t="shared" si="5"/>
        <v>2024-Q2</v>
      </c>
      <c r="T1132" s="111" t="str">
        <f t="shared" si="6"/>
        <v>2024-05</v>
      </c>
      <c r="U1132" s="112" t="str">
        <f t="shared" si="7"/>
        <v>2024-H1</v>
      </c>
      <c r="V1132" s="1" t="str">
        <f>VLOOKUP(B1132,Bounties!A:E,2,FALSE)</f>
        <v>System Parachains Collator Bounty</v>
      </c>
    </row>
    <row r="1133" hidden="1">
      <c r="A1133" s="109">
        <f>HYPERLINK("https://polkadot.subsquare.io/treasury/child-bounties/1131", 1131)</f>
        <v>1131</v>
      </c>
      <c r="B1133" s="183">
        <v>32.0</v>
      </c>
      <c r="C1133" s="27" t="s">
        <v>3404</v>
      </c>
      <c r="D1133" s="27" t="s">
        <v>1691</v>
      </c>
      <c r="E1133" s="129">
        <v>51.5301789237</v>
      </c>
      <c r="F1133" s="66">
        <v>358.82937011144577</v>
      </c>
      <c r="G1133" s="27" t="s">
        <v>3587</v>
      </c>
      <c r="H1133" s="167">
        <v>45424.0</v>
      </c>
      <c r="I1133" s="167">
        <v>45432.0</v>
      </c>
      <c r="J1133" s="66">
        <v>371.05718254466376</v>
      </c>
      <c r="K1133" s="1"/>
      <c r="L1133" s="1"/>
      <c r="M1133" s="1" t="str">
        <f>VLOOKUP(B1133,Bounties!A:D,3,FALSE)</f>
        <v>Operations</v>
      </c>
      <c r="N1133" s="1" t="str">
        <f>VLOOKUP(B1133,Bounties!A:D,4,FALSE)</f>
        <v>RPCs and Nodes</v>
      </c>
      <c r="O1133" s="1" t="str">
        <f t="shared" ref="O1133:P1133" si="1137">IF(ISBLANK(K1133),M1133,K1133)</f>
        <v>Operations</v>
      </c>
      <c r="P1133" s="1" t="str">
        <f t="shared" si="1137"/>
        <v>RPCs and Nodes</v>
      </c>
      <c r="Q1133" s="108" t="str">
        <f t="shared" si="3"/>
        <v>2024</v>
      </c>
      <c r="R1133" s="110">
        <f t="shared" si="4"/>
        <v>5</v>
      </c>
      <c r="S1133" s="108" t="str">
        <f t="shared" si="5"/>
        <v>2024-Q2</v>
      </c>
      <c r="T1133" s="111" t="str">
        <f t="shared" si="6"/>
        <v>2024-05</v>
      </c>
      <c r="U1133" s="112" t="str">
        <f t="shared" si="7"/>
        <v>2024-H1</v>
      </c>
      <c r="V1133" s="1" t="str">
        <f>VLOOKUP(B1133,Bounties!A:E,2,FALSE)</f>
        <v>System Parachains Collator Bounty</v>
      </c>
    </row>
    <row r="1134" hidden="1">
      <c r="A1134" s="109">
        <f>HYPERLINK("https://polkadot.subsquare.io/treasury/child-bounties/1132", 1132)</f>
        <v>1132</v>
      </c>
      <c r="B1134" s="183">
        <v>32.0</v>
      </c>
      <c r="C1134" s="27" t="s">
        <v>3404</v>
      </c>
      <c r="D1134" s="27" t="s">
        <v>1692</v>
      </c>
      <c r="E1134" s="129">
        <v>13.6663005353</v>
      </c>
      <c r="F1134" s="66">
        <v>95.1650103931621</v>
      </c>
      <c r="G1134" s="27" t="s">
        <v>3606</v>
      </c>
      <c r="H1134" s="167">
        <v>45424.0</v>
      </c>
      <c r="I1134" s="167">
        <v>45432.0</v>
      </c>
      <c r="J1134" s="66">
        <v>98.40794420577453</v>
      </c>
      <c r="K1134" s="1"/>
      <c r="L1134" s="1"/>
      <c r="M1134" s="1" t="str">
        <f>VLOOKUP(B1134,Bounties!A:D,3,FALSE)</f>
        <v>Operations</v>
      </c>
      <c r="N1134" s="1" t="str">
        <f>VLOOKUP(B1134,Bounties!A:D,4,FALSE)</f>
        <v>RPCs and Nodes</v>
      </c>
      <c r="O1134" s="1" t="str">
        <f t="shared" ref="O1134:P1134" si="1138">IF(ISBLANK(K1134),M1134,K1134)</f>
        <v>Operations</v>
      </c>
      <c r="P1134" s="1" t="str">
        <f t="shared" si="1138"/>
        <v>RPCs and Nodes</v>
      </c>
      <c r="Q1134" s="108" t="str">
        <f t="shared" si="3"/>
        <v>2024</v>
      </c>
      <c r="R1134" s="110">
        <f t="shared" si="4"/>
        <v>5</v>
      </c>
      <c r="S1134" s="108" t="str">
        <f t="shared" si="5"/>
        <v>2024-Q2</v>
      </c>
      <c r="T1134" s="111" t="str">
        <f t="shared" si="6"/>
        <v>2024-05</v>
      </c>
      <c r="U1134" s="112" t="str">
        <f t="shared" si="7"/>
        <v>2024-H1</v>
      </c>
      <c r="V1134" s="1" t="str">
        <f>VLOOKUP(B1134,Bounties!A:E,2,FALSE)</f>
        <v>System Parachains Collator Bounty</v>
      </c>
    </row>
    <row r="1135" hidden="1">
      <c r="A1135" s="109">
        <f>HYPERLINK("https://polkadot.subsquare.io/treasury/child-bounties/1133", 1133)</f>
        <v>1133</v>
      </c>
      <c r="B1135" s="183">
        <v>32.0</v>
      </c>
      <c r="C1135" s="27" t="s">
        <v>3404</v>
      </c>
      <c r="D1135" s="27" t="s">
        <v>1693</v>
      </c>
      <c r="E1135" s="129">
        <v>57.3518605518</v>
      </c>
      <c r="F1135" s="66">
        <v>399.3685336702147</v>
      </c>
      <c r="G1135" s="27" t="s">
        <v>3608</v>
      </c>
      <c r="H1135" s="167">
        <v>45424.0</v>
      </c>
      <c r="I1135" s="167">
        <v>45432.0</v>
      </c>
      <c r="J1135" s="66">
        <v>412.9777973710427</v>
      </c>
      <c r="K1135" s="1"/>
      <c r="L1135" s="1"/>
      <c r="M1135" s="1" t="str">
        <f>VLOOKUP(B1135,Bounties!A:D,3,FALSE)</f>
        <v>Operations</v>
      </c>
      <c r="N1135" s="1" t="str">
        <f>VLOOKUP(B1135,Bounties!A:D,4,FALSE)</f>
        <v>RPCs and Nodes</v>
      </c>
      <c r="O1135" s="1" t="str">
        <f t="shared" ref="O1135:P1135" si="1139">IF(ISBLANK(K1135),M1135,K1135)</f>
        <v>Operations</v>
      </c>
      <c r="P1135" s="1" t="str">
        <f t="shared" si="1139"/>
        <v>RPCs and Nodes</v>
      </c>
      <c r="Q1135" s="108" t="str">
        <f t="shared" si="3"/>
        <v>2024</v>
      </c>
      <c r="R1135" s="110">
        <f t="shared" si="4"/>
        <v>5</v>
      </c>
      <c r="S1135" s="108" t="str">
        <f t="shared" si="5"/>
        <v>2024-Q2</v>
      </c>
      <c r="T1135" s="111" t="str">
        <f t="shared" si="6"/>
        <v>2024-05</v>
      </c>
      <c r="U1135" s="112" t="str">
        <f t="shared" si="7"/>
        <v>2024-H1</v>
      </c>
      <c r="V1135" s="1" t="str">
        <f>VLOOKUP(B1135,Bounties!A:E,2,FALSE)</f>
        <v>System Parachains Collator Bounty</v>
      </c>
    </row>
    <row r="1136" hidden="1">
      <c r="A1136" s="109">
        <f>HYPERLINK("https://polkadot.subsquare.io/treasury/child-bounties/1134", 1134)</f>
        <v>1134</v>
      </c>
      <c r="B1136" s="183">
        <v>32.0</v>
      </c>
      <c r="C1136" s="27" t="s">
        <v>3404</v>
      </c>
      <c r="D1136" s="27" t="s">
        <v>1694</v>
      </c>
      <c r="E1136" s="129">
        <v>39.2937031666</v>
      </c>
      <c r="F1136" s="66">
        <v>273.6209159586749</v>
      </c>
      <c r="G1136" s="27" t="s">
        <v>3594</v>
      </c>
      <c r="H1136" s="167">
        <v>45424.0</v>
      </c>
      <c r="I1136" s="167">
        <v>45432.0</v>
      </c>
      <c r="J1136" s="66">
        <v>282.94508370199213</v>
      </c>
      <c r="K1136" s="1"/>
      <c r="L1136" s="1"/>
      <c r="M1136" s="1" t="str">
        <f>VLOOKUP(B1136,Bounties!A:D,3,FALSE)</f>
        <v>Operations</v>
      </c>
      <c r="N1136" s="1" t="str">
        <f>VLOOKUP(B1136,Bounties!A:D,4,FALSE)</f>
        <v>RPCs and Nodes</v>
      </c>
      <c r="O1136" s="1" t="str">
        <f t="shared" ref="O1136:P1136" si="1140">IF(ISBLANK(K1136),M1136,K1136)</f>
        <v>Operations</v>
      </c>
      <c r="P1136" s="1" t="str">
        <f t="shared" si="1140"/>
        <v>RPCs and Nodes</v>
      </c>
      <c r="Q1136" s="108" t="str">
        <f t="shared" si="3"/>
        <v>2024</v>
      </c>
      <c r="R1136" s="110">
        <f t="shared" si="4"/>
        <v>5</v>
      </c>
      <c r="S1136" s="108" t="str">
        <f t="shared" si="5"/>
        <v>2024-Q2</v>
      </c>
      <c r="T1136" s="111" t="str">
        <f t="shared" si="6"/>
        <v>2024-05</v>
      </c>
      <c r="U1136" s="112" t="str">
        <f t="shared" si="7"/>
        <v>2024-H1</v>
      </c>
      <c r="V1136" s="1" t="str">
        <f>VLOOKUP(B1136,Bounties!A:E,2,FALSE)</f>
        <v>System Parachains Collator Bounty</v>
      </c>
    </row>
    <row r="1137" hidden="1">
      <c r="A1137" s="109">
        <f>HYPERLINK("https://polkadot.subsquare.io/treasury/child-bounties/1135", 1135)</f>
        <v>1135</v>
      </c>
      <c r="B1137" s="183">
        <v>32.0</v>
      </c>
      <c r="C1137" s="27" t="s">
        <v>3404</v>
      </c>
      <c r="D1137" s="27" t="s">
        <v>1695</v>
      </c>
      <c r="E1137" s="129">
        <v>37.4427615727</v>
      </c>
      <c r="F1137" s="66">
        <v>260.73192119629226</v>
      </c>
      <c r="G1137" s="27" t="s">
        <v>3603</v>
      </c>
      <c r="H1137" s="167">
        <v>45424.0</v>
      </c>
      <c r="I1137" s="167">
        <v>45432.0</v>
      </c>
      <c r="J1137" s="66">
        <v>269.6168712402383</v>
      </c>
      <c r="K1137" s="1"/>
      <c r="L1137" s="1"/>
      <c r="M1137" s="1" t="str">
        <f>VLOOKUP(B1137,Bounties!A:D,3,FALSE)</f>
        <v>Operations</v>
      </c>
      <c r="N1137" s="1" t="str">
        <f>VLOOKUP(B1137,Bounties!A:D,4,FALSE)</f>
        <v>RPCs and Nodes</v>
      </c>
      <c r="O1137" s="1" t="str">
        <f t="shared" ref="O1137:P1137" si="1141">IF(ISBLANK(K1137),M1137,K1137)</f>
        <v>Operations</v>
      </c>
      <c r="P1137" s="1" t="str">
        <f t="shared" si="1141"/>
        <v>RPCs and Nodes</v>
      </c>
      <c r="Q1137" s="108" t="str">
        <f t="shared" si="3"/>
        <v>2024</v>
      </c>
      <c r="R1137" s="110">
        <f t="shared" si="4"/>
        <v>5</v>
      </c>
      <c r="S1137" s="108" t="str">
        <f t="shared" si="5"/>
        <v>2024-Q2</v>
      </c>
      <c r="T1137" s="111" t="str">
        <f t="shared" si="6"/>
        <v>2024-05</v>
      </c>
      <c r="U1137" s="112" t="str">
        <f t="shared" si="7"/>
        <v>2024-H1</v>
      </c>
      <c r="V1137" s="1" t="str">
        <f>VLOOKUP(B1137,Bounties!A:E,2,FALSE)</f>
        <v>System Parachains Collator Bounty</v>
      </c>
    </row>
    <row r="1138" hidden="1">
      <c r="A1138" s="109">
        <f>HYPERLINK("https://polkadot.subsquare.io/treasury/child-bounties/1136", 1136)</f>
        <v>1136</v>
      </c>
      <c r="B1138" s="183">
        <v>32.0</v>
      </c>
      <c r="C1138" s="27" t="s">
        <v>3404</v>
      </c>
      <c r="D1138" s="27" t="s">
        <v>1696</v>
      </c>
      <c r="E1138" s="129">
        <v>50.4710494582</v>
      </c>
      <c r="F1138" s="66">
        <v>351.45414326555095</v>
      </c>
      <c r="G1138" s="27" t="s">
        <v>3596</v>
      </c>
      <c r="H1138" s="167">
        <v>45424.0</v>
      </c>
      <c r="I1138" s="167">
        <v>45432.0</v>
      </c>
      <c r="J1138" s="66">
        <v>363.43063042264663</v>
      </c>
      <c r="K1138" s="1"/>
      <c r="L1138" s="1"/>
      <c r="M1138" s="1" t="str">
        <f>VLOOKUP(B1138,Bounties!A:D,3,FALSE)</f>
        <v>Operations</v>
      </c>
      <c r="N1138" s="1" t="str">
        <f>VLOOKUP(B1138,Bounties!A:D,4,FALSE)</f>
        <v>RPCs and Nodes</v>
      </c>
      <c r="O1138" s="1" t="str">
        <f t="shared" ref="O1138:P1138" si="1142">IF(ISBLANK(K1138),M1138,K1138)</f>
        <v>Operations</v>
      </c>
      <c r="P1138" s="1" t="str">
        <f t="shared" si="1142"/>
        <v>RPCs and Nodes</v>
      </c>
      <c r="Q1138" s="108" t="str">
        <f t="shared" si="3"/>
        <v>2024</v>
      </c>
      <c r="R1138" s="110">
        <f t="shared" si="4"/>
        <v>5</v>
      </c>
      <c r="S1138" s="108" t="str">
        <f t="shared" si="5"/>
        <v>2024-Q2</v>
      </c>
      <c r="T1138" s="111" t="str">
        <f t="shared" si="6"/>
        <v>2024-05</v>
      </c>
      <c r="U1138" s="112" t="str">
        <f t="shared" si="7"/>
        <v>2024-H1</v>
      </c>
      <c r="V1138" s="1" t="str">
        <f>VLOOKUP(B1138,Bounties!A:E,2,FALSE)</f>
        <v>System Parachains Collator Bounty</v>
      </c>
    </row>
    <row r="1139" hidden="1">
      <c r="A1139" s="109">
        <f>HYPERLINK("https://polkadot.subsquare.io/treasury/child-bounties/1137", 1137)</f>
        <v>1137</v>
      </c>
      <c r="B1139" s="183">
        <v>32.0</v>
      </c>
      <c r="C1139" s="27" t="s">
        <v>3404</v>
      </c>
      <c r="D1139" s="27" t="s">
        <v>1697</v>
      </c>
      <c r="E1139" s="129">
        <v>49.4860590554</v>
      </c>
      <c r="F1139" s="66">
        <v>344.59518229966955</v>
      </c>
      <c r="G1139" s="27" t="s">
        <v>3607</v>
      </c>
      <c r="H1139" s="167">
        <v>45424.0</v>
      </c>
      <c r="I1139" s="167">
        <v>45432.0</v>
      </c>
      <c r="J1139" s="66">
        <v>356.33793694999883</v>
      </c>
      <c r="K1139" s="1"/>
      <c r="L1139" s="1"/>
      <c r="M1139" s="1" t="str">
        <f>VLOOKUP(B1139,Bounties!A:D,3,FALSE)</f>
        <v>Operations</v>
      </c>
      <c r="N1139" s="1" t="str">
        <f>VLOOKUP(B1139,Bounties!A:D,4,FALSE)</f>
        <v>RPCs and Nodes</v>
      </c>
      <c r="O1139" s="1" t="str">
        <f t="shared" ref="O1139:P1139" si="1143">IF(ISBLANK(K1139),M1139,K1139)</f>
        <v>Operations</v>
      </c>
      <c r="P1139" s="1" t="str">
        <f t="shared" si="1143"/>
        <v>RPCs and Nodes</v>
      </c>
      <c r="Q1139" s="108" t="str">
        <f t="shared" si="3"/>
        <v>2024</v>
      </c>
      <c r="R1139" s="110">
        <f t="shared" si="4"/>
        <v>5</v>
      </c>
      <c r="S1139" s="108" t="str">
        <f t="shared" si="5"/>
        <v>2024-Q2</v>
      </c>
      <c r="T1139" s="111" t="str">
        <f t="shared" si="6"/>
        <v>2024-05</v>
      </c>
      <c r="U1139" s="112" t="str">
        <f t="shared" si="7"/>
        <v>2024-H1</v>
      </c>
      <c r="V1139" s="1" t="str">
        <f>VLOOKUP(B1139,Bounties!A:E,2,FALSE)</f>
        <v>System Parachains Collator Bounty</v>
      </c>
    </row>
    <row r="1140" hidden="1">
      <c r="A1140" s="109">
        <f>HYPERLINK("https://polkadot.subsquare.io/treasury/child-bounties/1138", 1138)</f>
        <v>1138</v>
      </c>
      <c r="B1140" s="183">
        <v>32.0</v>
      </c>
      <c r="C1140" s="27" t="s">
        <v>3404</v>
      </c>
      <c r="D1140" s="27" t="s">
        <v>1698</v>
      </c>
      <c r="E1140" s="129">
        <v>50.2168583865</v>
      </c>
      <c r="F1140" s="66">
        <v>349.68408882267545</v>
      </c>
      <c r="G1140" s="27" t="s">
        <v>3589</v>
      </c>
      <c r="H1140" s="167">
        <v>45424.0</v>
      </c>
      <c r="I1140" s="167">
        <v>45432.0</v>
      </c>
      <c r="J1140" s="66">
        <v>361.60025791350654</v>
      </c>
      <c r="K1140" s="1"/>
      <c r="L1140" s="1"/>
      <c r="M1140" s="1" t="str">
        <f>VLOOKUP(B1140,Bounties!A:D,3,FALSE)</f>
        <v>Operations</v>
      </c>
      <c r="N1140" s="1" t="str">
        <f>VLOOKUP(B1140,Bounties!A:D,4,FALSE)</f>
        <v>RPCs and Nodes</v>
      </c>
      <c r="O1140" s="1" t="str">
        <f t="shared" ref="O1140:P1140" si="1144">IF(ISBLANK(K1140),M1140,K1140)</f>
        <v>Operations</v>
      </c>
      <c r="P1140" s="1" t="str">
        <f t="shared" si="1144"/>
        <v>RPCs and Nodes</v>
      </c>
      <c r="Q1140" s="108" t="str">
        <f t="shared" si="3"/>
        <v>2024</v>
      </c>
      <c r="R1140" s="110">
        <f t="shared" si="4"/>
        <v>5</v>
      </c>
      <c r="S1140" s="108" t="str">
        <f t="shared" si="5"/>
        <v>2024-Q2</v>
      </c>
      <c r="T1140" s="111" t="str">
        <f t="shared" si="6"/>
        <v>2024-05</v>
      </c>
      <c r="U1140" s="112" t="str">
        <f t="shared" si="7"/>
        <v>2024-H1</v>
      </c>
      <c r="V1140" s="1" t="str">
        <f>VLOOKUP(B1140,Bounties!A:E,2,FALSE)</f>
        <v>System Parachains Collator Bounty</v>
      </c>
    </row>
    <row r="1141" hidden="1">
      <c r="A1141" s="109">
        <f>HYPERLINK("https://polkadot.subsquare.io/treasury/child-bounties/1139", 1139)</f>
        <v>1139</v>
      </c>
      <c r="B1141" s="183">
        <v>32.0</v>
      </c>
      <c r="C1141" s="27" t="s">
        <v>3404</v>
      </c>
      <c r="D1141" s="27" t="s">
        <v>1699</v>
      </c>
      <c r="E1141" s="129">
        <v>35.1030809152</v>
      </c>
      <c r="F1141" s="66">
        <v>244.43960174140037</v>
      </c>
      <c r="G1141" s="27" t="s">
        <v>3595</v>
      </c>
      <c r="H1141" s="167">
        <v>45424.0</v>
      </c>
      <c r="I1141" s="167">
        <v>45432.0</v>
      </c>
      <c r="J1141" s="66">
        <v>252.76935914229549</v>
      </c>
      <c r="K1141" s="1"/>
      <c r="L1141" s="1"/>
      <c r="M1141" s="1" t="str">
        <f>VLOOKUP(B1141,Bounties!A:D,3,FALSE)</f>
        <v>Operations</v>
      </c>
      <c r="N1141" s="1" t="str">
        <f>VLOOKUP(B1141,Bounties!A:D,4,FALSE)</f>
        <v>RPCs and Nodes</v>
      </c>
      <c r="O1141" s="1" t="str">
        <f t="shared" ref="O1141:P1141" si="1145">IF(ISBLANK(K1141),M1141,K1141)</f>
        <v>Operations</v>
      </c>
      <c r="P1141" s="1" t="str">
        <f t="shared" si="1145"/>
        <v>RPCs and Nodes</v>
      </c>
      <c r="Q1141" s="108" t="str">
        <f t="shared" si="3"/>
        <v>2024</v>
      </c>
      <c r="R1141" s="110">
        <f t="shared" si="4"/>
        <v>5</v>
      </c>
      <c r="S1141" s="108" t="str">
        <f t="shared" si="5"/>
        <v>2024-Q2</v>
      </c>
      <c r="T1141" s="111" t="str">
        <f t="shared" si="6"/>
        <v>2024-05</v>
      </c>
      <c r="U1141" s="112" t="str">
        <f t="shared" si="7"/>
        <v>2024-H1</v>
      </c>
      <c r="V1141" s="1" t="str">
        <f>VLOOKUP(B1141,Bounties!A:E,2,FALSE)</f>
        <v>System Parachains Collator Bounty</v>
      </c>
    </row>
    <row r="1142" hidden="1">
      <c r="A1142" s="109">
        <f>HYPERLINK("https://polkadot.subsquare.io/treasury/child-bounties/1140", 1140)</f>
        <v>1140</v>
      </c>
      <c r="B1142" s="183">
        <v>32.0</v>
      </c>
      <c r="C1142" s="27" t="s">
        <v>3404</v>
      </c>
      <c r="D1142" s="27" t="s">
        <v>1700</v>
      </c>
      <c r="E1142" s="129">
        <v>9.0893449352</v>
      </c>
      <c r="F1142" s="66">
        <v>63.29347163053262</v>
      </c>
      <c r="G1142" s="27" t="s">
        <v>3407</v>
      </c>
      <c r="H1142" s="167">
        <v>45424.0</v>
      </c>
      <c r="I1142" s="167">
        <v>45432.0</v>
      </c>
      <c r="J1142" s="66">
        <v>65.45032043893697</v>
      </c>
      <c r="K1142" s="1"/>
      <c r="L1142" s="1"/>
      <c r="M1142" s="1" t="str">
        <f>VLOOKUP(B1142,Bounties!A:D,3,FALSE)</f>
        <v>Operations</v>
      </c>
      <c r="N1142" s="1" t="str">
        <f>VLOOKUP(B1142,Bounties!A:D,4,FALSE)</f>
        <v>RPCs and Nodes</v>
      </c>
      <c r="O1142" s="1" t="str">
        <f t="shared" ref="O1142:P1142" si="1146">IF(ISBLANK(K1142),M1142,K1142)</f>
        <v>Operations</v>
      </c>
      <c r="P1142" s="1" t="str">
        <f t="shared" si="1146"/>
        <v>RPCs and Nodes</v>
      </c>
      <c r="Q1142" s="108" t="str">
        <f t="shared" si="3"/>
        <v>2024</v>
      </c>
      <c r="R1142" s="110">
        <f t="shared" si="4"/>
        <v>5</v>
      </c>
      <c r="S1142" s="108" t="str">
        <f t="shared" si="5"/>
        <v>2024-Q2</v>
      </c>
      <c r="T1142" s="111" t="str">
        <f t="shared" si="6"/>
        <v>2024-05</v>
      </c>
      <c r="U1142" s="112" t="str">
        <f t="shared" si="7"/>
        <v>2024-H1</v>
      </c>
      <c r="V1142" s="1" t="str">
        <f>VLOOKUP(B1142,Bounties!A:E,2,FALSE)</f>
        <v>System Parachains Collator Bounty</v>
      </c>
    </row>
    <row r="1143" hidden="1">
      <c r="A1143" s="109">
        <f>HYPERLINK("https://polkadot.subsquare.io/treasury/child-bounties/1141", 1141)</f>
        <v>1141</v>
      </c>
      <c r="B1143" s="183">
        <v>32.0</v>
      </c>
      <c r="C1143" s="27" t="s">
        <v>3404</v>
      </c>
      <c r="D1143" s="27" t="s">
        <v>1701</v>
      </c>
      <c r="E1143" s="129">
        <v>9.0893449352</v>
      </c>
      <c r="F1143" s="66">
        <v>63.29347163053262</v>
      </c>
      <c r="G1143" s="27" t="s">
        <v>3406</v>
      </c>
      <c r="H1143" s="167">
        <v>45424.0</v>
      </c>
      <c r="I1143" s="167">
        <v>45432.0</v>
      </c>
      <c r="J1143" s="66">
        <v>65.45032043893697</v>
      </c>
      <c r="K1143" s="1"/>
      <c r="L1143" s="1"/>
      <c r="M1143" s="1" t="str">
        <f>VLOOKUP(B1143,Bounties!A:D,3,FALSE)</f>
        <v>Operations</v>
      </c>
      <c r="N1143" s="1" t="str">
        <f>VLOOKUP(B1143,Bounties!A:D,4,FALSE)</f>
        <v>RPCs and Nodes</v>
      </c>
      <c r="O1143" s="1" t="str">
        <f t="shared" ref="O1143:P1143" si="1147">IF(ISBLANK(K1143),M1143,K1143)</f>
        <v>Operations</v>
      </c>
      <c r="P1143" s="1" t="str">
        <f t="shared" si="1147"/>
        <v>RPCs and Nodes</v>
      </c>
      <c r="Q1143" s="108" t="str">
        <f t="shared" si="3"/>
        <v>2024</v>
      </c>
      <c r="R1143" s="110">
        <f t="shared" si="4"/>
        <v>5</v>
      </c>
      <c r="S1143" s="108" t="str">
        <f t="shared" si="5"/>
        <v>2024-Q2</v>
      </c>
      <c r="T1143" s="111" t="str">
        <f t="shared" si="6"/>
        <v>2024-05</v>
      </c>
      <c r="U1143" s="112" t="str">
        <f t="shared" si="7"/>
        <v>2024-H1</v>
      </c>
      <c r="V1143" s="1" t="str">
        <f>VLOOKUP(B1143,Bounties!A:E,2,FALSE)</f>
        <v>System Parachains Collator Bounty</v>
      </c>
    </row>
    <row r="1144" hidden="1">
      <c r="A1144" s="109">
        <f>HYPERLINK("https://polkadot.subsquare.io/treasury/child-bounties/1142", 1142)</f>
        <v>1142</v>
      </c>
      <c r="B1144" s="183">
        <v>32.0</v>
      </c>
      <c r="C1144" s="27" t="s">
        <v>3404</v>
      </c>
      <c r="D1144" s="27" t="s">
        <v>1702</v>
      </c>
      <c r="E1144" s="129">
        <v>9.0893449352</v>
      </c>
      <c r="F1144" s="66">
        <v>63.29347163053262</v>
      </c>
      <c r="G1144" s="27" t="s">
        <v>3411</v>
      </c>
      <c r="H1144" s="167">
        <v>45424.0</v>
      </c>
      <c r="I1144" s="167">
        <v>45432.0</v>
      </c>
      <c r="J1144" s="66">
        <v>65.45032043893697</v>
      </c>
      <c r="K1144" s="1"/>
      <c r="L1144" s="1"/>
      <c r="M1144" s="1" t="str">
        <f>VLOOKUP(B1144,Bounties!A:D,3,FALSE)</f>
        <v>Operations</v>
      </c>
      <c r="N1144" s="1" t="str">
        <f>VLOOKUP(B1144,Bounties!A:D,4,FALSE)</f>
        <v>RPCs and Nodes</v>
      </c>
      <c r="O1144" s="1" t="str">
        <f t="shared" ref="O1144:P1144" si="1148">IF(ISBLANK(K1144),M1144,K1144)</f>
        <v>Operations</v>
      </c>
      <c r="P1144" s="1" t="str">
        <f t="shared" si="1148"/>
        <v>RPCs and Nodes</v>
      </c>
      <c r="Q1144" s="108" t="str">
        <f t="shared" si="3"/>
        <v>2024</v>
      </c>
      <c r="R1144" s="110">
        <f t="shared" si="4"/>
        <v>5</v>
      </c>
      <c r="S1144" s="108" t="str">
        <f t="shared" si="5"/>
        <v>2024-Q2</v>
      </c>
      <c r="T1144" s="111" t="str">
        <f t="shared" si="6"/>
        <v>2024-05</v>
      </c>
      <c r="U1144" s="112" t="str">
        <f t="shared" si="7"/>
        <v>2024-H1</v>
      </c>
      <c r="V1144" s="1" t="str">
        <f>VLOOKUP(B1144,Bounties!A:E,2,FALSE)</f>
        <v>System Parachains Collator Bounty</v>
      </c>
    </row>
    <row r="1145" hidden="1">
      <c r="A1145" s="109">
        <f>HYPERLINK("https://polkadot.subsquare.io/treasury/child-bounties/1143", 1143)</f>
        <v>1143</v>
      </c>
      <c r="B1145" s="183">
        <v>33.0</v>
      </c>
      <c r="C1145" s="27" t="s">
        <v>3404</v>
      </c>
      <c r="D1145" s="27" t="s">
        <v>1703</v>
      </c>
      <c r="E1145" s="129">
        <v>22214.0</v>
      </c>
      <c r="F1145" s="66">
        <v>154686.74462509155</v>
      </c>
      <c r="G1145" s="27" t="s">
        <v>3638</v>
      </c>
      <c r="H1145" s="167">
        <v>45425.0</v>
      </c>
      <c r="I1145" s="167">
        <v>45433.0</v>
      </c>
      <c r="J1145" s="66">
        <v>160924.67646884918</v>
      </c>
      <c r="K1145" s="1" t="s">
        <v>137</v>
      </c>
      <c r="L1145" s="1" t="s">
        <v>296</v>
      </c>
      <c r="M1145" s="1" t="str">
        <f>VLOOKUP(B1145,Bounties!A:D,3,FALSE)</f>
        <v>Outreach</v>
      </c>
      <c r="N1145" s="1" t="str">
        <f>VLOOKUP(B1145,Bounties!A:D,4,FALSE)</f>
        <v>Advertising</v>
      </c>
      <c r="O1145" s="1" t="str">
        <f t="shared" ref="O1145:P1145" si="1149">IF(ISBLANK(K1145),M1145,K1145)</f>
        <v>Outreach</v>
      </c>
      <c r="P1145" s="1" t="str">
        <f t="shared" si="1149"/>
        <v>Advertising/Influencers</v>
      </c>
      <c r="Q1145" s="108" t="str">
        <f t="shared" si="3"/>
        <v>2024</v>
      </c>
      <c r="R1145" s="110">
        <f t="shared" si="4"/>
        <v>5</v>
      </c>
      <c r="S1145" s="108" t="str">
        <f t="shared" si="5"/>
        <v>2024-Q2</v>
      </c>
      <c r="T1145" s="111" t="str">
        <f t="shared" si="6"/>
        <v>2024-05</v>
      </c>
      <c r="U1145" s="112" t="str">
        <f t="shared" si="7"/>
        <v>2024-H1</v>
      </c>
      <c r="V1145" s="1" t="str">
        <f>VLOOKUP(B1145,Bounties!A:E,2,FALSE)</f>
        <v>Marketing Bounty</v>
      </c>
    </row>
    <row r="1146" hidden="1">
      <c r="A1146" s="109">
        <f>HYPERLINK("https://polkadot.subsquare.io/treasury/child-bounties/1144", 1144)</f>
        <v>1144</v>
      </c>
      <c r="B1146" s="183">
        <v>33.0</v>
      </c>
      <c r="C1146" s="27" t="s">
        <v>3404</v>
      </c>
      <c r="D1146" s="27" t="s">
        <v>1704</v>
      </c>
      <c r="E1146" s="129">
        <v>24233.0</v>
      </c>
      <c r="F1146" s="66">
        <v>168746.01073646545</v>
      </c>
      <c r="G1146" s="27" t="s">
        <v>3638</v>
      </c>
      <c r="H1146" s="167">
        <v>45425.0</v>
      </c>
      <c r="I1146" s="167">
        <v>45433.0</v>
      </c>
      <c r="J1146" s="66">
        <v>175550.89965200424</v>
      </c>
      <c r="K1146" s="1" t="s">
        <v>137</v>
      </c>
      <c r="L1146" s="1" t="s">
        <v>296</v>
      </c>
      <c r="M1146" s="1" t="str">
        <f>VLOOKUP(B1146,Bounties!A:D,3,FALSE)</f>
        <v>Outreach</v>
      </c>
      <c r="N1146" s="1" t="str">
        <f>VLOOKUP(B1146,Bounties!A:D,4,FALSE)</f>
        <v>Advertising</v>
      </c>
      <c r="O1146" s="1" t="str">
        <f t="shared" ref="O1146:P1146" si="1150">IF(ISBLANK(K1146),M1146,K1146)</f>
        <v>Outreach</v>
      </c>
      <c r="P1146" s="1" t="str">
        <f t="shared" si="1150"/>
        <v>Advertising/Influencers</v>
      </c>
      <c r="Q1146" s="108" t="str">
        <f t="shared" si="3"/>
        <v>2024</v>
      </c>
      <c r="R1146" s="110">
        <f t="shared" si="4"/>
        <v>5</v>
      </c>
      <c r="S1146" s="108" t="str">
        <f t="shared" si="5"/>
        <v>2024-Q2</v>
      </c>
      <c r="T1146" s="111" t="str">
        <f t="shared" si="6"/>
        <v>2024-05</v>
      </c>
      <c r="U1146" s="112" t="str">
        <f t="shared" si="7"/>
        <v>2024-H1</v>
      </c>
      <c r="V1146" s="1" t="str">
        <f>VLOOKUP(B1146,Bounties!A:E,2,FALSE)</f>
        <v>Marketing Bounty</v>
      </c>
    </row>
    <row r="1147" hidden="1">
      <c r="A1147" s="109">
        <f>HYPERLINK("https://polkadot.subsquare.io/treasury/child-bounties/1145", 1145)</f>
        <v>1145</v>
      </c>
      <c r="B1147" s="183">
        <v>33.0</v>
      </c>
      <c r="C1147" s="27" t="s">
        <v>3404</v>
      </c>
      <c r="D1147" s="27" t="s">
        <v>1705</v>
      </c>
      <c r="E1147" s="129">
        <v>78251.0</v>
      </c>
      <c r="F1147" s="66">
        <v>544899.2731456757</v>
      </c>
      <c r="G1147" s="27" t="s">
        <v>3586</v>
      </c>
      <c r="H1147" s="167">
        <v>45425.0</v>
      </c>
      <c r="I1147" s="167">
        <v>45433.0</v>
      </c>
      <c r="J1147" s="66">
        <v>566873.001636982</v>
      </c>
      <c r="K1147" s="1" t="s">
        <v>137</v>
      </c>
      <c r="L1147" s="1" t="s">
        <v>296</v>
      </c>
      <c r="M1147" s="1" t="str">
        <f>VLOOKUP(B1147,Bounties!A:D,3,FALSE)</f>
        <v>Outreach</v>
      </c>
      <c r="N1147" s="1" t="str">
        <f>VLOOKUP(B1147,Bounties!A:D,4,FALSE)</f>
        <v>Advertising</v>
      </c>
      <c r="O1147" s="1" t="str">
        <f t="shared" ref="O1147:P1147" si="1151">IF(ISBLANK(K1147),M1147,K1147)</f>
        <v>Outreach</v>
      </c>
      <c r="P1147" s="1" t="str">
        <f t="shared" si="1151"/>
        <v>Advertising/Influencers</v>
      </c>
      <c r="Q1147" s="108" t="str">
        <f t="shared" si="3"/>
        <v>2024</v>
      </c>
      <c r="R1147" s="110">
        <f t="shared" si="4"/>
        <v>5</v>
      </c>
      <c r="S1147" s="108" t="str">
        <f t="shared" si="5"/>
        <v>2024-Q2</v>
      </c>
      <c r="T1147" s="111" t="str">
        <f t="shared" si="6"/>
        <v>2024-05</v>
      </c>
      <c r="U1147" s="112" t="str">
        <f t="shared" si="7"/>
        <v>2024-H1</v>
      </c>
      <c r="V1147" s="1" t="str">
        <f>VLOOKUP(B1147,Bounties!A:E,2,FALSE)</f>
        <v>Marketing Bounty</v>
      </c>
    </row>
    <row r="1148" hidden="1">
      <c r="A1148" s="109">
        <f>HYPERLINK("https://polkadot.subsquare.io/treasury/child-bounties/1146", 1146)</f>
        <v>1146</v>
      </c>
      <c r="B1148" s="183">
        <v>33.0</v>
      </c>
      <c r="C1148" s="27" t="s">
        <v>3404</v>
      </c>
      <c r="D1148" s="27" t="s">
        <v>1706</v>
      </c>
      <c r="E1148" s="129">
        <v>17832.0</v>
      </c>
      <c r="F1148" s="66">
        <v>124172.77528381348</v>
      </c>
      <c r="G1148" s="27" t="s">
        <v>3638</v>
      </c>
      <c r="H1148" s="167">
        <v>45425.0</v>
      </c>
      <c r="I1148" s="167">
        <v>45433.0</v>
      </c>
      <c r="J1148" s="66">
        <v>129180.1940574646</v>
      </c>
      <c r="K1148" s="1" t="s">
        <v>137</v>
      </c>
      <c r="L1148" s="1" t="s">
        <v>296</v>
      </c>
      <c r="M1148" s="1" t="str">
        <f>VLOOKUP(B1148,Bounties!A:D,3,FALSE)</f>
        <v>Outreach</v>
      </c>
      <c r="N1148" s="1" t="str">
        <f>VLOOKUP(B1148,Bounties!A:D,4,FALSE)</f>
        <v>Advertising</v>
      </c>
      <c r="O1148" s="1" t="str">
        <f t="shared" ref="O1148:P1148" si="1152">IF(ISBLANK(K1148),M1148,K1148)</f>
        <v>Outreach</v>
      </c>
      <c r="P1148" s="1" t="str">
        <f t="shared" si="1152"/>
        <v>Advertising/Influencers</v>
      </c>
      <c r="Q1148" s="108" t="str">
        <f t="shared" si="3"/>
        <v>2024</v>
      </c>
      <c r="R1148" s="110">
        <f t="shared" si="4"/>
        <v>5</v>
      </c>
      <c r="S1148" s="108" t="str">
        <f t="shared" si="5"/>
        <v>2024-Q2</v>
      </c>
      <c r="T1148" s="111" t="str">
        <f t="shared" si="6"/>
        <v>2024-05</v>
      </c>
      <c r="U1148" s="112" t="str">
        <f t="shared" si="7"/>
        <v>2024-H1</v>
      </c>
      <c r="V1148" s="1" t="str">
        <f>VLOOKUP(B1148,Bounties!A:E,2,FALSE)</f>
        <v>Marketing Bounty</v>
      </c>
    </row>
    <row r="1149" hidden="1">
      <c r="A1149" s="109">
        <f>HYPERLINK("https://polkadot.subsquare.io/treasury/child-bounties/1147", 1147)</f>
        <v>1147</v>
      </c>
      <c r="B1149" s="183">
        <v>33.0</v>
      </c>
      <c r="C1149" s="27" t="s">
        <v>3404</v>
      </c>
      <c r="D1149" s="27" t="s">
        <v>1707</v>
      </c>
      <c r="E1149" s="129">
        <v>127711.0</v>
      </c>
      <c r="F1149" s="66">
        <v>889312.9937343597</v>
      </c>
      <c r="G1149" s="27" t="s">
        <v>3611</v>
      </c>
      <c r="H1149" s="167">
        <v>45425.0</v>
      </c>
      <c r="I1149" s="167">
        <v>45433.0</v>
      </c>
      <c r="J1149" s="66">
        <v>919618.0729379654</v>
      </c>
      <c r="K1149" s="1" t="s">
        <v>137</v>
      </c>
      <c r="L1149" s="1" t="s">
        <v>296</v>
      </c>
      <c r="M1149" s="1" t="str">
        <f>VLOOKUP(B1149,Bounties!A:D,3,FALSE)</f>
        <v>Outreach</v>
      </c>
      <c r="N1149" s="1" t="str">
        <f>VLOOKUP(B1149,Bounties!A:D,4,FALSE)</f>
        <v>Advertising</v>
      </c>
      <c r="O1149" s="1" t="str">
        <f t="shared" ref="O1149:P1149" si="1153">IF(ISBLANK(K1149),M1149,K1149)</f>
        <v>Outreach</v>
      </c>
      <c r="P1149" s="1" t="str">
        <f t="shared" si="1153"/>
        <v>Advertising/Influencers</v>
      </c>
      <c r="Q1149" s="108" t="str">
        <f t="shared" si="3"/>
        <v>2024</v>
      </c>
      <c r="R1149" s="110">
        <f t="shared" si="4"/>
        <v>5</v>
      </c>
      <c r="S1149" s="108" t="str">
        <f t="shared" si="5"/>
        <v>2024-Q2</v>
      </c>
      <c r="T1149" s="111" t="str">
        <f t="shared" si="6"/>
        <v>2024-05</v>
      </c>
      <c r="U1149" s="112" t="str">
        <f t="shared" si="7"/>
        <v>2024-H1</v>
      </c>
      <c r="V1149" s="1" t="str">
        <f>VLOOKUP(B1149,Bounties!A:E,2,FALSE)</f>
        <v>Marketing Bounty</v>
      </c>
    </row>
    <row r="1150" hidden="1">
      <c r="A1150" s="109">
        <f>HYPERLINK("https://polkadot.subsquare.io/treasury/child-bounties/1148", 1148)</f>
        <v>1148</v>
      </c>
      <c r="B1150" s="183">
        <v>42.0</v>
      </c>
      <c r="C1150" s="27" t="s">
        <v>3404</v>
      </c>
      <c r="D1150" s="27" t="s">
        <v>1708</v>
      </c>
      <c r="E1150" s="129">
        <v>31.48</v>
      </c>
      <c r="F1150" s="66">
        <v>221.27686172485352</v>
      </c>
      <c r="G1150" s="27" t="s">
        <v>3674</v>
      </c>
      <c r="H1150" s="167">
        <v>45425.0</v>
      </c>
      <c r="I1150" s="167">
        <v>45434.0</v>
      </c>
      <c r="J1150" s="66">
        <v>233.83777729034423</v>
      </c>
      <c r="K1150" s="1"/>
      <c r="L1150" s="1"/>
      <c r="M1150" s="1" t="str">
        <f>VLOOKUP(B1150,Bounties!A:D,3,FALSE)</f>
        <v>Outreach</v>
      </c>
      <c r="N1150" s="1" t="str">
        <f>VLOOKUP(B1150,Bounties!A:D,4,FALSE)</f>
        <v>Media</v>
      </c>
      <c r="O1150" s="1" t="str">
        <f t="shared" ref="O1150:P1150" si="1154">IF(ISBLANK(K1150),M1150,K1150)</f>
        <v>Outreach</v>
      </c>
      <c r="P1150" s="1" t="str">
        <f t="shared" si="1154"/>
        <v>Media</v>
      </c>
      <c r="Q1150" s="108" t="str">
        <f t="shared" si="3"/>
        <v>2024</v>
      </c>
      <c r="R1150" s="110">
        <f t="shared" si="4"/>
        <v>5</v>
      </c>
      <c r="S1150" s="108" t="str">
        <f t="shared" si="5"/>
        <v>2024-Q2</v>
      </c>
      <c r="T1150" s="111" t="str">
        <f t="shared" si="6"/>
        <v>2024-05</v>
      </c>
      <c r="U1150" s="112" t="str">
        <f t="shared" si="7"/>
        <v>2024-H1</v>
      </c>
      <c r="V1150" s="1" t="str">
        <f>VLOOKUP(B1150,Bounties!A:E,2,FALSE)</f>
        <v>Spanish Bounty</v>
      </c>
    </row>
    <row r="1151" hidden="1">
      <c r="A1151" s="109">
        <f>HYPERLINK("https://polkadot.subsquare.io/treasury/child-bounties/1149", 1149)</f>
        <v>1149</v>
      </c>
      <c r="B1151" s="183">
        <v>42.0</v>
      </c>
      <c r="C1151" s="27" t="s">
        <v>3404</v>
      </c>
      <c r="D1151" s="27" t="s">
        <v>1708</v>
      </c>
      <c r="E1151" s="129">
        <v>3.44</v>
      </c>
      <c r="F1151" s="66">
        <v>24.18019073486328</v>
      </c>
      <c r="G1151" s="27" t="s">
        <v>3675</v>
      </c>
      <c r="H1151" s="167">
        <v>45425.0</v>
      </c>
      <c r="I1151" s="167">
        <v>45433.0</v>
      </c>
      <c r="J1151" s="66">
        <v>24.920360450744628</v>
      </c>
      <c r="K1151" s="1"/>
      <c r="L1151" s="1"/>
      <c r="M1151" s="1" t="str">
        <f>VLOOKUP(B1151,Bounties!A:D,3,FALSE)</f>
        <v>Outreach</v>
      </c>
      <c r="N1151" s="1" t="str">
        <f>VLOOKUP(B1151,Bounties!A:D,4,FALSE)</f>
        <v>Media</v>
      </c>
      <c r="O1151" s="1" t="str">
        <f t="shared" ref="O1151:P1151" si="1155">IF(ISBLANK(K1151),M1151,K1151)</f>
        <v>Outreach</v>
      </c>
      <c r="P1151" s="1" t="str">
        <f t="shared" si="1155"/>
        <v>Media</v>
      </c>
      <c r="Q1151" s="108" t="str">
        <f t="shared" si="3"/>
        <v>2024</v>
      </c>
      <c r="R1151" s="110">
        <f t="shared" si="4"/>
        <v>5</v>
      </c>
      <c r="S1151" s="108" t="str">
        <f t="shared" si="5"/>
        <v>2024-Q2</v>
      </c>
      <c r="T1151" s="111" t="str">
        <f t="shared" si="6"/>
        <v>2024-05</v>
      </c>
      <c r="U1151" s="112" t="str">
        <f t="shared" si="7"/>
        <v>2024-H1</v>
      </c>
      <c r="V1151" s="1" t="str">
        <f>VLOOKUP(B1151,Bounties!A:E,2,FALSE)</f>
        <v>Spanish Bounty</v>
      </c>
    </row>
    <row r="1152" hidden="1">
      <c r="A1152" s="109">
        <f>HYPERLINK("https://polkadot.subsquare.io/treasury/child-bounties/1150", 1150)</f>
        <v>1150</v>
      </c>
      <c r="B1152" s="183">
        <v>42.0</v>
      </c>
      <c r="C1152" s="27" t="s">
        <v>3404</v>
      </c>
      <c r="D1152" s="27" t="s">
        <v>1708</v>
      </c>
      <c r="E1152" s="129">
        <v>3.37</v>
      </c>
      <c r="F1152" s="66">
        <v>23.68815196990967</v>
      </c>
      <c r="G1152" s="27" t="s">
        <v>3675</v>
      </c>
      <c r="H1152" s="167">
        <v>45425.0</v>
      </c>
      <c r="I1152" s="167">
        <v>45433.0</v>
      </c>
      <c r="J1152" s="66">
        <v>24.413260092735293</v>
      </c>
      <c r="K1152" s="1"/>
      <c r="L1152" s="1"/>
      <c r="M1152" s="1" t="str">
        <f>VLOOKUP(B1152,Bounties!A:D,3,FALSE)</f>
        <v>Outreach</v>
      </c>
      <c r="N1152" s="1" t="str">
        <f>VLOOKUP(B1152,Bounties!A:D,4,FALSE)</f>
        <v>Media</v>
      </c>
      <c r="O1152" s="1" t="str">
        <f t="shared" ref="O1152:P1152" si="1156">IF(ISBLANK(K1152),M1152,K1152)</f>
        <v>Outreach</v>
      </c>
      <c r="P1152" s="1" t="str">
        <f t="shared" si="1156"/>
        <v>Media</v>
      </c>
      <c r="Q1152" s="108" t="str">
        <f t="shared" si="3"/>
        <v>2024</v>
      </c>
      <c r="R1152" s="110">
        <f t="shared" si="4"/>
        <v>5</v>
      </c>
      <c r="S1152" s="108" t="str">
        <f t="shared" si="5"/>
        <v>2024-Q2</v>
      </c>
      <c r="T1152" s="111" t="str">
        <f t="shared" si="6"/>
        <v>2024-05</v>
      </c>
      <c r="U1152" s="112" t="str">
        <f t="shared" si="7"/>
        <v>2024-H1</v>
      </c>
      <c r="V1152" s="1" t="str">
        <f>VLOOKUP(B1152,Bounties!A:E,2,FALSE)</f>
        <v>Spanish Bounty</v>
      </c>
    </row>
    <row r="1153" hidden="1">
      <c r="A1153" s="109">
        <f>HYPERLINK("https://polkadot.subsquare.io/treasury/child-bounties/1151", 1151)</f>
        <v>1151</v>
      </c>
      <c r="B1153" s="183">
        <v>42.0</v>
      </c>
      <c r="C1153" s="27" t="s">
        <v>3404</v>
      </c>
      <c r="D1153" s="27" t="s">
        <v>1708</v>
      </c>
      <c r="E1153" s="129">
        <v>31.33</v>
      </c>
      <c r="F1153" s="66">
        <v>220.22249294281005</v>
      </c>
      <c r="G1153" s="27" t="s">
        <v>3676</v>
      </c>
      <c r="H1153" s="167">
        <v>45425.0</v>
      </c>
      <c r="I1153" s="167">
        <v>45433.0</v>
      </c>
      <c r="J1153" s="66">
        <v>226.96363166332245</v>
      </c>
      <c r="K1153" s="1"/>
      <c r="L1153" s="1"/>
      <c r="M1153" s="1" t="str">
        <f>VLOOKUP(B1153,Bounties!A:D,3,FALSE)</f>
        <v>Outreach</v>
      </c>
      <c r="N1153" s="1" t="str">
        <f>VLOOKUP(B1153,Bounties!A:D,4,FALSE)</f>
        <v>Media</v>
      </c>
      <c r="O1153" s="1" t="str">
        <f t="shared" ref="O1153:P1153" si="1157">IF(ISBLANK(K1153),M1153,K1153)</f>
        <v>Outreach</v>
      </c>
      <c r="P1153" s="1" t="str">
        <f t="shared" si="1157"/>
        <v>Media</v>
      </c>
      <c r="Q1153" s="108" t="str">
        <f t="shared" si="3"/>
        <v>2024</v>
      </c>
      <c r="R1153" s="110">
        <f t="shared" si="4"/>
        <v>5</v>
      </c>
      <c r="S1153" s="108" t="str">
        <f t="shared" si="5"/>
        <v>2024-Q2</v>
      </c>
      <c r="T1153" s="111" t="str">
        <f t="shared" si="6"/>
        <v>2024-05</v>
      </c>
      <c r="U1153" s="112" t="str">
        <f t="shared" si="7"/>
        <v>2024-H1</v>
      </c>
      <c r="V1153" s="1" t="str">
        <f>VLOOKUP(B1153,Bounties!A:E,2,FALSE)</f>
        <v>Spanish Bounty</v>
      </c>
    </row>
    <row r="1154" hidden="1">
      <c r="A1154" s="109">
        <f>HYPERLINK("https://polkadot.subsquare.io/treasury/child-bounties/1152", 1152)</f>
        <v>1152</v>
      </c>
      <c r="B1154" s="183">
        <v>42.0</v>
      </c>
      <c r="C1154" s="27" t="s">
        <v>3404</v>
      </c>
      <c r="D1154" s="27" t="s">
        <v>1709</v>
      </c>
      <c r="E1154" s="129">
        <v>202.94</v>
      </c>
      <c r="F1154" s="66">
        <v>1426.4906708526612</v>
      </c>
      <c r="G1154" s="27" t="s">
        <v>3677</v>
      </c>
      <c r="H1154" s="167">
        <v>45425.0</v>
      </c>
      <c r="I1154" s="167">
        <v>45433.0</v>
      </c>
      <c r="J1154" s="66">
        <v>1470.156380777359</v>
      </c>
      <c r="K1154" s="1"/>
      <c r="L1154" s="1"/>
      <c r="M1154" s="1" t="str">
        <f>VLOOKUP(B1154,Bounties!A:D,3,FALSE)</f>
        <v>Outreach</v>
      </c>
      <c r="N1154" s="1" t="str">
        <f>VLOOKUP(B1154,Bounties!A:D,4,FALSE)</f>
        <v>Media</v>
      </c>
      <c r="O1154" s="1" t="str">
        <f t="shared" ref="O1154:P1154" si="1158">IF(ISBLANK(K1154),M1154,K1154)</f>
        <v>Outreach</v>
      </c>
      <c r="P1154" s="1" t="str">
        <f t="shared" si="1158"/>
        <v>Media</v>
      </c>
      <c r="Q1154" s="108" t="str">
        <f t="shared" si="3"/>
        <v>2024</v>
      </c>
      <c r="R1154" s="110">
        <f t="shared" si="4"/>
        <v>5</v>
      </c>
      <c r="S1154" s="108" t="str">
        <f t="shared" si="5"/>
        <v>2024-Q2</v>
      </c>
      <c r="T1154" s="111" t="str">
        <f t="shared" si="6"/>
        <v>2024-05</v>
      </c>
      <c r="U1154" s="112" t="str">
        <f t="shared" si="7"/>
        <v>2024-H1</v>
      </c>
      <c r="V1154" s="1" t="str">
        <f>VLOOKUP(B1154,Bounties!A:E,2,FALSE)</f>
        <v>Spanish Bounty</v>
      </c>
    </row>
    <row r="1155" hidden="1">
      <c r="A1155" s="109">
        <f>HYPERLINK("https://polkadot.subsquare.io/treasury/child-bounties/1153", 1153)</f>
        <v>1153</v>
      </c>
      <c r="B1155" s="183">
        <v>42.0</v>
      </c>
      <c r="C1155" s="27" t="s">
        <v>3404</v>
      </c>
      <c r="D1155" s="27" t="s">
        <v>1710</v>
      </c>
      <c r="E1155" s="129">
        <v>3413.26</v>
      </c>
      <c r="F1155" s="66">
        <v>23992.231926651002</v>
      </c>
      <c r="G1155" s="27" t="s">
        <v>3678</v>
      </c>
      <c r="H1155" s="167">
        <v>45425.0</v>
      </c>
      <c r="I1155" s="167">
        <v>45434.0</v>
      </c>
      <c r="J1155" s="66">
        <v>24726.648113985062</v>
      </c>
      <c r="K1155" s="1"/>
      <c r="L1155" s="1"/>
      <c r="M1155" s="1" t="str">
        <f>VLOOKUP(B1155,Bounties!A:D,3,FALSE)</f>
        <v>Outreach</v>
      </c>
      <c r="N1155" s="1" t="str">
        <f>VLOOKUP(B1155,Bounties!A:D,4,FALSE)</f>
        <v>Media</v>
      </c>
      <c r="O1155" s="1" t="str">
        <f t="shared" ref="O1155:P1155" si="1159">IF(ISBLANK(K1155),M1155,K1155)</f>
        <v>Outreach</v>
      </c>
      <c r="P1155" s="1" t="str">
        <f t="shared" si="1159"/>
        <v>Media</v>
      </c>
      <c r="Q1155" s="108" t="str">
        <f t="shared" si="3"/>
        <v>2024</v>
      </c>
      <c r="R1155" s="110">
        <f t="shared" si="4"/>
        <v>5</v>
      </c>
      <c r="S1155" s="108" t="str">
        <f t="shared" si="5"/>
        <v>2024-Q2</v>
      </c>
      <c r="T1155" s="111" t="str">
        <f t="shared" si="6"/>
        <v>2024-05</v>
      </c>
      <c r="U1155" s="112" t="str">
        <f t="shared" si="7"/>
        <v>2024-H1</v>
      </c>
      <c r="V1155" s="1" t="str">
        <f>VLOOKUP(B1155,Bounties!A:E,2,FALSE)</f>
        <v>Spanish Bounty</v>
      </c>
    </row>
    <row r="1156" hidden="1">
      <c r="A1156" s="109">
        <f>HYPERLINK("https://polkadot.subsquare.io/treasury/child-bounties/1154", 1154)</f>
        <v>1154</v>
      </c>
      <c r="B1156" s="183">
        <v>31.0</v>
      </c>
      <c r="C1156" s="27" t="s">
        <v>3404</v>
      </c>
      <c r="D1156" s="27" t="s">
        <v>1711</v>
      </c>
      <c r="E1156" s="129">
        <v>103.54</v>
      </c>
      <c r="F1156" s="66">
        <v>727.7956246185303</v>
      </c>
      <c r="G1156" s="27" t="s">
        <v>3652</v>
      </c>
      <c r="H1156" s="167">
        <v>45426.0</v>
      </c>
      <c r="I1156" s="167">
        <v>45440.0</v>
      </c>
      <c r="J1156" s="66">
        <v>724.5584197235108</v>
      </c>
      <c r="K1156" s="1"/>
      <c r="L1156" s="1"/>
      <c r="M1156" s="1" t="str">
        <f>VLOOKUP(B1156,Bounties!A:D,3,FALSE)</f>
        <v>Operations</v>
      </c>
      <c r="N1156" s="1" t="str">
        <f>VLOOKUP(B1156,Bounties!A:D,4,FALSE)</f>
        <v>RPCs and Nodes</v>
      </c>
      <c r="O1156" s="1" t="str">
        <f t="shared" ref="O1156:P1156" si="1160">IF(ISBLANK(K1156),M1156,K1156)</f>
        <v>Operations</v>
      </c>
      <c r="P1156" s="1" t="str">
        <f t="shared" si="1160"/>
        <v>RPCs and Nodes</v>
      </c>
      <c r="Q1156" s="108" t="str">
        <f t="shared" si="3"/>
        <v>2024</v>
      </c>
      <c r="R1156" s="110">
        <f t="shared" si="4"/>
        <v>5</v>
      </c>
      <c r="S1156" s="108" t="str">
        <f t="shared" si="5"/>
        <v>2024-Q2</v>
      </c>
      <c r="T1156" s="111" t="str">
        <f t="shared" si="6"/>
        <v>2024-05</v>
      </c>
      <c r="U1156" s="112" t="str">
        <f t="shared" si="7"/>
        <v>2024-H1</v>
      </c>
      <c r="V1156" s="1" t="str">
        <f>VLOOKUP(B1156,Bounties!A:E,2,FALSE)</f>
        <v>Public RPCs for Relay and System Chains</v>
      </c>
    </row>
    <row r="1157" hidden="1">
      <c r="A1157" s="109">
        <f>HYPERLINK("https://polkadot.subsquare.io/treasury/child-bounties/1155", 1155)</f>
        <v>1155</v>
      </c>
      <c r="B1157" s="183">
        <v>31.0</v>
      </c>
      <c r="C1157" s="27" t="s">
        <v>3404</v>
      </c>
      <c r="D1157" s="27" t="s">
        <v>1712</v>
      </c>
      <c r="E1157" s="129">
        <v>327.01</v>
      </c>
      <c r="F1157" s="66">
        <v>2298.5942361068724</v>
      </c>
      <c r="G1157" s="27" t="s">
        <v>3653</v>
      </c>
      <c r="H1157" s="167">
        <v>45426.0</v>
      </c>
      <c r="I1157" s="167">
        <v>45494.0</v>
      </c>
      <c r="J1157" s="66">
        <v>1879.7793633317947</v>
      </c>
      <c r="K1157" s="1"/>
      <c r="L1157" s="1"/>
      <c r="M1157" s="1" t="str">
        <f>VLOOKUP(B1157,Bounties!A:D,3,FALSE)</f>
        <v>Operations</v>
      </c>
      <c r="N1157" s="1" t="str">
        <f>VLOOKUP(B1157,Bounties!A:D,4,FALSE)</f>
        <v>RPCs and Nodes</v>
      </c>
      <c r="O1157" s="1" t="str">
        <f t="shared" ref="O1157:P1157" si="1161">IF(ISBLANK(K1157),M1157,K1157)</f>
        <v>Operations</v>
      </c>
      <c r="P1157" s="1" t="str">
        <f t="shared" si="1161"/>
        <v>RPCs and Nodes</v>
      </c>
      <c r="Q1157" s="108" t="str">
        <f t="shared" si="3"/>
        <v>2024</v>
      </c>
      <c r="R1157" s="110">
        <f t="shared" si="4"/>
        <v>7</v>
      </c>
      <c r="S1157" s="108" t="str">
        <f t="shared" si="5"/>
        <v>2024-Q3</v>
      </c>
      <c r="T1157" s="111" t="str">
        <f t="shared" si="6"/>
        <v>2024-07</v>
      </c>
      <c r="U1157" s="112" t="str">
        <f t="shared" si="7"/>
        <v>2024-H2</v>
      </c>
      <c r="V1157" s="1" t="str">
        <f>VLOOKUP(B1157,Bounties!A:E,2,FALSE)</f>
        <v>Public RPCs for Relay and System Chains</v>
      </c>
    </row>
    <row r="1158" hidden="1">
      <c r="A1158" s="109">
        <f>HYPERLINK("https://polkadot.subsquare.io/treasury/child-bounties/1156", 1156)</f>
        <v>1156</v>
      </c>
      <c r="B1158" s="183">
        <v>31.0</v>
      </c>
      <c r="C1158" s="27" t="s">
        <v>3404</v>
      </c>
      <c r="D1158" s="27" t="s">
        <v>1713</v>
      </c>
      <c r="E1158" s="129">
        <v>564.64</v>
      </c>
      <c r="F1158" s="66">
        <v>3968.925260620117</v>
      </c>
      <c r="G1158" s="27" t="s">
        <v>3654</v>
      </c>
      <c r="H1158" s="167">
        <v>45426.0</v>
      </c>
      <c r="I1158" s="167">
        <v>45439.0</v>
      </c>
      <c r="J1158" s="66">
        <v>4049.83631980896</v>
      </c>
      <c r="K1158" s="1"/>
      <c r="L1158" s="1"/>
      <c r="M1158" s="1" t="str">
        <f>VLOOKUP(B1158,Bounties!A:D,3,FALSE)</f>
        <v>Operations</v>
      </c>
      <c r="N1158" s="1" t="str">
        <f>VLOOKUP(B1158,Bounties!A:D,4,FALSE)</f>
        <v>RPCs and Nodes</v>
      </c>
      <c r="O1158" s="1" t="str">
        <f t="shared" ref="O1158:P1158" si="1162">IF(ISBLANK(K1158),M1158,K1158)</f>
        <v>Operations</v>
      </c>
      <c r="P1158" s="1" t="str">
        <f t="shared" si="1162"/>
        <v>RPCs and Nodes</v>
      </c>
      <c r="Q1158" s="108" t="str">
        <f t="shared" si="3"/>
        <v>2024</v>
      </c>
      <c r="R1158" s="110">
        <f t="shared" si="4"/>
        <v>5</v>
      </c>
      <c r="S1158" s="108" t="str">
        <f t="shared" si="5"/>
        <v>2024-Q2</v>
      </c>
      <c r="T1158" s="111" t="str">
        <f t="shared" si="6"/>
        <v>2024-05</v>
      </c>
      <c r="U1158" s="112" t="str">
        <f t="shared" si="7"/>
        <v>2024-H1</v>
      </c>
      <c r="V1158" s="1" t="str">
        <f>VLOOKUP(B1158,Bounties!A:E,2,FALSE)</f>
        <v>Public RPCs for Relay and System Chains</v>
      </c>
    </row>
    <row r="1159" hidden="1">
      <c r="A1159" s="109">
        <f>HYPERLINK("https://polkadot.subsquare.io/treasury/child-bounties/1157", 1157)</f>
        <v>1157</v>
      </c>
      <c r="B1159" s="183">
        <v>31.0</v>
      </c>
      <c r="C1159" s="27" t="s">
        <v>3404</v>
      </c>
      <c r="D1159" s="27" t="s">
        <v>1714</v>
      </c>
      <c r="E1159" s="129">
        <v>742.94</v>
      </c>
      <c r="F1159" s="66">
        <v>5222.218286209107</v>
      </c>
      <c r="G1159" s="27" t="s">
        <v>3589</v>
      </c>
      <c r="H1159" s="167">
        <v>45426.0</v>
      </c>
      <c r="I1159" s="167">
        <v>45448.0</v>
      </c>
      <c r="J1159" s="66">
        <v>4746.215666885377</v>
      </c>
      <c r="K1159" s="1"/>
      <c r="L1159" s="1"/>
      <c r="M1159" s="1" t="str">
        <f>VLOOKUP(B1159,Bounties!A:D,3,FALSE)</f>
        <v>Operations</v>
      </c>
      <c r="N1159" s="1" t="str">
        <f>VLOOKUP(B1159,Bounties!A:D,4,FALSE)</f>
        <v>RPCs and Nodes</v>
      </c>
      <c r="O1159" s="1" t="str">
        <f t="shared" ref="O1159:P1159" si="1163">IF(ISBLANK(K1159),M1159,K1159)</f>
        <v>Operations</v>
      </c>
      <c r="P1159" s="1" t="str">
        <f t="shared" si="1163"/>
        <v>RPCs and Nodes</v>
      </c>
      <c r="Q1159" s="108" t="str">
        <f t="shared" si="3"/>
        <v>2024</v>
      </c>
      <c r="R1159" s="110">
        <f t="shared" si="4"/>
        <v>6</v>
      </c>
      <c r="S1159" s="108" t="str">
        <f t="shared" si="5"/>
        <v>2024-Q2</v>
      </c>
      <c r="T1159" s="111" t="str">
        <f t="shared" si="6"/>
        <v>2024-06</v>
      </c>
      <c r="U1159" s="112" t="str">
        <f t="shared" si="7"/>
        <v>2024-H1</v>
      </c>
      <c r="V1159" s="1" t="str">
        <f>VLOOKUP(B1159,Bounties!A:E,2,FALSE)</f>
        <v>Public RPCs for Relay and System Chains</v>
      </c>
    </row>
    <row r="1160" hidden="1">
      <c r="A1160" s="109">
        <f>HYPERLINK("https://polkadot.subsquare.io/treasury/child-bounties/1158", 1158)</f>
        <v>1158</v>
      </c>
      <c r="B1160" s="183">
        <v>31.0</v>
      </c>
      <c r="C1160" s="27" t="s">
        <v>3655</v>
      </c>
      <c r="D1160" s="27" t="s">
        <v>3679</v>
      </c>
      <c r="E1160" s="129">
        <v>267.46</v>
      </c>
      <c r="F1160" s="66">
        <v>1880.00982963562</v>
      </c>
      <c r="G1160" s="27" t="s">
        <v>3657</v>
      </c>
      <c r="H1160" s="167">
        <v>45426.0</v>
      </c>
      <c r="I1160" s="167">
        <v>45430.0</v>
      </c>
      <c r="J1160" s="66">
        <v>2026.0174836826322</v>
      </c>
      <c r="K1160" s="1"/>
      <c r="L1160" s="1"/>
      <c r="M1160" s="1" t="str">
        <f>VLOOKUP(B1160,Bounties!A:D,3,FALSE)</f>
        <v>Operations</v>
      </c>
      <c r="N1160" s="1" t="str">
        <f>VLOOKUP(B1160,Bounties!A:D,4,FALSE)</f>
        <v>RPCs and Nodes</v>
      </c>
      <c r="O1160" s="1" t="str">
        <f t="shared" ref="O1160:P1160" si="1164">IF(ISBLANK(K1160),M1160,K1160)</f>
        <v>Operations</v>
      </c>
      <c r="P1160" s="1" t="str">
        <f t="shared" si="1164"/>
        <v>RPCs and Nodes</v>
      </c>
      <c r="Q1160" s="108" t="str">
        <f t="shared" si="3"/>
        <v>2024</v>
      </c>
      <c r="R1160" s="110">
        <f t="shared" si="4"/>
        <v>5</v>
      </c>
      <c r="S1160" s="108" t="str">
        <f t="shared" si="5"/>
        <v>2024-Q2</v>
      </c>
      <c r="T1160" s="111" t="str">
        <f t="shared" si="6"/>
        <v>2024-05</v>
      </c>
      <c r="U1160" s="112" t="str">
        <f t="shared" si="7"/>
        <v>2024-H1</v>
      </c>
      <c r="V1160" s="1" t="str">
        <f>VLOOKUP(B1160,Bounties!A:E,2,FALSE)</f>
        <v>Public RPCs for Relay and System Chains</v>
      </c>
    </row>
    <row r="1161" hidden="1">
      <c r="A1161" s="109">
        <f>HYPERLINK("https://polkadot.subsquare.io/treasury/child-bounties/1159", 1159)</f>
        <v>1159</v>
      </c>
      <c r="B1161" s="183">
        <v>31.0</v>
      </c>
      <c r="C1161" s="27" t="s">
        <v>3404</v>
      </c>
      <c r="D1161" s="27" t="s">
        <v>1715</v>
      </c>
      <c r="E1161" s="129">
        <v>520.06</v>
      </c>
      <c r="F1161" s="66">
        <v>3655.5668585968015</v>
      </c>
      <c r="G1161" s="27" t="s">
        <v>3658</v>
      </c>
      <c r="H1161" s="167">
        <v>45426.0</v>
      </c>
      <c r="I1161" s="167">
        <v>45438.0</v>
      </c>
      <c r="J1161" s="66">
        <v>3730.0897500705714</v>
      </c>
      <c r="K1161" s="1"/>
      <c r="L1161" s="1"/>
      <c r="M1161" s="1" t="str">
        <f>VLOOKUP(B1161,Bounties!A:D,3,FALSE)</f>
        <v>Operations</v>
      </c>
      <c r="N1161" s="1" t="str">
        <f>VLOOKUP(B1161,Bounties!A:D,4,FALSE)</f>
        <v>RPCs and Nodes</v>
      </c>
      <c r="O1161" s="1" t="str">
        <f t="shared" ref="O1161:P1161" si="1165">IF(ISBLANK(K1161),M1161,K1161)</f>
        <v>Operations</v>
      </c>
      <c r="P1161" s="1" t="str">
        <f t="shared" si="1165"/>
        <v>RPCs and Nodes</v>
      </c>
      <c r="Q1161" s="108" t="str">
        <f t="shared" si="3"/>
        <v>2024</v>
      </c>
      <c r="R1161" s="110">
        <f t="shared" si="4"/>
        <v>5</v>
      </c>
      <c r="S1161" s="108" t="str">
        <f t="shared" si="5"/>
        <v>2024-Q2</v>
      </c>
      <c r="T1161" s="111" t="str">
        <f t="shared" si="6"/>
        <v>2024-05</v>
      </c>
      <c r="U1161" s="112" t="str">
        <f t="shared" si="7"/>
        <v>2024-H1</v>
      </c>
      <c r="V1161" s="1" t="str">
        <f>VLOOKUP(B1161,Bounties!A:E,2,FALSE)</f>
        <v>Public RPCs for Relay and System Chains</v>
      </c>
    </row>
    <row r="1162" hidden="1">
      <c r="A1162" s="109">
        <f>HYPERLINK("https://polkadot.subsquare.io/treasury/child-bounties/1160", 1160)</f>
        <v>1160</v>
      </c>
      <c r="B1162" s="183">
        <v>31.0</v>
      </c>
      <c r="C1162" s="27" t="s">
        <v>3404</v>
      </c>
      <c r="D1162" s="27" t="s">
        <v>1716</v>
      </c>
      <c r="E1162" s="129">
        <v>586.92</v>
      </c>
      <c r="F1162" s="66">
        <v>4125.534170379638</v>
      </c>
      <c r="G1162" s="27" t="s">
        <v>3659</v>
      </c>
      <c r="H1162" s="167">
        <v>45426.0</v>
      </c>
      <c r="I1162" s="167">
        <v>45438.0</v>
      </c>
      <c r="J1162" s="66">
        <v>4209.637880458831</v>
      </c>
      <c r="K1162" s="1"/>
      <c r="L1162" s="1"/>
      <c r="M1162" s="1" t="str">
        <f>VLOOKUP(B1162,Bounties!A:D,3,FALSE)</f>
        <v>Operations</v>
      </c>
      <c r="N1162" s="1" t="str">
        <f>VLOOKUP(B1162,Bounties!A:D,4,FALSE)</f>
        <v>RPCs and Nodes</v>
      </c>
      <c r="O1162" s="1" t="str">
        <f t="shared" ref="O1162:P1162" si="1166">IF(ISBLANK(K1162),M1162,K1162)</f>
        <v>Operations</v>
      </c>
      <c r="P1162" s="1" t="str">
        <f t="shared" si="1166"/>
        <v>RPCs and Nodes</v>
      </c>
      <c r="Q1162" s="108" t="str">
        <f t="shared" si="3"/>
        <v>2024</v>
      </c>
      <c r="R1162" s="110">
        <f t="shared" si="4"/>
        <v>5</v>
      </c>
      <c r="S1162" s="108" t="str">
        <f t="shared" si="5"/>
        <v>2024-Q2</v>
      </c>
      <c r="T1162" s="111" t="str">
        <f t="shared" si="6"/>
        <v>2024-05</v>
      </c>
      <c r="U1162" s="112" t="str">
        <f t="shared" si="7"/>
        <v>2024-H1</v>
      </c>
      <c r="V1162" s="1" t="str">
        <f>VLOOKUP(B1162,Bounties!A:E,2,FALSE)</f>
        <v>Public RPCs for Relay and System Chains</v>
      </c>
    </row>
    <row r="1163" hidden="1">
      <c r="A1163" s="109">
        <f>HYPERLINK("https://polkadot.subsquare.io/treasury/child-bounties/1161", 1161)</f>
        <v>1161</v>
      </c>
      <c r="B1163" s="183">
        <v>42.0</v>
      </c>
      <c r="C1163" s="27" t="s">
        <v>3404</v>
      </c>
      <c r="D1163" s="27" t="s">
        <v>1717</v>
      </c>
      <c r="E1163" s="129">
        <v>16.07</v>
      </c>
      <c r="F1163" s="66">
        <v>115.65186708927155</v>
      </c>
      <c r="G1163" s="27" t="s">
        <v>3677</v>
      </c>
      <c r="H1163" s="167">
        <v>45426.0</v>
      </c>
      <c r="I1163" s="167">
        <v>45434.0</v>
      </c>
      <c r="J1163" s="66">
        <v>119.37017411231994</v>
      </c>
      <c r="K1163" s="1"/>
      <c r="L1163" s="1"/>
      <c r="M1163" s="1" t="str">
        <f>VLOOKUP(B1163,Bounties!A:D,3,FALSE)</f>
        <v>Outreach</v>
      </c>
      <c r="N1163" s="1" t="str">
        <f>VLOOKUP(B1163,Bounties!A:D,4,FALSE)</f>
        <v>Media</v>
      </c>
      <c r="O1163" s="1" t="str">
        <f t="shared" ref="O1163:P1163" si="1167">IF(ISBLANK(K1163),M1163,K1163)</f>
        <v>Outreach</v>
      </c>
      <c r="P1163" s="1" t="str">
        <f t="shared" si="1167"/>
        <v>Media</v>
      </c>
      <c r="Q1163" s="108" t="str">
        <f t="shared" si="3"/>
        <v>2024</v>
      </c>
      <c r="R1163" s="110">
        <f t="shared" si="4"/>
        <v>5</v>
      </c>
      <c r="S1163" s="108" t="str">
        <f t="shared" si="5"/>
        <v>2024-Q2</v>
      </c>
      <c r="T1163" s="111" t="str">
        <f t="shared" si="6"/>
        <v>2024-05</v>
      </c>
      <c r="U1163" s="112" t="str">
        <f t="shared" si="7"/>
        <v>2024-H1</v>
      </c>
      <c r="V1163" s="1" t="str">
        <f>VLOOKUP(B1163,Bounties!A:E,2,FALSE)</f>
        <v>Spanish Bounty</v>
      </c>
    </row>
    <row r="1164" hidden="1">
      <c r="A1164" s="109">
        <f>HYPERLINK("https://polkadot.subsquare.io/treasury/child-bounties/1162", 1162)</f>
        <v>1162</v>
      </c>
      <c r="B1164" s="183">
        <v>42.0</v>
      </c>
      <c r="C1164" s="27" t="s">
        <v>3404</v>
      </c>
      <c r="D1164" s="27" t="s">
        <v>1718</v>
      </c>
      <c r="E1164" s="129">
        <v>25.04</v>
      </c>
      <c r="F1164" s="66">
        <v>180.20676738739013</v>
      </c>
      <c r="G1164" s="27" t="s">
        <v>3680</v>
      </c>
      <c r="H1164" s="167">
        <v>45426.0</v>
      </c>
      <c r="I1164" s="167">
        <v>45434.0</v>
      </c>
      <c r="J1164" s="66">
        <v>186.00056999206544</v>
      </c>
      <c r="K1164" s="1"/>
      <c r="L1164" s="1"/>
      <c r="M1164" s="1" t="str">
        <f>VLOOKUP(B1164,Bounties!A:D,3,FALSE)</f>
        <v>Outreach</v>
      </c>
      <c r="N1164" s="1" t="str">
        <f>VLOOKUP(B1164,Bounties!A:D,4,FALSE)</f>
        <v>Media</v>
      </c>
      <c r="O1164" s="1" t="str">
        <f t="shared" ref="O1164:P1164" si="1168">IF(ISBLANK(K1164),M1164,K1164)</f>
        <v>Outreach</v>
      </c>
      <c r="P1164" s="1" t="str">
        <f t="shared" si="1168"/>
        <v>Media</v>
      </c>
      <c r="Q1164" s="108" t="str">
        <f t="shared" si="3"/>
        <v>2024</v>
      </c>
      <c r="R1164" s="110">
        <f t="shared" si="4"/>
        <v>5</v>
      </c>
      <c r="S1164" s="108" t="str">
        <f t="shared" si="5"/>
        <v>2024-Q2</v>
      </c>
      <c r="T1164" s="111" t="str">
        <f t="shared" si="6"/>
        <v>2024-05</v>
      </c>
      <c r="U1164" s="112" t="str">
        <f t="shared" si="7"/>
        <v>2024-H1</v>
      </c>
      <c r="V1164" s="1" t="str">
        <f>VLOOKUP(B1164,Bounties!A:E,2,FALSE)</f>
        <v>Spanish Bounty</v>
      </c>
    </row>
    <row r="1165" hidden="1">
      <c r="A1165" s="109">
        <f>HYPERLINK("https://polkadot.subsquare.io/treasury/child-bounties/1163", 1163)</f>
        <v>1163</v>
      </c>
      <c r="B1165" s="183">
        <v>42.0</v>
      </c>
      <c r="C1165" s="27" t="s">
        <v>3404</v>
      </c>
      <c r="D1165" s="27" t="s">
        <v>1719</v>
      </c>
      <c r="E1165" s="129">
        <v>8.03</v>
      </c>
      <c r="F1165" s="66">
        <v>57.78994976520538</v>
      </c>
      <c r="G1165" s="27" t="s">
        <v>3681</v>
      </c>
      <c r="H1165" s="167">
        <v>45426.0</v>
      </c>
      <c r="I1165" s="167">
        <v>45434.0</v>
      </c>
      <c r="J1165" s="66">
        <v>59.64794636726379</v>
      </c>
      <c r="K1165" s="1"/>
      <c r="L1165" s="1"/>
      <c r="M1165" s="1" t="str">
        <f>VLOOKUP(B1165,Bounties!A:D,3,FALSE)</f>
        <v>Outreach</v>
      </c>
      <c r="N1165" s="1" t="str">
        <f>VLOOKUP(B1165,Bounties!A:D,4,FALSE)</f>
        <v>Media</v>
      </c>
      <c r="O1165" s="1" t="str">
        <f t="shared" ref="O1165:P1165" si="1169">IF(ISBLANK(K1165),M1165,K1165)</f>
        <v>Outreach</v>
      </c>
      <c r="P1165" s="1" t="str">
        <f t="shared" si="1169"/>
        <v>Media</v>
      </c>
      <c r="Q1165" s="108" t="str">
        <f t="shared" si="3"/>
        <v>2024</v>
      </c>
      <c r="R1165" s="110">
        <f t="shared" si="4"/>
        <v>5</v>
      </c>
      <c r="S1165" s="108" t="str">
        <f t="shared" si="5"/>
        <v>2024-Q2</v>
      </c>
      <c r="T1165" s="111" t="str">
        <f t="shared" si="6"/>
        <v>2024-05</v>
      </c>
      <c r="U1165" s="112" t="str">
        <f t="shared" si="7"/>
        <v>2024-H1</v>
      </c>
      <c r="V1165" s="1" t="str">
        <f>VLOOKUP(B1165,Bounties!A:E,2,FALSE)</f>
        <v>Spanish Bounty</v>
      </c>
    </row>
    <row r="1166" hidden="1">
      <c r="A1166" s="109">
        <f>HYPERLINK("https://polkadot.subsquare.io/treasury/child-bounties/1164", 1164)</f>
        <v>1164</v>
      </c>
      <c r="B1166" s="183">
        <v>43.0</v>
      </c>
      <c r="C1166" s="27" t="s">
        <v>3404</v>
      </c>
      <c r="D1166" s="27" t="s">
        <v>1720</v>
      </c>
      <c r="E1166" s="129">
        <v>36.4</v>
      </c>
      <c r="F1166" s="66">
        <v>261.96191425323485</v>
      </c>
      <c r="G1166" s="27" t="s">
        <v>3682</v>
      </c>
      <c r="H1166" s="167">
        <v>45426.0</v>
      </c>
      <c r="I1166" s="167">
        <v>45438.0</v>
      </c>
      <c r="J1166" s="66">
        <v>261.0761583328247</v>
      </c>
      <c r="K1166" s="1"/>
      <c r="L1166" s="1"/>
      <c r="M1166" s="1" t="str">
        <f>VLOOKUP(B1166,Bounties!A:D,3,FALSE)</f>
        <v>Outreach</v>
      </c>
      <c r="N1166" s="1" t="str">
        <f>VLOOKUP(B1166,Bounties!A:D,4,FALSE)</f>
        <v>Events/Meetups</v>
      </c>
      <c r="O1166" s="1" t="str">
        <f t="shared" ref="O1166:P1166" si="1170">IF(ISBLANK(K1166),M1166,K1166)</f>
        <v>Outreach</v>
      </c>
      <c r="P1166" s="1" t="str">
        <f t="shared" si="1170"/>
        <v>Events/Meetups</v>
      </c>
      <c r="Q1166" s="108" t="str">
        <f t="shared" si="3"/>
        <v>2024</v>
      </c>
      <c r="R1166" s="110">
        <f t="shared" si="4"/>
        <v>5</v>
      </c>
      <c r="S1166" s="108" t="str">
        <f t="shared" si="5"/>
        <v>2024-Q2</v>
      </c>
      <c r="T1166" s="111" t="str">
        <f t="shared" si="6"/>
        <v>2024-05</v>
      </c>
      <c r="U1166" s="112" t="str">
        <f t="shared" si="7"/>
        <v>2024-H1</v>
      </c>
      <c r="V1166" s="1" t="str">
        <f>VLOOKUP(B1166,Bounties!A:E,2,FALSE)</f>
        <v>Meetups Bounty</v>
      </c>
    </row>
    <row r="1167" hidden="1">
      <c r="A1167" s="109">
        <f>HYPERLINK("https://polkadot.subsquare.io/treasury/child-bounties/1165", 1165)</f>
        <v>1165</v>
      </c>
      <c r="B1167" s="183">
        <v>42.0</v>
      </c>
      <c r="C1167" s="27" t="s">
        <v>3404</v>
      </c>
      <c r="D1167" s="27" t="s">
        <v>1721</v>
      </c>
      <c r="E1167" s="129">
        <v>23.78</v>
      </c>
      <c r="F1167" s="66">
        <v>170.31124168395996</v>
      </c>
      <c r="G1167" s="27" t="s">
        <v>3683</v>
      </c>
      <c r="H1167" s="167">
        <v>45427.0</v>
      </c>
      <c r="I1167" s="167">
        <v>45438.0</v>
      </c>
      <c r="J1167" s="66">
        <v>175.18899734497072</v>
      </c>
      <c r="K1167" s="1"/>
      <c r="L1167" s="1"/>
      <c r="M1167" s="1" t="str">
        <f>VLOOKUP(B1167,Bounties!A:D,3,FALSE)</f>
        <v>Outreach</v>
      </c>
      <c r="N1167" s="1" t="str">
        <f>VLOOKUP(B1167,Bounties!A:D,4,FALSE)</f>
        <v>Media</v>
      </c>
      <c r="O1167" s="1" t="str">
        <f t="shared" ref="O1167:P1167" si="1171">IF(ISBLANK(K1167),M1167,K1167)</f>
        <v>Outreach</v>
      </c>
      <c r="P1167" s="1" t="str">
        <f t="shared" si="1171"/>
        <v>Media</v>
      </c>
      <c r="Q1167" s="108" t="str">
        <f t="shared" si="3"/>
        <v>2024</v>
      </c>
      <c r="R1167" s="110">
        <f t="shared" si="4"/>
        <v>5</v>
      </c>
      <c r="S1167" s="108" t="str">
        <f t="shared" si="5"/>
        <v>2024-Q2</v>
      </c>
      <c r="T1167" s="111" t="str">
        <f t="shared" si="6"/>
        <v>2024-05</v>
      </c>
      <c r="U1167" s="112" t="str">
        <f t="shared" si="7"/>
        <v>2024-H1</v>
      </c>
      <c r="V1167" s="1" t="str">
        <f>VLOOKUP(B1167,Bounties!A:E,2,FALSE)</f>
        <v>Spanish Bounty</v>
      </c>
    </row>
    <row r="1168" hidden="1">
      <c r="A1168" s="109">
        <f>HYPERLINK("https://polkadot.subsquare.io/treasury/child-bounties/1166", 1166)</f>
        <v>1166</v>
      </c>
      <c r="B1168" s="183">
        <v>17.0</v>
      </c>
      <c r="C1168" s="27" t="s">
        <v>3404</v>
      </c>
      <c r="D1168" s="27" t="s">
        <v>1722</v>
      </c>
      <c r="E1168" s="129">
        <v>2281.5</v>
      </c>
      <c r="F1168" s="66">
        <v>16339.995706558228</v>
      </c>
      <c r="G1168" s="27" t="s">
        <v>3632</v>
      </c>
      <c r="H1168" s="167">
        <v>45427.0</v>
      </c>
      <c r="I1168" s="167">
        <v>45440.0</v>
      </c>
      <c r="J1168" s="66">
        <v>15965.617486953735</v>
      </c>
      <c r="K1168" s="1"/>
      <c r="L1168" s="1"/>
      <c r="M1168" s="1" t="str">
        <f>VLOOKUP(B1168,Bounties!A:D,3,FALSE)</f>
        <v>Outreach</v>
      </c>
      <c r="N1168" s="1" t="str">
        <f>VLOOKUP(B1168,Bounties!A:D,4,FALSE)</f>
        <v>Events/Meetups</v>
      </c>
      <c r="O1168" s="1" t="str">
        <f t="shared" ref="O1168:P1168" si="1172">IF(ISBLANK(K1168),M1168,K1168)</f>
        <v>Outreach</v>
      </c>
      <c r="P1168" s="1" t="str">
        <f t="shared" si="1172"/>
        <v>Events/Meetups</v>
      </c>
      <c r="Q1168" s="108" t="str">
        <f t="shared" si="3"/>
        <v>2024</v>
      </c>
      <c r="R1168" s="110">
        <f t="shared" si="4"/>
        <v>5</v>
      </c>
      <c r="S1168" s="108" t="str">
        <f t="shared" si="5"/>
        <v>2024-Q2</v>
      </c>
      <c r="T1168" s="111" t="str">
        <f t="shared" si="6"/>
        <v>2024-05</v>
      </c>
      <c r="U1168" s="112" t="str">
        <f t="shared" si="7"/>
        <v>2024-H1</v>
      </c>
      <c r="V1168" s="1" t="str">
        <f>VLOOKUP(B1168,Bounties!A:E,2,FALSE)</f>
        <v>Events Bounty</v>
      </c>
    </row>
    <row r="1169" hidden="1">
      <c r="A1169" s="109">
        <f>HYPERLINK("https://polkadot.subsquare.io/treasury/child-bounties/1167", 1167)</f>
        <v>1167</v>
      </c>
      <c r="B1169" s="183">
        <v>17.0</v>
      </c>
      <c r="C1169" s="27" t="s">
        <v>3404</v>
      </c>
      <c r="D1169" s="27" t="s">
        <v>1723</v>
      </c>
      <c r="E1169" s="129">
        <v>369.8</v>
      </c>
      <c r="F1169" s="66">
        <v>2648.490209197998</v>
      </c>
      <c r="G1169" s="27" t="s">
        <v>3453</v>
      </c>
      <c r="H1169" s="167">
        <v>45427.0</v>
      </c>
      <c r="I1169" s="167">
        <v>45452.0</v>
      </c>
      <c r="J1169" s="66">
        <v>2493.086895465851</v>
      </c>
      <c r="K1169" s="1"/>
      <c r="L1169" s="1"/>
      <c r="M1169" s="1" t="str">
        <f>VLOOKUP(B1169,Bounties!A:D,3,FALSE)</f>
        <v>Outreach</v>
      </c>
      <c r="N1169" s="1" t="str">
        <f>VLOOKUP(B1169,Bounties!A:D,4,FALSE)</f>
        <v>Events/Meetups</v>
      </c>
      <c r="O1169" s="1" t="str">
        <f t="shared" ref="O1169:P1169" si="1173">IF(ISBLANK(K1169),M1169,K1169)</f>
        <v>Outreach</v>
      </c>
      <c r="P1169" s="1" t="str">
        <f t="shared" si="1173"/>
        <v>Events/Meetups</v>
      </c>
      <c r="Q1169" s="108" t="str">
        <f t="shared" si="3"/>
        <v>2024</v>
      </c>
      <c r="R1169" s="110">
        <f t="shared" si="4"/>
        <v>6</v>
      </c>
      <c r="S1169" s="108" t="str">
        <f t="shared" si="5"/>
        <v>2024-Q2</v>
      </c>
      <c r="T1169" s="111" t="str">
        <f t="shared" si="6"/>
        <v>2024-06</v>
      </c>
      <c r="U1169" s="112" t="str">
        <f t="shared" si="7"/>
        <v>2024-H1</v>
      </c>
      <c r="V1169" s="1" t="str">
        <f>VLOOKUP(B1169,Bounties!A:E,2,FALSE)</f>
        <v>Events Bounty</v>
      </c>
    </row>
    <row r="1170" hidden="1">
      <c r="A1170" s="109">
        <f>HYPERLINK("https://polkadot.subsquare.io/treasury/child-bounties/1168", 1168)</f>
        <v>1168</v>
      </c>
      <c r="B1170" s="183">
        <v>46.0</v>
      </c>
      <c r="C1170" s="27" t="s">
        <v>3404</v>
      </c>
      <c r="D1170" s="27" t="s">
        <v>3684</v>
      </c>
      <c r="E1170" s="129">
        <v>97605.0</v>
      </c>
      <c r="F1170" s="66">
        <v>699042.4198722839</v>
      </c>
      <c r="G1170" s="27" t="s">
        <v>3685</v>
      </c>
      <c r="H1170" s="167">
        <v>45428.0</v>
      </c>
      <c r="I1170" s="167">
        <v>45438.0</v>
      </c>
      <c r="J1170" s="66">
        <v>700064.2426943779</v>
      </c>
      <c r="K1170" s="1"/>
      <c r="L1170" s="1"/>
      <c r="M1170" s="1" t="str">
        <f>VLOOKUP(B1170,Bounties!A:D,3,FALSE)</f>
        <v>Outreach</v>
      </c>
      <c r="N1170" s="1" t="str">
        <f>VLOOKUP(B1170,Bounties!A:D,4,FALSE)</f>
        <v>Other</v>
      </c>
      <c r="O1170" s="1" t="str">
        <f t="shared" ref="O1170:P1170" si="1174">IF(ISBLANK(K1170),M1170,K1170)</f>
        <v>Outreach</v>
      </c>
      <c r="P1170" s="1" t="str">
        <f t="shared" si="1174"/>
        <v>Other</v>
      </c>
      <c r="Q1170" s="108" t="str">
        <f t="shared" si="3"/>
        <v>2024</v>
      </c>
      <c r="R1170" s="110">
        <f t="shared" si="4"/>
        <v>5</v>
      </c>
      <c r="S1170" s="108" t="str">
        <f t="shared" si="5"/>
        <v>2024-Q2</v>
      </c>
      <c r="T1170" s="111" t="str">
        <f t="shared" si="6"/>
        <v>2024-05</v>
      </c>
      <c r="U1170" s="112" t="str">
        <f t="shared" si="7"/>
        <v>2024-H1</v>
      </c>
      <c r="V1170" s="1" t="str">
        <f>VLOOKUP(B1170,Bounties!A:E,2,FALSE)</f>
        <v>AMI Bounty Program</v>
      </c>
      <c r="W1170" s="27" t="s">
        <v>2654</v>
      </c>
      <c r="X1170" s="27" t="s">
        <v>3684</v>
      </c>
    </row>
    <row r="1171" hidden="1">
      <c r="A1171" s="109">
        <f>HYPERLINK("https://polkadot.subsquare.io/treasury/child-bounties/1169", 1169)</f>
        <v>1169</v>
      </c>
      <c r="B1171" s="183">
        <v>19.0</v>
      </c>
      <c r="C1171" s="27" t="s">
        <v>3655</v>
      </c>
      <c r="D1171" s="27" t="s">
        <v>3686</v>
      </c>
      <c r="E1171" s="129">
        <v>1409.0</v>
      </c>
      <c r="F1171" s="66">
        <v>10727.649428367615</v>
      </c>
      <c r="G1171" s="27" t="s">
        <v>3553</v>
      </c>
      <c r="H1171" s="167">
        <v>45431.0</v>
      </c>
      <c r="I1171" s="167">
        <v>45431.0</v>
      </c>
      <c r="J1171" s="66">
        <v>10727.649428367615</v>
      </c>
      <c r="K1171" s="1"/>
      <c r="L1171" s="1"/>
      <c r="M1171" s="1" t="str">
        <f>VLOOKUP(B1171,Bounties!A:D,3,FALSE)</f>
        <v>Development</v>
      </c>
      <c r="N1171" s="1" t="str">
        <f>VLOOKUP(B1171,Bounties!A:D,4,FALSE)</f>
        <v>Smart Contracts</v>
      </c>
      <c r="O1171" s="1" t="str">
        <f t="shared" ref="O1171:P1171" si="1175">IF(ISBLANK(K1171),M1171,K1171)</f>
        <v>Development</v>
      </c>
      <c r="P1171" s="1" t="str">
        <f t="shared" si="1175"/>
        <v>Smart Contracts</v>
      </c>
      <c r="Q1171" s="108" t="str">
        <f t="shared" si="3"/>
        <v>2024</v>
      </c>
      <c r="R1171" s="110">
        <f t="shared" si="4"/>
        <v>5</v>
      </c>
      <c r="S1171" s="108" t="str">
        <f t="shared" si="5"/>
        <v>2024-Q2</v>
      </c>
      <c r="T1171" s="111" t="str">
        <f t="shared" si="6"/>
        <v>2024-05</v>
      </c>
      <c r="U1171" s="112" t="str">
        <f t="shared" si="7"/>
        <v>2024-H1</v>
      </c>
      <c r="V1171" s="1" t="str">
        <f>VLOOKUP(B1171,Bounties!A:E,2,FALSE)</f>
        <v>Wasm Smart Contracts Bounty</v>
      </c>
    </row>
    <row r="1172" hidden="1">
      <c r="A1172" s="109">
        <f>HYPERLINK("https://polkadot.subsquare.io/treasury/child-bounties/1170", 1170)</f>
        <v>1170</v>
      </c>
      <c r="B1172" s="183">
        <v>17.0</v>
      </c>
      <c r="C1172" s="27" t="s">
        <v>3427</v>
      </c>
      <c r="D1172" s="27" t="s">
        <v>1759</v>
      </c>
      <c r="E1172" s="129">
        <v>11464.0</v>
      </c>
      <c r="F1172" s="66">
        <v>85458.05681991577</v>
      </c>
      <c r="H1172" s="167">
        <v>45431.0</v>
      </c>
      <c r="I1172" s="167">
        <v>45439.0</v>
      </c>
      <c r="J1172" s="66">
        <v>82224.64503097534</v>
      </c>
      <c r="K1172" s="1"/>
      <c r="L1172" s="1"/>
      <c r="M1172" s="1" t="str">
        <f>VLOOKUP(B1172,Bounties!A:D,3,FALSE)</f>
        <v>Outreach</v>
      </c>
      <c r="N1172" s="1" t="str">
        <f>VLOOKUP(B1172,Bounties!A:D,4,FALSE)</f>
        <v>Events/Meetups</v>
      </c>
      <c r="O1172" s="1" t="str">
        <f t="shared" ref="O1172:P1172" si="1176">IF(ISBLANK(K1172),M1172,K1172)</f>
        <v>Outreach</v>
      </c>
      <c r="P1172" s="1" t="str">
        <f t="shared" si="1176"/>
        <v>Events/Meetups</v>
      </c>
      <c r="Q1172" s="108" t="str">
        <f t="shared" si="3"/>
        <v>2024</v>
      </c>
      <c r="R1172" s="110">
        <f t="shared" si="4"/>
        <v>5</v>
      </c>
      <c r="S1172" s="108" t="str">
        <f t="shared" si="5"/>
        <v>2024-Q2</v>
      </c>
      <c r="T1172" s="111" t="str">
        <f t="shared" si="6"/>
        <v>2024-05</v>
      </c>
      <c r="U1172" s="112" t="str">
        <f t="shared" si="7"/>
        <v>2024-H1</v>
      </c>
      <c r="V1172" s="1" t="str">
        <f>VLOOKUP(B1172,Bounties!A:E,2,FALSE)</f>
        <v>Events Bounty</v>
      </c>
    </row>
    <row r="1173" hidden="1">
      <c r="A1173" s="109">
        <f>HYPERLINK("https://polkadot.subsquare.io/treasury/child-bounties/1171", 1171)</f>
        <v>1171</v>
      </c>
      <c r="B1173" s="183">
        <v>17.0</v>
      </c>
      <c r="C1173" s="27" t="s">
        <v>3404</v>
      </c>
      <c r="D1173" s="27" t="s">
        <v>1724</v>
      </c>
      <c r="E1173" s="129">
        <v>715.4</v>
      </c>
      <c r="F1173" s="66">
        <v>5332.9286330223085</v>
      </c>
      <c r="G1173" s="27" t="s">
        <v>3635</v>
      </c>
      <c r="H1173" s="167">
        <v>45431.0</v>
      </c>
      <c r="I1173" s="167">
        <v>45510.0</v>
      </c>
      <c r="J1173" s="66">
        <v>3425.0998971939084</v>
      </c>
      <c r="K1173" s="1"/>
      <c r="L1173" s="1"/>
      <c r="M1173" s="1" t="str">
        <f>VLOOKUP(B1173,Bounties!A:D,3,FALSE)</f>
        <v>Outreach</v>
      </c>
      <c r="N1173" s="1" t="str">
        <f>VLOOKUP(B1173,Bounties!A:D,4,FALSE)</f>
        <v>Events/Meetups</v>
      </c>
      <c r="O1173" s="1" t="str">
        <f t="shared" ref="O1173:P1173" si="1177">IF(ISBLANK(K1173),M1173,K1173)</f>
        <v>Outreach</v>
      </c>
      <c r="P1173" s="1" t="str">
        <f t="shared" si="1177"/>
        <v>Events/Meetups</v>
      </c>
      <c r="Q1173" s="108" t="str">
        <f t="shared" si="3"/>
        <v>2024</v>
      </c>
      <c r="R1173" s="110">
        <f t="shared" si="4"/>
        <v>8</v>
      </c>
      <c r="S1173" s="108" t="str">
        <f t="shared" si="5"/>
        <v>2024-Q3</v>
      </c>
      <c r="T1173" s="111" t="str">
        <f t="shared" si="6"/>
        <v>2024-08</v>
      </c>
      <c r="U1173" s="112" t="str">
        <f t="shared" si="7"/>
        <v>2024-H2</v>
      </c>
      <c r="V1173" s="1" t="str">
        <f>VLOOKUP(B1173,Bounties!A:E,2,FALSE)</f>
        <v>Events Bounty</v>
      </c>
    </row>
    <row r="1174" hidden="1">
      <c r="A1174" s="109">
        <f>HYPERLINK("https://polkadot.subsquare.io/treasury/child-bounties/1172", 1172)</f>
        <v>1172</v>
      </c>
      <c r="B1174" s="183">
        <v>42.0</v>
      </c>
      <c r="C1174" s="27" t="s">
        <v>3404</v>
      </c>
      <c r="D1174" s="27" t="s">
        <v>1725</v>
      </c>
      <c r="E1174" s="129">
        <v>20.48</v>
      </c>
      <c r="F1174" s="66">
        <v>147.47185546875</v>
      </c>
      <c r="G1174" s="27" t="s">
        <v>3675</v>
      </c>
      <c r="H1174" s="167">
        <v>45432.0</v>
      </c>
      <c r="I1174" s="167">
        <v>45440.0</v>
      </c>
      <c r="J1174" s="66">
        <v>143.096767578125</v>
      </c>
      <c r="K1174" s="1"/>
      <c r="L1174" s="1"/>
      <c r="M1174" s="1" t="str">
        <f>VLOOKUP(B1174,Bounties!A:D,3,FALSE)</f>
        <v>Outreach</v>
      </c>
      <c r="N1174" s="1" t="str">
        <f>VLOOKUP(B1174,Bounties!A:D,4,FALSE)</f>
        <v>Media</v>
      </c>
      <c r="O1174" s="1" t="str">
        <f t="shared" ref="O1174:P1174" si="1178">IF(ISBLANK(K1174),M1174,K1174)</f>
        <v>Outreach</v>
      </c>
      <c r="P1174" s="1" t="str">
        <f t="shared" si="1178"/>
        <v>Media</v>
      </c>
      <c r="Q1174" s="108" t="str">
        <f t="shared" si="3"/>
        <v>2024</v>
      </c>
      <c r="R1174" s="110">
        <f t="shared" si="4"/>
        <v>5</v>
      </c>
      <c r="S1174" s="108" t="str">
        <f t="shared" si="5"/>
        <v>2024-Q2</v>
      </c>
      <c r="T1174" s="111" t="str">
        <f t="shared" si="6"/>
        <v>2024-05</v>
      </c>
      <c r="U1174" s="112" t="str">
        <f t="shared" si="7"/>
        <v>2024-H1</v>
      </c>
      <c r="V1174" s="1" t="str">
        <f>VLOOKUP(B1174,Bounties!A:E,2,FALSE)</f>
        <v>Spanish Bounty</v>
      </c>
    </row>
    <row r="1175" hidden="1">
      <c r="A1175" s="109">
        <f>HYPERLINK("https://polkadot.subsquare.io/treasury/child-bounties/1173", 1173)</f>
        <v>1173</v>
      </c>
      <c r="B1175" s="183">
        <v>42.0</v>
      </c>
      <c r="C1175" s="27" t="s">
        <v>3404</v>
      </c>
      <c r="D1175" s="27" t="s">
        <v>1725</v>
      </c>
      <c r="E1175" s="129">
        <v>17.56</v>
      </c>
      <c r="F1175" s="66">
        <v>126.44559482574462</v>
      </c>
      <c r="G1175" s="27" t="s">
        <v>3674</v>
      </c>
      <c r="H1175" s="167">
        <v>45432.0</v>
      </c>
      <c r="I1175" s="167">
        <v>45440.0</v>
      </c>
      <c r="J1175" s="66">
        <v>122.69429876327514</v>
      </c>
      <c r="K1175" s="1"/>
      <c r="L1175" s="1"/>
      <c r="M1175" s="1" t="str">
        <f>VLOOKUP(B1175,Bounties!A:D,3,FALSE)</f>
        <v>Outreach</v>
      </c>
      <c r="N1175" s="1" t="str">
        <f>VLOOKUP(B1175,Bounties!A:D,4,FALSE)</f>
        <v>Media</v>
      </c>
      <c r="O1175" s="1" t="str">
        <f t="shared" ref="O1175:P1175" si="1179">IF(ISBLANK(K1175),M1175,K1175)</f>
        <v>Outreach</v>
      </c>
      <c r="P1175" s="1" t="str">
        <f t="shared" si="1179"/>
        <v>Media</v>
      </c>
      <c r="Q1175" s="108" t="str">
        <f t="shared" si="3"/>
        <v>2024</v>
      </c>
      <c r="R1175" s="110">
        <f t="shared" si="4"/>
        <v>5</v>
      </c>
      <c r="S1175" s="108" t="str">
        <f t="shared" si="5"/>
        <v>2024-Q2</v>
      </c>
      <c r="T1175" s="111" t="str">
        <f t="shared" si="6"/>
        <v>2024-05</v>
      </c>
      <c r="U1175" s="112" t="str">
        <f t="shared" si="7"/>
        <v>2024-H1</v>
      </c>
      <c r="V1175" s="1" t="str">
        <f>VLOOKUP(B1175,Bounties!A:E,2,FALSE)</f>
        <v>Spanish Bounty</v>
      </c>
    </row>
    <row r="1176" hidden="1">
      <c r="A1176" s="109">
        <f>HYPERLINK("https://polkadot.subsquare.io/treasury/child-bounties/1174", 1174)</f>
        <v>1174</v>
      </c>
      <c r="B1176" s="183">
        <v>42.0</v>
      </c>
      <c r="C1176" s="27" t="s">
        <v>3404</v>
      </c>
      <c r="D1176" s="27" t="s">
        <v>1725</v>
      </c>
      <c r="E1176" s="129">
        <v>29.73</v>
      </c>
      <c r="F1176" s="66">
        <v>214.07901675224304</v>
      </c>
      <c r="G1176" s="27" t="s">
        <v>3676</v>
      </c>
      <c r="H1176" s="167">
        <v>45432.0</v>
      </c>
      <c r="I1176" s="167">
        <v>45440.0</v>
      </c>
      <c r="J1176" s="66">
        <v>207.72787598133087</v>
      </c>
      <c r="K1176" s="1"/>
      <c r="L1176" s="1"/>
      <c r="M1176" s="1" t="str">
        <f>VLOOKUP(B1176,Bounties!A:D,3,FALSE)</f>
        <v>Outreach</v>
      </c>
      <c r="N1176" s="1" t="str">
        <f>VLOOKUP(B1176,Bounties!A:D,4,FALSE)</f>
        <v>Media</v>
      </c>
      <c r="O1176" s="1" t="str">
        <f t="shared" ref="O1176:P1176" si="1180">IF(ISBLANK(K1176),M1176,K1176)</f>
        <v>Outreach</v>
      </c>
      <c r="P1176" s="1" t="str">
        <f t="shared" si="1180"/>
        <v>Media</v>
      </c>
      <c r="Q1176" s="108" t="str">
        <f t="shared" si="3"/>
        <v>2024</v>
      </c>
      <c r="R1176" s="110">
        <f t="shared" si="4"/>
        <v>5</v>
      </c>
      <c r="S1176" s="108" t="str">
        <f t="shared" si="5"/>
        <v>2024-Q2</v>
      </c>
      <c r="T1176" s="111" t="str">
        <f t="shared" si="6"/>
        <v>2024-05</v>
      </c>
      <c r="U1176" s="112" t="str">
        <f t="shared" si="7"/>
        <v>2024-H1</v>
      </c>
      <c r="V1176" s="1" t="str">
        <f>VLOOKUP(B1176,Bounties!A:E,2,FALSE)</f>
        <v>Spanish Bounty</v>
      </c>
    </row>
    <row r="1177" hidden="1">
      <c r="A1177" s="109">
        <f>HYPERLINK("https://polkadot.subsquare.io/treasury/child-bounties/1175", 1175)</f>
        <v>1175</v>
      </c>
      <c r="B1177" s="183">
        <v>42.0</v>
      </c>
      <c r="C1177" s="27" t="s">
        <v>3404</v>
      </c>
      <c r="D1177" s="27" t="s">
        <v>1726</v>
      </c>
      <c r="E1177" s="129">
        <v>2.024</v>
      </c>
      <c r="F1177" s="66">
        <v>14.574366966247558</v>
      </c>
      <c r="G1177" s="27" t="s">
        <v>3683</v>
      </c>
      <c r="H1177" s="167">
        <v>45432.0</v>
      </c>
      <c r="I1177" s="167">
        <v>45440.0</v>
      </c>
      <c r="J1177" s="66">
        <v>14.141985233306885</v>
      </c>
      <c r="K1177" s="1"/>
      <c r="L1177" s="1"/>
      <c r="M1177" s="1" t="str">
        <f>VLOOKUP(B1177,Bounties!A:D,3,FALSE)</f>
        <v>Outreach</v>
      </c>
      <c r="N1177" s="1" t="str">
        <f>VLOOKUP(B1177,Bounties!A:D,4,FALSE)</f>
        <v>Media</v>
      </c>
      <c r="O1177" s="1" t="str">
        <f t="shared" ref="O1177:P1177" si="1181">IF(ISBLANK(K1177),M1177,K1177)</f>
        <v>Outreach</v>
      </c>
      <c r="P1177" s="1" t="str">
        <f t="shared" si="1181"/>
        <v>Media</v>
      </c>
      <c r="Q1177" s="108" t="str">
        <f t="shared" si="3"/>
        <v>2024</v>
      </c>
      <c r="R1177" s="110">
        <f t="shared" si="4"/>
        <v>5</v>
      </c>
      <c r="S1177" s="108" t="str">
        <f t="shared" si="5"/>
        <v>2024-Q2</v>
      </c>
      <c r="T1177" s="111" t="str">
        <f t="shared" si="6"/>
        <v>2024-05</v>
      </c>
      <c r="U1177" s="112" t="str">
        <f t="shared" si="7"/>
        <v>2024-H1</v>
      </c>
      <c r="V1177" s="1" t="str">
        <f>VLOOKUP(B1177,Bounties!A:E,2,FALSE)</f>
        <v>Spanish Bounty</v>
      </c>
    </row>
    <row r="1178" hidden="1">
      <c r="A1178" s="109">
        <f>HYPERLINK("https://polkadot.subsquare.io/treasury/child-bounties/1176", 1176)</f>
        <v>1176</v>
      </c>
      <c r="B1178" s="183">
        <v>42.0</v>
      </c>
      <c r="C1178" s="27" t="s">
        <v>3404</v>
      </c>
      <c r="D1178" s="27" t="s">
        <v>1727</v>
      </c>
      <c r="E1178" s="129">
        <v>13.21</v>
      </c>
      <c r="F1178" s="66">
        <v>95.12222708702087</v>
      </c>
      <c r="G1178" s="27" t="s">
        <v>3677</v>
      </c>
      <c r="H1178" s="167">
        <v>45432.0</v>
      </c>
      <c r="I1178" s="167">
        <v>45440.0</v>
      </c>
      <c r="J1178" s="66">
        <v>92.30020994663239</v>
      </c>
      <c r="K1178" s="1"/>
      <c r="L1178" s="1"/>
      <c r="M1178" s="1" t="str">
        <f>VLOOKUP(B1178,Bounties!A:D,3,FALSE)</f>
        <v>Outreach</v>
      </c>
      <c r="N1178" s="1" t="str">
        <f>VLOOKUP(B1178,Bounties!A:D,4,FALSE)</f>
        <v>Media</v>
      </c>
      <c r="O1178" s="1" t="str">
        <f t="shared" ref="O1178:P1178" si="1182">IF(ISBLANK(K1178),M1178,K1178)</f>
        <v>Outreach</v>
      </c>
      <c r="P1178" s="1" t="str">
        <f t="shared" si="1182"/>
        <v>Media</v>
      </c>
      <c r="Q1178" s="108" t="str">
        <f t="shared" si="3"/>
        <v>2024</v>
      </c>
      <c r="R1178" s="110">
        <f t="shared" si="4"/>
        <v>5</v>
      </c>
      <c r="S1178" s="108" t="str">
        <f t="shared" si="5"/>
        <v>2024-Q2</v>
      </c>
      <c r="T1178" s="111" t="str">
        <f t="shared" si="6"/>
        <v>2024-05</v>
      </c>
      <c r="U1178" s="112" t="str">
        <f t="shared" si="7"/>
        <v>2024-H1</v>
      </c>
      <c r="V1178" s="1" t="str">
        <f>VLOOKUP(B1178,Bounties!A:E,2,FALSE)</f>
        <v>Spanish Bounty</v>
      </c>
    </row>
    <row r="1179" hidden="1">
      <c r="A1179" s="109">
        <f>HYPERLINK("https://polkadot.subsquare.io/treasury/child-bounties/1177", 1177)</f>
        <v>1177</v>
      </c>
      <c r="B1179" s="183">
        <v>42.0</v>
      </c>
      <c r="C1179" s="27" t="s">
        <v>3404</v>
      </c>
      <c r="D1179" s="27" t="s">
        <v>1728</v>
      </c>
      <c r="E1179" s="129">
        <v>15.42</v>
      </c>
      <c r="F1179" s="66">
        <v>111.0359380531311</v>
      </c>
      <c r="G1179" s="27" t="s">
        <v>3687</v>
      </c>
      <c r="H1179" s="167">
        <v>45432.0</v>
      </c>
      <c r="I1179" s="167">
        <v>45440.0</v>
      </c>
      <c r="J1179" s="66">
        <v>107.74180449485779</v>
      </c>
      <c r="K1179" s="1"/>
      <c r="L1179" s="1"/>
      <c r="M1179" s="1" t="str">
        <f>VLOOKUP(B1179,Bounties!A:D,3,FALSE)</f>
        <v>Outreach</v>
      </c>
      <c r="N1179" s="1" t="str">
        <f>VLOOKUP(B1179,Bounties!A:D,4,FALSE)</f>
        <v>Media</v>
      </c>
      <c r="O1179" s="1" t="str">
        <f t="shared" ref="O1179:P1179" si="1183">IF(ISBLANK(K1179),M1179,K1179)</f>
        <v>Outreach</v>
      </c>
      <c r="P1179" s="1" t="str">
        <f t="shared" si="1183"/>
        <v>Media</v>
      </c>
      <c r="Q1179" s="108" t="str">
        <f t="shared" si="3"/>
        <v>2024</v>
      </c>
      <c r="R1179" s="110">
        <f t="shared" si="4"/>
        <v>5</v>
      </c>
      <c r="S1179" s="108" t="str">
        <f t="shared" si="5"/>
        <v>2024-Q2</v>
      </c>
      <c r="T1179" s="111" t="str">
        <f t="shared" si="6"/>
        <v>2024-05</v>
      </c>
      <c r="U1179" s="112" t="str">
        <f t="shared" si="7"/>
        <v>2024-H1</v>
      </c>
      <c r="V1179" s="1" t="str">
        <f>VLOOKUP(B1179,Bounties!A:E,2,FALSE)</f>
        <v>Spanish Bounty</v>
      </c>
    </row>
    <row r="1180" hidden="1">
      <c r="A1180" s="109">
        <f>HYPERLINK("https://polkadot.subsquare.io/treasury/child-bounties/1178", 1178)</f>
        <v>1178</v>
      </c>
      <c r="B1180" s="183">
        <v>42.0</v>
      </c>
      <c r="C1180" s="27" t="s">
        <v>3404</v>
      </c>
      <c r="D1180" s="27" t="s">
        <v>1729</v>
      </c>
      <c r="E1180" s="129">
        <v>2.96</v>
      </c>
      <c r="F1180" s="66">
        <v>21.314291610717774</v>
      </c>
      <c r="G1180" s="27" t="s">
        <v>3688</v>
      </c>
      <c r="H1180" s="167">
        <v>45432.0</v>
      </c>
      <c r="I1180" s="167">
        <v>45440.0</v>
      </c>
      <c r="J1180" s="66">
        <v>20.68195468902588</v>
      </c>
      <c r="K1180" s="1"/>
      <c r="L1180" s="1"/>
      <c r="M1180" s="1" t="str">
        <f>VLOOKUP(B1180,Bounties!A:D,3,FALSE)</f>
        <v>Outreach</v>
      </c>
      <c r="N1180" s="1" t="str">
        <f>VLOOKUP(B1180,Bounties!A:D,4,FALSE)</f>
        <v>Media</v>
      </c>
      <c r="O1180" s="1" t="str">
        <f t="shared" ref="O1180:P1180" si="1184">IF(ISBLANK(K1180),M1180,K1180)</f>
        <v>Outreach</v>
      </c>
      <c r="P1180" s="1" t="str">
        <f t="shared" si="1184"/>
        <v>Media</v>
      </c>
      <c r="Q1180" s="108" t="str">
        <f t="shared" si="3"/>
        <v>2024</v>
      </c>
      <c r="R1180" s="110">
        <f t="shared" si="4"/>
        <v>5</v>
      </c>
      <c r="S1180" s="108" t="str">
        <f t="shared" si="5"/>
        <v>2024-Q2</v>
      </c>
      <c r="T1180" s="111" t="str">
        <f t="shared" si="6"/>
        <v>2024-05</v>
      </c>
      <c r="U1180" s="112" t="str">
        <f t="shared" si="7"/>
        <v>2024-H1</v>
      </c>
      <c r="V1180" s="1" t="str">
        <f>VLOOKUP(B1180,Bounties!A:E,2,FALSE)</f>
        <v>Spanish Bounty</v>
      </c>
    </row>
    <row r="1181" hidden="1">
      <c r="A1181" s="109">
        <f>HYPERLINK("https://polkadot.subsquare.io/treasury/child-bounties/1179", 1179)</f>
        <v>1179</v>
      </c>
      <c r="B1181" s="183">
        <v>42.0</v>
      </c>
      <c r="C1181" s="27" t="s">
        <v>3404</v>
      </c>
      <c r="D1181" s="27" t="s">
        <v>1730</v>
      </c>
      <c r="E1181" s="129">
        <v>3.8</v>
      </c>
      <c r="F1181" s="66">
        <v>27.362941932678222</v>
      </c>
      <c r="G1181" s="27" t="s">
        <v>3675</v>
      </c>
      <c r="H1181" s="167">
        <v>45432.0</v>
      </c>
      <c r="I1181" s="167">
        <v>45440.0</v>
      </c>
      <c r="J1181" s="66">
        <v>26.55115804672241</v>
      </c>
      <c r="K1181" s="1"/>
      <c r="L1181" s="1"/>
      <c r="M1181" s="1" t="str">
        <f>VLOOKUP(B1181,Bounties!A:D,3,FALSE)</f>
        <v>Outreach</v>
      </c>
      <c r="N1181" s="1" t="str">
        <f>VLOOKUP(B1181,Bounties!A:D,4,FALSE)</f>
        <v>Media</v>
      </c>
      <c r="O1181" s="1" t="str">
        <f t="shared" ref="O1181:P1181" si="1185">IF(ISBLANK(K1181),M1181,K1181)</f>
        <v>Outreach</v>
      </c>
      <c r="P1181" s="1" t="str">
        <f t="shared" si="1185"/>
        <v>Media</v>
      </c>
      <c r="Q1181" s="108" t="str">
        <f t="shared" si="3"/>
        <v>2024</v>
      </c>
      <c r="R1181" s="110">
        <f t="shared" si="4"/>
        <v>5</v>
      </c>
      <c r="S1181" s="108" t="str">
        <f t="shared" si="5"/>
        <v>2024-Q2</v>
      </c>
      <c r="T1181" s="111" t="str">
        <f t="shared" si="6"/>
        <v>2024-05</v>
      </c>
      <c r="U1181" s="112" t="str">
        <f t="shared" si="7"/>
        <v>2024-H1</v>
      </c>
      <c r="V1181" s="1" t="str">
        <f>VLOOKUP(B1181,Bounties!A:E,2,FALSE)</f>
        <v>Spanish Bounty</v>
      </c>
    </row>
    <row r="1182" hidden="1">
      <c r="A1182" s="109">
        <f>HYPERLINK("https://polkadot.subsquare.io/treasury/child-bounties/1180", 1180)</f>
        <v>1180</v>
      </c>
      <c r="B1182" s="183">
        <v>42.0</v>
      </c>
      <c r="C1182" s="27" t="s">
        <v>3404</v>
      </c>
      <c r="D1182" s="27" t="s">
        <v>1731</v>
      </c>
      <c r="E1182" s="129">
        <v>3.2</v>
      </c>
      <c r="F1182" s="66">
        <v>23.042477416992188</v>
      </c>
      <c r="G1182" s="27" t="s">
        <v>3680</v>
      </c>
      <c r="H1182" s="167">
        <v>45432.0</v>
      </c>
      <c r="I1182" s="167">
        <v>45440.0</v>
      </c>
      <c r="J1182" s="66">
        <v>22.358869934082033</v>
      </c>
      <c r="K1182" s="1"/>
      <c r="L1182" s="1"/>
      <c r="M1182" s="1" t="str">
        <f>VLOOKUP(B1182,Bounties!A:D,3,FALSE)</f>
        <v>Outreach</v>
      </c>
      <c r="N1182" s="1" t="str">
        <f>VLOOKUP(B1182,Bounties!A:D,4,FALSE)</f>
        <v>Media</v>
      </c>
      <c r="O1182" s="1" t="str">
        <f t="shared" ref="O1182:P1182" si="1186">IF(ISBLANK(K1182),M1182,K1182)</f>
        <v>Outreach</v>
      </c>
      <c r="P1182" s="1" t="str">
        <f t="shared" si="1186"/>
        <v>Media</v>
      </c>
      <c r="Q1182" s="108" t="str">
        <f t="shared" si="3"/>
        <v>2024</v>
      </c>
      <c r="R1182" s="110">
        <f t="shared" si="4"/>
        <v>5</v>
      </c>
      <c r="S1182" s="108" t="str">
        <f t="shared" si="5"/>
        <v>2024-Q2</v>
      </c>
      <c r="T1182" s="111" t="str">
        <f t="shared" si="6"/>
        <v>2024-05</v>
      </c>
      <c r="U1182" s="112" t="str">
        <f t="shared" si="7"/>
        <v>2024-H1</v>
      </c>
      <c r="V1182" s="1" t="str">
        <f>VLOOKUP(B1182,Bounties!A:E,2,FALSE)</f>
        <v>Spanish Bounty</v>
      </c>
    </row>
    <row r="1183" hidden="1">
      <c r="A1183" s="109">
        <f>HYPERLINK("https://polkadot.subsquare.io/treasury/child-bounties/1181", 1181)</f>
        <v>1181</v>
      </c>
      <c r="B1183" s="183">
        <v>42.0</v>
      </c>
      <c r="C1183" s="27" t="s">
        <v>3404</v>
      </c>
      <c r="D1183" s="27" t="s">
        <v>1732</v>
      </c>
      <c r="E1183" s="129">
        <v>4.13</v>
      </c>
      <c r="F1183" s="66">
        <v>29.73919741630554</v>
      </c>
      <c r="G1183" s="27" t="s">
        <v>3689</v>
      </c>
      <c r="H1183" s="167">
        <v>45432.0</v>
      </c>
      <c r="I1183" s="167">
        <v>45440.0</v>
      </c>
      <c r="J1183" s="66">
        <v>28.856916508674622</v>
      </c>
      <c r="K1183" s="1"/>
      <c r="L1183" s="1"/>
      <c r="M1183" s="1" t="str">
        <f>VLOOKUP(B1183,Bounties!A:D,3,FALSE)</f>
        <v>Outreach</v>
      </c>
      <c r="N1183" s="1" t="str">
        <f>VLOOKUP(B1183,Bounties!A:D,4,FALSE)</f>
        <v>Media</v>
      </c>
      <c r="O1183" s="1" t="str">
        <f t="shared" ref="O1183:P1183" si="1187">IF(ISBLANK(K1183),M1183,K1183)</f>
        <v>Outreach</v>
      </c>
      <c r="P1183" s="1" t="str">
        <f t="shared" si="1187"/>
        <v>Media</v>
      </c>
      <c r="Q1183" s="108" t="str">
        <f t="shared" si="3"/>
        <v>2024</v>
      </c>
      <c r="R1183" s="110">
        <f t="shared" si="4"/>
        <v>5</v>
      </c>
      <c r="S1183" s="108" t="str">
        <f t="shared" si="5"/>
        <v>2024-Q2</v>
      </c>
      <c r="T1183" s="111" t="str">
        <f t="shared" si="6"/>
        <v>2024-05</v>
      </c>
      <c r="U1183" s="112" t="str">
        <f t="shared" si="7"/>
        <v>2024-H1</v>
      </c>
      <c r="V1183" s="1" t="str">
        <f>VLOOKUP(B1183,Bounties!A:E,2,FALSE)</f>
        <v>Spanish Bounty</v>
      </c>
    </row>
    <row r="1184" hidden="1">
      <c r="A1184" s="109">
        <f>HYPERLINK("https://polkadot.subsquare.io/treasury/child-bounties/1182", 1182)</f>
        <v>1182</v>
      </c>
      <c r="B1184" s="183">
        <v>42.0</v>
      </c>
      <c r="C1184" s="27" t="s">
        <v>3404</v>
      </c>
      <c r="D1184" s="27" t="s">
        <v>1733</v>
      </c>
      <c r="E1184" s="129">
        <v>195.56</v>
      </c>
      <c r="F1184" s="66">
        <v>1408.183401145935</v>
      </c>
      <c r="G1184" s="27" t="s">
        <v>3677</v>
      </c>
      <c r="H1184" s="167">
        <v>45432.0</v>
      </c>
      <c r="I1184" s="167">
        <v>45440.0</v>
      </c>
      <c r="J1184" s="66">
        <v>1366.4064388465881</v>
      </c>
      <c r="K1184" s="1"/>
      <c r="L1184" s="1"/>
      <c r="M1184" s="1" t="str">
        <f>VLOOKUP(B1184,Bounties!A:D,3,FALSE)</f>
        <v>Outreach</v>
      </c>
      <c r="N1184" s="1" t="str">
        <f>VLOOKUP(B1184,Bounties!A:D,4,FALSE)</f>
        <v>Media</v>
      </c>
      <c r="O1184" s="1" t="str">
        <f t="shared" ref="O1184:P1184" si="1188">IF(ISBLANK(K1184),M1184,K1184)</f>
        <v>Outreach</v>
      </c>
      <c r="P1184" s="1" t="str">
        <f t="shared" si="1188"/>
        <v>Media</v>
      </c>
      <c r="Q1184" s="108" t="str">
        <f t="shared" si="3"/>
        <v>2024</v>
      </c>
      <c r="R1184" s="110">
        <f t="shared" si="4"/>
        <v>5</v>
      </c>
      <c r="S1184" s="108" t="str">
        <f t="shared" si="5"/>
        <v>2024-Q2</v>
      </c>
      <c r="T1184" s="111" t="str">
        <f t="shared" si="6"/>
        <v>2024-05</v>
      </c>
      <c r="U1184" s="112" t="str">
        <f t="shared" si="7"/>
        <v>2024-H1</v>
      </c>
      <c r="V1184" s="1" t="str">
        <f>VLOOKUP(B1184,Bounties!A:E,2,FALSE)</f>
        <v>Spanish Bounty</v>
      </c>
    </row>
    <row r="1185" hidden="1">
      <c r="A1185" s="109">
        <f>HYPERLINK("https://polkadot.subsquare.io/treasury/child-bounties/1183", 1183)</f>
        <v>1183</v>
      </c>
      <c r="B1185" s="183">
        <v>42.0</v>
      </c>
      <c r="C1185" s="27" t="s">
        <v>3404</v>
      </c>
      <c r="D1185" s="27" t="s">
        <v>1734</v>
      </c>
      <c r="E1185" s="129">
        <v>195.56</v>
      </c>
      <c r="F1185" s="66">
        <v>1408.183401145935</v>
      </c>
      <c r="G1185" s="27" t="s">
        <v>3493</v>
      </c>
      <c r="H1185" s="167">
        <v>45432.0</v>
      </c>
      <c r="I1185" s="167">
        <v>45440.0</v>
      </c>
      <c r="J1185" s="66">
        <v>1366.4064388465881</v>
      </c>
      <c r="K1185" s="1"/>
      <c r="L1185" s="1"/>
      <c r="M1185" s="1" t="str">
        <f>VLOOKUP(B1185,Bounties!A:D,3,FALSE)</f>
        <v>Outreach</v>
      </c>
      <c r="N1185" s="1" t="str">
        <f>VLOOKUP(B1185,Bounties!A:D,4,FALSE)</f>
        <v>Media</v>
      </c>
      <c r="O1185" s="1" t="str">
        <f t="shared" ref="O1185:P1185" si="1189">IF(ISBLANK(K1185),M1185,K1185)</f>
        <v>Outreach</v>
      </c>
      <c r="P1185" s="1" t="str">
        <f t="shared" si="1189"/>
        <v>Media</v>
      </c>
      <c r="Q1185" s="108" t="str">
        <f t="shared" si="3"/>
        <v>2024</v>
      </c>
      <c r="R1185" s="110">
        <f t="shared" si="4"/>
        <v>5</v>
      </c>
      <c r="S1185" s="108" t="str">
        <f t="shared" si="5"/>
        <v>2024-Q2</v>
      </c>
      <c r="T1185" s="111" t="str">
        <f t="shared" si="6"/>
        <v>2024-05</v>
      </c>
      <c r="U1185" s="112" t="str">
        <f t="shared" si="7"/>
        <v>2024-H1</v>
      </c>
      <c r="V1185" s="1" t="str">
        <f>VLOOKUP(B1185,Bounties!A:E,2,FALSE)</f>
        <v>Spanish Bounty</v>
      </c>
    </row>
    <row r="1186" hidden="1">
      <c r="A1186" s="109">
        <f>HYPERLINK("https://polkadot.subsquare.io/treasury/child-bounties/1184", 1184)</f>
        <v>1184</v>
      </c>
      <c r="B1186" s="183">
        <v>42.0</v>
      </c>
      <c r="C1186" s="27" t="s">
        <v>3404</v>
      </c>
      <c r="D1186" s="27" t="s">
        <v>1735</v>
      </c>
      <c r="E1186" s="129">
        <v>195.56</v>
      </c>
      <c r="F1186" s="66">
        <v>1408.183401145935</v>
      </c>
      <c r="G1186" s="27" t="s">
        <v>3690</v>
      </c>
      <c r="H1186" s="167">
        <v>45432.0</v>
      </c>
      <c r="I1186" s="167">
        <v>45440.0</v>
      </c>
      <c r="J1186" s="66">
        <v>1366.4064388465881</v>
      </c>
      <c r="K1186" s="1"/>
      <c r="L1186" s="1"/>
      <c r="M1186" s="1" t="str">
        <f>VLOOKUP(B1186,Bounties!A:D,3,FALSE)</f>
        <v>Outreach</v>
      </c>
      <c r="N1186" s="1" t="str">
        <f>VLOOKUP(B1186,Bounties!A:D,4,FALSE)</f>
        <v>Media</v>
      </c>
      <c r="O1186" s="1" t="str">
        <f t="shared" ref="O1186:P1186" si="1190">IF(ISBLANK(K1186),M1186,K1186)</f>
        <v>Outreach</v>
      </c>
      <c r="P1186" s="1" t="str">
        <f t="shared" si="1190"/>
        <v>Media</v>
      </c>
      <c r="Q1186" s="108" t="str">
        <f t="shared" si="3"/>
        <v>2024</v>
      </c>
      <c r="R1186" s="110">
        <f t="shared" si="4"/>
        <v>5</v>
      </c>
      <c r="S1186" s="108" t="str">
        <f t="shared" si="5"/>
        <v>2024-Q2</v>
      </c>
      <c r="T1186" s="111" t="str">
        <f t="shared" si="6"/>
        <v>2024-05</v>
      </c>
      <c r="U1186" s="112" t="str">
        <f t="shared" si="7"/>
        <v>2024-H1</v>
      </c>
      <c r="V1186" s="1" t="str">
        <f>VLOOKUP(B1186,Bounties!A:E,2,FALSE)</f>
        <v>Spanish Bounty</v>
      </c>
    </row>
    <row r="1187" hidden="1">
      <c r="A1187" s="109">
        <f>HYPERLINK("https://polkadot.subsquare.io/treasury/child-bounties/1185", 1185)</f>
        <v>1185</v>
      </c>
      <c r="B1187" s="183">
        <v>42.0</v>
      </c>
      <c r="C1187" s="27" t="s">
        <v>3404</v>
      </c>
      <c r="D1187" s="27" t="s">
        <v>1736</v>
      </c>
      <c r="E1187" s="129">
        <v>69.84</v>
      </c>
      <c r="F1187" s="66">
        <v>502.9020696258545</v>
      </c>
      <c r="G1187" s="27" t="s">
        <v>3691</v>
      </c>
      <c r="H1187" s="167">
        <v>45432.0</v>
      </c>
      <c r="I1187" s="167">
        <v>45440.0</v>
      </c>
      <c r="J1187" s="66">
        <v>487.98233631134036</v>
      </c>
      <c r="K1187" s="1"/>
      <c r="L1187" s="1"/>
      <c r="M1187" s="1" t="str">
        <f>VLOOKUP(B1187,Bounties!A:D,3,FALSE)</f>
        <v>Outreach</v>
      </c>
      <c r="N1187" s="1" t="str">
        <f>VLOOKUP(B1187,Bounties!A:D,4,FALSE)</f>
        <v>Media</v>
      </c>
      <c r="O1187" s="1" t="str">
        <f t="shared" ref="O1187:P1187" si="1191">IF(ISBLANK(K1187),M1187,K1187)</f>
        <v>Outreach</v>
      </c>
      <c r="P1187" s="1" t="str">
        <f t="shared" si="1191"/>
        <v>Media</v>
      </c>
      <c r="Q1187" s="108" t="str">
        <f t="shared" si="3"/>
        <v>2024</v>
      </c>
      <c r="R1187" s="110">
        <f t="shared" si="4"/>
        <v>5</v>
      </c>
      <c r="S1187" s="108" t="str">
        <f t="shared" si="5"/>
        <v>2024-Q2</v>
      </c>
      <c r="T1187" s="111" t="str">
        <f t="shared" si="6"/>
        <v>2024-05</v>
      </c>
      <c r="U1187" s="112" t="str">
        <f t="shared" si="7"/>
        <v>2024-H1</v>
      </c>
      <c r="V1187" s="1" t="str">
        <f>VLOOKUP(B1187,Bounties!A:E,2,FALSE)</f>
        <v>Spanish Bounty</v>
      </c>
    </row>
    <row r="1188" hidden="1">
      <c r="A1188" s="109">
        <f>HYPERLINK("https://polkadot.subsquare.io/treasury/child-bounties/1186", 1186)</f>
        <v>1186</v>
      </c>
      <c r="B1188" s="183">
        <v>42.0</v>
      </c>
      <c r="C1188" s="27" t="s">
        <v>3404</v>
      </c>
      <c r="D1188" s="27" t="s">
        <v>1737</v>
      </c>
      <c r="E1188" s="129">
        <v>195.56</v>
      </c>
      <c r="F1188" s="66">
        <v>1408.183401145935</v>
      </c>
      <c r="G1188" s="27" t="s">
        <v>3692</v>
      </c>
      <c r="H1188" s="167">
        <v>45432.0</v>
      </c>
      <c r="I1188" s="167">
        <v>45440.0</v>
      </c>
      <c r="J1188" s="66">
        <v>1366.4064388465881</v>
      </c>
      <c r="K1188" s="1"/>
      <c r="L1188" s="1"/>
      <c r="M1188" s="1" t="str">
        <f>VLOOKUP(B1188,Bounties!A:D,3,FALSE)</f>
        <v>Outreach</v>
      </c>
      <c r="N1188" s="1" t="str">
        <f>VLOOKUP(B1188,Bounties!A:D,4,FALSE)</f>
        <v>Media</v>
      </c>
      <c r="O1188" s="1" t="str">
        <f t="shared" ref="O1188:P1188" si="1192">IF(ISBLANK(K1188),M1188,K1188)</f>
        <v>Outreach</v>
      </c>
      <c r="P1188" s="1" t="str">
        <f t="shared" si="1192"/>
        <v>Media</v>
      </c>
      <c r="Q1188" s="108" t="str">
        <f t="shared" si="3"/>
        <v>2024</v>
      </c>
      <c r="R1188" s="110">
        <f t="shared" si="4"/>
        <v>5</v>
      </c>
      <c r="S1188" s="108" t="str">
        <f t="shared" si="5"/>
        <v>2024-Q2</v>
      </c>
      <c r="T1188" s="111" t="str">
        <f t="shared" si="6"/>
        <v>2024-05</v>
      </c>
      <c r="U1188" s="112" t="str">
        <f t="shared" si="7"/>
        <v>2024-H1</v>
      </c>
      <c r="V1188" s="1" t="str">
        <f>VLOOKUP(B1188,Bounties!A:E,2,FALSE)</f>
        <v>Spanish Bounty</v>
      </c>
    </row>
    <row r="1189" hidden="1">
      <c r="A1189" s="109">
        <f>HYPERLINK("https://polkadot.subsquare.io/treasury/child-bounties/1187", 1187)</f>
        <v>1187</v>
      </c>
      <c r="B1189" s="183">
        <v>42.0</v>
      </c>
      <c r="C1189" s="27" t="s">
        <v>3404</v>
      </c>
      <c r="D1189" s="27" t="s">
        <v>1738</v>
      </c>
      <c r="E1189" s="129">
        <v>195.56</v>
      </c>
      <c r="F1189" s="66">
        <v>1408.183401145935</v>
      </c>
      <c r="G1189" s="27" t="s">
        <v>3693</v>
      </c>
      <c r="H1189" s="167">
        <v>45432.0</v>
      </c>
      <c r="I1189" s="167">
        <v>45440.0</v>
      </c>
      <c r="J1189" s="66">
        <v>1366.4064388465881</v>
      </c>
      <c r="K1189" s="1"/>
      <c r="L1189" s="1"/>
      <c r="M1189" s="1" t="str">
        <f>VLOOKUP(B1189,Bounties!A:D,3,FALSE)</f>
        <v>Outreach</v>
      </c>
      <c r="N1189" s="1" t="str">
        <f>VLOOKUP(B1189,Bounties!A:D,4,FALSE)</f>
        <v>Media</v>
      </c>
      <c r="O1189" s="1" t="str">
        <f t="shared" ref="O1189:P1189" si="1193">IF(ISBLANK(K1189),M1189,K1189)</f>
        <v>Outreach</v>
      </c>
      <c r="P1189" s="1" t="str">
        <f t="shared" si="1193"/>
        <v>Media</v>
      </c>
      <c r="Q1189" s="108" t="str">
        <f t="shared" si="3"/>
        <v>2024</v>
      </c>
      <c r="R1189" s="110">
        <f t="shared" si="4"/>
        <v>5</v>
      </c>
      <c r="S1189" s="108" t="str">
        <f t="shared" si="5"/>
        <v>2024-Q2</v>
      </c>
      <c r="T1189" s="111" t="str">
        <f t="shared" si="6"/>
        <v>2024-05</v>
      </c>
      <c r="U1189" s="112" t="str">
        <f t="shared" si="7"/>
        <v>2024-H1</v>
      </c>
      <c r="V1189" s="1" t="str">
        <f>VLOOKUP(B1189,Bounties!A:E,2,FALSE)</f>
        <v>Spanish Bounty</v>
      </c>
    </row>
    <row r="1190" hidden="1">
      <c r="A1190" s="109">
        <f>HYPERLINK("https://polkadot.subsquare.io/treasury/child-bounties/1188", 1188)</f>
        <v>1188</v>
      </c>
      <c r="B1190" s="183">
        <v>42.0</v>
      </c>
      <c r="C1190" s="27" t="s">
        <v>3404</v>
      </c>
      <c r="D1190" s="27" t="s">
        <v>1739</v>
      </c>
      <c r="E1190" s="129">
        <v>195.56</v>
      </c>
      <c r="F1190" s="66">
        <v>1408.183401145935</v>
      </c>
      <c r="G1190" s="27" t="s">
        <v>3694</v>
      </c>
      <c r="H1190" s="167">
        <v>45432.0</v>
      </c>
      <c r="I1190" s="167">
        <v>45440.0</v>
      </c>
      <c r="J1190" s="66">
        <v>1366.4064388465881</v>
      </c>
      <c r="K1190" s="1"/>
      <c r="L1190" s="1"/>
      <c r="M1190" s="1" t="str">
        <f>VLOOKUP(B1190,Bounties!A:D,3,FALSE)</f>
        <v>Outreach</v>
      </c>
      <c r="N1190" s="1" t="str">
        <f>VLOOKUP(B1190,Bounties!A:D,4,FALSE)</f>
        <v>Media</v>
      </c>
      <c r="O1190" s="1" t="str">
        <f t="shared" ref="O1190:P1190" si="1194">IF(ISBLANK(K1190),M1190,K1190)</f>
        <v>Outreach</v>
      </c>
      <c r="P1190" s="1" t="str">
        <f t="shared" si="1194"/>
        <v>Media</v>
      </c>
      <c r="Q1190" s="108" t="str">
        <f t="shared" si="3"/>
        <v>2024</v>
      </c>
      <c r="R1190" s="110">
        <f t="shared" si="4"/>
        <v>5</v>
      </c>
      <c r="S1190" s="108" t="str">
        <f t="shared" si="5"/>
        <v>2024-Q2</v>
      </c>
      <c r="T1190" s="111" t="str">
        <f t="shared" si="6"/>
        <v>2024-05</v>
      </c>
      <c r="U1190" s="112" t="str">
        <f t="shared" si="7"/>
        <v>2024-H1</v>
      </c>
      <c r="V1190" s="1" t="str">
        <f>VLOOKUP(B1190,Bounties!A:E,2,FALSE)</f>
        <v>Spanish Bounty</v>
      </c>
    </row>
    <row r="1191" hidden="1">
      <c r="A1191" s="109">
        <f>HYPERLINK("https://polkadot.subsquare.io/treasury/child-bounties/1189", 1189)</f>
        <v>1189</v>
      </c>
      <c r="B1191" s="183">
        <v>42.0</v>
      </c>
      <c r="C1191" s="27" t="s">
        <v>3404</v>
      </c>
      <c r="D1191" s="27" t="s">
        <v>1740</v>
      </c>
      <c r="E1191" s="129">
        <v>195.56</v>
      </c>
      <c r="F1191" s="66">
        <v>1408.183401145935</v>
      </c>
      <c r="G1191" s="27" t="s">
        <v>3695</v>
      </c>
      <c r="H1191" s="167">
        <v>45432.0</v>
      </c>
      <c r="I1191" s="167">
        <v>45440.0</v>
      </c>
      <c r="J1191" s="66">
        <v>1366.4064388465881</v>
      </c>
      <c r="K1191" s="1"/>
      <c r="L1191" s="1"/>
      <c r="M1191" s="1" t="str">
        <f>VLOOKUP(B1191,Bounties!A:D,3,FALSE)</f>
        <v>Outreach</v>
      </c>
      <c r="N1191" s="1" t="str">
        <f>VLOOKUP(B1191,Bounties!A:D,4,FALSE)</f>
        <v>Media</v>
      </c>
      <c r="O1191" s="1" t="str">
        <f t="shared" ref="O1191:P1191" si="1195">IF(ISBLANK(K1191),M1191,K1191)</f>
        <v>Outreach</v>
      </c>
      <c r="P1191" s="1" t="str">
        <f t="shared" si="1195"/>
        <v>Media</v>
      </c>
      <c r="Q1191" s="108" t="str">
        <f t="shared" si="3"/>
        <v>2024</v>
      </c>
      <c r="R1191" s="110">
        <f t="shared" si="4"/>
        <v>5</v>
      </c>
      <c r="S1191" s="108" t="str">
        <f t="shared" si="5"/>
        <v>2024-Q2</v>
      </c>
      <c r="T1191" s="111" t="str">
        <f t="shared" si="6"/>
        <v>2024-05</v>
      </c>
      <c r="U1191" s="112" t="str">
        <f t="shared" si="7"/>
        <v>2024-H1</v>
      </c>
      <c r="V1191" s="1" t="str">
        <f>VLOOKUP(B1191,Bounties!A:E,2,FALSE)</f>
        <v>Spanish Bounty</v>
      </c>
    </row>
    <row r="1192" hidden="1">
      <c r="A1192" s="109">
        <f>HYPERLINK("https://polkadot.subsquare.io/treasury/child-bounties/1190", 1190)</f>
        <v>1190</v>
      </c>
      <c r="B1192" s="183">
        <v>43.0</v>
      </c>
      <c r="C1192" s="27" t="s">
        <v>3404</v>
      </c>
      <c r="D1192" s="27" t="s">
        <v>1741</v>
      </c>
      <c r="E1192" s="129">
        <v>158.0</v>
      </c>
      <c r="F1192" s="66">
        <v>1137.7223224639893</v>
      </c>
      <c r="G1192" s="27" t="s">
        <v>3696</v>
      </c>
      <c r="H1192" s="167">
        <v>45433.0</v>
      </c>
      <c r="I1192" s="167">
        <v>45448.0</v>
      </c>
      <c r="J1192" s="66">
        <v>1009.370979309082</v>
      </c>
      <c r="K1192" s="1"/>
      <c r="L1192" s="1"/>
      <c r="M1192" s="1" t="str">
        <f>VLOOKUP(B1192,Bounties!A:D,3,FALSE)</f>
        <v>Outreach</v>
      </c>
      <c r="N1192" s="1" t="str">
        <f>VLOOKUP(B1192,Bounties!A:D,4,FALSE)</f>
        <v>Events/Meetups</v>
      </c>
      <c r="O1192" s="1" t="str">
        <f t="shared" ref="O1192:P1192" si="1196">IF(ISBLANK(K1192),M1192,K1192)</f>
        <v>Outreach</v>
      </c>
      <c r="P1192" s="1" t="str">
        <f t="shared" si="1196"/>
        <v>Events/Meetups</v>
      </c>
      <c r="Q1192" s="108" t="str">
        <f t="shared" si="3"/>
        <v>2024</v>
      </c>
      <c r="R1192" s="110">
        <f t="shared" si="4"/>
        <v>6</v>
      </c>
      <c r="S1192" s="108" t="str">
        <f t="shared" si="5"/>
        <v>2024-Q2</v>
      </c>
      <c r="T1192" s="111" t="str">
        <f t="shared" si="6"/>
        <v>2024-06</v>
      </c>
      <c r="U1192" s="112" t="str">
        <f t="shared" si="7"/>
        <v>2024-H1</v>
      </c>
      <c r="V1192" s="1" t="str">
        <f>VLOOKUP(B1192,Bounties!A:E,2,FALSE)</f>
        <v>Meetups Bounty</v>
      </c>
    </row>
    <row r="1193" hidden="1">
      <c r="A1193" s="109">
        <f>HYPERLINK("https://polkadot.subsquare.io/treasury/child-bounties/1191", 1191)</f>
        <v>1191</v>
      </c>
      <c r="B1193" s="183">
        <v>33.0</v>
      </c>
      <c r="C1193" s="27" t="s">
        <v>3404</v>
      </c>
      <c r="D1193" s="27" t="s">
        <v>1742</v>
      </c>
      <c r="E1193" s="129">
        <v>15752.87</v>
      </c>
      <c r="F1193" s="66">
        <v>114118.37166677952</v>
      </c>
      <c r="G1193" s="27" t="s">
        <v>3611</v>
      </c>
      <c r="H1193" s="167">
        <v>45434.0</v>
      </c>
      <c r="I1193" s="167">
        <v>45442.0</v>
      </c>
      <c r="J1193" s="66">
        <v>111193.39516560556</v>
      </c>
      <c r="K1193" s="1" t="s">
        <v>137</v>
      </c>
      <c r="L1193" s="1" t="s">
        <v>296</v>
      </c>
      <c r="M1193" s="1" t="str">
        <f>VLOOKUP(B1193,Bounties!A:D,3,FALSE)</f>
        <v>Outreach</v>
      </c>
      <c r="N1193" s="1" t="str">
        <f>VLOOKUP(B1193,Bounties!A:D,4,FALSE)</f>
        <v>Advertising</v>
      </c>
      <c r="O1193" s="1" t="str">
        <f t="shared" ref="O1193:P1193" si="1197">IF(ISBLANK(K1193),M1193,K1193)</f>
        <v>Outreach</v>
      </c>
      <c r="P1193" s="1" t="str">
        <f t="shared" si="1197"/>
        <v>Advertising/Influencers</v>
      </c>
      <c r="Q1193" s="108" t="str">
        <f t="shared" si="3"/>
        <v>2024</v>
      </c>
      <c r="R1193" s="110">
        <f t="shared" si="4"/>
        <v>5</v>
      </c>
      <c r="S1193" s="108" t="str">
        <f t="shared" si="5"/>
        <v>2024-Q2</v>
      </c>
      <c r="T1193" s="111" t="str">
        <f t="shared" si="6"/>
        <v>2024-05</v>
      </c>
      <c r="U1193" s="112" t="str">
        <f t="shared" si="7"/>
        <v>2024-H1</v>
      </c>
      <c r="V1193" s="1" t="str">
        <f>VLOOKUP(B1193,Bounties!A:E,2,FALSE)</f>
        <v>Marketing Bounty</v>
      </c>
    </row>
    <row r="1194" hidden="1">
      <c r="A1194" s="109">
        <f>HYPERLINK("https://polkadot.subsquare.io/treasury/child-bounties/1192", 1192)</f>
        <v>1192</v>
      </c>
      <c r="B1194" s="183">
        <v>33.0</v>
      </c>
      <c r="C1194" s="27" t="s">
        <v>3404</v>
      </c>
      <c r="D1194" s="27" t="s">
        <v>1743</v>
      </c>
      <c r="E1194" s="129">
        <v>625.86</v>
      </c>
      <c r="F1194" s="66">
        <v>4533.911858053208</v>
      </c>
      <c r="G1194" s="27" t="s">
        <v>3645</v>
      </c>
      <c r="H1194" s="167">
        <v>45434.0</v>
      </c>
      <c r="I1194" s="167">
        <v>45442.0</v>
      </c>
      <c r="J1194" s="66">
        <v>4417.702824840546</v>
      </c>
      <c r="K1194" s="1" t="s">
        <v>137</v>
      </c>
      <c r="L1194" s="1" t="s">
        <v>254</v>
      </c>
      <c r="M1194" s="1" t="str">
        <f>VLOOKUP(B1194,Bounties!A:D,3,FALSE)</f>
        <v>Outreach</v>
      </c>
      <c r="N1194" s="1" t="str">
        <f>VLOOKUP(B1194,Bounties!A:D,4,FALSE)</f>
        <v>Advertising</v>
      </c>
      <c r="O1194" s="1" t="str">
        <f t="shared" ref="O1194:P1194" si="1198">IF(ISBLANK(K1194),M1194,K1194)</f>
        <v>Outreach</v>
      </c>
      <c r="P1194" s="1" t="str">
        <f t="shared" si="1198"/>
        <v>Advertising/Digital Ads</v>
      </c>
      <c r="Q1194" s="108" t="str">
        <f t="shared" si="3"/>
        <v>2024</v>
      </c>
      <c r="R1194" s="110">
        <f t="shared" si="4"/>
        <v>5</v>
      </c>
      <c r="S1194" s="108" t="str">
        <f t="shared" si="5"/>
        <v>2024-Q2</v>
      </c>
      <c r="T1194" s="111" t="str">
        <f t="shared" si="6"/>
        <v>2024-05</v>
      </c>
      <c r="U1194" s="112" t="str">
        <f t="shared" si="7"/>
        <v>2024-H1</v>
      </c>
      <c r="V1194" s="1" t="str">
        <f>VLOOKUP(B1194,Bounties!A:E,2,FALSE)</f>
        <v>Marketing Bounty</v>
      </c>
    </row>
    <row r="1195" hidden="1">
      <c r="A1195" s="109">
        <f>HYPERLINK("https://polkadot.subsquare.io/treasury/child-bounties/1193", 1193)</f>
        <v>1193</v>
      </c>
      <c r="B1195" s="183">
        <v>33.0</v>
      </c>
      <c r="C1195" s="27" t="s">
        <v>3404</v>
      </c>
      <c r="D1195" s="27" t="s">
        <v>1744</v>
      </c>
      <c r="E1195" s="129">
        <v>35354.0</v>
      </c>
      <c r="F1195" s="66">
        <v>256114.6579580307</v>
      </c>
      <c r="G1195" s="27" t="s">
        <v>3638</v>
      </c>
      <c r="H1195" s="167">
        <v>45434.0</v>
      </c>
      <c r="I1195" s="167">
        <v>45443.0</v>
      </c>
      <c r="J1195" s="66">
        <v>247840.3480205536</v>
      </c>
      <c r="K1195" s="1" t="s">
        <v>137</v>
      </c>
      <c r="L1195" s="1" t="s">
        <v>254</v>
      </c>
      <c r="M1195" s="1" t="str">
        <f>VLOOKUP(B1195,Bounties!A:D,3,FALSE)</f>
        <v>Outreach</v>
      </c>
      <c r="N1195" s="1" t="str">
        <f>VLOOKUP(B1195,Bounties!A:D,4,FALSE)</f>
        <v>Advertising</v>
      </c>
      <c r="O1195" s="1" t="str">
        <f t="shared" ref="O1195:P1195" si="1199">IF(ISBLANK(K1195),M1195,K1195)</f>
        <v>Outreach</v>
      </c>
      <c r="P1195" s="1" t="str">
        <f t="shared" si="1199"/>
        <v>Advertising/Digital Ads</v>
      </c>
      <c r="Q1195" s="108" t="str">
        <f t="shared" si="3"/>
        <v>2024</v>
      </c>
      <c r="R1195" s="110">
        <f t="shared" si="4"/>
        <v>5</v>
      </c>
      <c r="S1195" s="108" t="str">
        <f t="shared" si="5"/>
        <v>2024-Q2</v>
      </c>
      <c r="T1195" s="111" t="str">
        <f t="shared" si="6"/>
        <v>2024-05</v>
      </c>
      <c r="U1195" s="112" t="str">
        <f t="shared" si="7"/>
        <v>2024-H1</v>
      </c>
      <c r="V1195" s="1" t="str">
        <f>VLOOKUP(B1195,Bounties!A:E,2,FALSE)</f>
        <v>Marketing Bounty</v>
      </c>
    </row>
    <row r="1196" hidden="1">
      <c r="A1196" s="109">
        <f>HYPERLINK("https://polkadot.subsquare.io/treasury/child-bounties/1194", 1194)</f>
        <v>1194</v>
      </c>
      <c r="B1196" s="183">
        <v>24.0</v>
      </c>
      <c r="C1196" s="27" t="s">
        <v>3404</v>
      </c>
      <c r="D1196" s="27" t="s">
        <v>1745</v>
      </c>
      <c r="E1196" s="129">
        <v>18.42</v>
      </c>
      <c r="F1196" s="66">
        <v>135.70148574829102</v>
      </c>
      <c r="G1196" s="27" t="s">
        <v>3524</v>
      </c>
      <c r="H1196" s="167">
        <v>45437.0</v>
      </c>
      <c r="I1196" s="167">
        <v>45459.0</v>
      </c>
      <c r="J1196" s="66">
        <v>106.72938254356386</v>
      </c>
      <c r="K1196" s="1"/>
      <c r="L1196" s="1"/>
      <c r="M1196" s="1" t="str">
        <f>VLOOKUP(B1196,Bounties!A:D,3,FALSE)</f>
        <v>Outreach</v>
      </c>
      <c r="N1196" s="1" t="str">
        <f>VLOOKUP(B1196,Bounties!A:D,4,FALSE)</f>
        <v>Community Building</v>
      </c>
      <c r="O1196" s="1" t="str">
        <f t="shared" ref="O1196:P1196" si="1200">IF(ISBLANK(K1196),M1196,K1196)</f>
        <v>Outreach</v>
      </c>
      <c r="P1196" s="1" t="str">
        <f t="shared" si="1200"/>
        <v>Community Building</v>
      </c>
      <c r="Q1196" s="108" t="str">
        <f t="shared" si="3"/>
        <v>2024</v>
      </c>
      <c r="R1196" s="110">
        <f t="shared" si="4"/>
        <v>6</v>
      </c>
      <c r="S1196" s="108" t="str">
        <f t="shared" si="5"/>
        <v>2024-Q2</v>
      </c>
      <c r="T1196" s="111" t="str">
        <f t="shared" si="6"/>
        <v>2024-06</v>
      </c>
      <c r="U1196" s="112" t="str">
        <f t="shared" si="7"/>
        <v>2024-H1</v>
      </c>
      <c r="V1196" s="1" t="str">
        <f>VLOOKUP(B1196,Bounties!A:E,2,FALSE)</f>
        <v>Moderation Team Bounty</v>
      </c>
    </row>
    <row r="1197" hidden="1">
      <c r="A1197" s="109">
        <f>HYPERLINK("https://polkadot.subsquare.io/treasury/child-bounties/1195", 1195)</f>
        <v>1195</v>
      </c>
      <c r="B1197" s="183">
        <v>24.0</v>
      </c>
      <c r="C1197" s="27" t="s">
        <v>3404</v>
      </c>
      <c r="D1197" s="27" t="s">
        <v>1746</v>
      </c>
      <c r="E1197" s="129">
        <v>191.02</v>
      </c>
      <c r="F1197" s="66">
        <v>1407.2582957458496</v>
      </c>
      <c r="G1197" s="27" t="s">
        <v>3549</v>
      </c>
      <c r="H1197" s="167">
        <v>45437.0</v>
      </c>
      <c r="I1197" s="167">
        <v>45445.0</v>
      </c>
      <c r="J1197" s="66">
        <v>1384.651984062195</v>
      </c>
      <c r="K1197" s="1"/>
      <c r="L1197" s="1"/>
      <c r="M1197" s="1" t="str">
        <f>VLOOKUP(B1197,Bounties!A:D,3,FALSE)</f>
        <v>Outreach</v>
      </c>
      <c r="N1197" s="1" t="str">
        <f>VLOOKUP(B1197,Bounties!A:D,4,FALSE)</f>
        <v>Community Building</v>
      </c>
      <c r="O1197" s="1" t="str">
        <f t="shared" ref="O1197:P1197" si="1201">IF(ISBLANK(K1197),M1197,K1197)</f>
        <v>Outreach</v>
      </c>
      <c r="P1197" s="1" t="str">
        <f t="shared" si="1201"/>
        <v>Community Building</v>
      </c>
      <c r="Q1197" s="108" t="str">
        <f t="shared" si="3"/>
        <v>2024</v>
      </c>
      <c r="R1197" s="110">
        <f t="shared" si="4"/>
        <v>6</v>
      </c>
      <c r="S1197" s="108" t="str">
        <f t="shared" si="5"/>
        <v>2024-Q2</v>
      </c>
      <c r="T1197" s="111" t="str">
        <f t="shared" si="6"/>
        <v>2024-06</v>
      </c>
      <c r="U1197" s="112" t="str">
        <f t="shared" si="7"/>
        <v>2024-H1</v>
      </c>
      <c r="V1197" s="1" t="str">
        <f>VLOOKUP(B1197,Bounties!A:E,2,FALSE)</f>
        <v>Moderation Team Bounty</v>
      </c>
    </row>
    <row r="1198" hidden="1">
      <c r="A1198" s="109">
        <f>HYPERLINK("https://polkadot.subsquare.io/treasury/child-bounties/1196", 1196)</f>
        <v>1196</v>
      </c>
      <c r="B1198" s="183">
        <v>24.0</v>
      </c>
      <c r="C1198" s="27" t="s">
        <v>3404</v>
      </c>
      <c r="D1198" s="27" t="s">
        <v>1747</v>
      </c>
      <c r="E1198" s="129">
        <v>191.02</v>
      </c>
      <c r="F1198" s="66">
        <v>1407.2582957458496</v>
      </c>
      <c r="G1198" s="27" t="s">
        <v>3408</v>
      </c>
      <c r="H1198" s="167">
        <v>45437.0</v>
      </c>
      <c r="I1198" s="167">
        <v>45446.0</v>
      </c>
      <c r="J1198" s="66">
        <v>1364.2675193691255</v>
      </c>
      <c r="K1198" s="1"/>
      <c r="L1198" s="1"/>
      <c r="M1198" s="1" t="str">
        <f>VLOOKUP(B1198,Bounties!A:D,3,FALSE)</f>
        <v>Outreach</v>
      </c>
      <c r="N1198" s="1" t="str">
        <f>VLOOKUP(B1198,Bounties!A:D,4,FALSE)</f>
        <v>Community Building</v>
      </c>
      <c r="O1198" s="1" t="str">
        <f t="shared" ref="O1198:P1198" si="1202">IF(ISBLANK(K1198),M1198,K1198)</f>
        <v>Outreach</v>
      </c>
      <c r="P1198" s="1" t="str">
        <f t="shared" si="1202"/>
        <v>Community Building</v>
      </c>
      <c r="Q1198" s="108" t="str">
        <f t="shared" si="3"/>
        <v>2024</v>
      </c>
      <c r="R1198" s="110">
        <f t="shared" si="4"/>
        <v>6</v>
      </c>
      <c r="S1198" s="108" t="str">
        <f t="shared" si="5"/>
        <v>2024-Q2</v>
      </c>
      <c r="T1198" s="111" t="str">
        <f t="shared" si="6"/>
        <v>2024-06</v>
      </c>
      <c r="U1198" s="112" t="str">
        <f t="shared" si="7"/>
        <v>2024-H1</v>
      </c>
      <c r="V1198" s="1" t="str">
        <f>VLOOKUP(B1198,Bounties!A:E,2,FALSE)</f>
        <v>Moderation Team Bounty</v>
      </c>
    </row>
    <row r="1199" hidden="1">
      <c r="A1199" s="109">
        <f>HYPERLINK("https://polkadot.subsquare.io/treasury/child-bounties/1197", 1197)</f>
        <v>1197</v>
      </c>
      <c r="B1199" s="183">
        <v>24.0</v>
      </c>
      <c r="C1199" s="27" t="s">
        <v>3404</v>
      </c>
      <c r="D1199" s="27" t="s">
        <v>1748</v>
      </c>
      <c r="E1199" s="129">
        <v>225.13</v>
      </c>
      <c r="F1199" s="66">
        <v>1658.5491577911378</v>
      </c>
      <c r="G1199" s="27" t="s">
        <v>3550</v>
      </c>
      <c r="H1199" s="167">
        <v>45437.0</v>
      </c>
      <c r="I1199" s="167">
        <v>45446.0</v>
      </c>
      <c r="J1199" s="66">
        <v>1631.9060892677307</v>
      </c>
      <c r="K1199" s="1"/>
      <c r="L1199" s="1"/>
      <c r="M1199" s="1" t="str">
        <f>VLOOKUP(B1199,Bounties!A:D,3,FALSE)</f>
        <v>Outreach</v>
      </c>
      <c r="N1199" s="1" t="str">
        <f>VLOOKUP(B1199,Bounties!A:D,4,FALSE)</f>
        <v>Community Building</v>
      </c>
      <c r="O1199" s="1" t="str">
        <f t="shared" ref="O1199:P1199" si="1203">IF(ISBLANK(K1199),M1199,K1199)</f>
        <v>Outreach</v>
      </c>
      <c r="P1199" s="1" t="str">
        <f t="shared" si="1203"/>
        <v>Community Building</v>
      </c>
      <c r="Q1199" s="108" t="str">
        <f t="shared" si="3"/>
        <v>2024</v>
      </c>
      <c r="R1199" s="110">
        <f t="shared" si="4"/>
        <v>6</v>
      </c>
      <c r="S1199" s="108" t="str">
        <f t="shared" si="5"/>
        <v>2024-Q2</v>
      </c>
      <c r="T1199" s="111" t="str">
        <f t="shared" si="6"/>
        <v>2024-06</v>
      </c>
      <c r="U1199" s="112" t="str">
        <f t="shared" si="7"/>
        <v>2024-H1</v>
      </c>
      <c r="V1199" s="1" t="str">
        <f>VLOOKUP(B1199,Bounties!A:E,2,FALSE)</f>
        <v>Moderation Team Bounty</v>
      </c>
    </row>
    <row r="1200" hidden="1">
      <c r="A1200" s="109">
        <f>HYPERLINK("https://polkadot.subsquare.io/treasury/child-bounties/1198", 1198)</f>
        <v>1198</v>
      </c>
      <c r="B1200" s="183">
        <v>24.0</v>
      </c>
      <c r="C1200" s="27" t="s">
        <v>3404</v>
      </c>
      <c r="D1200" s="27" t="s">
        <v>1749</v>
      </c>
      <c r="E1200" s="129">
        <v>191.02</v>
      </c>
      <c r="F1200" s="66">
        <v>1407.2582957458496</v>
      </c>
      <c r="G1200" s="27" t="s">
        <v>3548</v>
      </c>
      <c r="H1200" s="167">
        <v>45437.0</v>
      </c>
      <c r="I1200" s="167">
        <v>45446.0</v>
      </c>
      <c r="J1200" s="66">
        <v>1384.651984062195</v>
      </c>
      <c r="K1200" s="1"/>
      <c r="L1200" s="1"/>
      <c r="M1200" s="1" t="str">
        <f>VLOOKUP(B1200,Bounties!A:D,3,FALSE)</f>
        <v>Outreach</v>
      </c>
      <c r="N1200" s="1" t="str">
        <f>VLOOKUP(B1200,Bounties!A:D,4,FALSE)</f>
        <v>Community Building</v>
      </c>
      <c r="O1200" s="1" t="str">
        <f t="shared" ref="O1200:P1200" si="1204">IF(ISBLANK(K1200),M1200,K1200)</f>
        <v>Outreach</v>
      </c>
      <c r="P1200" s="1" t="str">
        <f t="shared" si="1204"/>
        <v>Community Building</v>
      </c>
      <c r="Q1200" s="108" t="str">
        <f t="shared" si="3"/>
        <v>2024</v>
      </c>
      <c r="R1200" s="110">
        <f t="shared" si="4"/>
        <v>6</v>
      </c>
      <c r="S1200" s="108" t="str">
        <f t="shared" si="5"/>
        <v>2024-Q2</v>
      </c>
      <c r="T1200" s="111" t="str">
        <f t="shared" si="6"/>
        <v>2024-06</v>
      </c>
      <c r="U1200" s="112" t="str">
        <f t="shared" si="7"/>
        <v>2024-H1</v>
      </c>
      <c r="V1200" s="1" t="str">
        <f>VLOOKUP(B1200,Bounties!A:E,2,FALSE)</f>
        <v>Moderation Team Bounty</v>
      </c>
    </row>
    <row r="1201" hidden="1">
      <c r="A1201" s="109">
        <f>HYPERLINK("https://polkadot.subsquare.io/treasury/child-bounties/1199", 1199)</f>
        <v>1199</v>
      </c>
      <c r="B1201" s="183">
        <v>24.0</v>
      </c>
      <c r="C1201" s="27" t="s">
        <v>3404</v>
      </c>
      <c r="D1201" s="27" t="s">
        <v>1750</v>
      </c>
      <c r="E1201" s="129">
        <v>191.02</v>
      </c>
      <c r="F1201" s="66">
        <v>1370.0760374927522</v>
      </c>
      <c r="G1201" s="27" t="s">
        <v>3457</v>
      </c>
      <c r="H1201" s="167">
        <v>45438.0</v>
      </c>
      <c r="I1201" s="167">
        <v>45447.0</v>
      </c>
      <c r="J1201" s="66">
        <v>1271.7666177654266</v>
      </c>
      <c r="K1201" s="1"/>
      <c r="L1201" s="1"/>
      <c r="M1201" s="1" t="str">
        <f>VLOOKUP(B1201,Bounties!A:D,3,FALSE)</f>
        <v>Outreach</v>
      </c>
      <c r="N1201" s="1" t="str">
        <f>VLOOKUP(B1201,Bounties!A:D,4,FALSE)</f>
        <v>Community Building</v>
      </c>
      <c r="O1201" s="1" t="str">
        <f t="shared" ref="O1201:P1201" si="1205">IF(ISBLANK(K1201),M1201,K1201)</f>
        <v>Outreach</v>
      </c>
      <c r="P1201" s="1" t="str">
        <f t="shared" si="1205"/>
        <v>Community Building</v>
      </c>
      <c r="Q1201" s="108" t="str">
        <f t="shared" si="3"/>
        <v>2024</v>
      </c>
      <c r="R1201" s="110">
        <f t="shared" si="4"/>
        <v>6</v>
      </c>
      <c r="S1201" s="108" t="str">
        <f t="shared" si="5"/>
        <v>2024-Q2</v>
      </c>
      <c r="T1201" s="111" t="str">
        <f t="shared" si="6"/>
        <v>2024-06</v>
      </c>
      <c r="U1201" s="112" t="str">
        <f t="shared" si="7"/>
        <v>2024-H1</v>
      </c>
      <c r="V1201" s="1" t="str">
        <f>VLOOKUP(B1201,Bounties!A:E,2,FALSE)</f>
        <v>Moderation Team Bounty</v>
      </c>
    </row>
    <row r="1202" hidden="1">
      <c r="A1202" s="109">
        <f>HYPERLINK("https://polkadot.subsquare.io/treasury/child-bounties/1200", 1200)</f>
        <v>1200</v>
      </c>
      <c r="B1202" s="183">
        <v>24.0</v>
      </c>
      <c r="C1202" s="27" t="s">
        <v>3404</v>
      </c>
      <c r="D1202" s="27" t="s">
        <v>1751</v>
      </c>
      <c r="E1202" s="129">
        <v>191.02</v>
      </c>
      <c r="F1202" s="66">
        <v>1370.0760374927522</v>
      </c>
      <c r="G1202" s="27" t="s">
        <v>3407</v>
      </c>
      <c r="H1202" s="167">
        <v>45438.0</v>
      </c>
      <c r="I1202" s="167">
        <v>45446.0</v>
      </c>
      <c r="J1202" s="66">
        <v>1364.2675193691255</v>
      </c>
      <c r="K1202" s="1"/>
      <c r="L1202" s="1"/>
      <c r="M1202" s="1" t="str">
        <f>VLOOKUP(B1202,Bounties!A:D,3,FALSE)</f>
        <v>Outreach</v>
      </c>
      <c r="N1202" s="1" t="str">
        <f>VLOOKUP(B1202,Bounties!A:D,4,FALSE)</f>
        <v>Community Building</v>
      </c>
      <c r="O1202" s="1" t="str">
        <f t="shared" ref="O1202:P1202" si="1206">IF(ISBLANK(K1202),M1202,K1202)</f>
        <v>Outreach</v>
      </c>
      <c r="P1202" s="1" t="str">
        <f t="shared" si="1206"/>
        <v>Community Building</v>
      </c>
      <c r="Q1202" s="108" t="str">
        <f t="shared" si="3"/>
        <v>2024</v>
      </c>
      <c r="R1202" s="110">
        <f t="shared" si="4"/>
        <v>6</v>
      </c>
      <c r="S1202" s="108" t="str">
        <f t="shared" si="5"/>
        <v>2024-Q2</v>
      </c>
      <c r="T1202" s="111" t="str">
        <f t="shared" si="6"/>
        <v>2024-06</v>
      </c>
      <c r="U1202" s="112" t="str">
        <f t="shared" si="7"/>
        <v>2024-H1</v>
      </c>
      <c r="V1202" s="1" t="str">
        <f>VLOOKUP(B1202,Bounties!A:E,2,FALSE)</f>
        <v>Moderation Team Bounty</v>
      </c>
    </row>
    <row r="1203" hidden="1">
      <c r="A1203" s="109">
        <f>HYPERLINK("https://polkadot.subsquare.io/treasury/child-bounties/1201", 1201)</f>
        <v>1201</v>
      </c>
      <c r="B1203" s="183">
        <v>24.0</v>
      </c>
      <c r="C1203" s="27" t="s">
        <v>3404</v>
      </c>
      <c r="D1203" s="27" t="s">
        <v>1752</v>
      </c>
      <c r="E1203" s="129">
        <v>209.44</v>
      </c>
      <c r="F1203" s="66">
        <v>1502.192049484253</v>
      </c>
      <c r="G1203" s="27" t="s">
        <v>3486</v>
      </c>
      <c r="H1203" s="167">
        <v>45438.0</v>
      </c>
      <c r="I1203" s="167">
        <v>45446.0</v>
      </c>
      <c r="J1203" s="66">
        <v>1495.823417739868</v>
      </c>
      <c r="K1203" s="1"/>
      <c r="L1203" s="1"/>
      <c r="M1203" s="1" t="str">
        <f>VLOOKUP(B1203,Bounties!A:D,3,FALSE)</f>
        <v>Outreach</v>
      </c>
      <c r="N1203" s="1" t="str">
        <f>VLOOKUP(B1203,Bounties!A:D,4,FALSE)</f>
        <v>Community Building</v>
      </c>
      <c r="O1203" s="1" t="str">
        <f t="shared" ref="O1203:P1203" si="1207">IF(ISBLANK(K1203),M1203,K1203)</f>
        <v>Outreach</v>
      </c>
      <c r="P1203" s="1" t="str">
        <f t="shared" si="1207"/>
        <v>Community Building</v>
      </c>
      <c r="Q1203" s="108" t="str">
        <f t="shared" si="3"/>
        <v>2024</v>
      </c>
      <c r="R1203" s="110">
        <f t="shared" si="4"/>
        <v>6</v>
      </c>
      <c r="S1203" s="108" t="str">
        <f t="shared" si="5"/>
        <v>2024-Q2</v>
      </c>
      <c r="T1203" s="111" t="str">
        <f t="shared" si="6"/>
        <v>2024-06</v>
      </c>
      <c r="U1203" s="112" t="str">
        <f t="shared" si="7"/>
        <v>2024-H1</v>
      </c>
      <c r="V1203" s="1" t="str">
        <f>VLOOKUP(B1203,Bounties!A:E,2,FALSE)</f>
        <v>Moderation Team Bounty</v>
      </c>
    </row>
    <row r="1204" hidden="1">
      <c r="A1204" s="109">
        <f>HYPERLINK("https://polkadot.subsquare.io/treasury/child-bounties/1202", 1202)</f>
        <v>1202</v>
      </c>
      <c r="B1204" s="183">
        <v>24.0</v>
      </c>
      <c r="C1204" s="27" t="s">
        <v>3404</v>
      </c>
      <c r="D1204" s="27" t="s">
        <v>1753</v>
      </c>
      <c r="E1204" s="129">
        <v>191.02</v>
      </c>
      <c r="F1204" s="66">
        <v>1370.0760374927522</v>
      </c>
      <c r="G1204" s="27" t="s">
        <v>3406</v>
      </c>
      <c r="H1204" s="167">
        <v>45438.0</v>
      </c>
      <c r="I1204" s="167">
        <v>45465.0</v>
      </c>
      <c r="J1204" s="66">
        <v>1093.5293653964998</v>
      </c>
      <c r="K1204" s="1"/>
      <c r="L1204" s="1"/>
      <c r="M1204" s="1" t="str">
        <f>VLOOKUP(B1204,Bounties!A:D,3,FALSE)</f>
        <v>Outreach</v>
      </c>
      <c r="N1204" s="1" t="str">
        <f>VLOOKUP(B1204,Bounties!A:D,4,FALSE)</f>
        <v>Community Building</v>
      </c>
      <c r="O1204" s="1" t="str">
        <f t="shared" ref="O1204:P1204" si="1208">IF(ISBLANK(K1204),M1204,K1204)</f>
        <v>Outreach</v>
      </c>
      <c r="P1204" s="1" t="str">
        <f t="shared" si="1208"/>
        <v>Community Building</v>
      </c>
      <c r="Q1204" s="108" t="str">
        <f t="shared" si="3"/>
        <v>2024</v>
      </c>
      <c r="R1204" s="110">
        <f t="shared" si="4"/>
        <v>6</v>
      </c>
      <c r="S1204" s="108" t="str">
        <f t="shared" si="5"/>
        <v>2024-Q2</v>
      </c>
      <c r="T1204" s="111" t="str">
        <f t="shared" si="6"/>
        <v>2024-06</v>
      </c>
      <c r="U1204" s="112" t="str">
        <f t="shared" si="7"/>
        <v>2024-H1</v>
      </c>
      <c r="V1204" s="1" t="str">
        <f>VLOOKUP(B1204,Bounties!A:E,2,FALSE)</f>
        <v>Moderation Team Bounty</v>
      </c>
    </row>
    <row r="1205" hidden="1">
      <c r="A1205" s="109">
        <f>HYPERLINK("https://polkadot.subsquare.io/treasury/child-bounties/1203", 1203)</f>
        <v>1203</v>
      </c>
      <c r="B1205" s="183">
        <v>32.0</v>
      </c>
      <c r="C1205" s="27" t="s">
        <v>3404</v>
      </c>
      <c r="D1205" s="27" t="s">
        <v>1754</v>
      </c>
      <c r="E1205" s="129">
        <v>15.7808</v>
      </c>
      <c r="F1205" s="66">
        <v>113.18655602798461</v>
      </c>
      <c r="G1205" s="27" t="s">
        <v>3593</v>
      </c>
      <c r="H1205" s="167">
        <v>45438.0</v>
      </c>
      <c r="I1205" s="167">
        <v>45455.0</v>
      </c>
      <c r="J1205" s="66">
        <v>97.25330212478637</v>
      </c>
      <c r="K1205" s="1"/>
      <c r="L1205" s="1"/>
      <c r="M1205" s="1" t="str">
        <f>VLOOKUP(B1205,Bounties!A:D,3,FALSE)</f>
        <v>Operations</v>
      </c>
      <c r="N1205" s="1" t="str">
        <f>VLOOKUP(B1205,Bounties!A:D,4,FALSE)</f>
        <v>RPCs and Nodes</v>
      </c>
      <c r="O1205" s="1" t="str">
        <f t="shared" ref="O1205:P1205" si="1209">IF(ISBLANK(K1205),M1205,K1205)</f>
        <v>Operations</v>
      </c>
      <c r="P1205" s="1" t="str">
        <f t="shared" si="1209"/>
        <v>RPCs and Nodes</v>
      </c>
      <c r="Q1205" s="108" t="str">
        <f t="shared" si="3"/>
        <v>2024</v>
      </c>
      <c r="R1205" s="110">
        <f t="shared" si="4"/>
        <v>6</v>
      </c>
      <c r="S1205" s="108" t="str">
        <f t="shared" si="5"/>
        <v>2024-Q2</v>
      </c>
      <c r="T1205" s="111" t="str">
        <f t="shared" si="6"/>
        <v>2024-06</v>
      </c>
      <c r="U1205" s="112" t="str">
        <f t="shared" si="7"/>
        <v>2024-H1</v>
      </c>
      <c r="V1205" s="1" t="str">
        <f>VLOOKUP(B1205,Bounties!A:E,2,FALSE)</f>
        <v>System Parachains Collator Bounty</v>
      </c>
    </row>
    <row r="1206" hidden="1">
      <c r="A1206" s="109">
        <f>HYPERLINK("https://polkadot.subsquare.io/treasury/child-bounties/1204", 1204)</f>
        <v>1204</v>
      </c>
      <c r="B1206" s="183">
        <v>32.0</v>
      </c>
      <c r="C1206" s="27" t="s">
        <v>3404</v>
      </c>
      <c r="D1206" s="27" t="s">
        <v>1754</v>
      </c>
      <c r="E1206" s="129">
        <v>15.7808</v>
      </c>
      <c r="F1206" s="66">
        <v>113.18655602798461</v>
      </c>
      <c r="G1206" s="27" t="s">
        <v>3673</v>
      </c>
      <c r="H1206" s="167">
        <v>45438.0</v>
      </c>
      <c r="I1206" s="167">
        <v>45454.0</v>
      </c>
      <c r="J1206" s="66">
        <v>100.36702636260986</v>
      </c>
      <c r="K1206" s="1"/>
      <c r="L1206" s="1"/>
      <c r="M1206" s="1" t="str">
        <f>VLOOKUP(B1206,Bounties!A:D,3,FALSE)</f>
        <v>Operations</v>
      </c>
      <c r="N1206" s="1" t="str">
        <f>VLOOKUP(B1206,Bounties!A:D,4,FALSE)</f>
        <v>RPCs and Nodes</v>
      </c>
      <c r="O1206" s="1" t="str">
        <f t="shared" ref="O1206:P1206" si="1210">IF(ISBLANK(K1206),M1206,K1206)</f>
        <v>Operations</v>
      </c>
      <c r="P1206" s="1" t="str">
        <f t="shared" si="1210"/>
        <v>RPCs and Nodes</v>
      </c>
      <c r="Q1206" s="108" t="str">
        <f t="shared" si="3"/>
        <v>2024</v>
      </c>
      <c r="R1206" s="110">
        <f t="shared" si="4"/>
        <v>6</v>
      </c>
      <c r="S1206" s="108" t="str">
        <f t="shared" si="5"/>
        <v>2024-Q2</v>
      </c>
      <c r="T1206" s="111" t="str">
        <f t="shared" si="6"/>
        <v>2024-06</v>
      </c>
      <c r="U1206" s="112" t="str">
        <f t="shared" si="7"/>
        <v>2024-H1</v>
      </c>
      <c r="V1206" s="1" t="str">
        <f>VLOOKUP(B1206,Bounties!A:E,2,FALSE)</f>
        <v>System Parachains Collator Bounty</v>
      </c>
    </row>
    <row r="1207" hidden="1">
      <c r="A1207" s="109">
        <f>HYPERLINK("https://polkadot.subsquare.io/treasury/child-bounties/1205", 1205)</f>
        <v>1205</v>
      </c>
      <c r="B1207" s="183">
        <v>32.0</v>
      </c>
      <c r="C1207" s="27" t="s">
        <v>3404</v>
      </c>
      <c r="D1207" s="27" t="s">
        <v>1755</v>
      </c>
      <c r="E1207" s="129">
        <v>15.7808</v>
      </c>
      <c r="F1207" s="66">
        <v>113.18655602798461</v>
      </c>
      <c r="G1207" s="27" t="s">
        <v>3600</v>
      </c>
      <c r="H1207" s="167">
        <v>45438.0</v>
      </c>
      <c r="I1207" s="167">
        <v>45454.0</v>
      </c>
      <c r="J1207" s="66">
        <v>100.36702636260986</v>
      </c>
      <c r="K1207" s="1"/>
      <c r="L1207" s="1"/>
      <c r="M1207" s="1" t="str">
        <f>VLOOKUP(B1207,Bounties!A:D,3,FALSE)</f>
        <v>Operations</v>
      </c>
      <c r="N1207" s="1" t="str">
        <f>VLOOKUP(B1207,Bounties!A:D,4,FALSE)</f>
        <v>RPCs and Nodes</v>
      </c>
      <c r="O1207" s="1" t="str">
        <f t="shared" ref="O1207:P1207" si="1211">IF(ISBLANK(K1207),M1207,K1207)</f>
        <v>Operations</v>
      </c>
      <c r="P1207" s="1" t="str">
        <f t="shared" si="1211"/>
        <v>RPCs and Nodes</v>
      </c>
      <c r="Q1207" s="108" t="str">
        <f t="shared" si="3"/>
        <v>2024</v>
      </c>
      <c r="R1207" s="110">
        <f t="shared" si="4"/>
        <v>6</v>
      </c>
      <c r="S1207" s="108" t="str">
        <f t="shared" si="5"/>
        <v>2024-Q2</v>
      </c>
      <c r="T1207" s="111" t="str">
        <f t="shared" si="6"/>
        <v>2024-06</v>
      </c>
      <c r="U1207" s="112" t="str">
        <f t="shared" si="7"/>
        <v>2024-H1</v>
      </c>
      <c r="V1207" s="1" t="str">
        <f>VLOOKUP(B1207,Bounties!A:E,2,FALSE)</f>
        <v>System Parachains Collator Bounty</v>
      </c>
    </row>
    <row r="1208" hidden="1">
      <c r="A1208" s="109">
        <f>HYPERLINK("https://polkadot.subsquare.io/treasury/child-bounties/1206", 1206)</f>
        <v>1206</v>
      </c>
      <c r="B1208" s="183">
        <v>32.0</v>
      </c>
      <c r="C1208" s="27" t="s">
        <v>3404</v>
      </c>
      <c r="D1208" s="27" t="s">
        <v>1755</v>
      </c>
      <c r="E1208" s="129">
        <v>15.7808</v>
      </c>
      <c r="F1208" s="66">
        <v>113.18655602798461</v>
      </c>
      <c r="G1208" s="27" t="s">
        <v>3590</v>
      </c>
      <c r="H1208" s="167">
        <v>45438.0</v>
      </c>
      <c r="I1208" s="167">
        <v>45455.0</v>
      </c>
      <c r="J1208" s="66">
        <v>97.25330212478637</v>
      </c>
      <c r="K1208" s="1"/>
      <c r="L1208" s="1"/>
      <c r="M1208" s="1" t="str">
        <f>VLOOKUP(B1208,Bounties!A:D,3,FALSE)</f>
        <v>Operations</v>
      </c>
      <c r="N1208" s="1" t="str">
        <f>VLOOKUP(B1208,Bounties!A:D,4,FALSE)</f>
        <v>RPCs and Nodes</v>
      </c>
      <c r="O1208" s="1" t="str">
        <f t="shared" ref="O1208:P1208" si="1212">IF(ISBLANK(K1208),M1208,K1208)</f>
        <v>Operations</v>
      </c>
      <c r="P1208" s="1" t="str">
        <f t="shared" si="1212"/>
        <v>RPCs and Nodes</v>
      </c>
      <c r="Q1208" s="108" t="str">
        <f t="shared" si="3"/>
        <v>2024</v>
      </c>
      <c r="R1208" s="110">
        <f t="shared" si="4"/>
        <v>6</v>
      </c>
      <c r="S1208" s="108" t="str">
        <f t="shared" si="5"/>
        <v>2024-Q2</v>
      </c>
      <c r="T1208" s="111" t="str">
        <f t="shared" si="6"/>
        <v>2024-06</v>
      </c>
      <c r="U1208" s="112" t="str">
        <f t="shared" si="7"/>
        <v>2024-H1</v>
      </c>
      <c r="V1208" s="1" t="str">
        <f>VLOOKUP(B1208,Bounties!A:E,2,FALSE)</f>
        <v>System Parachains Collator Bounty</v>
      </c>
    </row>
    <row r="1209" hidden="1">
      <c r="A1209" s="109">
        <f>HYPERLINK("https://polkadot.subsquare.io/treasury/child-bounties/1207", 1207)</f>
        <v>1207</v>
      </c>
      <c r="B1209" s="183">
        <v>32.0</v>
      </c>
      <c r="C1209" s="27" t="s">
        <v>3404</v>
      </c>
      <c r="D1209" s="27" t="s">
        <v>1754</v>
      </c>
      <c r="E1209" s="129">
        <v>15.7808</v>
      </c>
      <c r="F1209" s="66">
        <v>113.18655602798461</v>
      </c>
      <c r="G1209" s="27" t="s">
        <v>3590</v>
      </c>
      <c r="H1209" s="167">
        <v>45438.0</v>
      </c>
      <c r="I1209" s="167">
        <v>45455.0</v>
      </c>
      <c r="J1209" s="66">
        <v>97.25330212478637</v>
      </c>
      <c r="K1209" s="1"/>
      <c r="L1209" s="1"/>
      <c r="M1209" s="1" t="str">
        <f>VLOOKUP(B1209,Bounties!A:D,3,FALSE)</f>
        <v>Operations</v>
      </c>
      <c r="N1209" s="1" t="str">
        <f>VLOOKUP(B1209,Bounties!A:D,4,FALSE)</f>
        <v>RPCs and Nodes</v>
      </c>
      <c r="O1209" s="1" t="str">
        <f t="shared" ref="O1209:P1209" si="1213">IF(ISBLANK(K1209),M1209,K1209)</f>
        <v>Operations</v>
      </c>
      <c r="P1209" s="1" t="str">
        <f t="shared" si="1213"/>
        <v>RPCs and Nodes</v>
      </c>
      <c r="Q1209" s="108" t="str">
        <f t="shared" si="3"/>
        <v>2024</v>
      </c>
      <c r="R1209" s="110">
        <f t="shared" si="4"/>
        <v>6</v>
      </c>
      <c r="S1209" s="108" t="str">
        <f t="shared" si="5"/>
        <v>2024-Q2</v>
      </c>
      <c r="T1209" s="111" t="str">
        <f t="shared" si="6"/>
        <v>2024-06</v>
      </c>
      <c r="U1209" s="112" t="str">
        <f t="shared" si="7"/>
        <v>2024-H1</v>
      </c>
      <c r="V1209" s="1" t="str">
        <f>VLOOKUP(B1209,Bounties!A:E,2,FALSE)</f>
        <v>System Parachains Collator Bounty</v>
      </c>
    </row>
    <row r="1210" hidden="1">
      <c r="A1210" s="109">
        <f>HYPERLINK("https://polkadot.subsquare.io/treasury/child-bounties/1208", 1208)</f>
        <v>1208</v>
      </c>
      <c r="B1210" s="183">
        <v>32.0</v>
      </c>
      <c r="C1210" s="27" t="s">
        <v>3404</v>
      </c>
      <c r="D1210" s="27" t="s">
        <v>1754</v>
      </c>
      <c r="E1210" s="129">
        <v>15.7808</v>
      </c>
      <c r="F1210" s="66">
        <v>113.18655602798461</v>
      </c>
      <c r="G1210" s="27" t="s">
        <v>3589</v>
      </c>
      <c r="H1210" s="167">
        <v>45438.0</v>
      </c>
      <c r="I1210" s="167">
        <v>45482.0</v>
      </c>
      <c r="J1210" s="66">
        <v>93.18393421478271</v>
      </c>
      <c r="K1210" s="1"/>
      <c r="L1210" s="1"/>
      <c r="M1210" s="1" t="str">
        <f>VLOOKUP(B1210,Bounties!A:D,3,FALSE)</f>
        <v>Operations</v>
      </c>
      <c r="N1210" s="1" t="str">
        <f>VLOOKUP(B1210,Bounties!A:D,4,FALSE)</f>
        <v>RPCs and Nodes</v>
      </c>
      <c r="O1210" s="1" t="str">
        <f t="shared" ref="O1210:P1210" si="1214">IF(ISBLANK(K1210),M1210,K1210)</f>
        <v>Operations</v>
      </c>
      <c r="P1210" s="1" t="str">
        <f t="shared" si="1214"/>
        <v>RPCs and Nodes</v>
      </c>
      <c r="Q1210" s="108" t="str">
        <f t="shared" si="3"/>
        <v>2024</v>
      </c>
      <c r="R1210" s="110">
        <f t="shared" si="4"/>
        <v>7</v>
      </c>
      <c r="S1210" s="108" t="str">
        <f t="shared" si="5"/>
        <v>2024-Q3</v>
      </c>
      <c r="T1210" s="111" t="str">
        <f t="shared" si="6"/>
        <v>2024-07</v>
      </c>
      <c r="U1210" s="112" t="str">
        <f t="shared" si="7"/>
        <v>2024-H2</v>
      </c>
      <c r="V1210" s="1" t="str">
        <f>VLOOKUP(B1210,Bounties!A:E,2,FALSE)</f>
        <v>System Parachains Collator Bounty</v>
      </c>
    </row>
    <row r="1211" hidden="1">
      <c r="A1211" s="109">
        <f>HYPERLINK("https://polkadot.subsquare.io/treasury/child-bounties/1209", 1209)</f>
        <v>1209</v>
      </c>
      <c r="B1211" s="183">
        <v>32.0</v>
      </c>
      <c r="C1211" s="27" t="s">
        <v>3404</v>
      </c>
      <c r="D1211" s="27" t="s">
        <v>1755</v>
      </c>
      <c r="E1211" s="129">
        <v>15.7808</v>
      </c>
      <c r="F1211" s="66">
        <v>113.18655602798461</v>
      </c>
      <c r="G1211" s="27" t="s">
        <v>3591</v>
      </c>
      <c r="H1211" s="167">
        <v>45438.0</v>
      </c>
      <c r="I1211" s="167">
        <v>45455.0</v>
      </c>
      <c r="J1211" s="66">
        <v>98.17256304168701</v>
      </c>
      <c r="K1211" s="1"/>
      <c r="L1211" s="1"/>
      <c r="M1211" s="1" t="str">
        <f>VLOOKUP(B1211,Bounties!A:D,3,FALSE)</f>
        <v>Operations</v>
      </c>
      <c r="N1211" s="1" t="str">
        <f>VLOOKUP(B1211,Bounties!A:D,4,FALSE)</f>
        <v>RPCs and Nodes</v>
      </c>
      <c r="O1211" s="1" t="str">
        <f t="shared" ref="O1211:P1211" si="1215">IF(ISBLANK(K1211),M1211,K1211)</f>
        <v>Operations</v>
      </c>
      <c r="P1211" s="1" t="str">
        <f t="shared" si="1215"/>
        <v>RPCs and Nodes</v>
      </c>
      <c r="Q1211" s="108" t="str">
        <f t="shared" si="3"/>
        <v>2024</v>
      </c>
      <c r="R1211" s="110">
        <f t="shared" si="4"/>
        <v>6</v>
      </c>
      <c r="S1211" s="108" t="str">
        <f t="shared" si="5"/>
        <v>2024-Q2</v>
      </c>
      <c r="T1211" s="111" t="str">
        <f t="shared" si="6"/>
        <v>2024-06</v>
      </c>
      <c r="U1211" s="112" t="str">
        <f t="shared" si="7"/>
        <v>2024-H1</v>
      </c>
      <c r="V1211" s="1" t="str">
        <f>VLOOKUP(B1211,Bounties!A:E,2,FALSE)</f>
        <v>System Parachains Collator Bounty</v>
      </c>
    </row>
    <row r="1212" hidden="1">
      <c r="A1212" s="109">
        <f>HYPERLINK("https://polkadot.subsquare.io/treasury/child-bounties/1210", 1210)</f>
        <v>1210</v>
      </c>
      <c r="B1212" s="183">
        <v>32.0</v>
      </c>
      <c r="C1212" s="27" t="s">
        <v>3404</v>
      </c>
      <c r="D1212" s="27" t="s">
        <v>1754</v>
      </c>
      <c r="E1212" s="129">
        <v>15.7808</v>
      </c>
      <c r="F1212" s="66">
        <v>113.18655602798461</v>
      </c>
      <c r="G1212" s="27" t="s">
        <v>3591</v>
      </c>
      <c r="H1212" s="167">
        <v>45438.0</v>
      </c>
      <c r="I1212" s="167">
        <v>45455.0</v>
      </c>
      <c r="J1212" s="66">
        <v>97.25330212478637</v>
      </c>
      <c r="K1212" s="1"/>
      <c r="L1212" s="1"/>
      <c r="M1212" s="1" t="str">
        <f>VLOOKUP(B1212,Bounties!A:D,3,FALSE)</f>
        <v>Operations</v>
      </c>
      <c r="N1212" s="1" t="str">
        <f>VLOOKUP(B1212,Bounties!A:D,4,FALSE)</f>
        <v>RPCs and Nodes</v>
      </c>
      <c r="O1212" s="1" t="str">
        <f t="shared" ref="O1212:P1212" si="1216">IF(ISBLANK(K1212),M1212,K1212)</f>
        <v>Operations</v>
      </c>
      <c r="P1212" s="1" t="str">
        <f t="shared" si="1216"/>
        <v>RPCs and Nodes</v>
      </c>
      <c r="Q1212" s="108" t="str">
        <f t="shared" si="3"/>
        <v>2024</v>
      </c>
      <c r="R1212" s="110">
        <f t="shared" si="4"/>
        <v>6</v>
      </c>
      <c r="S1212" s="108" t="str">
        <f t="shared" si="5"/>
        <v>2024-Q2</v>
      </c>
      <c r="T1212" s="111" t="str">
        <f t="shared" si="6"/>
        <v>2024-06</v>
      </c>
      <c r="U1212" s="112" t="str">
        <f t="shared" si="7"/>
        <v>2024-H1</v>
      </c>
      <c r="V1212" s="1" t="str">
        <f>VLOOKUP(B1212,Bounties!A:E,2,FALSE)</f>
        <v>System Parachains Collator Bounty</v>
      </c>
    </row>
    <row r="1213" hidden="1">
      <c r="A1213" s="109">
        <f>HYPERLINK("https://polkadot.subsquare.io/treasury/child-bounties/1211", 1211)</f>
        <v>1211</v>
      </c>
      <c r="B1213" s="183">
        <v>32.0</v>
      </c>
      <c r="C1213" s="27" t="s">
        <v>3404</v>
      </c>
      <c r="D1213" s="27" t="s">
        <v>1756</v>
      </c>
      <c r="E1213" s="129">
        <v>2.1041066667</v>
      </c>
      <c r="F1213" s="66">
        <v>15.091540803970362</v>
      </c>
      <c r="G1213" s="27" t="s">
        <v>3407</v>
      </c>
      <c r="H1213" s="167">
        <v>45438.0</v>
      </c>
      <c r="I1213" s="167">
        <v>45450.0</v>
      </c>
      <c r="J1213" s="66">
        <v>13.692362123324825</v>
      </c>
      <c r="K1213" s="1"/>
      <c r="L1213" s="1"/>
      <c r="M1213" s="1" t="str">
        <f>VLOOKUP(B1213,Bounties!A:D,3,FALSE)</f>
        <v>Operations</v>
      </c>
      <c r="N1213" s="1" t="str">
        <f>VLOOKUP(B1213,Bounties!A:D,4,FALSE)</f>
        <v>RPCs and Nodes</v>
      </c>
      <c r="O1213" s="1" t="str">
        <f t="shared" ref="O1213:P1213" si="1217">IF(ISBLANK(K1213),M1213,K1213)</f>
        <v>Operations</v>
      </c>
      <c r="P1213" s="1" t="str">
        <f t="shared" si="1217"/>
        <v>RPCs and Nodes</v>
      </c>
      <c r="Q1213" s="108" t="str">
        <f t="shared" si="3"/>
        <v>2024</v>
      </c>
      <c r="R1213" s="110">
        <f t="shared" si="4"/>
        <v>6</v>
      </c>
      <c r="S1213" s="108" t="str">
        <f t="shared" si="5"/>
        <v>2024-Q2</v>
      </c>
      <c r="T1213" s="111" t="str">
        <f t="shared" si="6"/>
        <v>2024-06</v>
      </c>
      <c r="U1213" s="112" t="str">
        <f t="shared" si="7"/>
        <v>2024-H1</v>
      </c>
      <c r="V1213" s="1" t="str">
        <f>VLOOKUP(B1213,Bounties!A:E,2,FALSE)</f>
        <v>System Parachains Collator Bounty</v>
      </c>
    </row>
    <row r="1214" hidden="1">
      <c r="A1214" s="109">
        <f>HYPERLINK("https://polkadot.subsquare.io/treasury/child-bounties/1212", 1212)</f>
        <v>1212</v>
      </c>
      <c r="B1214" s="183">
        <v>32.0</v>
      </c>
      <c r="C1214" s="27" t="s">
        <v>3404</v>
      </c>
      <c r="D1214" s="27" t="s">
        <v>1757</v>
      </c>
      <c r="E1214" s="129">
        <v>2.1041066667</v>
      </c>
      <c r="F1214" s="66">
        <v>15.091540803970362</v>
      </c>
      <c r="G1214" s="27" t="s">
        <v>3406</v>
      </c>
      <c r="H1214" s="167">
        <v>45438.0</v>
      </c>
      <c r="I1214" s="167">
        <v>45465.0</v>
      </c>
      <c r="J1214" s="66">
        <v>12.045348277473536</v>
      </c>
      <c r="K1214" s="1"/>
      <c r="L1214" s="1"/>
      <c r="M1214" s="1" t="str">
        <f>VLOOKUP(B1214,Bounties!A:D,3,FALSE)</f>
        <v>Operations</v>
      </c>
      <c r="N1214" s="1" t="str">
        <f>VLOOKUP(B1214,Bounties!A:D,4,FALSE)</f>
        <v>RPCs and Nodes</v>
      </c>
      <c r="O1214" s="1" t="str">
        <f t="shared" ref="O1214:P1214" si="1218">IF(ISBLANK(K1214),M1214,K1214)</f>
        <v>Operations</v>
      </c>
      <c r="P1214" s="1" t="str">
        <f t="shared" si="1218"/>
        <v>RPCs and Nodes</v>
      </c>
      <c r="Q1214" s="108" t="str">
        <f t="shared" si="3"/>
        <v>2024</v>
      </c>
      <c r="R1214" s="110">
        <f t="shared" si="4"/>
        <v>6</v>
      </c>
      <c r="S1214" s="108" t="str">
        <f t="shared" si="5"/>
        <v>2024-Q2</v>
      </c>
      <c r="T1214" s="111" t="str">
        <f t="shared" si="6"/>
        <v>2024-06</v>
      </c>
      <c r="U1214" s="112" t="str">
        <f t="shared" si="7"/>
        <v>2024-H1</v>
      </c>
      <c r="V1214" s="1" t="str">
        <f>VLOOKUP(B1214,Bounties!A:E,2,FALSE)</f>
        <v>System Parachains Collator Bounty</v>
      </c>
    </row>
    <row r="1215" hidden="1">
      <c r="A1215" s="109">
        <f>HYPERLINK("https://polkadot.subsquare.io/treasury/child-bounties/1213", 1213)</f>
        <v>1213</v>
      </c>
      <c r="B1215" s="183">
        <v>32.0</v>
      </c>
      <c r="C1215" s="27" t="s">
        <v>3404</v>
      </c>
      <c r="D1215" s="27" t="s">
        <v>1758</v>
      </c>
      <c r="E1215" s="129">
        <v>2.1041066667</v>
      </c>
      <c r="F1215" s="66">
        <v>15.091540803970362</v>
      </c>
      <c r="G1215" s="27" t="s">
        <v>3411</v>
      </c>
      <c r="H1215" s="167">
        <v>45438.0</v>
      </c>
      <c r="I1215" s="167">
        <v>45447.0</v>
      </c>
      <c r="J1215" s="66">
        <v>15.027559327122018</v>
      </c>
      <c r="K1215" s="1"/>
      <c r="L1215" s="1"/>
      <c r="M1215" s="1" t="str">
        <f>VLOOKUP(B1215,Bounties!A:D,3,FALSE)</f>
        <v>Operations</v>
      </c>
      <c r="N1215" s="1" t="str">
        <f>VLOOKUP(B1215,Bounties!A:D,4,FALSE)</f>
        <v>RPCs and Nodes</v>
      </c>
      <c r="O1215" s="1" t="str">
        <f t="shared" ref="O1215:P1215" si="1219">IF(ISBLANK(K1215),M1215,K1215)</f>
        <v>Operations</v>
      </c>
      <c r="P1215" s="1" t="str">
        <f t="shared" si="1219"/>
        <v>RPCs and Nodes</v>
      </c>
      <c r="Q1215" s="108" t="str">
        <f t="shared" si="3"/>
        <v>2024</v>
      </c>
      <c r="R1215" s="110">
        <f t="shared" si="4"/>
        <v>6</v>
      </c>
      <c r="S1215" s="108" t="str">
        <f t="shared" si="5"/>
        <v>2024-Q2</v>
      </c>
      <c r="T1215" s="111" t="str">
        <f t="shared" si="6"/>
        <v>2024-06</v>
      </c>
      <c r="U1215" s="112" t="str">
        <f t="shared" si="7"/>
        <v>2024-H1</v>
      </c>
      <c r="V1215" s="1" t="str">
        <f>VLOOKUP(B1215,Bounties!A:E,2,FALSE)</f>
        <v>System Parachains Collator Bounty</v>
      </c>
    </row>
    <row r="1216" hidden="1">
      <c r="A1216" s="109">
        <f>HYPERLINK("https://polkadot.subsquare.io/treasury/child-bounties/1214", 1214)</f>
        <v>1214</v>
      </c>
      <c r="B1216" s="183">
        <v>17.0</v>
      </c>
      <c r="C1216" s="27" t="s">
        <v>3404</v>
      </c>
      <c r="D1216" s="27" t="s">
        <v>1759</v>
      </c>
      <c r="E1216" s="129">
        <v>1081.2</v>
      </c>
      <c r="F1216" s="66">
        <v>7754.822593116761</v>
      </c>
      <c r="G1216" s="27" t="s">
        <v>3540</v>
      </c>
      <c r="H1216" s="167">
        <v>45439.0</v>
      </c>
      <c r="I1216" s="167">
        <v>45455.0</v>
      </c>
      <c r="J1216" s="66">
        <v>6726.159330368042</v>
      </c>
      <c r="K1216" s="3" t="s">
        <v>137</v>
      </c>
      <c r="L1216" s="1" t="s">
        <v>266</v>
      </c>
      <c r="M1216" s="1" t="str">
        <f>VLOOKUP(B1216,Bounties!A:D,3,FALSE)</f>
        <v>Outreach</v>
      </c>
      <c r="N1216" s="1" t="str">
        <f>VLOOKUP(B1216,Bounties!A:D,4,FALSE)</f>
        <v>Events/Meetups</v>
      </c>
      <c r="O1216" s="1" t="str">
        <f t="shared" ref="O1216:P1216" si="1220">IF(ISBLANK(K1216),M1216,K1216)</f>
        <v>Outreach</v>
      </c>
      <c r="P1216" s="1" t="str">
        <f t="shared" si="1220"/>
        <v>Events/Conference Attendance &amp; Side Events</v>
      </c>
      <c r="Q1216" s="108" t="str">
        <f t="shared" si="3"/>
        <v>2024</v>
      </c>
      <c r="R1216" s="110">
        <f t="shared" si="4"/>
        <v>6</v>
      </c>
      <c r="S1216" s="108" t="str">
        <f t="shared" si="5"/>
        <v>2024-Q2</v>
      </c>
      <c r="T1216" s="111" t="str">
        <f t="shared" si="6"/>
        <v>2024-06</v>
      </c>
      <c r="U1216" s="112" t="str">
        <f t="shared" si="7"/>
        <v>2024-H1</v>
      </c>
      <c r="V1216" s="1" t="str">
        <f>VLOOKUP(B1216,Bounties!A:E,2,FALSE)</f>
        <v>Events Bounty</v>
      </c>
    </row>
    <row r="1217" hidden="1">
      <c r="A1217" s="109">
        <f>HYPERLINK("https://polkadot.subsquare.io/treasury/child-bounties/1215", 1215)</f>
        <v>1215</v>
      </c>
      <c r="B1217" s="183">
        <v>17.0</v>
      </c>
      <c r="C1217" s="27" t="s">
        <v>3404</v>
      </c>
      <c r="D1217" s="27" t="s">
        <v>1760</v>
      </c>
      <c r="E1217" s="129">
        <v>12257.1</v>
      </c>
      <c r="F1217" s="66">
        <v>87913.09286541938</v>
      </c>
      <c r="G1217" s="27" t="s">
        <v>3697</v>
      </c>
      <c r="H1217" s="167">
        <v>45439.0</v>
      </c>
      <c r="I1217" s="167">
        <v>45454.0</v>
      </c>
      <c r="J1217" s="66">
        <v>75537.58044419289</v>
      </c>
      <c r="K1217" s="1"/>
      <c r="L1217" s="1"/>
      <c r="M1217" s="1" t="str">
        <f>VLOOKUP(B1217,Bounties!A:D,3,FALSE)</f>
        <v>Outreach</v>
      </c>
      <c r="N1217" s="1" t="str">
        <f>VLOOKUP(B1217,Bounties!A:D,4,FALSE)</f>
        <v>Events/Meetups</v>
      </c>
      <c r="O1217" s="1" t="str">
        <f t="shared" ref="O1217:P1217" si="1221">IF(ISBLANK(K1217),M1217,K1217)</f>
        <v>Outreach</v>
      </c>
      <c r="P1217" s="1" t="str">
        <f t="shared" si="1221"/>
        <v>Events/Meetups</v>
      </c>
      <c r="Q1217" s="108" t="str">
        <f t="shared" si="3"/>
        <v>2024</v>
      </c>
      <c r="R1217" s="110">
        <f t="shared" si="4"/>
        <v>6</v>
      </c>
      <c r="S1217" s="108" t="str">
        <f t="shared" si="5"/>
        <v>2024-Q2</v>
      </c>
      <c r="T1217" s="111" t="str">
        <f t="shared" si="6"/>
        <v>2024-06</v>
      </c>
      <c r="U1217" s="112" t="str">
        <f t="shared" si="7"/>
        <v>2024-H1</v>
      </c>
      <c r="V1217" s="1" t="str">
        <f>VLOOKUP(B1217,Bounties!A:E,2,FALSE)</f>
        <v>Events Bounty</v>
      </c>
    </row>
    <row r="1218" hidden="1">
      <c r="A1218" s="109">
        <f>HYPERLINK("https://polkadot.subsquare.io/treasury/child-bounties/1216", 1216)</f>
        <v>1216</v>
      </c>
      <c r="B1218" s="183">
        <v>24.0</v>
      </c>
      <c r="C1218" s="27" t="s">
        <v>3404</v>
      </c>
      <c r="D1218" s="27" t="s">
        <v>1761</v>
      </c>
      <c r="E1218" s="129">
        <v>209.44</v>
      </c>
      <c r="F1218" s="66">
        <v>1465.6317889404297</v>
      </c>
      <c r="G1218" s="27" t="s">
        <v>3409</v>
      </c>
      <c r="H1218" s="167">
        <v>45439.0</v>
      </c>
      <c r="I1218" s="167">
        <v>45449.0</v>
      </c>
      <c r="J1218" s="66">
        <v>1337.9915057373046</v>
      </c>
      <c r="K1218" s="1"/>
      <c r="L1218" s="1"/>
      <c r="M1218" s="1" t="str">
        <f>VLOOKUP(B1218,Bounties!A:D,3,FALSE)</f>
        <v>Outreach</v>
      </c>
      <c r="N1218" s="1" t="str">
        <f>VLOOKUP(B1218,Bounties!A:D,4,FALSE)</f>
        <v>Community Building</v>
      </c>
      <c r="O1218" s="1" t="str">
        <f t="shared" ref="O1218:P1218" si="1222">IF(ISBLANK(K1218),M1218,K1218)</f>
        <v>Outreach</v>
      </c>
      <c r="P1218" s="1" t="str">
        <f t="shared" si="1222"/>
        <v>Community Building</v>
      </c>
      <c r="Q1218" s="108" t="str">
        <f t="shared" si="3"/>
        <v>2024</v>
      </c>
      <c r="R1218" s="110">
        <f t="shared" si="4"/>
        <v>6</v>
      </c>
      <c r="S1218" s="108" t="str">
        <f t="shared" si="5"/>
        <v>2024-Q2</v>
      </c>
      <c r="T1218" s="111" t="str">
        <f t="shared" si="6"/>
        <v>2024-06</v>
      </c>
      <c r="U1218" s="112" t="str">
        <f t="shared" si="7"/>
        <v>2024-H1</v>
      </c>
      <c r="V1218" s="1" t="str">
        <f>VLOOKUP(B1218,Bounties!A:E,2,FALSE)</f>
        <v>Moderation Team Bounty</v>
      </c>
    </row>
    <row r="1219" hidden="1">
      <c r="A1219" s="109">
        <f>HYPERLINK("https://polkadot.subsquare.io/treasury/child-bounties/1217", 1217)</f>
        <v>1217</v>
      </c>
      <c r="B1219" s="183">
        <v>24.0</v>
      </c>
      <c r="C1219" s="27" t="s">
        <v>3404</v>
      </c>
      <c r="D1219" s="27" t="s">
        <v>1762</v>
      </c>
      <c r="E1219" s="129">
        <v>191.02</v>
      </c>
      <c r="F1219" s="66">
        <v>1336.7312085723877</v>
      </c>
      <c r="G1219" s="27" t="s">
        <v>3526</v>
      </c>
      <c r="H1219" s="167">
        <v>45439.0</v>
      </c>
      <c r="I1219" s="167">
        <v>45457.0</v>
      </c>
      <c r="J1219" s="66">
        <v>1160.2392442035675</v>
      </c>
      <c r="K1219" s="1"/>
      <c r="L1219" s="1"/>
      <c r="M1219" s="1" t="str">
        <f>VLOOKUP(B1219,Bounties!A:D,3,FALSE)</f>
        <v>Outreach</v>
      </c>
      <c r="N1219" s="1" t="str">
        <f>VLOOKUP(B1219,Bounties!A:D,4,FALSE)</f>
        <v>Community Building</v>
      </c>
      <c r="O1219" s="1" t="str">
        <f t="shared" ref="O1219:P1219" si="1223">IF(ISBLANK(K1219),M1219,K1219)</f>
        <v>Outreach</v>
      </c>
      <c r="P1219" s="1" t="str">
        <f t="shared" si="1223"/>
        <v>Community Building</v>
      </c>
      <c r="Q1219" s="108" t="str">
        <f t="shared" si="3"/>
        <v>2024</v>
      </c>
      <c r="R1219" s="110">
        <f t="shared" si="4"/>
        <v>6</v>
      </c>
      <c r="S1219" s="108" t="str">
        <f t="shared" si="5"/>
        <v>2024-Q2</v>
      </c>
      <c r="T1219" s="111" t="str">
        <f t="shared" si="6"/>
        <v>2024-06</v>
      </c>
      <c r="U1219" s="112" t="str">
        <f t="shared" si="7"/>
        <v>2024-H1</v>
      </c>
      <c r="V1219" s="1" t="str">
        <f>VLOOKUP(B1219,Bounties!A:E,2,FALSE)</f>
        <v>Moderation Team Bounty</v>
      </c>
    </row>
    <row r="1220" hidden="1">
      <c r="A1220" s="109">
        <f>HYPERLINK("https://polkadot.subsquare.io/treasury/child-bounties/1218", 1218)</f>
        <v>1218</v>
      </c>
      <c r="B1220" s="183">
        <v>24.0</v>
      </c>
      <c r="C1220" s="27" t="s">
        <v>3404</v>
      </c>
      <c r="D1220" s="27" t="s">
        <v>1763</v>
      </c>
      <c r="E1220" s="129">
        <v>191.02</v>
      </c>
      <c r="F1220" s="66">
        <v>1336.7312085723877</v>
      </c>
      <c r="G1220" s="27" t="s">
        <v>3424</v>
      </c>
      <c r="H1220" s="167">
        <v>45439.0</v>
      </c>
      <c r="I1220" s="167">
        <v>45452.0</v>
      </c>
      <c r="J1220" s="66">
        <v>1287.8027549266817</v>
      </c>
      <c r="K1220" s="1"/>
      <c r="L1220" s="1"/>
      <c r="M1220" s="1" t="str">
        <f>VLOOKUP(B1220,Bounties!A:D,3,FALSE)</f>
        <v>Outreach</v>
      </c>
      <c r="N1220" s="1" t="str">
        <f>VLOOKUP(B1220,Bounties!A:D,4,FALSE)</f>
        <v>Community Building</v>
      </c>
      <c r="O1220" s="1" t="str">
        <f t="shared" ref="O1220:P1220" si="1224">IF(ISBLANK(K1220),M1220,K1220)</f>
        <v>Outreach</v>
      </c>
      <c r="P1220" s="1" t="str">
        <f t="shared" si="1224"/>
        <v>Community Building</v>
      </c>
      <c r="Q1220" s="108" t="str">
        <f t="shared" si="3"/>
        <v>2024</v>
      </c>
      <c r="R1220" s="110">
        <f t="shared" si="4"/>
        <v>6</v>
      </c>
      <c r="S1220" s="108" t="str">
        <f t="shared" si="5"/>
        <v>2024-Q2</v>
      </c>
      <c r="T1220" s="111" t="str">
        <f t="shared" si="6"/>
        <v>2024-06</v>
      </c>
      <c r="U1220" s="112" t="str">
        <f t="shared" si="7"/>
        <v>2024-H1</v>
      </c>
      <c r="V1220" s="1" t="str">
        <f>VLOOKUP(B1220,Bounties!A:E,2,FALSE)</f>
        <v>Moderation Team Bounty</v>
      </c>
    </row>
    <row r="1221" hidden="1">
      <c r="A1221" s="109">
        <f>HYPERLINK("https://polkadot.subsquare.io/treasury/child-bounties/1219", 1219)</f>
        <v>1219</v>
      </c>
      <c r="B1221" s="183">
        <v>24.0</v>
      </c>
      <c r="C1221" s="27" t="s">
        <v>3404</v>
      </c>
      <c r="D1221" s="27" t="s">
        <v>1764</v>
      </c>
      <c r="E1221" s="129">
        <v>191.02</v>
      </c>
      <c r="F1221" s="66">
        <v>1336.7312085723877</v>
      </c>
      <c r="G1221" s="27" t="s">
        <v>3469</v>
      </c>
      <c r="H1221" s="167">
        <v>45439.0</v>
      </c>
      <c r="I1221" s="167">
        <v>45459.0</v>
      </c>
      <c r="J1221" s="66">
        <v>1103.2648498344422</v>
      </c>
      <c r="K1221" s="1"/>
      <c r="L1221" s="1"/>
      <c r="M1221" s="1" t="str">
        <f>VLOOKUP(B1221,Bounties!A:D,3,FALSE)</f>
        <v>Outreach</v>
      </c>
      <c r="N1221" s="1" t="str">
        <f>VLOOKUP(B1221,Bounties!A:D,4,FALSE)</f>
        <v>Community Building</v>
      </c>
      <c r="O1221" s="1" t="str">
        <f t="shared" ref="O1221:P1221" si="1225">IF(ISBLANK(K1221),M1221,K1221)</f>
        <v>Outreach</v>
      </c>
      <c r="P1221" s="1" t="str">
        <f t="shared" si="1225"/>
        <v>Community Building</v>
      </c>
      <c r="Q1221" s="108" t="str">
        <f t="shared" si="3"/>
        <v>2024</v>
      </c>
      <c r="R1221" s="110">
        <f t="shared" si="4"/>
        <v>6</v>
      </c>
      <c r="S1221" s="108" t="str">
        <f t="shared" si="5"/>
        <v>2024-Q2</v>
      </c>
      <c r="T1221" s="111" t="str">
        <f t="shared" si="6"/>
        <v>2024-06</v>
      </c>
      <c r="U1221" s="112" t="str">
        <f t="shared" si="7"/>
        <v>2024-H1</v>
      </c>
      <c r="V1221" s="1" t="str">
        <f>VLOOKUP(B1221,Bounties!A:E,2,FALSE)</f>
        <v>Moderation Team Bounty</v>
      </c>
    </row>
    <row r="1222" hidden="1">
      <c r="A1222" s="109">
        <f>HYPERLINK("https://polkadot.subsquare.io/treasury/child-bounties/1220", 1220)</f>
        <v>1220</v>
      </c>
      <c r="B1222" s="183">
        <v>24.0</v>
      </c>
      <c r="C1222" s="27" t="s">
        <v>3404</v>
      </c>
      <c r="D1222" s="27" t="s">
        <v>1765</v>
      </c>
      <c r="E1222" s="129">
        <v>191.02</v>
      </c>
      <c r="F1222" s="66">
        <v>1336.7312085723877</v>
      </c>
      <c r="G1222" s="27" t="s">
        <v>3411</v>
      </c>
      <c r="H1222" s="167">
        <v>45439.0</v>
      </c>
      <c r="I1222" s="167">
        <v>45449.0</v>
      </c>
      <c r="J1222" s="66">
        <v>1220.3167371368409</v>
      </c>
      <c r="K1222" s="1"/>
      <c r="L1222" s="1"/>
      <c r="M1222" s="1" t="str">
        <f>VLOOKUP(B1222,Bounties!A:D,3,FALSE)</f>
        <v>Outreach</v>
      </c>
      <c r="N1222" s="1" t="str">
        <f>VLOOKUP(B1222,Bounties!A:D,4,FALSE)</f>
        <v>Community Building</v>
      </c>
      <c r="O1222" s="1" t="str">
        <f t="shared" ref="O1222:P1222" si="1226">IF(ISBLANK(K1222),M1222,K1222)</f>
        <v>Outreach</v>
      </c>
      <c r="P1222" s="1" t="str">
        <f t="shared" si="1226"/>
        <v>Community Building</v>
      </c>
      <c r="Q1222" s="108" t="str">
        <f t="shared" si="3"/>
        <v>2024</v>
      </c>
      <c r="R1222" s="110">
        <f t="shared" si="4"/>
        <v>6</v>
      </c>
      <c r="S1222" s="108" t="str">
        <f t="shared" si="5"/>
        <v>2024-Q2</v>
      </c>
      <c r="T1222" s="111" t="str">
        <f t="shared" si="6"/>
        <v>2024-06</v>
      </c>
      <c r="U1222" s="112" t="str">
        <f t="shared" si="7"/>
        <v>2024-H1</v>
      </c>
      <c r="V1222" s="1" t="str">
        <f>VLOOKUP(B1222,Bounties!A:E,2,FALSE)</f>
        <v>Moderation Team Bounty</v>
      </c>
    </row>
    <row r="1223" hidden="1">
      <c r="A1223" s="109">
        <f>HYPERLINK("https://polkadot.subsquare.io/treasury/child-bounties/1221", 1221)</f>
        <v>1221</v>
      </c>
      <c r="B1223" s="183">
        <v>43.0</v>
      </c>
      <c r="C1223" s="27" t="s">
        <v>3404</v>
      </c>
      <c r="D1223" s="27" t="s">
        <v>1766</v>
      </c>
      <c r="E1223" s="129">
        <v>73.1</v>
      </c>
      <c r="F1223" s="66">
        <v>511.5435626983642</v>
      </c>
      <c r="G1223" s="27" t="s">
        <v>3698</v>
      </c>
      <c r="H1223" s="167">
        <v>45440.0</v>
      </c>
      <c r="I1223" s="167">
        <v>45458.0</v>
      </c>
      <c r="J1223" s="66">
        <v>444.0031868457794</v>
      </c>
      <c r="K1223" s="1"/>
      <c r="L1223" s="1"/>
      <c r="M1223" s="1" t="str">
        <f>VLOOKUP(B1223,Bounties!A:D,3,FALSE)</f>
        <v>Outreach</v>
      </c>
      <c r="N1223" s="1" t="str">
        <f>VLOOKUP(B1223,Bounties!A:D,4,FALSE)</f>
        <v>Events/Meetups</v>
      </c>
      <c r="O1223" s="1" t="str">
        <f t="shared" ref="O1223:P1223" si="1227">IF(ISBLANK(K1223),M1223,K1223)</f>
        <v>Outreach</v>
      </c>
      <c r="P1223" s="1" t="str">
        <f t="shared" si="1227"/>
        <v>Events/Meetups</v>
      </c>
      <c r="Q1223" s="108" t="str">
        <f t="shared" si="3"/>
        <v>2024</v>
      </c>
      <c r="R1223" s="110">
        <f t="shared" si="4"/>
        <v>6</v>
      </c>
      <c r="S1223" s="108" t="str">
        <f t="shared" si="5"/>
        <v>2024-Q2</v>
      </c>
      <c r="T1223" s="111" t="str">
        <f t="shared" si="6"/>
        <v>2024-06</v>
      </c>
      <c r="U1223" s="112" t="str">
        <f t="shared" si="7"/>
        <v>2024-H1</v>
      </c>
      <c r="V1223" s="1" t="str">
        <f>VLOOKUP(B1223,Bounties!A:E,2,FALSE)</f>
        <v>Meetups Bounty</v>
      </c>
    </row>
    <row r="1224" hidden="1">
      <c r="A1224" s="109">
        <f>HYPERLINK("https://polkadot.subsquare.io/treasury/child-bounties/1222", 1222)</f>
        <v>1222</v>
      </c>
      <c r="B1224" s="183">
        <v>19.0</v>
      </c>
      <c r="C1224" s="27" t="s">
        <v>3404</v>
      </c>
      <c r="D1224" s="27" t="s">
        <v>1767</v>
      </c>
      <c r="E1224" s="129">
        <v>6218.0</v>
      </c>
      <c r="F1224" s="66">
        <v>43446.07914066315</v>
      </c>
      <c r="G1224" s="27" t="s">
        <v>3699</v>
      </c>
      <c r="H1224" s="167">
        <v>45440.0</v>
      </c>
      <c r="I1224" s="167">
        <v>45453.0</v>
      </c>
      <c r="J1224" s="66">
        <v>41919.99544620514</v>
      </c>
      <c r="K1224" s="1"/>
      <c r="L1224" s="1"/>
      <c r="M1224" s="1" t="str">
        <f>VLOOKUP(B1224,Bounties!A:D,3,FALSE)</f>
        <v>Development</v>
      </c>
      <c r="N1224" s="1" t="str">
        <f>VLOOKUP(B1224,Bounties!A:D,4,FALSE)</f>
        <v>Smart Contracts</v>
      </c>
      <c r="O1224" s="1" t="str">
        <f t="shared" ref="O1224:P1224" si="1228">IF(ISBLANK(K1224),M1224,K1224)</f>
        <v>Development</v>
      </c>
      <c r="P1224" s="1" t="str">
        <f t="shared" si="1228"/>
        <v>Smart Contracts</v>
      </c>
      <c r="Q1224" s="108" t="str">
        <f t="shared" si="3"/>
        <v>2024</v>
      </c>
      <c r="R1224" s="110">
        <f t="shared" si="4"/>
        <v>6</v>
      </c>
      <c r="S1224" s="108" t="str">
        <f t="shared" si="5"/>
        <v>2024-Q2</v>
      </c>
      <c r="T1224" s="111" t="str">
        <f t="shared" si="6"/>
        <v>2024-06</v>
      </c>
      <c r="U1224" s="112" t="str">
        <f t="shared" si="7"/>
        <v>2024-H1</v>
      </c>
      <c r="V1224" s="1" t="str">
        <f>VLOOKUP(B1224,Bounties!A:E,2,FALSE)</f>
        <v>Wasm Smart Contracts Bounty</v>
      </c>
    </row>
    <row r="1225" hidden="1">
      <c r="A1225" s="109">
        <f>HYPERLINK("https://polkadot.subsquare.io/treasury/child-bounties/1223", 1223)</f>
        <v>1223</v>
      </c>
      <c r="B1225" s="183">
        <v>46.0</v>
      </c>
      <c r="C1225" s="27" t="s">
        <v>3404</v>
      </c>
      <c r="D1225" s="27" t="s">
        <v>1768</v>
      </c>
      <c r="E1225" s="129">
        <v>39.774</v>
      </c>
      <c r="F1225" s="66">
        <v>277.9067789869309</v>
      </c>
      <c r="G1225" s="27" t="s">
        <v>3700</v>
      </c>
      <c r="H1225" s="167">
        <v>45440.0</v>
      </c>
      <c r="I1225" s="167">
        <v>45453.0</v>
      </c>
      <c r="J1225" s="66">
        <v>252.9655091342926</v>
      </c>
      <c r="K1225" s="1"/>
      <c r="L1225" s="1"/>
      <c r="M1225" s="1" t="str">
        <f>VLOOKUP(B1225,Bounties!A:D,3,FALSE)</f>
        <v>Outreach</v>
      </c>
      <c r="N1225" s="1" t="str">
        <f>VLOOKUP(B1225,Bounties!A:D,4,FALSE)</f>
        <v>Other</v>
      </c>
      <c r="O1225" s="1" t="str">
        <f t="shared" ref="O1225:P1225" si="1229">IF(ISBLANK(K1225),M1225,K1225)</f>
        <v>Outreach</v>
      </c>
      <c r="P1225" s="1" t="str">
        <f t="shared" si="1229"/>
        <v>Other</v>
      </c>
      <c r="Q1225" s="108" t="str">
        <f t="shared" si="3"/>
        <v>2024</v>
      </c>
      <c r="R1225" s="110">
        <f t="shared" si="4"/>
        <v>6</v>
      </c>
      <c r="S1225" s="108" t="str">
        <f t="shared" si="5"/>
        <v>2024-Q2</v>
      </c>
      <c r="T1225" s="111" t="str">
        <f t="shared" si="6"/>
        <v>2024-06</v>
      </c>
      <c r="U1225" s="112" t="str">
        <f t="shared" si="7"/>
        <v>2024-H1</v>
      </c>
      <c r="V1225" s="1" t="str">
        <f>VLOOKUP(B1225,Bounties!A:E,2,FALSE)</f>
        <v>AMI Bounty Program</v>
      </c>
    </row>
    <row r="1226" hidden="1">
      <c r="A1226" s="109">
        <f>HYPERLINK("https://polkadot.subsquare.io/treasury/child-bounties/1224", 1224)</f>
        <v>1224</v>
      </c>
      <c r="B1226" s="183">
        <v>42.0</v>
      </c>
      <c r="C1226" s="27" t="s">
        <v>3404</v>
      </c>
      <c r="D1226" s="27" t="s">
        <v>1725</v>
      </c>
      <c r="E1226" s="129">
        <v>68.09</v>
      </c>
      <c r="F1226" s="66">
        <v>480.6208822154999</v>
      </c>
      <c r="G1226" s="27" t="s">
        <v>3676</v>
      </c>
      <c r="H1226" s="167">
        <v>45441.0</v>
      </c>
      <c r="I1226" s="167">
        <v>45449.0</v>
      </c>
      <c r="J1226" s="66">
        <v>444.1349173784256</v>
      </c>
      <c r="K1226" s="1"/>
      <c r="L1226" s="1"/>
      <c r="M1226" s="1" t="str">
        <f>VLOOKUP(B1226,Bounties!A:D,3,FALSE)</f>
        <v>Outreach</v>
      </c>
      <c r="N1226" s="1" t="str">
        <f>VLOOKUP(B1226,Bounties!A:D,4,FALSE)</f>
        <v>Media</v>
      </c>
      <c r="O1226" s="1" t="str">
        <f t="shared" ref="O1226:P1226" si="1230">IF(ISBLANK(K1226),M1226,K1226)</f>
        <v>Outreach</v>
      </c>
      <c r="P1226" s="1" t="str">
        <f t="shared" si="1230"/>
        <v>Media</v>
      </c>
      <c r="Q1226" s="108" t="str">
        <f t="shared" si="3"/>
        <v>2024</v>
      </c>
      <c r="R1226" s="110">
        <f t="shared" si="4"/>
        <v>6</v>
      </c>
      <c r="S1226" s="108" t="str">
        <f t="shared" si="5"/>
        <v>2024-Q2</v>
      </c>
      <c r="T1226" s="111" t="str">
        <f t="shared" si="6"/>
        <v>2024-06</v>
      </c>
      <c r="U1226" s="112" t="str">
        <f t="shared" si="7"/>
        <v>2024-H1</v>
      </c>
      <c r="V1226" s="1" t="str">
        <f>VLOOKUP(B1226,Bounties!A:E,2,FALSE)</f>
        <v>Spanish Bounty</v>
      </c>
    </row>
    <row r="1227" hidden="1">
      <c r="A1227" s="109">
        <f>HYPERLINK("https://polkadot.subsquare.io/treasury/child-bounties/1225", 1225)</f>
        <v>1225</v>
      </c>
      <c r="B1227" s="183">
        <v>42.0</v>
      </c>
      <c r="C1227" s="27" t="s">
        <v>3404</v>
      </c>
      <c r="D1227" s="27" t="s">
        <v>1725</v>
      </c>
      <c r="E1227" s="129">
        <v>3.65</v>
      </c>
      <c r="F1227" s="66">
        <v>25.76393332481384</v>
      </c>
      <c r="G1227" s="27" t="s">
        <v>3675</v>
      </c>
      <c r="H1227" s="167">
        <v>45441.0</v>
      </c>
      <c r="I1227" s="167">
        <v>45452.0</v>
      </c>
      <c r="J1227" s="66">
        <v>23.286624479293824</v>
      </c>
      <c r="K1227" s="1"/>
      <c r="L1227" s="1"/>
      <c r="M1227" s="1" t="str">
        <f>VLOOKUP(B1227,Bounties!A:D,3,FALSE)</f>
        <v>Outreach</v>
      </c>
      <c r="N1227" s="1" t="str">
        <f>VLOOKUP(B1227,Bounties!A:D,4,FALSE)</f>
        <v>Media</v>
      </c>
      <c r="O1227" s="1" t="str">
        <f t="shared" ref="O1227:P1227" si="1231">IF(ISBLANK(K1227),M1227,K1227)</f>
        <v>Outreach</v>
      </c>
      <c r="P1227" s="1" t="str">
        <f t="shared" si="1231"/>
        <v>Media</v>
      </c>
      <c r="Q1227" s="108" t="str">
        <f t="shared" si="3"/>
        <v>2024</v>
      </c>
      <c r="R1227" s="110">
        <f t="shared" si="4"/>
        <v>6</v>
      </c>
      <c r="S1227" s="108" t="str">
        <f t="shared" si="5"/>
        <v>2024-Q2</v>
      </c>
      <c r="T1227" s="111" t="str">
        <f t="shared" si="6"/>
        <v>2024-06</v>
      </c>
      <c r="U1227" s="112" t="str">
        <f t="shared" si="7"/>
        <v>2024-H1</v>
      </c>
      <c r="V1227" s="1" t="str">
        <f>VLOOKUP(B1227,Bounties!A:E,2,FALSE)</f>
        <v>Spanish Bounty</v>
      </c>
    </row>
    <row r="1228" hidden="1">
      <c r="A1228" s="109">
        <f>HYPERLINK("https://polkadot.subsquare.io/treasury/child-bounties/1226", 1226)</f>
        <v>1226</v>
      </c>
      <c r="B1228" s="183">
        <v>42.0</v>
      </c>
      <c r="C1228" s="27" t="s">
        <v>3404</v>
      </c>
      <c r="D1228" s="27" t="s">
        <v>1769</v>
      </c>
      <c r="E1228" s="129">
        <v>17.95</v>
      </c>
      <c r="F1228" s="66">
        <v>126.7020830631256</v>
      </c>
      <c r="G1228" s="27" t="s">
        <v>3674</v>
      </c>
      <c r="H1228" s="167">
        <v>45441.0</v>
      </c>
      <c r="I1228" s="167">
        <v>45449.0</v>
      </c>
      <c r="J1228" s="66">
        <v>117.08359181880951</v>
      </c>
      <c r="K1228" s="1"/>
      <c r="L1228" s="1"/>
      <c r="M1228" s="1" t="str">
        <f>VLOOKUP(B1228,Bounties!A:D,3,FALSE)</f>
        <v>Outreach</v>
      </c>
      <c r="N1228" s="1" t="str">
        <f>VLOOKUP(B1228,Bounties!A:D,4,FALSE)</f>
        <v>Media</v>
      </c>
      <c r="O1228" s="1" t="str">
        <f t="shared" ref="O1228:P1228" si="1232">IF(ISBLANK(K1228),M1228,K1228)</f>
        <v>Outreach</v>
      </c>
      <c r="P1228" s="1" t="str">
        <f t="shared" si="1232"/>
        <v>Media</v>
      </c>
      <c r="Q1228" s="108" t="str">
        <f t="shared" si="3"/>
        <v>2024</v>
      </c>
      <c r="R1228" s="110">
        <f t="shared" si="4"/>
        <v>6</v>
      </c>
      <c r="S1228" s="108" t="str">
        <f t="shared" si="5"/>
        <v>2024-Q2</v>
      </c>
      <c r="T1228" s="111" t="str">
        <f t="shared" si="6"/>
        <v>2024-06</v>
      </c>
      <c r="U1228" s="112" t="str">
        <f t="shared" si="7"/>
        <v>2024-H1</v>
      </c>
      <c r="V1228" s="1" t="str">
        <f>VLOOKUP(B1228,Bounties!A:E,2,FALSE)</f>
        <v>Spanish Bounty</v>
      </c>
    </row>
    <row r="1229" hidden="1">
      <c r="A1229" s="109">
        <f>HYPERLINK("https://polkadot.subsquare.io/treasury/child-bounties/1227", 1227)</f>
        <v>1227</v>
      </c>
      <c r="B1229" s="183">
        <v>42.0</v>
      </c>
      <c r="C1229" s="27" t="s">
        <v>3404</v>
      </c>
      <c r="D1229" s="27" t="s">
        <v>1769</v>
      </c>
      <c r="E1229" s="129">
        <v>11.08</v>
      </c>
      <c r="F1229" s="66">
        <v>78.20941951751709</v>
      </c>
      <c r="G1229" s="27" t="s">
        <v>3494</v>
      </c>
      <c r="H1229" s="167">
        <v>45441.0</v>
      </c>
      <c r="I1229" s="167">
        <v>45449.0</v>
      </c>
      <c r="J1229" s="66">
        <v>72.27221155166626</v>
      </c>
      <c r="K1229" s="1"/>
      <c r="L1229" s="1"/>
      <c r="M1229" s="1" t="str">
        <f>VLOOKUP(B1229,Bounties!A:D,3,FALSE)</f>
        <v>Outreach</v>
      </c>
      <c r="N1229" s="1" t="str">
        <f>VLOOKUP(B1229,Bounties!A:D,4,FALSE)</f>
        <v>Media</v>
      </c>
      <c r="O1229" s="1" t="str">
        <f t="shared" ref="O1229:P1229" si="1233">IF(ISBLANK(K1229),M1229,K1229)</f>
        <v>Outreach</v>
      </c>
      <c r="P1229" s="1" t="str">
        <f t="shared" si="1233"/>
        <v>Media</v>
      </c>
      <c r="Q1229" s="108" t="str">
        <f t="shared" si="3"/>
        <v>2024</v>
      </c>
      <c r="R1229" s="110">
        <f t="shared" si="4"/>
        <v>6</v>
      </c>
      <c r="S1229" s="108" t="str">
        <f t="shared" si="5"/>
        <v>2024-Q2</v>
      </c>
      <c r="T1229" s="111" t="str">
        <f t="shared" si="6"/>
        <v>2024-06</v>
      </c>
      <c r="U1229" s="112" t="str">
        <f t="shared" si="7"/>
        <v>2024-H1</v>
      </c>
      <c r="V1229" s="1" t="str">
        <f>VLOOKUP(B1229,Bounties!A:E,2,FALSE)</f>
        <v>Spanish Bounty</v>
      </c>
    </row>
    <row r="1230" hidden="1">
      <c r="A1230" s="109">
        <f>HYPERLINK("https://polkadot.subsquare.io/treasury/child-bounties/1228", 1228)</f>
        <v>1228</v>
      </c>
      <c r="B1230" s="183">
        <v>42.0</v>
      </c>
      <c r="C1230" s="27" t="s">
        <v>3404</v>
      </c>
      <c r="D1230" s="27" t="s">
        <v>1770</v>
      </c>
      <c r="E1230" s="129">
        <v>3.19</v>
      </c>
      <c r="F1230" s="66">
        <v>22.516971864700317</v>
      </c>
      <c r="G1230" s="27" t="s">
        <v>3701</v>
      </c>
      <c r="H1230" s="167">
        <v>45441.0</v>
      </c>
      <c r="I1230" s="167">
        <v>45453.0</v>
      </c>
      <c r="J1230" s="66">
        <v>20.288630113601684</v>
      </c>
      <c r="K1230" s="1"/>
      <c r="L1230" s="1"/>
      <c r="M1230" s="1" t="str">
        <f>VLOOKUP(B1230,Bounties!A:D,3,FALSE)</f>
        <v>Outreach</v>
      </c>
      <c r="N1230" s="1" t="str">
        <f>VLOOKUP(B1230,Bounties!A:D,4,FALSE)</f>
        <v>Media</v>
      </c>
      <c r="O1230" s="1" t="str">
        <f t="shared" ref="O1230:P1230" si="1234">IF(ISBLANK(K1230),M1230,K1230)</f>
        <v>Outreach</v>
      </c>
      <c r="P1230" s="1" t="str">
        <f t="shared" si="1234"/>
        <v>Media</v>
      </c>
      <c r="Q1230" s="108" t="str">
        <f t="shared" si="3"/>
        <v>2024</v>
      </c>
      <c r="R1230" s="110">
        <f t="shared" si="4"/>
        <v>6</v>
      </c>
      <c r="S1230" s="108" t="str">
        <f t="shared" si="5"/>
        <v>2024-Q2</v>
      </c>
      <c r="T1230" s="111" t="str">
        <f t="shared" si="6"/>
        <v>2024-06</v>
      </c>
      <c r="U1230" s="112" t="str">
        <f t="shared" si="7"/>
        <v>2024-H1</v>
      </c>
      <c r="V1230" s="1" t="str">
        <f>VLOOKUP(B1230,Bounties!A:E,2,FALSE)</f>
        <v>Spanish Bounty</v>
      </c>
    </row>
    <row r="1231" hidden="1">
      <c r="A1231" s="109">
        <f>HYPERLINK("https://polkadot.subsquare.io/treasury/child-bounties/1229", 1229)</f>
        <v>1229</v>
      </c>
      <c r="B1231" s="183">
        <v>42.0</v>
      </c>
      <c r="C1231" s="27" t="s">
        <v>3404</v>
      </c>
      <c r="D1231" s="27" t="s">
        <v>1771</v>
      </c>
      <c r="E1231" s="129">
        <v>15.51</v>
      </c>
      <c r="F1231" s="66">
        <v>109.4790701007843</v>
      </c>
      <c r="G1231" s="27" t="s">
        <v>3681</v>
      </c>
      <c r="H1231" s="167">
        <v>45441.0</v>
      </c>
      <c r="I1231" s="167">
        <v>45450.0</v>
      </c>
      <c r="J1231" s="66">
        <v>100.9304993391037</v>
      </c>
      <c r="K1231" s="1"/>
      <c r="L1231" s="1"/>
      <c r="M1231" s="1" t="str">
        <f>VLOOKUP(B1231,Bounties!A:D,3,FALSE)</f>
        <v>Outreach</v>
      </c>
      <c r="N1231" s="1" t="str">
        <f>VLOOKUP(B1231,Bounties!A:D,4,FALSE)</f>
        <v>Media</v>
      </c>
      <c r="O1231" s="1" t="str">
        <f t="shared" ref="O1231:P1231" si="1235">IF(ISBLANK(K1231),M1231,K1231)</f>
        <v>Outreach</v>
      </c>
      <c r="P1231" s="1" t="str">
        <f t="shared" si="1235"/>
        <v>Media</v>
      </c>
      <c r="Q1231" s="108" t="str">
        <f t="shared" si="3"/>
        <v>2024</v>
      </c>
      <c r="R1231" s="110">
        <f t="shared" si="4"/>
        <v>6</v>
      </c>
      <c r="S1231" s="108" t="str">
        <f t="shared" si="5"/>
        <v>2024-Q2</v>
      </c>
      <c r="T1231" s="111" t="str">
        <f t="shared" si="6"/>
        <v>2024-06</v>
      </c>
      <c r="U1231" s="112" t="str">
        <f t="shared" si="7"/>
        <v>2024-H1</v>
      </c>
      <c r="V1231" s="1" t="str">
        <f>VLOOKUP(B1231,Bounties!A:E,2,FALSE)</f>
        <v>Spanish Bounty</v>
      </c>
    </row>
    <row r="1232" hidden="1">
      <c r="A1232" s="109">
        <f>HYPERLINK("https://polkadot.subsquare.io/treasury/child-bounties/1230", 1230)</f>
        <v>1230</v>
      </c>
      <c r="B1232" s="183">
        <v>42.0</v>
      </c>
      <c r="C1232" s="27" t="s">
        <v>3404</v>
      </c>
      <c r="D1232" s="27" t="s">
        <v>1772</v>
      </c>
      <c r="E1232" s="129">
        <v>23.25</v>
      </c>
      <c r="F1232" s="66">
        <v>164.11272597312927</v>
      </c>
      <c r="G1232" s="27" t="s">
        <v>3677</v>
      </c>
      <c r="H1232" s="167">
        <v>45441.0</v>
      </c>
      <c r="I1232" s="167">
        <v>45450.0</v>
      </c>
      <c r="J1232" s="66">
        <v>151.65423452854156</v>
      </c>
      <c r="K1232" s="1"/>
      <c r="L1232" s="1"/>
      <c r="M1232" s="1" t="str">
        <f>VLOOKUP(B1232,Bounties!A:D,3,FALSE)</f>
        <v>Outreach</v>
      </c>
      <c r="N1232" s="1" t="str">
        <f>VLOOKUP(B1232,Bounties!A:D,4,FALSE)</f>
        <v>Media</v>
      </c>
      <c r="O1232" s="1" t="str">
        <f t="shared" ref="O1232:P1232" si="1236">IF(ISBLANK(K1232),M1232,K1232)</f>
        <v>Outreach</v>
      </c>
      <c r="P1232" s="1" t="str">
        <f t="shared" si="1236"/>
        <v>Media</v>
      </c>
      <c r="Q1232" s="108" t="str">
        <f t="shared" si="3"/>
        <v>2024</v>
      </c>
      <c r="R1232" s="110">
        <f t="shared" si="4"/>
        <v>6</v>
      </c>
      <c r="S1232" s="108" t="str">
        <f t="shared" si="5"/>
        <v>2024-Q2</v>
      </c>
      <c r="T1232" s="111" t="str">
        <f t="shared" si="6"/>
        <v>2024-06</v>
      </c>
      <c r="U1232" s="112" t="str">
        <f t="shared" si="7"/>
        <v>2024-H1</v>
      </c>
      <c r="V1232" s="1" t="str">
        <f>VLOOKUP(B1232,Bounties!A:E,2,FALSE)</f>
        <v>Spanish Bounty</v>
      </c>
    </row>
    <row r="1233" hidden="1">
      <c r="A1233" s="109">
        <f>HYPERLINK("https://polkadot.subsquare.io/treasury/child-bounties/1231", 1231)</f>
        <v>1231</v>
      </c>
      <c r="B1233" s="183">
        <v>42.0</v>
      </c>
      <c r="C1233" s="27" t="s">
        <v>3404</v>
      </c>
      <c r="D1233" s="27" t="s">
        <v>1773</v>
      </c>
      <c r="E1233" s="129">
        <v>5.23</v>
      </c>
      <c r="F1233" s="66">
        <v>36.91654007911682</v>
      </c>
      <c r="G1233" s="27" t="s">
        <v>3689</v>
      </c>
      <c r="H1233" s="167">
        <v>45441.0</v>
      </c>
      <c r="I1233" s="167">
        <v>45453.0</v>
      </c>
      <c r="J1233" s="66">
        <v>33.26317727088929</v>
      </c>
      <c r="K1233" s="1"/>
      <c r="L1233" s="1"/>
      <c r="M1233" s="1" t="str">
        <f>VLOOKUP(B1233,Bounties!A:D,3,FALSE)</f>
        <v>Outreach</v>
      </c>
      <c r="N1233" s="1" t="str">
        <f>VLOOKUP(B1233,Bounties!A:D,4,FALSE)</f>
        <v>Media</v>
      </c>
      <c r="O1233" s="1" t="str">
        <f t="shared" ref="O1233:P1233" si="1237">IF(ISBLANK(K1233),M1233,K1233)</f>
        <v>Outreach</v>
      </c>
      <c r="P1233" s="1" t="str">
        <f t="shared" si="1237"/>
        <v>Media</v>
      </c>
      <c r="Q1233" s="108" t="str">
        <f t="shared" si="3"/>
        <v>2024</v>
      </c>
      <c r="R1233" s="110">
        <f t="shared" si="4"/>
        <v>6</v>
      </c>
      <c r="S1233" s="108" t="str">
        <f t="shared" si="5"/>
        <v>2024-Q2</v>
      </c>
      <c r="T1233" s="111" t="str">
        <f t="shared" si="6"/>
        <v>2024-06</v>
      </c>
      <c r="U1233" s="112" t="str">
        <f t="shared" si="7"/>
        <v>2024-H1</v>
      </c>
      <c r="V1233" s="1" t="str">
        <f>VLOOKUP(B1233,Bounties!A:E,2,FALSE)</f>
        <v>Spanish Bounty</v>
      </c>
    </row>
    <row r="1234" hidden="1">
      <c r="A1234" s="109">
        <f>HYPERLINK("https://polkadot.subsquare.io/treasury/child-bounties/1232", 1232)</f>
        <v>1232</v>
      </c>
      <c r="B1234" s="183">
        <v>42.0</v>
      </c>
      <c r="C1234" s="27" t="s">
        <v>3404</v>
      </c>
      <c r="D1234" s="27" t="s">
        <v>1774</v>
      </c>
      <c r="E1234" s="129">
        <v>2.9</v>
      </c>
      <c r="F1234" s="66">
        <v>20.469974422454833</v>
      </c>
      <c r="G1234" s="27" t="s">
        <v>3675</v>
      </c>
      <c r="H1234" s="167">
        <v>45441.0</v>
      </c>
      <c r="I1234" s="167">
        <v>45475.0</v>
      </c>
      <c r="J1234" s="66">
        <v>16.430648803710938</v>
      </c>
      <c r="K1234" s="1"/>
      <c r="L1234" s="1"/>
      <c r="M1234" s="1" t="str">
        <f>VLOOKUP(B1234,Bounties!A:D,3,FALSE)</f>
        <v>Outreach</v>
      </c>
      <c r="N1234" s="1" t="str">
        <f>VLOOKUP(B1234,Bounties!A:D,4,FALSE)</f>
        <v>Media</v>
      </c>
      <c r="O1234" s="1" t="str">
        <f t="shared" ref="O1234:P1234" si="1238">IF(ISBLANK(K1234),M1234,K1234)</f>
        <v>Outreach</v>
      </c>
      <c r="P1234" s="1" t="str">
        <f t="shared" si="1238"/>
        <v>Media</v>
      </c>
      <c r="Q1234" s="108" t="str">
        <f t="shared" si="3"/>
        <v>2024</v>
      </c>
      <c r="R1234" s="110">
        <f t="shared" si="4"/>
        <v>7</v>
      </c>
      <c r="S1234" s="108" t="str">
        <f t="shared" si="5"/>
        <v>2024-Q3</v>
      </c>
      <c r="T1234" s="111" t="str">
        <f t="shared" si="6"/>
        <v>2024-07</v>
      </c>
      <c r="U1234" s="112" t="str">
        <f t="shared" si="7"/>
        <v>2024-H2</v>
      </c>
      <c r="V1234" s="1" t="str">
        <f>VLOOKUP(B1234,Bounties!A:E,2,FALSE)</f>
        <v>Spanish Bounty</v>
      </c>
    </row>
    <row r="1235" hidden="1">
      <c r="A1235" s="109">
        <f>HYPERLINK("https://polkadot.subsquare.io/treasury/child-bounties/1233", 1233)</f>
        <v>1233</v>
      </c>
      <c r="B1235" s="183">
        <v>42.0</v>
      </c>
      <c r="C1235" s="27" t="s">
        <v>3404</v>
      </c>
      <c r="D1235" s="27" t="s">
        <v>1775</v>
      </c>
      <c r="E1235" s="129">
        <v>7.75</v>
      </c>
      <c r="F1235" s="66">
        <v>54.70424199104309</v>
      </c>
      <c r="G1235" s="27" t="s">
        <v>3687</v>
      </c>
      <c r="H1235" s="167">
        <v>45441.0</v>
      </c>
      <c r="I1235" s="167">
        <v>45449.0</v>
      </c>
      <c r="J1235" s="66">
        <v>50.551411509513855</v>
      </c>
      <c r="K1235" s="1"/>
      <c r="L1235" s="1"/>
      <c r="M1235" s="1" t="str">
        <f>VLOOKUP(B1235,Bounties!A:D,3,FALSE)</f>
        <v>Outreach</v>
      </c>
      <c r="N1235" s="1" t="str">
        <f>VLOOKUP(B1235,Bounties!A:D,4,FALSE)</f>
        <v>Media</v>
      </c>
      <c r="O1235" s="1" t="str">
        <f t="shared" ref="O1235:P1235" si="1239">IF(ISBLANK(K1235),M1235,K1235)</f>
        <v>Outreach</v>
      </c>
      <c r="P1235" s="1" t="str">
        <f t="shared" si="1239"/>
        <v>Media</v>
      </c>
      <c r="Q1235" s="108" t="str">
        <f t="shared" si="3"/>
        <v>2024</v>
      </c>
      <c r="R1235" s="110">
        <f t="shared" si="4"/>
        <v>6</v>
      </c>
      <c r="S1235" s="108" t="str">
        <f t="shared" si="5"/>
        <v>2024-Q2</v>
      </c>
      <c r="T1235" s="111" t="str">
        <f t="shared" si="6"/>
        <v>2024-06</v>
      </c>
      <c r="U1235" s="112" t="str">
        <f t="shared" si="7"/>
        <v>2024-H1</v>
      </c>
      <c r="V1235" s="1" t="str">
        <f>VLOOKUP(B1235,Bounties!A:E,2,FALSE)</f>
        <v>Spanish Bounty</v>
      </c>
    </row>
    <row r="1236" hidden="1">
      <c r="A1236" s="109">
        <f>HYPERLINK("https://polkadot.subsquare.io/treasury/child-bounties/1234", 1234)</f>
        <v>1234</v>
      </c>
      <c r="B1236" s="183">
        <v>42.0</v>
      </c>
      <c r="C1236" s="27" t="s">
        <v>3404</v>
      </c>
      <c r="D1236" s="27" t="s">
        <v>1776</v>
      </c>
      <c r="E1236" s="129">
        <v>20.36</v>
      </c>
      <c r="F1236" s="66">
        <v>143.71333766937255</v>
      </c>
      <c r="G1236" s="27" t="s">
        <v>3692</v>
      </c>
      <c r="H1236" s="167">
        <v>45441.0</v>
      </c>
      <c r="I1236" s="167">
        <v>45452.0</v>
      </c>
      <c r="J1236" s="66">
        <v>129.89470531463624</v>
      </c>
      <c r="K1236" s="1"/>
      <c r="L1236" s="1"/>
      <c r="M1236" s="1" t="str">
        <f>VLOOKUP(B1236,Bounties!A:D,3,FALSE)</f>
        <v>Outreach</v>
      </c>
      <c r="N1236" s="1" t="str">
        <f>VLOOKUP(B1236,Bounties!A:D,4,FALSE)</f>
        <v>Media</v>
      </c>
      <c r="O1236" s="1" t="str">
        <f t="shared" ref="O1236:P1236" si="1240">IF(ISBLANK(K1236),M1236,K1236)</f>
        <v>Outreach</v>
      </c>
      <c r="P1236" s="1" t="str">
        <f t="shared" si="1240"/>
        <v>Media</v>
      </c>
      <c r="Q1236" s="108" t="str">
        <f t="shared" si="3"/>
        <v>2024</v>
      </c>
      <c r="R1236" s="110">
        <f t="shared" si="4"/>
        <v>6</v>
      </c>
      <c r="S1236" s="108" t="str">
        <f t="shared" si="5"/>
        <v>2024-Q2</v>
      </c>
      <c r="T1236" s="111" t="str">
        <f t="shared" si="6"/>
        <v>2024-06</v>
      </c>
      <c r="U1236" s="112" t="str">
        <f t="shared" si="7"/>
        <v>2024-H1</v>
      </c>
      <c r="V1236" s="1" t="str">
        <f>VLOOKUP(B1236,Bounties!A:E,2,FALSE)</f>
        <v>Spanish Bounty</v>
      </c>
    </row>
    <row r="1237" hidden="1">
      <c r="A1237" s="109">
        <f>HYPERLINK("https://polkadot.subsquare.io/treasury/child-bounties/1235", 1235)</f>
        <v>1235</v>
      </c>
      <c r="B1237" s="183">
        <v>42.0</v>
      </c>
      <c r="C1237" s="27" t="s">
        <v>3404</v>
      </c>
      <c r="D1237" s="27" t="s">
        <v>1777</v>
      </c>
      <c r="E1237" s="129">
        <v>2.03</v>
      </c>
      <c r="F1237" s="66">
        <v>14.328982095718382</v>
      </c>
      <c r="G1237" s="27" t="s">
        <v>3702</v>
      </c>
      <c r="H1237" s="167">
        <v>45441.0</v>
      </c>
      <c r="I1237" s="167">
        <v>45450.0</v>
      </c>
      <c r="J1237" s="66">
        <v>13.241208434104918</v>
      </c>
      <c r="K1237" s="1"/>
      <c r="L1237" s="1"/>
      <c r="M1237" s="1" t="str">
        <f>VLOOKUP(B1237,Bounties!A:D,3,FALSE)</f>
        <v>Outreach</v>
      </c>
      <c r="N1237" s="1" t="str">
        <f>VLOOKUP(B1237,Bounties!A:D,4,FALSE)</f>
        <v>Media</v>
      </c>
      <c r="O1237" s="1" t="str">
        <f t="shared" ref="O1237:P1237" si="1241">IF(ISBLANK(K1237),M1237,K1237)</f>
        <v>Outreach</v>
      </c>
      <c r="P1237" s="1" t="str">
        <f t="shared" si="1241"/>
        <v>Media</v>
      </c>
      <c r="Q1237" s="108" t="str">
        <f t="shared" si="3"/>
        <v>2024</v>
      </c>
      <c r="R1237" s="110">
        <f t="shared" si="4"/>
        <v>6</v>
      </c>
      <c r="S1237" s="108" t="str">
        <f t="shared" si="5"/>
        <v>2024-Q2</v>
      </c>
      <c r="T1237" s="111" t="str">
        <f t="shared" si="6"/>
        <v>2024-06</v>
      </c>
      <c r="U1237" s="112" t="str">
        <f t="shared" si="7"/>
        <v>2024-H1</v>
      </c>
      <c r="V1237" s="1" t="str">
        <f>VLOOKUP(B1237,Bounties!A:E,2,FALSE)</f>
        <v>Spanish Bounty</v>
      </c>
    </row>
    <row r="1238" hidden="1">
      <c r="A1238" s="109">
        <f>HYPERLINK("https://polkadot.subsquare.io/treasury/child-bounties/1236", 1236)</f>
        <v>1236</v>
      </c>
      <c r="B1238" s="183">
        <v>42.0</v>
      </c>
      <c r="C1238" s="27" t="s">
        <v>3404</v>
      </c>
      <c r="D1238" s="27" t="s">
        <v>1778</v>
      </c>
      <c r="E1238" s="129">
        <v>20.13</v>
      </c>
      <c r="F1238" s="66">
        <v>142.08985693931578</v>
      </c>
      <c r="G1238" s="27" t="s">
        <v>3703</v>
      </c>
      <c r="H1238" s="167">
        <v>45441.0</v>
      </c>
      <c r="I1238" s="167">
        <v>45450.0</v>
      </c>
      <c r="J1238" s="66">
        <v>131.3032146692276</v>
      </c>
      <c r="K1238" s="1"/>
      <c r="L1238" s="1"/>
      <c r="M1238" s="1" t="str">
        <f>VLOOKUP(B1238,Bounties!A:D,3,FALSE)</f>
        <v>Outreach</v>
      </c>
      <c r="N1238" s="1" t="str">
        <f>VLOOKUP(B1238,Bounties!A:D,4,FALSE)</f>
        <v>Media</v>
      </c>
      <c r="O1238" s="1" t="str">
        <f t="shared" ref="O1238:P1238" si="1242">IF(ISBLANK(K1238),M1238,K1238)</f>
        <v>Outreach</v>
      </c>
      <c r="P1238" s="1" t="str">
        <f t="shared" si="1242"/>
        <v>Media</v>
      </c>
      <c r="Q1238" s="108" t="str">
        <f t="shared" si="3"/>
        <v>2024</v>
      </c>
      <c r="R1238" s="110">
        <f t="shared" si="4"/>
        <v>6</v>
      </c>
      <c r="S1238" s="108" t="str">
        <f t="shared" si="5"/>
        <v>2024-Q2</v>
      </c>
      <c r="T1238" s="111" t="str">
        <f t="shared" si="6"/>
        <v>2024-06</v>
      </c>
      <c r="U1238" s="112" t="str">
        <f t="shared" si="7"/>
        <v>2024-H1</v>
      </c>
      <c r="V1238" s="1" t="str">
        <f>VLOOKUP(B1238,Bounties!A:E,2,FALSE)</f>
        <v>Spanish Bounty</v>
      </c>
    </row>
    <row r="1239" hidden="1">
      <c r="A1239" s="109">
        <f>HYPERLINK("https://polkadot.subsquare.io/treasury/child-bounties/1237", 1237)</f>
        <v>1237</v>
      </c>
      <c r="B1239" s="183">
        <v>42.0</v>
      </c>
      <c r="C1239" s="27" t="s">
        <v>3404</v>
      </c>
      <c r="D1239" s="27" t="s">
        <v>1779</v>
      </c>
      <c r="E1239" s="129">
        <v>2.71</v>
      </c>
      <c r="F1239" s="66">
        <v>19.12883816719055</v>
      </c>
      <c r="G1239" s="27" t="s">
        <v>3704</v>
      </c>
      <c r="H1239" s="167">
        <v>45441.0</v>
      </c>
      <c r="I1239" s="167">
        <v>45475.0</v>
      </c>
      <c r="J1239" s="66">
        <v>15.354158020019531</v>
      </c>
      <c r="K1239" s="1"/>
      <c r="L1239" s="1"/>
      <c r="M1239" s="1" t="str">
        <f>VLOOKUP(B1239,Bounties!A:D,3,FALSE)</f>
        <v>Outreach</v>
      </c>
      <c r="N1239" s="1" t="str">
        <f>VLOOKUP(B1239,Bounties!A:D,4,FALSE)</f>
        <v>Media</v>
      </c>
      <c r="O1239" s="1" t="str">
        <f t="shared" ref="O1239:P1239" si="1243">IF(ISBLANK(K1239),M1239,K1239)</f>
        <v>Outreach</v>
      </c>
      <c r="P1239" s="1" t="str">
        <f t="shared" si="1243"/>
        <v>Media</v>
      </c>
      <c r="Q1239" s="108" t="str">
        <f t="shared" si="3"/>
        <v>2024</v>
      </c>
      <c r="R1239" s="110">
        <f t="shared" si="4"/>
        <v>7</v>
      </c>
      <c r="S1239" s="108" t="str">
        <f t="shared" si="5"/>
        <v>2024-Q3</v>
      </c>
      <c r="T1239" s="111" t="str">
        <f t="shared" si="6"/>
        <v>2024-07</v>
      </c>
      <c r="U1239" s="112" t="str">
        <f t="shared" si="7"/>
        <v>2024-H2</v>
      </c>
      <c r="V1239" s="1" t="str">
        <f>VLOOKUP(B1239,Bounties!A:E,2,FALSE)</f>
        <v>Spanish Bounty</v>
      </c>
    </row>
    <row r="1240" hidden="1">
      <c r="A1240" s="109">
        <f>HYPERLINK("https://polkadot.subsquare.io/treasury/child-bounties/1238", 1238)</f>
        <v>1238</v>
      </c>
      <c r="B1240" s="183">
        <v>43.0</v>
      </c>
      <c r="C1240" s="27" t="s">
        <v>3404</v>
      </c>
      <c r="D1240" s="27" t="s">
        <v>1780</v>
      </c>
      <c r="E1240" s="129">
        <v>128.81</v>
      </c>
      <c r="F1240" s="66">
        <v>900.2582292509079</v>
      </c>
      <c r="G1240" s="27" t="s">
        <v>3578</v>
      </c>
      <c r="H1240" s="167">
        <v>45443.0</v>
      </c>
      <c r="I1240" s="167">
        <v>45453.0</v>
      </c>
      <c r="J1240" s="66">
        <v>819.240891828537</v>
      </c>
      <c r="K1240" s="1"/>
      <c r="L1240" s="1"/>
      <c r="M1240" s="1" t="str">
        <f>VLOOKUP(B1240,Bounties!A:D,3,FALSE)</f>
        <v>Outreach</v>
      </c>
      <c r="N1240" s="1" t="str">
        <f>VLOOKUP(B1240,Bounties!A:D,4,FALSE)</f>
        <v>Events/Meetups</v>
      </c>
      <c r="O1240" s="1" t="str">
        <f t="shared" ref="O1240:P1240" si="1244">IF(ISBLANK(K1240),M1240,K1240)</f>
        <v>Outreach</v>
      </c>
      <c r="P1240" s="1" t="str">
        <f t="shared" si="1244"/>
        <v>Events/Meetups</v>
      </c>
      <c r="Q1240" s="108" t="str">
        <f t="shared" si="3"/>
        <v>2024</v>
      </c>
      <c r="R1240" s="110">
        <f t="shared" si="4"/>
        <v>6</v>
      </c>
      <c r="S1240" s="108" t="str">
        <f t="shared" si="5"/>
        <v>2024-Q2</v>
      </c>
      <c r="T1240" s="111" t="str">
        <f t="shared" si="6"/>
        <v>2024-06</v>
      </c>
      <c r="U1240" s="112" t="str">
        <f t="shared" si="7"/>
        <v>2024-H1</v>
      </c>
      <c r="V1240" s="1" t="str">
        <f>VLOOKUP(B1240,Bounties!A:E,2,FALSE)</f>
        <v>Meetups Bounty</v>
      </c>
    </row>
    <row r="1241" hidden="1">
      <c r="A1241" s="109">
        <f>HYPERLINK("https://polkadot.subsquare.io/treasury/child-bounties/1239", 1239)</f>
        <v>1239</v>
      </c>
      <c r="B1241" s="183">
        <v>11.0</v>
      </c>
      <c r="C1241" s="27" t="s">
        <v>3404</v>
      </c>
      <c r="D1241" s="27" t="s">
        <v>1781</v>
      </c>
      <c r="E1241" s="129">
        <v>234.18</v>
      </c>
      <c r="F1241" s="66">
        <v>1641.660143108368</v>
      </c>
      <c r="G1241" s="27" t="s">
        <v>3411</v>
      </c>
      <c r="H1241" s="167">
        <v>45443.0</v>
      </c>
      <c r="I1241" s="167">
        <v>45453.0</v>
      </c>
      <c r="J1241" s="66">
        <v>1489.4016927909852</v>
      </c>
      <c r="K1241" s="1"/>
      <c r="L1241" s="1"/>
      <c r="M1241" s="1" t="str">
        <f>VLOOKUP(B1241,Bounties!A:D,3,FALSE)</f>
        <v>Research</v>
      </c>
      <c r="N1241" s="1" t="str">
        <f>VLOOKUP(B1241,Bounties!A:D,4,FALSE)</f>
        <v>Anti-Scam</v>
      </c>
      <c r="O1241" s="1" t="str">
        <f t="shared" ref="O1241:P1241" si="1245">IF(ISBLANK(K1241),M1241,K1241)</f>
        <v>Research</v>
      </c>
      <c r="P1241" s="1" t="str">
        <f t="shared" si="1245"/>
        <v>Anti-Scam</v>
      </c>
      <c r="Q1241" s="108" t="str">
        <f t="shared" si="3"/>
        <v>2024</v>
      </c>
      <c r="R1241" s="110">
        <f t="shared" si="4"/>
        <v>6</v>
      </c>
      <c r="S1241" s="108" t="str">
        <f t="shared" si="5"/>
        <v>2024-Q2</v>
      </c>
      <c r="T1241" s="111" t="str">
        <f t="shared" si="6"/>
        <v>2024-06</v>
      </c>
      <c r="U1241" s="112" t="str">
        <f t="shared" si="7"/>
        <v>2024-H1</v>
      </c>
      <c r="V1241" s="1" t="str">
        <f>VLOOKUP(B1241,Bounties!A:E,2,FALSE)</f>
        <v>Anti-Scam Bounty</v>
      </c>
    </row>
    <row r="1242" hidden="1">
      <c r="A1242" s="109">
        <f>HYPERLINK("https://polkadot.subsquare.io/treasury/child-bounties/1240", 1240)</f>
        <v>1240</v>
      </c>
      <c r="B1242" s="183">
        <v>11.0</v>
      </c>
      <c r="C1242" s="27" t="s">
        <v>3404</v>
      </c>
      <c r="D1242" s="27" t="s">
        <v>1782</v>
      </c>
      <c r="E1242" s="129">
        <v>200.7</v>
      </c>
      <c r="F1242" s="66">
        <v>1406.9570019721984</v>
      </c>
      <c r="G1242" s="27" t="s">
        <v>3409</v>
      </c>
      <c r="H1242" s="167">
        <v>45443.0</v>
      </c>
      <c r="I1242" s="167">
        <v>45452.0</v>
      </c>
      <c r="J1242" s="66">
        <v>1353.062574148178</v>
      </c>
      <c r="K1242" s="1"/>
      <c r="L1242" s="1"/>
      <c r="M1242" s="1" t="str">
        <f>VLOOKUP(B1242,Bounties!A:D,3,FALSE)</f>
        <v>Research</v>
      </c>
      <c r="N1242" s="1" t="str">
        <f>VLOOKUP(B1242,Bounties!A:D,4,FALSE)</f>
        <v>Anti-Scam</v>
      </c>
      <c r="O1242" s="1" t="str">
        <f t="shared" ref="O1242:P1242" si="1246">IF(ISBLANK(K1242),M1242,K1242)</f>
        <v>Research</v>
      </c>
      <c r="P1242" s="1" t="str">
        <f t="shared" si="1246"/>
        <v>Anti-Scam</v>
      </c>
      <c r="Q1242" s="108" t="str">
        <f t="shared" si="3"/>
        <v>2024</v>
      </c>
      <c r="R1242" s="110">
        <f t="shared" si="4"/>
        <v>6</v>
      </c>
      <c r="S1242" s="108" t="str">
        <f t="shared" si="5"/>
        <v>2024-Q2</v>
      </c>
      <c r="T1242" s="111" t="str">
        <f t="shared" si="6"/>
        <v>2024-06</v>
      </c>
      <c r="U1242" s="112" t="str">
        <f t="shared" si="7"/>
        <v>2024-H1</v>
      </c>
      <c r="V1242" s="1" t="str">
        <f>VLOOKUP(B1242,Bounties!A:E,2,FALSE)</f>
        <v>Anti-Scam Bounty</v>
      </c>
    </row>
    <row r="1243" hidden="1">
      <c r="A1243" s="109">
        <f>HYPERLINK("https://polkadot.subsquare.io/treasury/child-bounties/1241", 1241)</f>
        <v>1241</v>
      </c>
      <c r="B1243" s="183">
        <v>11.0</v>
      </c>
      <c r="C1243" s="27" t="s">
        <v>3404</v>
      </c>
      <c r="D1243" s="27" t="s">
        <v>1783</v>
      </c>
      <c r="E1243" s="129">
        <v>100.36</v>
      </c>
      <c r="F1243" s="66">
        <v>703.548603477478</v>
      </c>
      <c r="G1243" s="27" t="s">
        <v>3469</v>
      </c>
      <c r="H1243" s="167">
        <v>45443.0</v>
      </c>
      <c r="I1243" s="167">
        <v>45459.0</v>
      </c>
      <c r="J1243" s="66">
        <v>579.6443321609497</v>
      </c>
      <c r="K1243" s="1"/>
      <c r="L1243" s="1"/>
      <c r="M1243" s="1" t="str">
        <f>VLOOKUP(B1243,Bounties!A:D,3,FALSE)</f>
        <v>Research</v>
      </c>
      <c r="N1243" s="1" t="str">
        <f>VLOOKUP(B1243,Bounties!A:D,4,FALSE)</f>
        <v>Anti-Scam</v>
      </c>
      <c r="O1243" s="1" t="str">
        <f t="shared" ref="O1243:P1243" si="1247">IF(ISBLANK(K1243),M1243,K1243)</f>
        <v>Research</v>
      </c>
      <c r="P1243" s="1" t="str">
        <f t="shared" si="1247"/>
        <v>Anti-Scam</v>
      </c>
      <c r="Q1243" s="108" t="str">
        <f t="shared" si="3"/>
        <v>2024</v>
      </c>
      <c r="R1243" s="110">
        <f t="shared" si="4"/>
        <v>6</v>
      </c>
      <c r="S1243" s="108" t="str">
        <f t="shared" si="5"/>
        <v>2024-Q2</v>
      </c>
      <c r="T1243" s="111" t="str">
        <f t="shared" si="6"/>
        <v>2024-06</v>
      </c>
      <c r="U1243" s="112" t="str">
        <f t="shared" si="7"/>
        <v>2024-H1</v>
      </c>
      <c r="V1243" s="1" t="str">
        <f>VLOOKUP(B1243,Bounties!A:E,2,FALSE)</f>
        <v>Anti-Scam Bounty</v>
      </c>
    </row>
    <row r="1244" hidden="1">
      <c r="A1244" s="109">
        <f>HYPERLINK("https://polkadot.subsquare.io/treasury/child-bounties/1242", 1242)</f>
        <v>1242</v>
      </c>
      <c r="B1244" s="183">
        <v>11.0</v>
      </c>
      <c r="C1244" s="27" t="s">
        <v>3404</v>
      </c>
      <c r="D1244" s="27" t="s">
        <v>1784</v>
      </c>
      <c r="E1244" s="129">
        <v>69.7</v>
      </c>
      <c r="F1244" s="66">
        <v>488.61436491012574</v>
      </c>
      <c r="G1244" s="27" t="s">
        <v>3409</v>
      </c>
      <c r="H1244" s="167">
        <v>45443.0</v>
      </c>
      <c r="I1244" s="167">
        <v>45452.0</v>
      </c>
      <c r="J1244" s="66">
        <v>469.8976652622223</v>
      </c>
      <c r="K1244" s="1"/>
      <c r="L1244" s="1"/>
      <c r="M1244" s="1" t="str">
        <f>VLOOKUP(B1244,Bounties!A:D,3,FALSE)</f>
        <v>Research</v>
      </c>
      <c r="N1244" s="1" t="str">
        <f>VLOOKUP(B1244,Bounties!A:D,4,FALSE)</f>
        <v>Anti-Scam</v>
      </c>
      <c r="O1244" s="1" t="str">
        <f t="shared" ref="O1244:P1244" si="1248">IF(ISBLANK(K1244),M1244,K1244)</f>
        <v>Research</v>
      </c>
      <c r="P1244" s="1" t="str">
        <f t="shared" si="1248"/>
        <v>Anti-Scam</v>
      </c>
      <c r="Q1244" s="108" t="str">
        <f t="shared" si="3"/>
        <v>2024</v>
      </c>
      <c r="R1244" s="110">
        <f t="shared" si="4"/>
        <v>6</v>
      </c>
      <c r="S1244" s="108" t="str">
        <f t="shared" si="5"/>
        <v>2024-Q2</v>
      </c>
      <c r="T1244" s="111" t="str">
        <f t="shared" si="6"/>
        <v>2024-06</v>
      </c>
      <c r="U1244" s="112" t="str">
        <f t="shared" si="7"/>
        <v>2024-H1</v>
      </c>
      <c r="V1244" s="1" t="str">
        <f>VLOOKUP(B1244,Bounties!A:E,2,FALSE)</f>
        <v>Anti-Scam Bounty</v>
      </c>
    </row>
    <row r="1245" hidden="1">
      <c r="A1245" s="109">
        <f>HYPERLINK("https://polkadot.subsquare.io/treasury/child-bounties/1243", 1243)</f>
        <v>1243</v>
      </c>
      <c r="B1245" s="183">
        <v>11.0</v>
      </c>
      <c r="C1245" s="27" t="s">
        <v>3404</v>
      </c>
      <c r="D1245" s="27" t="s">
        <v>1785</v>
      </c>
      <c r="E1245" s="129">
        <v>55.76</v>
      </c>
      <c r="F1245" s="66">
        <v>390.89149192810055</v>
      </c>
      <c r="G1245" s="27" t="s">
        <v>3407</v>
      </c>
      <c r="H1245" s="167">
        <v>45443.0</v>
      </c>
      <c r="I1245" s="167">
        <v>45453.0</v>
      </c>
      <c r="J1245" s="66">
        <v>354.63762229919433</v>
      </c>
      <c r="K1245" s="1"/>
      <c r="L1245" s="1"/>
      <c r="M1245" s="1" t="str">
        <f>VLOOKUP(B1245,Bounties!A:D,3,FALSE)</f>
        <v>Research</v>
      </c>
      <c r="N1245" s="1" t="str">
        <f>VLOOKUP(B1245,Bounties!A:D,4,FALSE)</f>
        <v>Anti-Scam</v>
      </c>
      <c r="O1245" s="1" t="str">
        <f t="shared" ref="O1245:P1245" si="1249">IF(ISBLANK(K1245),M1245,K1245)</f>
        <v>Research</v>
      </c>
      <c r="P1245" s="1" t="str">
        <f t="shared" si="1249"/>
        <v>Anti-Scam</v>
      </c>
      <c r="Q1245" s="108" t="str">
        <f t="shared" si="3"/>
        <v>2024</v>
      </c>
      <c r="R1245" s="110">
        <f t="shared" si="4"/>
        <v>6</v>
      </c>
      <c r="S1245" s="108" t="str">
        <f t="shared" si="5"/>
        <v>2024-Q2</v>
      </c>
      <c r="T1245" s="111" t="str">
        <f t="shared" si="6"/>
        <v>2024-06</v>
      </c>
      <c r="U1245" s="112" t="str">
        <f t="shared" si="7"/>
        <v>2024-H1</v>
      </c>
      <c r="V1245" s="1" t="str">
        <f>VLOOKUP(B1245,Bounties!A:E,2,FALSE)</f>
        <v>Anti-Scam Bounty</v>
      </c>
    </row>
    <row r="1246" hidden="1">
      <c r="A1246" s="109">
        <f>HYPERLINK("https://polkadot.subsquare.io/treasury/child-bounties/1244", 1244)</f>
        <v>1244</v>
      </c>
      <c r="B1246" s="183">
        <v>11.0</v>
      </c>
      <c r="C1246" s="27" t="s">
        <v>3404</v>
      </c>
      <c r="D1246" s="27" t="s">
        <v>1786</v>
      </c>
      <c r="E1246" s="129">
        <v>55.76</v>
      </c>
      <c r="F1246" s="66">
        <v>390.89149192810055</v>
      </c>
      <c r="G1246" s="27" t="s">
        <v>3406</v>
      </c>
      <c r="H1246" s="167">
        <v>45443.0</v>
      </c>
      <c r="I1246" s="167">
        <v>45465.0</v>
      </c>
      <c r="J1246" s="66">
        <v>319.2084463119507</v>
      </c>
      <c r="K1246" s="1"/>
      <c r="L1246" s="1"/>
      <c r="M1246" s="1" t="str">
        <f>VLOOKUP(B1246,Bounties!A:D,3,FALSE)</f>
        <v>Research</v>
      </c>
      <c r="N1246" s="1" t="str">
        <f>VLOOKUP(B1246,Bounties!A:D,4,FALSE)</f>
        <v>Anti-Scam</v>
      </c>
      <c r="O1246" s="1" t="str">
        <f t="shared" ref="O1246:P1246" si="1250">IF(ISBLANK(K1246),M1246,K1246)</f>
        <v>Research</v>
      </c>
      <c r="P1246" s="1" t="str">
        <f t="shared" si="1250"/>
        <v>Anti-Scam</v>
      </c>
      <c r="Q1246" s="108" t="str">
        <f t="shared" si="3"/>
        <v>2024</v>
      </c>
      <c r="R1246" s="110">
        <f t="shared" si="4"/>
        <v>6</v>
      </c>
      <c r="S1246" s="108" t="str">
        <f t="shared" si="5"/>
        <v>2024-Q2</v>
      </c>
      <c r="T1246" s="111" t="str">
        <f t="shared" si="6"/>
        <v>2024-06</v>
      </c>
      <c r="U1246" s="112" t="str">
        <f t="shared" si="7"/>
        <v>2024-H1</v>
      </c>
      <c r="V1246" s="1" t="str">
        <f>VLOOKUP(B1246,Bounties!A:E,2,FALSE)</f>
        <v>Anti-Scam Bounty</v>
      </c>
    </row>
    <row r="1247" hidden="1">
      <c r="A1247" s="109">
        <f>HYPERLINK("https://polkadot.subsquare.io/treasury/child-bounties/1245", 1245)</f>
        <v>1245</v>
      </c>
      <c r="B1247" s="183">
        <v>11.0</v>
      </c>
      <c r="C1247" s="27" t="s">
        <v>3404</v>
      </c>
      <c r="D1247" s="27" t="s">
        <v>1787</v>
      </c>
      <c r="E1247" s="129">
        <v>55.76</v>
      </c>
      <c r="F1247" s="66">
        <v>390.89149192810055</v>
      </c>
      <c r="G1247" s="27" t="s">
        <v>3562</v>
      </c>
      <c r="H1247" s="167">
        <v>45443.0</v>
      </c>
      <c r="I1247" s="167">
        <v>45453.0</v>
      </c>
      <c r="J1247" s="66">
        <v>354.63762229919433</v>
      </c>
      <c r="K1247" s="1"/>
      <c r="L1247" s="1"/>
      <c r="M1247" s="1" t="str">
        <f>VLOOKUP(B1247,Bounties!A:D,3,FALSE)</f>
        <v>Research</v>
      </c>
      <c r="N1247" s="1" t="str">
        <f>VLOOKUP(B1247,Bounties!A:D,4,FALSE)</f>
        <v>Anti-Scam</v>
      </c>
      <c r="O1247" s="1" t="str">
        <f t="shared" ref="O1247:P1247" si="1251">IF(ISBLANK(K1247),M1247,K1247)</f>
        <v>Research</v>
      </c>
      <c r="P1247" s="1" t="str">
        <f t="shared" si="1251"/>
        <v>Anti-Scam</v>
      </c>
      <c r="Q1247" s="108" t="str">
        <f t="shared" si="3"/>
        <v>2024</v>
      </c>
      <c r="R1247" s="110">
        <f t="shared" si="4"/>
        <v>6</v>
      </c>
      <c r="S1247" s="108" t="str">
        <f t="shared" si="5"/>
        <v>2024-Q2</v>
      </c>
      <c r="T1247" s="111" t="str">
        <f t="shared" si="6"/>
        <v>2024-06</v>
      </c>
      <c r="U1247" s="112" t="str">
        <f t="shared" si="7"/>
        <v>2024-H1</v>
      </c>
      <c r="V1247" s="1" t="str">
        <f>VLOOKUP(B1247,Bounties!A:E,2,FALSE)</f>
        <v>Anti-Scam Bounty</v>
      </c>
    </row>
    <row r="1248" hidden="1">
      <c r="A1248" s="109">
        <f>HYPERLINK("https://polkadot.subsquare.io/treasury/child-bounties/1246", 1246)</f>
        <v>1246</v>
      </c>
      <c r="B1248" s="183">
        <v>11.0</v>
      </c>
      <c r="C1248" s="27" t="s">
        <v>3404</v>
      </c>
      <c r="D1248" s="27" t="s">
        <v>1788</v>
      </c>
      <c r="E1248" s="129">
        <v>34.85</v>
      </c>
      <c r="F1248" s="66">
        <v>244.30718245506287</v>
      </c>
      <c r="G1248" s="27" t="s">
        <v>3423</v>
      </c>
      <c r="H1248" s="167">
        <v>45443.0</v>
      </c>
      <c r="I1248" s="167">
        <v>45473.0</v>
      </c>
      <c r="J1248" s="66">
        <v>227.04151368141174</v>
      </c>
      <c r="K1248" s="1"/>
      <c r="L1248" s="1"/>
      <c r="M1248" s="1" t="str">
        <f>VLOOKUP(B1248,Bounties!A:D,3,FALSE)</f>
        <v>Research</v>
      </c>
      <c r="N1248" s="1" t="str">
        <f>VLOOKUP(B1248,Bounties!A:D,4,FALSE)</f>
        <v>Anti-Scam</v>
      </c>
      <c r="O1248" s="1" t="str">
        <f t="shared" ref="O1248:P1248" si="1252">IF(ISBLANK(K1248),M1248,K1248)</f>
        <v>Research</v>
      </c>
      <c r="P1248" s="1" t="str">
        <f t="shared" si="1252"/>
        <v>Anti-Scam</v>
      </c>
      <c r="Q1248" s="108" t="str">
        <f t="shared" si="3"/>
        <v>2024</v>
      </c>
      <c r="R1248" s="110">
        <f t="shared" si="4"/>
        <v>6</v>
      </c>
      <c r="S1248" s="108" t="str">
        <f t="shared" si="5"/>
        <v>2024-Q2</v>
      </c>
      <c r="T1248" s="111" t="str">
        <f t="shared" si="6"/>
        <v>2024-06</v>
      </c>
      <c r="U1248" s="112" t="str">
        <f t="shared" si="7"/>
        <v>2024-H1</v>
      </c>
      <c r="V1248" s="1" t="str">
        <f>VLOOKUP(B1248,Bounties!A:E,2,FALSE)</f>
        <v>Anti-Scam Bounty</v>
      </c>
    </row>
    <row r="1249" hidden="1">
      <c r="A1249" s="109">
        <f>HYPERLINK("https://polkadot.subsquare.io/treasury/child-bounties/1247", 1247)</f>
        <v>1247</v>
      </c>
      <c r="B1249" s="183">
        <v>11.0</v>
      </c>
      <c r="C1249" s="27" t="s">
        <v>3404</v>
      </c>
      <c r="D1249" s="27" t="s">
        <v>1789</v>
      </c>
      <c r="E1249" s="129">
        <v>34.85</v>
      </c>
      <c r="F1249" s="66">
        <v>244.30718245506287</v>
      </c>
      <c r="G1249" s="27" t="s">
        <v>3526</v>
      </c>
      <c r="H1249" s="167">
        <v>45443.0</v>
      </c>
      <c r="I1249" s="167">
        <v>45457.0</v>
      </c>
      <c r="J1249" s="66">
        <v>211.67593791484833</v>
      </c>
      <c r="K1249" s="1"/>
      <c r="L1249" s="1"/>
      <c r="M1249" s="1" t="str">
        <f>VLOOKUP(B1249,Bounties!A:D,3,FALSE)</f>
        <v>Research</v>
      </c>
      <c r="N1249" s="1" t="str">
        <f>VLOOKUP(B1249,Bounties!A:D,4,FALSE)</f>
        <v>Anti-Scam</v>
      </c>
      <c r="O1249" s="1" t="str">
        <f t="shared" ref="O1249:P1249" si="1253">IF(ISBLANK(K1249),M1249,K1249)</f>
        <v>Research</v>
      </c>
      <c r="P1249" s="1" t="str">
        <f t="shared" si="1253"/>
        <v>Anti-Scam</v>
      </c>
      <c r="Q1249" s="108" t="str">
        <f t="shared" si="3"/>
        <v>2024</v>
      </c>
      <c r="R1249" s="110">
        <f t="shared" si="4"/>
        <v>6</v>
      </c>
      <c r="S1249" s="108" t="str">
        <f t="shared" si="5"/>
        <v>2024-Q2</v>
      </c>
      <c r="T1249" s="111" t="str">
        <f t="shared" si="6"/>
        <v>2024-06</v>
      </c>
      <c r="U1249" s="112" t="str">
        <f t="shared" si="7"/>
        <v>2024-H1</v>
      </c>
      <c r="V1249" s="1" t="str">
        <f>VLOOKUP(B1249,Bounties!A:E,2,FALSE)</f>
        <v>Anti-Scam Bounty</v>
      </c>
    </row>
    <row r="1250" hidden="1">
      <c r="A1250" s="109">
        <f>HYPERLINK("https://polkadot.subsquare.io/treasury/child-bounties/1248", 1248)</f>
        <v>1248</v>
      </c>
      <c r="B1250" s="183">
        <v>11.0</v>
      </c>
      <c r="C1250" s="27" t="s">
        <v>3404</v>
      </c>
      <c r="D1250" s="27" t="s">
        <v>1790</v>
      </c>
      <c r="E1250" s="129">
        <v>167.27</v>
      </c>
      <c r="F1250" s="66">
        <v>1172.6043732929231</v>
      </c>
      <c r="G1250" s="27" t="s">
        <v>3424</v>
      </c>
      <c r="H1250" s="167">
        <v>45443.0</v>
      </c>
      <c r="I1250" s="167">
        <v>45453.0</v>
      </c>
      <c r="J1250" s="66">
        <v>1063.8492661762239</v>
      </c>
      <c r="K1250" s="1"/>
      <c r="L1250" s="1"/>
      <c r="M1250" s="1" t="str">
        <f>VLOOKUP(B1250,Bounties!A:D,3,FALSE)</f>
        <v>Research</v>
      </c>
      <c r="N1250" s="1" t="str">
        <f>VLOOKUP(B1250,Bounties!A:D,4,FALSE)</f>
        <v>Anti-Scam</v>
      </c>
      <c r="O1250" s="1" t="str">
        <f t="shared" ref="O1250:P1250" si="1254">IF(ISBLANK(K1250),M1250,K1250)</f>
        <v>Research</v>
      </c>
      <c r="P1250" s="1" t="str">
        <f t="shared" si="1254"/>
        <v>Anti-Scam</v>
      </c>
      <c r="Q1250" s="108" t="str">
        <f t="shared" si="3"/>
        <v>2024</v>
      </c>
      <c r="R1250" s="110">
        <f t="shared" si="4"/>
        <v>6</v>
      </c>
      <c r="S1250" s="108" t="str">
        <f t="shared" si="5"/>
        <v>2024-Q2</v>
      </c>
      <c r="T1250" s="111" t="str">
        <f t="shared" si="6"/>
        <v>2024-06</v>
      </c>
      <c r="U1250" s="112" t="str">
        <f t="shared" si="7"/>
        <v>2024-H1</v>
      </c>
      <c r="V1250" s="1" t="str">
        <f>VLOOKUP(B1250,Bounties!A:E,2,FALSE)</f>
        <v>Anti-Scam Bounty</v>
      </c>
    </row>
    <row r="1251" hidden="1">
      <c r="A1251" s="109">
        <f>HYPERLINK("https://polkadot.subsquare.io/treasury/child-bounties/1249", 1249)</f>
        <v>1249</v>
      </c>
      <c r="B1251" s="183">
        <v>11.0</v>
      </c>
      <c r="C1251" s="27" t="s">
        <v>3404</v>
      </c>
      <c r="D1251" s="27" t="s">
        <v>1791</v>
      </c>
      <c r="E1251" s="129">
        <v>83.63</v>
      </c>
      <c r="F1251" s="66">
        <v>586.2671354007721</v>
      </c>
      <c r="G1251" s="27" t="s">
        <v>3470</v>
      </c>
      <c r="H1251" s="167">
        <v>45443.0</v>
      </c>
      <c r="I1251" s="167">
        <v>45453.0</v>
      </c>
      <c r="J1251" s="66">
        <v>531.8928327274323</v>
      </c>
      <c r="K1251" s="1"/>
      <c r="L1251" s="1"/>
      <c r="M1251" s="1" t="str">
        <f>VLOOKUP(B1251,Bounties!A:D,3,FALSE)</f>
        <v>Research</v>
      </c>
      <c r="N1251" s="1" t="str">
        <f>VLOOKUP(B1251,Bounties!A:D,4,FALSE)</f>
        <v>Anti-Scam</v>
      </c>
      <c r="O1251" s="1" t="str">
        <f t="shared" ref="O1251:P1251" si="1255">IF(ISBLANK(K1251),M1251,K1251)</f>
        <v>Research</v>
      </c>
      <c r="P1251" s="1" t="str">
        <f t="shared" si="1255"/>
        <v>Anti-Scam</v>
      </c>
      <c r="Q1251" s="108" t="str">
        <f t="shared" si="3"/>
        <v>2024</v>
      </c>
      <c r="R1251" s="110">
        <f t="shared" si="4"/>
        <v>6</v>
      </c>
      <c r="S1251" s="108" t="str">
        <f t="shared" si="5"/>
        <v>2024-Q2</v>
      </c>
      <c r="T1251" s="111" t="str">
        <f t="shared" si="6"/>
        <v>2024-06</v>
      </c>
      <c r="U1251" s="112" t="str">
        <f t="shared" si="7"/>
        <v>2024-H1</v>
      </c>
      <c r="V1251" s="1" t="str">
        <f>VLOOKUP(B1251,Bounties!A:E,2,FALSE)</f>
        <v>Anti-Scam Bounty</v>
      </c>
    </row>
    <row r="1252" hidden="1">
      <c r="A1252" s="109">
        <f>HYPERLINK("https://polkadot.subsquare.io/treasury/child-bounties/1250", 1250)</f>
        <v>1250</v>
      </c>
      <c r="B1252" s="183">
        <v>11.0</v>
      </c>
      <c r="C1252" s="27" t="s">
        <v>3404</v>
      </c>
      <c r="D1252" s="27" t="s">
        <v>1792</v>
      </c>
      <c r="E1252" s="129">
        <v>69.7</v>
      </c>
      <c r="F1252" s="66">
        <v>488.61436491012574</v>
      </c>
      <c r="G1252" s="27" t="s">
        <v>3439</v>
      </c>
      <c r="H1252" s="167">
        <v>45443.0</v>
      </c>
      <c r="I1252" s="167">
        <v>45456.0</v>
      </c>
      <c r="J1252" s="66">
        <v>433.6046109199524</v>
      </c>
      <c r="K1252" s="1"/>
      <c r="L1252" s="1"/>
      <c r="M1252" s="1" t="str">
        <f>VLOOKUP(B1252,Bounties!A:D,3,FALSE)</f>
        <v>Research</v>
      </c>
      <c r="N1252" s="1" t="str">
        <f>VLOOKUP(B1252,Bounties!A:D,4,FALSE)</f>
        <v>Anti-Scam</v>
      </c>
      <c r="O1252" s="1" t="str">
        <f t="shared" ref="O1252:P1252" si="1256">IF(ISBLANK(K1252),M1252,K1252)</f>
        <v>Research</v>
      </c>
      <c r="P1252" s="1" t="str">
        <f t="shared" si="1256"/>
        <v>Anti-Scam</v>
      </c>
      <c r="Q1252" s="108" t="str">
        <f t="shared" si="3"/>
        <v>2024</v>
      </c>
      <c r="R1252" s="110">
        <f t="shared" si="4"/>
        <v>6</v>
      </c>
      <c r="S1252" s="108" t="str">
        <f t="shared" si="5"/>
        <v>2024-Q2</v>
      </c>
      <c r="T1252" s="111" t="str">
        <f t="shared" si="6"/>
        <v>2024-06</v>
      </c>
      <c r="U1252" s="112" t="str">
        <f t="shared" si="7"/>
        <v>2024-H1</v>
      </c>
      <c r="V1252" s="1" t="str">
        <f>VLOOKUP(B1252,Bounties!A:E,2,FALSE)</f>
        <v>Anti-Scam Bounty</v>
      </c>
    </row>
    <row r="1253" hidden="1">
      <c r="A1253" s="109">
        <f>HYPERLINK("https://polkadot.subsquare.io/treasury/child-bounties/1251", 1251)</f>
        <v>1251</v>
      </c>
      <c r="B1253" s="183">
        <v>11.0</v>
      </c>
      <c r="C1253" s="27" t="s">
        <v>3404</v>
      </c>
      <c r="D1253" s="27" t="s">
        <v>1793</v>
      </c>
      <c r="E1253" s="129">
        <v>41.82</v>
      </c>
      <c r="F1253" s="66">
        <v>293.16861894607547</v>
      </c>
      <c r="G1253" s="27" t="s">
        <v>3610</v>
      </c>
      <c r="H1253" s="167">
        <v>45443.0</v>
      </c>
      <c r="I1253" s="167">
        <v>45452.0</v>
      </c>
      <c r="J1253" s="66">
        <v>281.9385991573334</v>
      </c>
      <c r="K1253" s="1"/>
      <c r="L1253" s="1"/>
      <c r="M1253" s="1" t="str">
        <f>VLOOKUP(B1253,Bounties!A:D,3,FALSE)</f>
        <v>Research</v>
      </c>
      <c r="N1253" s="1" t="str">
        <f>VLOOKUP(B1253,Bounties!A:D,4,FALSE)</f>
        <v>Anti-Scam</v>
      </c>
      <c r="O1253" s="1" t="str">
        <f t="shared" ref="O1253:P1253" si="1257">IF(ISBLANK(K1253),M1253,K1253)</f>
        <v>Research</v>
      </c>
      <c r="P1253" s="1" t="str">
        <f t="shared" si="1257"/>
        <v>Anti-Scam</v>
      </c>
      <c r="Q1253" s="108" t="str">
        <f t="shared" si="3"/>
        <v>2024</v>
      </c>
      <c r="R1253" s="110">
        <f t="shared" si="4"/>
        <v>6</v>
      </c>
      <c r="S1253" s="108" t="str">
        <f t="shared" si="5"/>
        <v>2024-Q2</v>
      </c>
      <c r="T1253" s="111" t="str">
        <f t="shared" si="6"/>
        <v>2024-06</v>
      </c>
      <c r="U1253" s="112" t="str">
        <f t="shared" si="7"/>
        <v>2024-H1</v>
      </c>
      <c r="V1253" s="1" t="str">
        <f>VLOOKUP(B1253,Bounties!A:E,2,FALSE)</f>
        <v>Anti-Scam Bounty</v>
      </c>
    </row>
    <row r="1254" hidden="1">
      <c r="A1254" s="109">
        <f>HYPERLINK("https://polkadot.subsquare.io/treasury/child-bounties/1252", 1252)</f>
        <v>1252</v>
      </c>
      <c r="B1254" s="183">
        <v>11.0</v>
      </c>
      <c r="C1254" s="27" t="s">
        <v>3404</v>
      </c>
      <c r="D1254" s="27" t="s">
        <v>1794</v>
      </c>
      <c r="E1254" s="129">
        <v>41.82</v>
      </c>
      <c r="F1254" s="66">
        <v>293.16861894607547</v>
      </c>
      <c r="G1254" s="27" t="s">
        <v>3578</v>
      </c>
      <c r="H1254" s="167">
        <v>45443.0</v>
      </c>
      <c r="I1254" s="167">
        <v>45453.0</v>
      </c>
      <c r="J1254" s="66">
        <v>281.9385991573334</v>
      </c>
      <c r="K1254" s="1"/>
      <c r="L1254" s="1"/>
      <c r="M1254" s="1" t="str">
        <f>VLOOKUP(B1254,Bounties!A:D,3,FALSE)</f>
        <v>Research</v>
      </c>
      <c r="N1254" s="1" t="str">
        <f>VLOOKUP(B1254,Bounties!A:D,4,FALSE)</f>
        <v>Anti-Scam</v>
      </c>
      <c r="O1254" s="1" t="str">
        <f t="shared" ref="O1254:P1254" si="1258">IF(ISBLANK(K1254),M1254,K1254)</f>
        <v>Research</v>
      </c>
      <c r="P1254" s="1" t="str">
        <f t="shared" si="1258"/>
        <v>Anti-Scam</v>
      </c>
      <c r="Q1254" s="108" t="str">
        <f t="shared" si="3"/>
        <v>2024</v>
      </c>
      <c r="R1254" s="110">
        <f t="shared" si="4"/>
        <v>6</v>
      </c>
      <c r="S1254" s="108" t="str">
        <f t="shared" si="5"/>
        <v>2024-Q2</v>
      </c>
      <c r="T1254" s="111" t="str">
        <f t="shared" si="6"/>
        <v>2024-06</v>
      </c>
      <c r="U1254" s="112" t="str">
        <f t="shared" si="7"/>
        <v>2024-H1</v>
      </c>
      <c r="V1254" s="1" t="str">
        <f>VLOOKUP(B1254,Bounties!A:E,2,FALSE)</f>
        <v>Anti-Scam Bounty</v>
      </c>
    </row>
    <row r="1255" hidden="1">
      <c r="A1255" s="109">
        <f>HYPERLINK("https://polkadot.subsquare.io/treasury/child-bounties/1253", 1253)</f>
        <v>1253</v>
      </c>
      <c r="B1255" s="183">
        <v>11.0</v>
      </c>
      <c r="C1255" s="27" t="s">
        <v>3404</v>
      </c>
      <c r="D1255" s="27" t="s">
        <v>1795</v>
      </c>
      <c r="E1255" s="129">
        <v>41.82</v>
      </c>
      <c r="F1255" s="66">
        <v>293.16861894607547</v>
      </c>
      <c r="G1255" s="27" t="s">
        <v>3577</v>
      </c>
      <c r="H1255" s="167">
        <v>45443.0</v>
      </c>
      <c r="I1255" s="167">
        <v>45459.0</v>
      </c>
      <c r="J1255" s="66">
        <v>242.31394017219543</v>
      </c>
      <c r="K1255" s="1"/>
      <c r="L1255" s="1"/>
      <c r="M1255" s="1" t="str">
        <f>VLOOKUP(B1255,Bounties!A:D,3,FALSE)</f>
        <v>Research</v>
      </c>
      <c r="N1255" s="1" t="str">
        <f>VLOOKUP(B1255,Bounties!A:D,4,FALSE)</f>
        <v>Anti-Scam</v>
      </c>
      <c r="O1255" s="1" t="str">
        <f t="shared" ref="O1255:P1255" si="1259">IF(ISBLANK(K1255),M1255,K1255)</f>
        <v>Research</v>
      </c>
      <c r="P1255" s="1" t="str">
        <f t="shared" si="1259"/>
        <v>Anti-Scam</v>
      </c>
      <c r="Q1255" s="108" t="str">
        <f t="shared" si="3"/>
        <v>2024</v>
      </c>
      <c r="R1255" s="110">
        <f t="shared" si="4"/>
        <v>6</v>
      </c>
      <c r="S1255" s="108" t="str">
        <f t="shared" si="5"/>
        <v>2024-Q2</v>
      </c>
      <c r="T1255" s="111" t="str">
        <f t="shared" si="6"/>
        <v>2024-06</v>
      </c>
      <c r="U1255" s="112" t="str">
        <f t="shared" si="7"/>
        <v>2024-H1</v>
      </c>
      <c r="V1255" s="1" t="str">
        <f>VLOOKUP(B1255,Bounties!A:E,2,FALSE)</f>
        <v>Anti-Scam Bounty</v>
      </c>
    </row>
    <row r="1256" hidden="1">
      <c r="A1256" s="109">
        <f>HYPERLINK("https://polkadot.subsquare.io/treasury/child-bounties/1254", 1254)</f>
        <v>1254</v>
      </c>
      <c r="B1256" s="183">
        <v>11.0</v>
      </c>
      <c r="C1256" s="27" t="s">
        <v>3404</v>
      </c>
      <c r="D1256" s="27" t="s">
        <v>1796</v>
      </c>
      <c r="E1256" s="129">
        <v>41.82</v>
      </c>
      <c r="F1256" s="66">
        <v>293.16861894607547</v>
      </c>
      <c r="G1256" s="27" t="s">
        <v>3526</v>
      </c>
      <c r="H1256" s="167">
        <v>45443.0</v>
      </c>
      <c r="I1256" s="167">
        <v>45457.0</v>
      </c>
      <c r="J1256" s="66">
        <v>254.011125497818</v>
      </c>
      <c r="K1256" s="1"/>
      <c r="L1256" s="1"/>
      <c r="M1256" s="1" t="str">
        <f>VLOOKUP(B1256,Bounties!A:D,3,FALSE)</f>
        <v>Research</v>
      </c>
      <c r="N1256" s="1" t="str">
        <f>VLOOKUP(B1256,Bounties!A:D,4,FALSE)</f>
        <v>Anti-Scam</v>
      </c>
      <c r="O1256" s="1" t="str">
        <f t="shared" ref="O1256:P1256" si="1260">IF(ISBLANK(K1256),M1256,K1256)</f>
        <v>Research</v>
      </c>
      <c r="P1256" s="1" t="str">
        <f t="shared" si="1260"/>
        <v>Anti-Scam</v>
      </c>
      <c r="Q1256" s="108" t="str">
        <f t="shared" si="3"/>
        <v>2024</v>
      </c>
      <c r="R1256" s="110">
        <f t="shared" si="4"/>
        <v>6</v>
      </c>
      <c r="S1256" s="108" t="str">
        <f t="shared" si="5"/>
        <v>2024-Q2</v>
      </c>
      <c r="T1256" s="111" t="str">
        <f t="shared" si="6"/>
        <v>2024-06</v>
      </c>
      <c r="U1256" s="112" t="str">
        <f t="shared" si="7"/>
        <v>2024-H1</v>
      </c>
      <c r="V1256" s="1" t="str">
        <f>VLOOKUP(B1256,Bounties!A:E,2,FALSE)</f>
        <v>Anti-Scam Bounty</v>
      </c>
    </row>
    <row r="1257" hidden="1">
      <c r="A1257" s="109">
        <f>HYPERLINK("https://polkadot.subsquare.io/treasury/child-bounties/1255", 1255)</f>
        <v>1255</v>
      </c>
      <c r="B1257" s="183">
        <v>11.0</v>
      </c>
      <c r="C1257" s="27" t="s">
        <v>3404</v>
      </c>
      <c r="D1257" s="27" t="s">
        <v>1797</v>
      </c>
      <c r="E1257" s="129">
        <v>167.27</v>
      </c>
      <c r="F1257" s="66">
        <v>1172.6043732929231</v>
      </c>
      <c r="G1257" s="27" t="s">
        <v>3486</v>
      </c>
      <c r="H1257" s="167">
        <v>45444.0</v>
      </c>
      <c r="I1257" s="167">
        <v>45454.0</v>
      </c>
      <c r="J1257" s="66">
        <v>1030.8450678300858</v>
      </c>
      <c r="K1257" s="1"/>
      <c r="L1257" s="1"/>
      <c r="M1257" s="1" t="str">
        <f>VLOOKUP(B1257,Bounties!A:D,3,FALSE)</f>
        <v>Research</v>
      </c>
      <c r="N1257" s="1" t="str">
        <f>VLOOKUP(B1257,Bounties!A:D,4,FALSE)</f>
        <v>Anti-Scam</v>
      </c>
      <c r="O1257" s="1" t="str">
        <f t="shared" ref="O1257:P1257" si="1261">IF(ISBLANK(K1257),M1257,K1257)</f>
        <v>Research</v>
      </c>
      <c r="P1257" s="1" t="str">
        <f t="shared" si="1261"/>
        <v>Anti-Scam</v>
      </c>
      <c r="Q1257" s="108" t="str">
        <f t="shared" si="3"/>
        <v>2024</v>
      </c>
      <c r="R1257" s="110">
        <f t="shared" si="4"/>
        <v>6</v>
      </c>
      <c r="S1257" s="108" t="str">
        <f t="shared" si="5"/>
        <v>2024-Q2</v>
      </c>
      <c r="T1257" s="111" t="str">
        <f t="shared" si="6"/>
        <v>2024-06</v>
      </c>
      <c r="U1257" s="112" t="str">
        <f t="shared" si="7"/>
        <v>2024-H1</v>
      </c>
      <c r="V1257" s="1" t="str">
        <f>VLOOKUP(B1257,Bounties!A:E,2,FALSE)</f>
        <v>Anti-Scam Bounty</v>
      </c>
    </row>
    <row r="1258" hidden="1">
      <c r="A1258" s="109">
        <f>HYPERLINK("https://polkadot.subsquare.io/treasury/child-bounties/1256", 1256)</f>
        <v>1256</v>
      </c>
      <c r="B1258" s="183">
        <v>11.0</v>
      </c>
      <c r="C1258" s="27" t="s">
        <v>3404</v>
      </c>
      <c r="D1258" s="27" t="s">
        <v>1798</v>
      </c>
      <c r="E1258" s="129">
        <v>69.7</v>
      </c>
      <c r="F1258" s="66">
        <v>488.61436491012574</v>
      </c>
      <c r="G1258" s="27" t="s">
        <v>3486</v>
      </c>
      <c r="H1258" s="167">
        <v>45444.0</v>
      </c>
      <c r="I1258" s="167">
        <v>45454.0</v>
      </c>
      <c r="J1258" s="66">
        <v>429.5444564342499</v>
      </c>
      <c r="K1258" s="1"/>
      <c r="L1258" s="1"/>
      <c r="M1258" s="1" t="str">
        <f>VLOOKUP(B1258,Bounties!A:D,3,FALSE)</f>
        <v>Research</v>
      </c>
      <c r="N1258" s="1" t="str">
        <f>VLOOKUP(B1258,Bounties!A:D,4,FALSE)</f>
        <v>Anti-Scam</v>
      </c>
      <c r="O1258" s="1" t="str">
        <f t="shared" ref="O1258:P1258" si="1262">IF(ISBLANK(K1258),M1258,K1258)</f>
        <v>Research</v>
      </c>
      <c r="P1258" s="1" t="str">
        <f t="shared" si="1262"/>
        <v>Anti-Scam</v>
      </c>
      <c r="Q1258" s="108" t="str">
        <f t="shared" si="3"/>
        <v>2024</v>
      </c>
      <c r="R1258" s="110">
        <f t="shared" si="4"/>
        <v>6</v>
      </c>
      <c r="S1258" s="108" t="str">
        <f t="shared" si="5"/>
        <v>2024-Q2</v>
      </c>
      <c r="T1258" s="111" t="str">
        <f t="shared" si="6"/>
        <v>2024-06</v>
      </c>
      <c r="U1258" s="112" t="str">
        <f t="shared" si="7"/>
        <v>2024-H1</v>
      </c>
      <c r="V1258" s="1" t="str">
        <f>VLOOKUP(B1258,Bounties!A:E,2,FALSE)</f>
        <v>Anti-Scam Bounty</v>
      </c>
    </row>
    <row r="1259" hidden="1">
      <c r="A1259" s="109">
        <f>HYPERLINK("https://polkadot.subsquare.io/treasury/child-bounties/1257", 1257)</f>
        <v>1257</v>
      </c>
      <c r="B1259" s="183">
        <v>11.0</v>
      </c>
      <c r="C1259" s="27" t="s">
        <v>3404</v>
      </c>
      <c r="D1259" s="27" t="s">
        <v>1799</v>
      </c>
      <c r="E1259" s="129">
        <v>22.3</v>
      </c>
      <c r="F1259" s="66">
        <v>156.32855577468874</v>
      </c>
      <c r="G1259" s="27" t="s">
        <v>3609</v>
      </c>
      <c r="H1259" s="167">
        <v>45444.0</v>
      </c>
      <c r="I1259" s="167">
        <v>45452.0</v>
      </c>
      <c r="J1259" s="66">
        <v>150.34028601646423</v>
      </c>
      <c r="K1259" s="1"/>
      <c r="L1259" s="1"/>
      <c r="M1259" s="1" t="str">
        <f>VLOOKUP(B1259,Bounties!A:D,3,FALSE)</f>
        <v>Research</v>
      </c>
      <c r="N1259" s="1" t="str">
        <f>VLOOKUP(B1259,Bounties!A:D,4,FALSE)</f>
        <v>Anti-Scam</v>
      </c>
      <c r="O1259" s="1" t="str">
        <f t="shared" ref="O1259:P1259" si="1263">IF(ISBLANK(K1259),M1259,K1259)</f>
        <v>Research</v>
      </c>
      <c r="P1259" s="1" t="str">
        <f t="shared" si="1263"/>
        <v>Anti-Scam</v>
      </c>
      <c r="Q1259" s="108" t="str">
        <f t="shared" si="3"/>
        <v>2024</v>
      </c>
      <c r="R1259" s="110">
        <f t="shared" si="4"/>
        <v>6</v>
      </c>
      <c r="S1259" s="108" t="str">
        <f t="shared" si="5"/>
        <v>2024-Q2</v>
      </c>
      <c r="T1259" s="111" t="str">
        <f t="shared" si="6"/>
        <v>2024-06</v>
      </c>
      <c r="U1259" s="112" t="str">
        <f t="shared" si="7"/>
        <v>2024-H1</v>
      </c>
      <c r="V1259" s="1" t="str">
        <f>VLOOKUP(B1259,Bounties!A:E,2,FALSE)</f>
        <v>Anti-Scam Bounty</v>
      </c>
    </row>
    <row r="1260" hidden="1">
      <c r="A1260" s="109">
        <f>HYPERLINK("https://polkadot.subsquare.io/treasury/child-bounties/1258", 1258)</f>
        <v>1258</v>
      </c>
      <c r="B1260" s="183">
        <v>11.0</v>
      </c>
      <c r="C1260" s="27" t="s">
        <v>3404</v>
      </c>
      <c r="D1260" s="27" t="s">
        <v>1800</v>
      </c>
      <c r="E1260" s="129">
        <v>133.82</v>
      </c>
      <c r="F1260" s="66">
        <v>938.1115396308899</v>
      </c>
      <c r="G1260" s="27" t="s">
        <v>3610</v>
      </c>
      <c r="H1260" s="167">
        <v>45444.0</v>
      </c>
      <c r="I1260" s="167">
        <v>45452.0</v>
      </c>
      <c r="J1260" s="66">
        <v>902.1765504360199</v>
      </c>
      <c r="K1260" s="1"/>
      <c r="L1260" s="1"/>
      <c r="M1260" s="1" t="str">
        <f>VLOOKUP(B1260,Bounties!A:D,3,FALSE)</f>
        <v>Research</v>
      </c>
      <c r="N1260" s="1" t="str">
        <f>VLOOKUP(B1260,Bounties!A:D,4,FALSE)</f>
        <v>Anti-Scam</v>
      </c>
      <c r="O1260" s="1" t="str">
        <f t="shared" ref="O1260:P1260" si="1264">IF(ISBLANK(K1260),M1260,K1260)</f>
        <v>Research</v>
      </c>
      <c r="P1260" s="1" t="str">
        <f t="shared" si="1264"/>
        <v>Anti-Scam</v>
      </c>
      <c r="Q1260" s="108" t="str">
        <f t="shared" si="3"/>
        <v>2024</v>
      </c>
      <c r="R1260" s="110">
        <f t="shared" si="4"/>
        <v>6</v>
      </c>
      <c r="S1260" s="108" t="str">
        <f t="shared" si="5"/>
        <v>2024-Q2</v>
      </c>
      <c r="T1260" s="111" t="str">
        <f t="shared" si="6"/>
        <v>2024-06</v>
      </c>
      <c r="U1260" s="112" t="str">
        <f t="shared" si="7"/>
        <v>2024-H1</v>
      </c>
      <c r="V1260" s="1" t="str">
        <f>VLOOKUP(B1260,Bounties!A:E,2,FALSE)</f>
        <v>Anti-Scam Bounty</v>
      </c>
    </row>
    <row r="1261" hidden="1">
      <c r="A1261" s="109">
        <f>HYPERLINK("https://polkadot.subsquare.io/treasury/child-bounties/1259", 1259)</f>
        <v>1259</v>
      </c>
      <c r="B1261" s="183">
        <v>11.0</v>
      </c>
      <c r="C1261" s="27" t="s">
        <v>3404</v>
      </c>
      <c r="D1261" s="27" t="s">
        <v>1801</v>
      </c>
      <c r="E1261" s="129">
        <v>69.7</v>
      </c>
      <c r="F1261" s="66">
        <v>488.61436491012574</v>
      </c>
      <c r="G1261" s="27" t="s">
        <v>3628</v>
      </c>
      <c r="H1261" s="167">
        <v>45444.0</v>
      </c>
      <c r="I1261" s="167">
        <v>45452.0</v>
      </c>
      <c r="J1261" s="66">
        <v>469.8976652622223</v>
      </c>
      <c r="K1261" s="1"/>
      <c r="L1261" s="1"/>
      <c r="M1261" s="1" t="str">
        <f>VLOOKUP(B1261,Bounties!A:D,3,FALSE)</f>
        <v>Research</v>
      </c>
      <c r="N1261" s="1" t="str">
        <f>VLOOKUP(B1261,Bounties!A:D,4,FALSE)</f>
        <v>Anti-Scam</v>
      </c>
      <c r="O1261" s="1" t="str">
        <f t="shared" ref="O1261:P1261" si="1265">IF(ISBLANK(K1261),M1261,K1261)</f>
        <v>Research</v>
      </c>
      <c r="P1261" s="1" t="str">
        <f t="shared" si="1265"/>
        <v>Anti-Scam</v>
      </c>
      <c r="Q1261" s="108" t="str">
        <f t="shared" si="3"/>
        <v>2024</v>
      </c>
      <c r="R1261" s="110">
        <f t="shared" si="4"/>
        <v>6</v>
      </c>
      <c r="S1261" s="108" t="str">
        <f t="shared" si="5"/>
        <v>2024-Q2</v>
      </c>
      <c r="T1261" s="111" t="str">
        <f t="shared" si="6"/>
        <v>2024-06</v>
      </c>
      <c r="U1261" s="112" t="str">
        <f t="shared" si="7"/>
        <v>2024-H1</v>
      </c>
      <c r="V1261" s="1" t="str">
        <f>VLOOKUP(B1261,Bounties!A:E,2,FALSE)</f>
        <v>Anti-Scam Bounty</v>
      </c>
    </row>
    <row r="1262" hidden="1">
      <c r="A1262" s="109">
        <f>HYPERLINK("https://polkadot.subsquare.io/treasury/child-bounties/1260", 1260)</f>
        <v>1260</v>
      </c>
      <c r="B1262" s="183">
        <v>11.0</v>
      </c>
      <c r="C1262" s="27" t="s">
        <v>3404</v>
      </c>
      <c r="D1262" s="27" t="s">
        <v>1802</v>
      </c>
      <c r="E1262" s="129">
        <v>200.7</v>
      </c>
      <c r="F1262" s="66">
        <v>1406.9570019721984</v>
      </c>
      <c r="G1262" s="27" t="s">
        <v>3407</v>
      </c>
      <c r="H1262" s="167">
        <v>45444.0</v>
      </c>
      <c r="I1262" s="167">
        <v>45453.0</v>
      </c>
      <c r="J1262" s="66">
        <v>1276.4664776802063</v>
      </c>
      <c r="K1262" s="1"/>
      <c r="L1262" s="1"/>
      <c r="M1262" s="1" t="str">
        <f>VLOOKUP(B1262,Bounties!A:D,3,FALSE)</f>
        <v>Research</v>
      </c>
      <c r="N1262" s="1" t="str">
        <f>VLOOKUP(B1262,Bounties!A:D,4,FALSE)</f>
        <v>Anti-Scam</v>
      </c>
      <c r="O1262" s="1" t="str">
        <f t="shared" ref="O1262:P1262" si="1266">IF(ISBLANK(K1262),M1262,K1262)</f>
        <v>Research</v>
      </c>
      <c r="P1262" s="1" t="str">
        <f t="shared" si="1266"/>
        <v>Anti-Scam</v>
      </c>
      <c r="Q1262" s="108" t="str">
        <f t="shared" si="3"/>
        <v>2024</v>
      </c>
      <c r="R1262" s="110">
        <f t="shared" si="4"/>
        <v>6</v>
      </c>
      <c r="S1262" s="108" t="str">
        <f t="shared" si="5"/>
        <v>2024-Q2</v>
      </c>
      <c r="T1262" s="111" t="str">
        <f t="shared" si="6"/>
        <v>2024-06</v>
      </c>
      <c r="U1262" s="112" t="str">
        <f t="shared" si="7"/>
        <v>2024-H1</v>
      </c>
      <c r="V1262" s="1" t="str">
        <f>VLOOKUP(B1262,Bounties!A:E,2,FALSE)</f>
        <v>Anti-Scam Bounty</v>
      </c>
    </row>
    <row r="1263" hidden="1">
      <c r="A1263" s="109">
        <f>HYPERLINK("https://polkadot.subsquare.io/treasury/child-bounties/1261", 1261)</f>
        <v>1261</v>
      </c>
      <c r="B1263" s="183">
        <v>11.0</v>
      </c>
      <c r="C1263" s="27" t="s">
        <v>3404</v>
      </c>
      <c r="D1263" s="27" t="s">
        <v>1803</v>
      </c>
      <c r="E1263" s="129">
        <v>100.36</v>
      </c>
      <c r="F1263" s="66">
        <v>703.548603477478</v>
      </c>
      <c r="G1263" s="27" t="s">
        <v>3406</v>
      </c>
      <c r="H1263" s="167">
        <v>45444.0</v>
      </c>
      <c r="I1263" s="167">
        <v>45465.0</v>
      </c>
      <c r="J1263" s="66">
        <v>574.5294058799743</v>
      </c>
      <c r="K1263" s="1"/>
      <c r="L1263" s="1"/>
      <c r="M1263" s="1" t="str">
        <f>VLOOKUP(B1263,Bounties!A:D,3,FALSE)</f>
        <v>Research</v>
      </c>
      <c r="N1263" s="1" t="str">
        <f>VLOOKUP(B1263,Bounties!A:D,4,FALSE)</f>
        <v>Anti-Scam</v>
      </c>
      <c r="O1263" s="1" t="str">
        <f t="shared" ref="O1263:P1263" si="1267">IF(ISBLANK(K1263),M1263,K1263)</f>
        <v>Research</v>
      </c>
      <c r="P1263" s="1" t="str">
        <f t="shared" si="1267"/>
        <v>Anti-Scam</v>
      </c>
      <c r="Q1263" s="108" t="str">
        <f t="shared" si="3"/>
        <v>2024</v>
      </c>
      <c r="R1263" s="110">
        <f t="shared" si="4"/>
        <v>6</v>
      </c>
      <c r="S1263" s="108" t="str">
        <f t="shared" si="5"/>
        <v>2024-Q2</v>
      </c>
      <c r="T1263" s="111" t="str">
        <f t="shared" si="6"/>
        <v>2024-06</v>
      </c>
      <c r="U1263" s="112" t="str">
        <f t="shared" si="7"/>
        <v>2024-H1</v>
      </c>
      <c r="V1263" s="1" t="str">
        <f>VLOOKUP(B1263,Bounties!A:E,2,FALSE)</f>
        <v>Anti-Scam Bounty</v>
      </c>
    </row>
    <row r="1264" hidden="1">
      <c r="A1264" s="109">
        <f>HYPERLINK("https://polkadot.subsquare.io/treasury/child-bounties/1262", 1262)</f>
        <v>1262</v>
      </c>
      <c r="B1264" s="183">
        <v>11.0</v>
      </c>
      <c r="C1264" s="27" t="s">
        <v>3404</v>
      </c>
      <c r="D1264" s="27" t="s">
        <v>1804</v>
      </c>
      <c r="E1264" s="129">
        <v>69.7</v>
      </c>
      <c r="F1264" s="66">
        <v>488.61436491012574</v>
      </c>
      <c r="G1264" s="27" t="s">
        <v>3457</v>
      </c>
      <c r="H1264" s="167">
        <v>45444.0</v>
      </c>
      <c r="I1264" s="167">
        <v>45453.0</v>
      </c>
      <c r="J1264" s="66">
        <v>443.29702787399293</v>
      </c>
      <c r="K1264" s="1"/>
      <c r="L1264" s="1"/>
      <c r="M1264" s="1" t="str">
        <f>VLOOKUP(B1264,Bounties!A:D,3,FALSE)</f>
        <v>Research</v>
      </c>
      <c r="N1264" s="1" t="str">
        <f>VLOOKUP(B1264,Bounties!A:D,4,FALSE)</f>
        <v>Anti-Scam</v>
      </c>
      <c r="O1264" s="1" t="str">
        <f t="shared" ref="O1264:P1264" si="1268">IF(ISBLANK(K1264),M1264,K1264)</f>
        <v>Research</v>
      </c>
      <c r="P1264" s="1" t="str">
        <f t="shared" si="1268"/>
        <v>Anti-Scam</v>
      </c>
      <c r="Q1264" s="108" t="str">
        <f t="shared" si="3"/>
        <v>2024</v>
      </c>
      <c r="R1264" s="110">
        <f t="shared" si="4"/>
        <v>6</v>
      </c>
      <c r="S1264" s="108" t="str">
        <f t="shared" si="5"/>
        <v>2024-Q2</v>
      </c>
      <c r="T1264" s="111" t="str">
        <f t="shared" si="6"/>
        <v>2024-06</v>
      </c>
      <c r="U1264" s="112" t="str">
        <f t="shared" si="7"/>
        <v>2024-H1</v>
      </c>
      <c r="V1264" s="1" t="str">
        <f>VLOOKUP(B1264,Bounties!A:E,2,FALSE)</f>
        <v>Anti-Scam Bounty</v>
      </c>
    </row>
    <row r="1265" hidden="1">
      <c r="A1265" s="109">
        <f>HYPERLINK("https://polkadot.subsquare.io/treasury/child-bounties/1263", 1263)</f>
        <v>1263</v>
      </c>
      <c r="B1265" s="183">
        <v>11.0</v>
      </c>
      <c r="C1265" s="27" t="s">
        <v>3404</v>
      </c>
      <c r="D1265" s="27" t="s">
        <v>1805</v>
      </c>
      <c r="E1265" s="129">
        <v>39.0</v>
      </c>
      <c r="F1265" s="66">
        <v>273.3997163772583</v>
      </c>
      <c r="G1265" s="27" t="s">
        <v>3562</v>
      </c>
      <c r="H1265" s="167">
        <v>45444.0</v>
      </c>
      <c r="I1265" s="167">
        <v>45453.0</v>
      </c>
      <c r="J1265" s="66">
        <v>248.04281330108643</v>
      </c>
      <c r="K1265" s="1"/>
      <c r="L1265" s="1"/>
      <c r="M1265" s="1" t="str">
        <f>VLOOKUP(B1265,Bounties!A:D,3,FALSE)</f>
        <v>Research</v>
      </c>
      <c r="N1265" s="1" t="str">
        <f>VLOOKUP(B1265,Bounties!A:D,4,FALSE)</f>
        <v>Anti-Scam</v>
      </c>
      <c r="O1265" s="1" t="str">
        <f t="shared" ref="O1265:P1265" si="1269">IF(ISBLANK(K1265),M1265,K1265)</f>
        <v>Research</v>
      </c>
      <c r="P1265" s="1" t="str">
        <f t="shared" si="1269"/>
        <v>Anti-Scam</v>
      </c>
      <c r="Q1265" s="108" t="str">
        <f t="shared" si="3"/>
        <v>2024</v>
      </c>
      <c r="R1265" s="110">
        <f t="shared" si="4"/>
        <v>6</v>
      </c>
      <c r="S1265" s="108" t="str">
        <f t="shared" si="5"/>
        <v>2024-Q2</v>
      </c>
      <c r="T1265" s="111" t="str">
        <f t="shared" si="6"/>
        <v>2024-06</v>
      </c>
      <c r="U1265" s="112" t="str">
        <f t="shared" si="7"/>
        <v>2024-H1</v>
      </c>
      <c r="V1265" s="1" t="str">
        <f>VLOOKUP(B1265,Bounties!A:E,2,FALSE)</f>
        <v>Anti-Scam Bounty</v>
      </c>
    </row>
    <row r="1266" hidden="1">
      <c r="A1266" s="109">
        <f>HYPERLINK("https://polkadot.subsquare.io/treasury/child-bounties/1264", 1264)</f>
        <v>1264</v>
      </c>
      <c r="B1266" s="183">
        <v>11.0</v>
      </c>
      <c r="C1266" s="27" t="s">
        <v>3404</v>
      </c>
      <c r="D1266" s="27" t="s">
        <v>1806</v>
      </c>
      <c r="E1266" s="129">
        <v>34.85</v>
      </c>
      <c r="F1266" s="66">
        <v>250.4810680627823</v>
      </c>
      <c r="G1266" s="27" t="s">
        <v>3457</v>
      </c>
      <c r="H1266" s="167">
        <v>45445.0</v>
      </c>
      <c r="I1266" s="167">
        <v>45456.0</v>
      </c>
      <c r="J1266" s="66">
        <v>222.62417674064636</v>
      </c>
      <c r="K1266" s="1"/>
      <c r="L1266" s="1"/>
      <c r="M1266" s="1" t="str">
        <f>VLOOKUP(B1266,Bounties!A:D,3,FALSE)</f>
        <v>Research</v>
      </c>
      <c r="N1266" s="1" t="str">
        <f>VLOOKUP(B1266,Bounties!A:D,4,FALSE)</f>
        <v>Anti-Scam</v>
      </c>
      <c r="O1266" s="1" t="str">
        <f t="shared" ref="O1266:P1266" si="1270">IF(ISBLANK(K1266),M1266,K1266)</f>
        <v>Research</v>
      </c>
      <c r="P1266" s="1" t="str">
        <f t="shared" si="1270"/>
        <v>Anti-Scam</v>
      </c>
      <c r="Q1266" s="108" t="str">
        <f t="shared" si="3"/>
        <v>2024</v>
      </c>
      <c r="R1266" s="110">
        <f t="shared" si="4"/>
        <v>6</v>
      </c>
      <c r="S1266" s="108" t="str">
        <f t="shared" si="5"/>
        <v>2024-Q2</v>
      </c>
      <c r="T1266" s="111" t="str">
        <f t="shared" si="6"/>
        <v>2024-06</v>
      </c>
      <c r="U1266" s="112" t="str">
        <f t="shared" si="7"/>
        <v>2024-H1</v>
      </c>
      <c r="V1266" s="1" t="str">
        <f>VLOOKUP(B1266,Bounties!A:E,2,FALSE)</f>
        <v>Anti-Scam Bounty</v>
      </c>
    </row>
    <row r="1267" hidden="1">
      <c r="A1267" s="109">
        <f>HYPERLINK("https://polkadot.subsquare.io/treasury/child-bounties/1265", 1265)</f>
        <v>1265</v>
      </c>
      <c r="B1267" s="183">
        <v>11.0</v>
      </c>
      <c r="C1267" s="27" t="s">
        <v>3404</v>
      </c>
      <c r="D1267" s="27" t="s">
        <v>1807</v>
      </c>
      <c r="E1267" s="129">
        <v>935.537</v>
      </c>
      <c r="F1267" s="66">
        <v>6724.08341383791</v>
      </c>
      <c r="G1267" s="27" t="s">
        <v>3407</v>
      </c>
      <c r="H1267" s="167">
        <v>45445.0</v>
      </c>
      <c r="I1267" s="167">
        <v>45454.0</v>
      </c>
      <c r="J1267" s="66">
        <v>5765.491135425091</v>
      </c>
      <c r="K1267" s="1"/>
      <c r="L1267" s="1"/>
      <c r="M1267" s="1" t="str">
        <f>VLOOKUP(B1267,Bounties!A:D,3,FALSE)</f>
        <v>Research</v>
      </c>
      <c r="N1267" s="1" t="str">
        <f>VLOOKUP(B1267,Bounties!A:D,4,FALSE)</f>
        <v>Anti-Scam</v>
      </c>
      <c r="O1267" s="1" t="str">
        <f t="shared" ref="O1267:P1267" si="1271">IF(ISBLANK(K1267),M1267,K1267)</f>
        <v>Research</v>
      </c>
      <c r="P1267" s="1" t="str">
        <f t="shared" si="1271"/>
        <v>Anti-Scam</v>
      </c>
      <c r="Q1267" s="108" t="str">
        <f t="shared" si="3"/>
        <v>2024</v>
      </c>
      <c r="R1267" s="110">
        <f t="shared" si="4"/>
        <v>6</v>
      </c>
      <c r="S1267" s="108" t="str">
        <f t="shared" si="5"/>
        <v>2024-Q2</v>
      </c>
      <c r="T1267" s="111" t="str">
        <f t="shared" si="6"/>
        <v>2024-06</v>
      </c>
      <c r="U1267" s="112" t="str">
        <f t="shared" si="7"/>
        <v>2024-H1</v>
      </c>
      <c r="V1267" s="1" t="str">
        <f>VLOOKUP(B1267,Bounties!A:E,2,FALSE)</f>
        <v>Anti-Scam Bounty</v>
      </c>
    </row>
    <row r="1268" hidden="1">
      <c r="A1268" s="109">
        <f>HYPERLINK("https://polkadot.subsquare.io/treasury/child-bounties/1266", 1266)</f>
        <v>1266</v>
      </c>
      <c r="B1268" s="183">
        <v>11.0</v>
      </c>
      <c r="C1268" s="27" t="s">
        <v>3404</v>
      </c>
      <c r="D1268" s="27" t="s">
        <v>1808</v>
      </c>
      <c r="E1268" s="129">
        <v>384.694</v>
      </c>
      <c r="F1268" s="66">
        <v>2764.9516211576465</v>
      </c>
      <c r="G1268" s="27" t="s">
        <v>3406</v>
      </c>
      <c r="H1268" s="167">
        <v>45445.0</v>
      </c>
      <c r="I1268" s="167">
        <v>45465.0</v>
      </c>
      <c r="J1268" s="66">
        <v>2202.2520452928543</v>
      </c>
      <c r="K1268" s="1"/>
      <c r="L1268" s="1"/>
      <c r="M1268" s="1" t="str">
        <f>VLOOKUP(B1268,Bounties!A:D,3,FALSE)</f>
        <v>Research</v>
      </c>
      <c r="N1268" s="1" t="str">
        <f>VLOOKUP(B1268,Bounties!A:D,4,FALSE)</f>
        <v>Anti-Scam</v>
      </c>
      <c r="O1268" s="1" t="str">
        <f t="shared" ref="O1268:P1268" si="1272">IF(ISBLANK(K1268),M1268,K1268)</f>
        <v>Research</v>
      </c>
      <c r="P1268" s="1" t="str">
        <f t="shared" si="1272"/>
        <v>Anti-Scam</v>
      </c>
      <c r="Q1268" s="108" t="str">
        <f t="shared" si="3"/>
        <v>2024</v>
      </c>
      <c r="R1268" s="110">
        <f t="shared" si="4"/>
        <v>6</v>
      </c>
      <c r="S1268" s="108" t="str">
        <f t="shared" si="5"/>
        <v>2024-Q2</v>
      </c>
      <c r="T1268" s="111" t="str">
        <f t="shared" si="6"/>
        <v>2024-06</v>
      </c>
      <c r="U1268" s="112" t="str">
        <f t="shared" si="7"/>
        <v>2024-H1</v>
      </c>
      <c r="V1268" s="1" t="str">
        <f>VLOOKUP(B1268,Bounties!A:E,2,FALSE)</f>
        <v>Anti-Scam Bounty</v>
      </c>
    </row>
    <row r="1269" hidden="1">
      <c r="A1269" s="109">
        <f>HYPERLINK("https://polkadot.subsquare.io/treasury/child-bounties/1267", 1267)</f>
        <v>1267</v>
      </c>
      <c r="B1269" s="183">
        <v>11.0</v>
      </c>
      <c r="C1269" s="27" t="s">
        <v>3404</v>
      </c>
      <c r="D1269" s="27" t="s">
        <v>1809</v>
      </c>
      <c r="E1269" s="129">
        <v>294.82</v>
      </c>
      <c r="F1269" s="66">
        <v>2118.9907743549347</v>
      </c>
      <c r="G1269" s="27" t="s">
        <v>3562</v>
      </c>
      <c r="H1269" s="167">
        <v>45445.0</v>
      </c>
      <c r="I1269" s="167">
        <v>45468.0</v>
      </c>
      <c r="J1269" s="66">
        <v>1820.3958898258209</v>
      </c>
      <c r="K1269" s="1"/>
      <c r="L1269" s="1"/>
      <c r="M1269" s="1" t="str">
        <f>VLOOKUP(B1269,Bounties!A:D,3,FALSE)</f>
        <v>Research</v>
      </c>
      <c r="N1269" s="1" t="str">
        <f>VLOOKUP(B1269,Bounties!A:D,4,FALSE)</f>
        <v>Anti-Scam</v>
      </c>
      <c r="O1269" s="1" t="str">
        <f t="shared" ref="O1269:P1269" si="1273">IF(ISBLANK(K1269),M1269,K1269)</f>
        <v>Research</v>
      </c>
      <c r="P1269" s="1" t="str">
        <f t="shared" si="1273"/>
        <v>Anti-Scam</v>
      </c>
      <c r="Q1269" s="108" t="str">
        <f t="shared" si="3"/>
        <v>2024</v>
      </c>
      <c r="R1269" s="110">
        <f t="shared" si="4"/>
        <v>6</v>
      </c>
      <c r="S1269" s="108" t="str">
        <f t="shared" si="5"/>
        <v>2024-Q2</v>
      </c>
      <c r="T1269" s="111" t="str">
        <f t="shared" si="6"/>
        <v>2024-06</v>
      </c>
      <c r="U1269" s="112" t="str">
        <f t="shared" si="7"/>
        <v>2024-H1</v>
      </c>
      <c r="V1269" s="1" t="str">
        <f>VLOOKUP(B1269,Bounties!A:E,2,FALSE)</f>
        <v>Anti-Scam Bounty</v>
      </c>
    </row>
    <row r="1270" hidden="1">
      <c r="A1270" s="109">
        <f>HYPERLINK("https://polkadot.subsquare.io/treasury/child-bounties/1268", 1268)</f>
        <v>1268</v>
      </c>
      <c r="B1270" s="183">
        <v>11.0</v>
      </c>
      <c r="C1270" s="27" t="s">
        <v>3404</v>
      </c>
      <c r="D1270" s="27" t="s">
        <v>1810</v>
      </c>
      <c r="E1270" s="129">
        <v>4201.09</v>
      </c>
      <c r="F1270" s="66">
        <v>30194.935731072426</v>
      </c>
      <c r="G1270" s="27" t="s">
        <v>3705</v>
      </c>
      <c r="H1270" s="167">
        <v>45445.0</v>
      </c>
      <c r="I1270" s="167">
        <v>45454.0</v>
      </c>
      <c r="J1270" s="66">
        <v>25890.31449758053</v>
      </c>
      <c r="K1270" s="1"/>
      <c r="L1270" s="1"/>
      <c r="M1270" s="1" t="str">
        <f>VLOOKUP(B1270,Bounties!A:D,3,FALSE)</f>
        <v>Research</v>
      </c>
      <c r="N1270" s="1" t="str">
        <f>VLOOKUP(B1270,Bounties!A:D,4,FALSE)</f>
        <v>Anti-Scam</v>
      </c>
      <c r="O1270" s="1" t="str">
        <f t="shared" ref="O1270:P1270" si="1274">IF(ISBLANK(K1270),M1270,K1270)</f>
        <v>Research</v>
      </c>
      <c r="P1270" s="1" t="str">
        <f t="shared" si="1274"/>
        <v>Anti-Scam</v>
      </c>
      <c r="Q1270" s="108" t="str">
        <f t="shared" si="3"/>
        <v>2024</v>
      </c>
      <c r="R1270" s="110">
        <f t="shared" si="4"/>
        <v>6</v>
      </c>
      <c r="S1270" s="108" t="str">
        <f t="shared" si="5"/>
        <v>2024-Q2</v>
      </c>
      <c r="T1270" s="111" t="str">
        <f t="shared" si="6"/>
        <v>2024-06</v>
      </c>
      <c r="U1270" s="112" t="str">
        <f t="shared" si="7"/>
        <v>2024-H1</v>
      </c>
      <c r="V1270" s="1" t="str">
        <f>VLOOKUP(B1270,Bounties!A:E,2,FALSE)</f>
        <v>Anti-Scam Bounty</v>
      </c>
    </row>
    <row r="1271" hidden="1">
      <c r="A1271" s="109">
        <f>HYPERLINK("https://polkadot.subsquare.io/treasury/child-bounties/1269", 1269)</f>
        <v>1269</v>
      </c>
      <c r="B1271" s="183">
        <v>11.0</v>
      </c>
      <c r="C1271" s="27" t="s">
        <v>3404</v>
      </c>
      <c r="D1271" s="27" t="s">
        <v>1811</v>
      </c>
      <c r="E1271" s="129">
        <v>69.7</v>
      </c>
      <c r="F1271" s="66">
        <v>500.9621361255646</v>
      </c>
      <c r="G1271" s="27" t="s">
        <v>3439</v>
      </c>
      <c r="H1271" s="167">
        <v>45445.0</v>
      </c>
      <c r="I1271" s="167">
        <v>45456.0</v>
      </c>
      <c r="J1271" s="66">
        <v>433.6046109199524</v>
      </c>
      <c r="K1271" s="1"/>
      <c r="L1271" s="1"/>
      <c r="M1271" s="1" t="str">
        <f>VLOOKUP(B1271,Bounties!A:D,3,FALSE)</f>
        <v>Research</v>
      </c>
      <c r="N1271" s="1" t="str">
        <f>VLOOKUP(B1271,Bounties!A:D,4,FALSE)</f>
        <v>Anti-Scam</v>
      </c>
      <c r="O1271" s="1" t="str">
        <f t="shared" ref="O1271:P1271" si="1275">IF(ISBLANK(K1271),M1271,K1271)</f>
        <v>Research</v>
      </c>
      <c r="P1271" s="1" t="str">
        <f t="shared" si="1275"/>
        <v>Anti-Scam</v>
      </c>
      <c r="Q1271" s="108" t="str">
        <f t="shared" si="3"/>
        <v>2024</v>
      </c>
      <c r="R1271" s="110">
        <f t="shared" si="4"/>
        <v>6</v>
      </c>
      <c r="S1271" s="108" t="str">
        <f t="shared" si="5"/>
        <v>2024-Q2</v>
      </c>
      <c r="T1271" s="111" t="str">
        <f t="shared" si="6"/>
        <v>2024-06</v>
      </c>
      <c r="U1271" s="112" t="str">
        <f t="shared" si="7"/>
        <v>2024-H1</v>
      </c>
      <c r="V1271" s="1" t="str">
        <f>VLOOKUP(B1271,Bounties!A:E,2,FALSE)</f>
        <v>Anti-Scam Bounty</v>
      </c>
    </row>
    <row r="1272" hidden="1">
      <c r="A1272" s="109">
        <f>HYPERLINK("https://polkadot.subsquare.io/treasury/child-bounties/1270", 1270)</f>
        <v>1270</v>
      </c>
      <c r="B1272" s="183">
        <v>11.0</v>
      </c>
      <c r="C1272" s="27" t="s">
        <v>3404</v>
      </c>
      <c r="D1272" s="27" t="s">
        <v>1812</v>
      </c>
      <c r="E1272" s="129">
        <v>140.0364094665</v>
      </c>
      <c r="F1272" s="66">
        <v>1006.4984049023253</v>
      </c>
      <c r="G1272" s="27" t="s">
        <v>3628</v>
      </c>
      <c r="H1272" s="167">
        <v>45445.0</v>
      </c>
      <c r="I1272" s="167">
        <v>45454.0</v>
      </c>
      <c r="J1272" s="66">
        <v>890.6416658629116</v>
      </c>
      <c r="K1272" s="1"/>
      <c r="L1272" s="1"/>
      <c r="M1272" s="1" t="str">
        <f>VLOOKUP(B1272,Bounties!A:D,3,FALSE)</f>
        <v>Research</v>
      </c>
      <c r="N1272" s="1" t="str">
        <f>VLOOKUP(B1272,Bounties!A:D,4,FALSE)</f>
        <v>Anti-Scam</v>
      </c>
      <c r="O1272" s="1" t="str">
        <f t="shared" ref="O1272:P1272" si="1276">IF(ISBLANK(K1272),M1272,K1272)</f>
        <v>Research</v>
      </c>
      <c r="P1272" s="1" t="str">
        <f t="shared" si="1276"/>
        <v>Anti-Scam</v>
      </c>
      <c r="Q1272" s="108" t="str">
        <f t="shared" si="3"/>
        <v>2024</v>
      </c>
      <c r="R1272" s="110">
        <f t="shared" si="4"/>
        <v>6</v>
      </c>
      <c r="S1272" s="108" t="str">
        <f t="shared" si="5"/>
        <v>2024-Q2</v>
      </c>
      <c r="T1272" s="111" t="str">
        <f t="shared" si="6"/>
        <v>2024-06</v>
      </c>
      <c r="U1272" s="112" t="str">
        <f t="shared" si="7"/>
        <v>2024-H1</v>
      </c>
      <c r="V1272" s="1" t="str">
        <f>VLOOKUP(B1272,Bounties!A:E,2,FALSE)</f>
        <v>Anti-Scam Bounty</v>
      </c>
    </row>
    <row r="1273" hidden="1">
      <c r="A1273" s="109">
        <f>HYPERLINK("https://polkadot.subsquare.io/treasury/child-bounties/1271", 1271)</f>
        <v>1271</v>
      </c>
      <c r="B1273" s="183">
        <v>11.0</v>
      </c>
      <c r="C1273" s="27" t="s">
        <v>3404</v>
      </c>
      <c r="D1273" s="27" t="s">
        <v>1813</v>
      </c>
      <c r="E1273" s="129">
        <v>105.027307</v>
      </c>
      <c r="F1273" s="66">
        <v>754.8738029589018</v>
      </c>
      <c r="G1273" s="27" t="s">
        <v>3424</v>
      </c>
      <c r="H1273" s="167">
        <v>45445.0</v>
      </c>
      <c r="I1273" s="167">
        <v>45454.0</v>
      </c>
      <c r="J1273" s="66">
        <v>647.2582137169022</v>
      </c>
      <c r="K1273" s="1"/>
      <c r="L1273" s="1"/>
      <c r="M1273" s="1" t="str">
        <f>VLOOKUP(B1273,Bounties!A:D,3,FALSE)</f>
        <v>Research</v>
      </c>
      <c r="N1273" s="1" t="str">
        <f>VLOOKUP(B1273,Bounties!A:D,4,FALSE)</f>
        <v>Anti-Scam</v>
      </c>
      <c r="O1273" s="1" t="str">
        <f t="shared" ref="O1273:P1273" si="1277">IF(ISBLANK(K1273),M1273,K1273)</f>
        <v>Research</v>
      </c>
      <c r="P1273" s="1" t="str">
        <f t="shared" si="1277"/>
        <v>Anti-Scam</v>
      </c>
      <c r="Q1273" s="108" t="str">
        <f t="shared" si="3"/>
        <v>2024</v>
      </c>
      <c r="R1273" s="110">
        <f t="shared" si="4"/>
        <v>6</v>
      </c>
      <c r="S1273" s="108" t="str">
        <f t="shared" si="5"/>
        <v>2024-Q2</v>
      </c>
      <c r="T1273" s="111" t="str">
        <f t="shared" si="6"/>
        <v>2024-06</v>
      </c>
      <c r="U1273" s="112" t="str">
        <f t="shared" si="7"/>
        <v>2024-H1</v>
      </c>
      <c r="V1273" s="1" t="str">
        <f>VLOOKUP(B1273,Bounties!A:E,2,FALSE)</f>
        <v>Anti-Scam Bounty</v>
      </c>
    </row>
    <row r="1274" hidden="1">
      <c r="A1274" s="109">
        <f>HYPERLINK("https://polkadot.subsquare.io/treasury/child-bounties/1272", 1272)</f>
        <v>1272</v>
      </c>
      <c r="B1274" s="183">
        <v>11.0</v>
      </c>
      <c r="C1274" s="27" t="s">
        <v>3404</v>
      </c>
      <c r="D1274" s="27" t="s">
        <v>1814</v>
      </c>
      <c r="E1274" s="129">
        <v>70.0182047332</v>
      </c>
      <c r="F1274" s="66">
        <v>503.24920245080324</v>
      </c>
      <c r="G1274" s="27" t="s">
        <v>3486</v>
      </c>
      <c r="H1274" s="167">
        <v>45445.0</v>
      </c>
      <c r="I1274" s="167">
        <v>45454.0</v>
      </c>
      <c r="J1274" s="66">
        <v>431.50547622129716</v>
      </c>
      <c r="K1274" s="1"/>
      <c r="L1274" s="1"/>
      <c r="M1274" s="1" t="str">
        <f>VLOOKUP(B1274,Bounties!A:D,3,FALSE)</f>
        <v>Research</v>
      </c>
      <c r="N1274" s="1" t="str">
        <f>VLOOKUP(B1274,Bounties!A:D,4,FALSE)</f>
        <v>Anti-Scam</v>
      </c>
      <c r="O1274" s="1" t="str">
        <f t="shared" ref="O1274:P1274" si="1278">IF(ISBLANK(K1274),M1274,K1274)</f>
        <v>Research</v>
      </c>
      <c r="P1274" s="1" t="str">
        <f t="shared" si="1278"/>
        <v>Anti-Scam</v>
      </c>
      <c r="Q1274" s="108" t="str">
        <f t="shared" si="3"/>
        <v>2024</v>
      </c>
      <c r="R1274" s="110">
        <f t="shared" si="4"/>
        <v>6</v>
      </c>
      <c r="S1274" s="108" t="str">
        <f t="shared" si="5"/>
        <v>2024-Q2</v>
      </c>
      <c r="T1274" s="111" t="str">
        <f t="shared" si="6"/>
        <v>2024-06</v>
      </c>
      <c r="U1274" s="112" t="str">
        <f t="shared" si="7"/>
        <v>2024-H1</v>
      </c>
      <c r="V1274" s="1" t="str">
        <f>VLOOKUP(B1274,Bounties!A:E,2,FALSE)</f>
        <v>Anti-Scam Bounty</v>
      </c>
    </row>
    <row r="1275" hidden="1">
      <c r="A1275" s="109">
        <f>HYPERLINK("https://polkadot.subsquare.io/treasury/child-bounties/1273", 1273)</f>
        <v>1273</v>
      </c>
      <c r="B1275" s="183">
        <v>11.0</v>
      </c>
      <c r="C1275" s="27" t="s">
        <v>3404</v>
      </c>
      <c r="D1275" s="27" t="s">
        <v>1815</v>
      </c>
      <c r="E1275" s="129">
        <v>35.0091023666</v>
      </c>
      <c r="F1275" s="66">
        <v>251.62460122540162</v>
      </c>
      <c r="G1275" s="27" t="s">
        <v>3486</v>
      </c>
      <c r="H1275" s="167">
        <v>45445.0</v>
      </c>
      <c r="I1275" s="167">
        <v>45454.0</v>
      </c>
      <c r="J1275" s="66">
        <v>215.75273811064858</v>
      </c>
      <c r="K1275" s="1"/>
      <c r="L1275" s="1"/>
      <c r="M1275" s="1" t="str">
        <f>VLOOKUP(B1275,Bounties!A:D,3,FALSE)</f>
        <v>Research</v>
      </c>
      <c r="N1275" s="1" t="str">
        <f>VLOOKUP(B1275,Bounties!A:D,4,FALSE)</f>
        <v>Anti-Scam</v>
      </c>
      <c r="O1275" s="1" t="str">
        <f t="shared" ref="O1275:P1275" si="1279">IF(ISBLANK(K1275),M1275,K1275)</f>
        <v>Research</v>
      </c>
      <c r="P1275" s="1" t="str">
        <f t="shared" si="1279"/>
        <v>Anti-Scam</v>
      </c>
      <c r="Q1275" s="108" t="str">
        <f t="shared" si="3"/>
        <v>2024</v>
      </c>
      <c r="R1275" s="110">
        <f t="shared" si="4"/>
        <v>6</v>
      </c>
      <c r="S1275" s="108" t="str">
        <f t="shared" si="5"/>
        <v>2024-Q2</v>
      </c>
      <c r="T1275" s="111" t="str">
        <f t="shared" si="6"/>
        <v>2024-06</v>
      </c>
      <c r="U1275" s="112" t="str">
        <f t="shared" si="7"/>
        <v>2024-H1</v>
      </c>
      <c r="V1275" s="1" t="str">
        <f>VLOOKUP(B1275,Bounties!A:E,2,FALSE)</f>
        <v>Anti-Scam Bounty</v>
      </c>
    </row>
    <row r="1276" hidden="1">
      <c r="A1276" s="109">
        <f>HYPERLINK("https://polkadot.subsquare.io/treasury/child-bounties/1274", 1274)</f>
        <v>1274</v>
      </c>
      <c r="B1276" s="183">
        <v>46.0</v>
      </c>
      <c r="C1276" s="27" t="s">
        <v>3404</v>
      </c>
      <c r="D1276" s="27" t="s">
        <v>1816</v>
      </c>
      <c r="E1276" s="129">
        <v>188.0</v>
      </c>
      <c r="F1276" s="66">
        <v>1362.7608261108398</v>
      </c>
      <c r="G1276" s="27" t="s">
        <v>3706</v>
      </c>
      <c r="H1276" s="167">
        <v>45445.0</v>
      </c>
      <c r="I1276" s="167">
        <v>45454.0</v>
      </c>
      <c r="J1276" s="66">
        <v>1158.5991077423096</v>
      </c>
      <c r="K1276" s="1"/>
      <c r="L1276" s="1"/>
      <c r="M1276" s="1" t="str">
        <f>VLOOKUP(B1276,Bounties!A:D,3,FALSE)</f>
        <v>Outreach</v>
      </c>
      <c r="N1276" s="1" t="str">
        <f>VLOOKUP(B1276,Bounties!A:D,4,FALSE)</f>
        <v>Other</v>
      </c>
      <c r="O1276" s="1" t="str">
        <f t="shared" ref="O1276:P1276" si="1280">IF(ISBLANK(K1276),M1276,K1276)</f>
        <v>Outreach</v>
      </c>
      <c r="P1276" s="1" t="str">
        <f t="shared" si="1280"/>
        <v>Other</v>
      </c>
      <c r="Q1276" s="108" t="str">
        <f t="shared" si="3"/>
        <v>2024</v>
      </c>
      <c r="R1276" s="110">
        <f t="shared" si="4"/>
        <v>6</v>
      </c>
      <c r="S1276" s="108" t="str">
        <f t="shared" si="5"/>
        <v>2024-Q2</v>
      </c>
      <c r="T1276" s="111" t="str">
        <f t="shared" si="6"/>
        <v>2024-06</v>
      </c>
      <c r="U1276" s="112" t="str">
        <f t="shared" si="7"/>
        <v>2024-H1</v>
      </c>
      <c r="V1276" s="1" t="str">
        <f>VLOOKUP(B1276,Bounties!A:E,2,FALSE)</f>
        <v>AMI Bounty Program</v>
      </c>
    </row>
    <row r="1277" hidden="1">
      <c r="A1277" s="109">
        <f>HYPERLINK("https://polkadot.subsquare.io/treasury/child-bounties/1275", 1275)</f>
        <v>1275</v>
      </c>
      <c r="B1277" s="183">
        <v>46.0</v>
      </c>
      <c r="C1277" s="27" t="s">
        <v>3404</v>
      </c>
      <c r="D1277" s="27" t="s">
        <v>1817</v>
      </c>
      <c r="E1277" s="129">
        <v>509.0</v>
      </c>
      <c r="F1277" s="66">
        <v>3689.6024494171143</v>
      </c>
      <c r="G1277" s="27" t="s">
        <v>3707</v>
      </c>
      <c r="H1277" s="167">
        <v>45445.0</v>
      </c>
      <c r="I1277" s="167">
        <v>45454.0</v>
      </c>
      <c r="J1277" s="66">
        <v>3136.845456600189</v>
      </c>
      <c r="K1277" s="1"/>
      <c r="L1277" s="1"/>
      <c r="M1277" s="1" t="str">
        <f>VLOOKUP(B1277,Bounties!A:D,3,FALSE)</f>
        <v>Outreach</v>
      </c>
      <c r="N1277" s="1" t="str">
        <f>VLOOKUP(B1277,Bounties!A:D,4,FALSE)</f>
        <v>Other</v>
      </c>
      <c r="O1277" s="1" t="str">
        <f t="shared" ref="O1277:P1277" si="1281">IF(ISBLANK(K1277),M1277,K1277)</f>
        <v>Outreach</v>
      </c>
      <c r="P1277" s="1" t="str">
        <f t="shared" si="1281"/>
        <v>Other</v>
      </c>
      <c r="Q1277" s="108" t="str">
        <f t="shared" si="3"/>
        <v>2024</v>
      </c>
      <c r="R1277" s="110">
        <f t="shared" si="4"/>
        <v>6</v>
      </c>
      <c r="S1277" s="108" t="str">
        <f t="shared" si="5"/>
        <v>2024-Q2</v>
      </c>
      <c r="T1277" s="111" t="str">
        <f t="shared" si="6"/>
        <v>2024-06</v>
      </c>
      <c r="U1277" s="112" t="str">
        <f t="shared" si="7"/>
        <v>2024-H1</v>
      </c>
      <c r="V1277" s="1" t="str">
        <f>VLOOKUP(B1277,Bounties!A:E,2,FALSE)</f>
        <v>AMI Bounty Program</v>
      </c>
    </row>
    <row r="1278" hidden="1">
      <c r="A1278" s="109">
        <f>HYPERLINK("https://polkadot.subsquare.io/treasury/child-bounties/1276", 1276)</f>
        <v>1276</v>
      </c>
      <c r="B1278" s="183">
        <v>46.0</v>
      </c>
      <c r="C1278" s="27" t="s">
        <v>3404</v>
      </c>
      <c r="D1278" s="27" t="s">
        <v>1818</v>
      </c>
      <c r="E1278" s="129">
        <v>176.0</v>
      </c>
      <c r="F1278" s="66">
        <v>1275.7760925292969</v>
      </c>
      <c r="G1278" s="27" t="s">
        <v>3708</v>
      </c>
      <c r="H1278" s="167">
        <v>45445.0</v>
      </c>
      <c r="I1278" s="167">
        <v>45454.0</v>
      </c>
      <c r="J1278" s="66">
        <v>1084.6459732055664</v>
      </c>
      <c r="K1278" s="1"/>
      <c r="L1278" s="1"/>
      <c r="M1278" s="1" t="str">
        <f>VLOOKUP(B1278,Bounties!A:D,3,FALSE)</f>
        <v>Outreach</v>
      </c>
      <c r="N1278" s="1" t="str">
        <f>VLOOKUP(B1278,Bounties!A:D,4,FALSE)</f>
        <v>Other</v>
      </c>
      <c r="O1278" s="1" t="str">
        <f t="shared" ref="O1278:P1278" si="1282">IF(ISBLANK(K1278),M1278,K1278)</f>
        <v>Outreach</v>
      </c>
      <c r="P1278" s="1" t="str">
        <f t="shared" si="1282"/>
        <v>Other</v>
      </c>
      <c r="Q1278" s="108" t="str">
        <f t="shared" si="3"/>
        <v>2024</v>
      </c>
      <c r="R1278" s="110">
        <f t="shared" si="4"/>
        <v>6</v>
      </c>
      <c r="S1278" s="108" t="str">
        <f t="shared" si="5"/>
        <v>2024-Q2</v>
      </c>
      <c r="T1278" s="111" t="str">
        <f t="shared" si="6"/>
        <v>2024-06</v>
      </c>
      <c r="U1278" s="112" t="str">
        <f t="shared" si="7"/>
        <v>2024-H1</v>
      </c>
      <c r="V1278" s="1" t="str">
        <f>VLOOKUP(B1278,Bounties!A:E,2,FALSE)</f>
        <v>AMI Bounty Program</v>
      </c>
    </row>
    <row r="1279" hidden="1">
      <c r="A1279" s="109">
        <f>HYPERLINK("https://polkadot.subsquare.io/treasury/child-bounties/1277", 1277)</f>
        <v>1277</v>
      </c>
      <c r="B1279" s="183">
        <v>46.0</v>
      </c>
      <c r="C1279" s="27" t="s">
        <v>3404</v>
      </c>
      <c r="D1279" s="27" t="s">
        <v>1819</v>
      </c>
      <c r="E1279" s="129">
        <v>198.0</v>
      </c>
      <c r="F1279" s="66">
        <v>1435.248104095459</v>
      </c>
      <c r="G1279" s="27" t="s">
        <v>3709</v>
      </c>
      <c r="H1279" s="167">
        <v>45445.0</v>
      </c>
      <c r="I1279" s="167">
        <v>45454.0</v>
      </c>
      <c r="J1279" s="66">
        <v>1220.2267198562622</v>
      </c>
      <c r="K1279" s="1"/>
      <c r="L1279" s="1"/>
      <c r="M1279" s="1" t="str">
        <f>VLOOKUP(B1279,Bounties!A:D,3,FALSE)</f>
        <v>Outreach</v>
      </c>
      <c r="N1279" s="1" t="str">
        <f>VLOOKUP(B1279,Bounties!A:D,4,FALSE)</f>
        <v>Other</v>
      </c>
      <c r="O1279" s="1" t="str">
        <f t="shared" ref="O1279:P1279" si="1283">IF(ISBLANK(K1279),M1279,K1279)</f>
        <v>Outreach</v>
      </c>
      <c r="P1279" s="1" t="str">
        <f t="shared" si="1283"/>
        <v>Other</v>
      </c>
      <c r="Q1279" s="108" t="str">
        <f t="shared" si="3"/>
        <v>2024</v>
      </c>
      <c r="R1279" s="110">
        <f t="shared" si="4"/>
        <v>6</v>
      </c>
      <c r="S1279" s="108" t="str">
        <f t="shared" si="5"/>
        <v>2024-Q2</v>
      </c>
      <c r="T1279" s="111" t="str">
        <f t="shared" si="6"/>
        <v>2024-06</v>
      </c>
      <c r="U1279" s="112" t="str">
        <f t="shared" si="7"/>
        <v>2024-H1</v>
      </c>
      <c r="V1279" s="1" t="str">
        <f>VLOOKUP(B1279,Bounties!A:E,2,FALSE)</f>
        <v>AMI Bounty Program</v>
      </c>
    </row>
    <row r="1280" hidden="1">
      <c r="A1280" s="109">
        <f>HYPERLINK("https://polkadot.subsquare.io/treasury/child-bounties/1278", 1278)</f>
        <v>1278</v>
      </c>
      <c r="B1280" s="183">
        <v>46.0</v>
      </c>
      <c r="C1280" s="27" t="s">
        <v>3404</v>
      </c>
      <c r="D1280" s="27" t="s">
        <v>1820</v>
      </c>
      <c r="E1280" s="129">
        <v>400.0</v>
      </c>
      <c r="F1280" s="66">
        <v>2899.4911193847656</v>
      </c>
      <c r="G1280" s="27" t="s">
        <v>3710</v>
      </c>
      <c r="H1280" s="167">
        <v>45445.0</v>
      </c>
      <c r="I1280" s="167">
        <v>45454.0</v>
      </c>
      <c r="J1280" s="66">
        <v>2465.1044845581055</v>
      </c>
      <c r="K1280" s="1"/>
      <c r="L1280" s="1"/>
      <c r="M1280" s="1" t="str">
        <f>VLOOKUP(B1280,Bounties!A:D,3,FALSE)</f>
        <v>Outreach</v>
      </c>
      <c r="N1280" s="1" t="str">
        <f>VLOOKUP(B1280,Bounties!A:D,4,FALSE)</f>
        <v>Other</v>
      </c>
      <c r="O1280" s="1" t="str">
        <f t="shared" ref="O1280:P1280" si="1284">IF(ISBLANK(K1280),M1280,K1280)</f>
        <v>Outreach</v>
      </c>
      <c r="P1280" s="1" t="str">
        <f t="shared" si="1284"/>
        <v>Other</v>
      </c>
      <c r="Q1280" s="108" t="str">
        <f t="shared" si="3"/>
        <v>2024</v>
      </c>
      <c r="R1280" s="110">
        <f t="shared" si="4"/>
        <v>6</v>
      </c>
      <c r="S1280" s="108" t="str">
        <f t="shared" si="5"/>
        <v>2024-Q2</v>
      </c>
      <c r="T1280" s="111" t="str">
        <f t="shared" si="6"/>
        <v>2024-06</v>
      </c>
      <c r="U1280" s="112" t="str">
        <f t="shared" si="7"/>
        <v>2024-H1</v>
      </c>
      <c r="V1280" s="1" t="str">
        <f>VLOOKUP(B1280,Bounties!A:E,2,FALSE)</f>
        <v>AMI Bounty Program</v>
      </c>
    </row>
    <row r="1281" hidden="1">
      <c r="A1281" s="109">
        <f>HYPERLINK("https://polkadot.subsquare.io/treasury/child-bounties/1279", 1279)</f>
        <v>1279</v>
      </c>
      <c r="B1281" s="183">
        <v>46.0</v>
      </c>
      <c r="C1281" s="27" t="s">
        <v>3404</v>
      </c>
      <c r="D1281" s="27" t="s">
        <v>1821</v>
      </c>
      <c r="E1281" s="129">
        <v>180.0</v>
      </c>
      <c r="F1281" s="66">
        <v>1304.7710037231445</v>
      </c>
      <c r="G1281" s="27" t="s">
        <v>3711</v>
      </c>
      <c r="H1281" s="167">
        <v>45445.0</v>
      </c>
      <c r="I1281" s="167">
        <v>45454.0</v>
      </c>
      <c r="J1281" s="66">
        <v>1109.2970180511475</v>
      </c>
      <c r="K1281" s="1"/>
      <c r="L1281" s="1"/>
      <c r="M1281" s="1" t="str">
        <f>VLOOKUP(B1281,Bounties!A:D,3,FALSE)</f>
        <v>Outreach</v>
      </c>
      <c r="N1281" s="1" t="str">
        <f>VLOOKUP(B1281,Bounties!A:D,4,FALSE)</f>
        <v>Other</v>
      </c>
      <c r="O1281" s="1" t="str">
        <f t="shared" ref="O1281:P1281" si="1285">IF(ISBLANK(K1281),M1281,K1281)</f>
        <v>Outreach</v>
      </c>
      <c r="P1281" s="1" t="str">
        <f t="shared" si="1285"/>
        <v>Other</v>
      </c>
      <c r="Q1281" s="108" t="str">
        <f t="shared" si="3"/>
        <v>2024</v>
      </c>
      <c r="R1281" s="110">
        <f t="shared" si="4"/>
        <v>6</v>
      </c>
      <c r="S1281" s="108" t="str">
        <f t="shared" si="5"/>
        <v>2024-Q2</v>
      </c>
      <c r="T1281" s="111" t="str">
        <f t="shared" si="6"/>
        <v>2024-06</v>
      </c>
      <c r="U1281" s="112" t="str">
        <f t="shared" si="7"/>
        <v>2024-H1</v>
      </c>
      <c r="V1281" s="1" t="str">
        <f>VLOOKUP(B1281,Bounties!A:E,2,FALSE)</f>
        <v>AMI Bounty Program</v>
      </c>
    </row>
    <row r="1282" hidden="1">
      <c r="A1282" s="109">
        <f>HYPERLINK("https://polkadot.subsquare.io/treasury/child-bounties/1280", 1280)</f>
        <v>1280</v>
      </c>
      <c r="B1282" s="183">
        <v>46.0</v>
      </c>
      <c r="C1282" s="27" t="s">
        <v>3404</v>
      </c>
      <c r="D1282" s="27" t="s">
        <v>1822</v>
      </c>
      <c r="E1282" s="129">
        <v>178.0</v>
      </c>
      <c r="F1282" s="66">
        <v>1290.2735481262207</v>
      </c>
      <c r="G1282" s="27" t="s">
        <v>3712</v>
      </c>
      <c r="H1282" s="167">
        <v>45445.0</v>
      </c>
      <c r="I1282" s="167">
        <v>45454.0</v>
      </c>
      <c r="J1282" s="66">
        <v>1096.971495628357</v>
      </c>
      <c r="K1282" s="1"/>
      <c r="L1282" s="1"/>
      <c r="M1282" s="1" t="str">
        <f>VLOOKUP(B1282,Bounties!A:D,3,FALSE)</f>
        <v>Outreach</v>
      </c>
      <c r="N1282" s="1" t="str">
        <f>VLOOKUP(B1282,Bounties!A:D,4,FALSE)</f>
        <v>Other</v>
      </c>
      <c r="O1282" s="1" t="str">
        <f t="shared" ref="O1282:P1282" si="1286">IF(ISBLANK(K1282),M1282,K1282)</f>
        <v>Outreach</v>
      </c>
      <c r="P1282" s="1" t="str">
        <f t="shared" si="1286"/>
        <v>Other</v>
      </c>
      <c r="Q1282" s="108" t="str">
        <f t="shared" si="3"/>
        <v>2024</v>
      </c>
      <c r="R1282" s="110">
        <f t="shared" si="4"/>
        <v>6</v>
      </c>
      <c r="S1282" s="108" t="str">
        <f t="shared" si="5"/>
        <v>2024-Q2</v>
      </c>
      <c r="T1282" s="111" t="str">
        <f t="shared" si="6"/>
        <v>2024-06</v>
      </c>
      <c r="U1282" s="112" t="str">
        <f t="shared" si="7"/>
        <v>2024-H1</v>
      </c>
      <c r="V1282" s="1" t="str">
        <f>VLOOKUP(B1282,Bounties!A:E,2,FALSE)</f>
        <v>AMI Bounty Program</v>
      </c>
    </row>
    <row r="1283" hidden="1">
      <c r="A1283" s="109">
        <f>HYPERLINK("https://polkadot.subsquare.io/treasury/child-bounties/1281", 1281)</f>
        <v>1281</v>
      </c>
      <c r="B1283" s="183">
        <v>46.0</v>
      </c>
      <c r="C1283" s="27" t="s">
        <v>3404</v>
      </c>
      <c r="D1283" s="27" t="s">
        <v>1823</v>
      </c>
      <c r="E1283" s="129">
        <v>285.0</v>
      </c>
      <c r="F1283" s="66">
        <v>2065.8874225616455</v>
      </c>
      <c r="G1283" s="27" t="s">
        <v>3713</v>
      </c>
      <c r="H1283" s="167">
        <v>45445.0</v>
      </c>
      <c r="I1283" s="167">
        <v>45454.0</v>
      </c>
      <c r="J1283" s="66">
        <v>1756.3869452476501</v>
      </c>
      <c r="K1283" s="1"/>
      <c r="L1283" s="1"/>
      <c r="M1283" s="1" t="str">
        <f>VLOOKUP(B1283,Bounties!A:D,3,FALSE)</f>
        <v>Outreach</v>
      </c>
      <c r="N1283" s="1" t="str">
        <f>VLOOKUP(B1283,Bounties!A:D,4,FALSE)</f>
        <v>Other</v>
      </c>
      <c r="O1283" s="1" t="str">
        <f t="shared" ref="O1283:P1283" si="1287">IF(ISBLANK(K1283),M1283,K1283)</f>
        <v>Outreach</v>
      </c>
      <c r="P1283" s="1" t="str">
        <f t="shared" si="1287"/>
        <v>Other</v>
      </c>
      <c r="Q1283" s="108" t="str">
        <f t="shared" si="3"/>
        <v>2024</v>
      </c>
      <c r="R1283" s="110">
        <f t="shared" si="4"/>
        <v>6</v>
      </c>
      <c r="S1283" s="108" t="str">
        <f t="shared" si="5"/>
        <v>2024-Q2</v>
      </c>
      <c r="T1283" s="111" t="str">
        <f t="shared" si="6"/>
        <v>2024-06</v>
      </c>
      <c r="U1283" s="112" t="str">
        <f t="shared" si="7"/>
        <v>2024-H1</v>
      </c>
      <c r="V1283" s="1" t="str">
        <f>VLOOKUP(B1283,Bounties!A:E,2,FALSE)</f>
        <v>AMI Bounty Program</v>
      </c>
    </row>
    <row r="1284" hidden="1">
      <c r="A1284" s="109">
        <f>HYPERLINK("https://polkadot.subsquare.io/treasury/child-bounties/1282", 1282)</f>
        <v>1282</v>
      </c>
      <c r="B1284" s="183">
        <v>46.0</v>
      </c>
      <c r="C1284" s="27" t="s">
        <v>3404</v>
      </c>
      <c r="D1284" s="27" t="s">
        <v>1824</v>
      </c>
      <c r="E1284" s="129">
        <v>160.0</v>
      </c>
      <c r="F1284" s="66">
        <v>1159.7964477539062</v>
      </c>
      <c r="G1284" s="27" t="s">
        <v>3714</v>
      </c>
      <c r="H1284" s="167">
        <v>45445.0</v>
      </c>
      <c r="I1284" s="167">
        <v>45454.0</v>
      </c>
      <c r="J1284" s="66">
        <v>986.0417938232422</v>
      </c>
      <c r="K1284" s="1"/>
      <c r="L1284" s="1"/>
      <c r="M1284" s="1" t="str">
        <f>VLOOKUP(B1284,Bounties!A:D,3,FALSE)</f>
        <v>Outreach</v>
      </c>
      <c r="N1284" s="1" t="str">
        <f>VLOOKUP(B1284,Bounties!A:D,4,FALSE)</f>
        <v>Other</v>
      </c>
      <c r="O1284" s="1" t="str">
        <f t="shared" ref="O1284:P1284" si="1288">IF(ISBLANK(K1284),M1284,K1284)</f>
        <v>Outreach</v>
      </c>
      <c r="P1284" s="1" t="str">
        <f t="shared" si="1288"/>
        <v>Other</v>
      </c>
      <c r="Q1284" s="108" t="str">
        <f t="shared" si="3"/>
        <v>2024</v>
      </c>
      <c r="R1284" s="110">
        <f t="shared" si="4"/>
        <v>6</v>
      </c>
      <c r="S1284" s="108" t="str">
        <f t="shared" si="5"/>
        <v>2024-Q2</v>
      </c>
      <c r="T1284" s="111" t="str">
        <f t="shared" si="6"/>
        <v>2024-06</v>
      </c>
      <c r="U1284" s="112" t="str">
        <f t="shared" si="7"/>
        <v>2024-H1</v>
      </c>
      <c r="V1284" s="1" t="str">
        <f>VLOOKUP(B1284,Bounties!A:E,2,FALSE)</f>
        <v>AMI Bounty Program</v>
      </c>
    </row>
    <row r="1285" hidden="1">
      <c r="A1285" s="109">
        <f>HYPERLINK("https://polkadot.subsquare.io/treasury/child-bounties/1283", 1283)</f>
        <v>1283</v>
      </c>
      <c r="B1285" s="183">
        <v>46.0</v>
      </c>
      <c r="C1285" s="27" t="s">
        <v>3404</v>
      </c>
      <c r="D1285" s="27" t="s">
        <v>1825</v>
      </c>
      <c r="E1285" s="129">
        <v>657.0</v>
      </c>
      <c r="F1285" s="66">
        <v>4762.4141635894775</v>
      </c>
      <c r="G1285" s="27" t="s">
        <v>3715</v>
      </c>
      <c r="H1285" s="167">
        <v>45445.0</v>
      </c>
      <c r="I1285" s="167">
        <v>45454.0</v>
      </c>
      <c r="J1285" s="66">
        <v>4048.9341158866882</v>
      </c>
      <c r="K1285" s="1"/>
      <c r="L1285" s="1"/>
      <c r="M1285" s="1" t="str">
        <f>VLOOKUP(B1285,Bounties!A:D,3,FALSE)</f>
        <v>Outreach</v>
      </c>
      <c r="N1285" s="1" t="str">
        <f>VLOOKUP(B1285,Bounties!A:D,4,FALSE)</f>
        <v>Other</v>
      </c>
      <c r="O1285" s="1" t="str">
        <f t="shared" ref="O1285:P1285" si="1289">IF(ISBLANK(K1285),M1285,K1285)</f>
        <v>Outreach</v>
      </c>
      <c r="P1285" s="1" t="str">
        <f t="shared" si="1289"/>
        <v>Other</v>
      </c>
      <c r="Q1285" s="108" t="str">
        <f t="shared" si="3"/>
        <v>2024</v>
      </c>
      <c r="R1285" s="110">
        <f t="shared" si="4"/>
        <v>6</v>
      </c>
      <c r="S1285" s="108" t="str">
        <f t="shared" si="5"/>
        <v>2024-Q2</v>
      </c>
      <c r="T1285" s="111" t="str">
        <f t="shared" si="6"/>
        <v>2024-06</v>
      </c>
      <c r="U1285" s="112" t="str">
        <f t="shared" si="7"/>
        <v>2024-H1</v>
      </c>
      <c r="V1285" s="1" t="str">
        <f>VLOOKUP(B1285,Bounties!A:E,2,FALSE)</f>
        <v>AMI Bounty Program</v>
      </c>
    </row>
    <row r="1286" hidden="1">
      <c r="A1286" s="109">
        <f>HYPERLINK("https://polkadot.subsquare.io/treasury/child-bounties/1284", 1284)</f>
        <v>1284</v>
      </c>
      <c r="B1286" s="183">
        <v>43.0</v>
      </c>
      <c r="C1286" s="27" t="s">
        <v>3404</v>
      </c>
      <c r="D1286" s="27" t="s">
        <v>1826</v>
      </c>
      <c r="E1286" s="129">
        <v>38.896</v>
      </c>
      <c r="F1286" s="66">
        <v>281.9465164489746</v>
      </c>
      <c r="G1286" s="27" t="s">
        <v>3716</v>
      </c>
      <c r="H1286" s="167">
        <v>45445.0</v>
      </c>
      <c r="I1286" s="167">
        <v>45466.0</v>
      </c>
      <c r="J1286" s="66">
        <v>225.33529389953614</v>
      </c>
      <c r="K1286" s="1"/>
      <c r="L1286" s="1"/>
      <c r="M1286" s="1" t="str">
        <f>VLOOKUP(B1286,Bounties!A:D,3,FALSE)</f>
        <v>Outreach</v>
      </c>
      <c r="N1286" s="1" t="str">
        <f>VLOOKUP(B1286,Bounties!A:D,4,FALSE)</f>
        <v>Events/Meetups</v>
      </c>
      <c r="O1286" s="1" t="str">
        <f t="shared" ref="O1286:P1286" si="1290">IF(ISBLANK(K1286),M1286,K1286)</f>
        <v>Outreach</v>
      </c>
      <c r="P1286" s="1" t="str">
        <f t="shared" si="1290"/>
        <v>Events/Meetups</v>
      </c>
      <c r="Q1286" s="108" t="str">
        <f t="shared" si="3"/>
        <v>2024</v>
      </c>
      <c r="R1286" s="110">
        <f t="shared" si="4"/>
        <v>6</v>
      </c>
      <c r="S1286" s="108" t="str">
        <f t="shared" si="5"/>
        <v>2024-Q2</v>
      </c>
      <c r="T1286" s="111" t="str">
        <f t="shared" si="6"/>
        <v>2024-06</v>
      </c>
      <c r="U1286" s="112" t="str">
        <f t="shared" si="7"/>
        <v>2024-H1</v>
      </c>
      <c r="V1286" s="1" t="str">
        <f>VLOOKUP(B1286,Bounties!A:E,2,FALSE)</f>
        <v>Meetups Bounty</v>
      </c>
    </row>
    <row r="1287" hidden="1">
      <c r="A1287" s="109">
        <f>HYPERLINK("https://polkadot.subsquare.io/treasury/child-bounties/1285", 1285)</f>
        <v>1285</v>
      </c>
      <c r="B1287" s="183">
        <v>36.0</v>
      </c>
      <c r="C1287" s="27" t="s">
        <v>3427</v>
      </c>
      <c r="D1287" s="27" t="s">
        <v>3717</v>
      </c>
      <c r="E1287" s="129">
        <v>8864.499789</v>
      </c>
      <c r="F1287" s="66">
        <v>64256.34603998407</v>
      </c>
      <c r="H1287" s="167">
        <v>45446.0</v>
      </c>
      <c r="I1287" s="167">
        <v>45460.0</v>
      </c>
      <c r="J1287" s="66">
        <v>51362.78985002833</v>
      </c>
      <c r="K1287" s="1"/>
      <c r="L1287" s="1"/>
      <c r="M1287" s="1" t="str">
        <f>VLOOKUP(B1287,Bounties!A:D,3,FALSE)</f>
        <v>Development</v>
      </c>
      <c r="N1287" s="1" t="str">
        <f>VLOOKUP(B1287,Bounties!A:D,4,FALSE)</f>
        <v>Software Development</v>
      </c>
      <c r="O1287" s="1" t="str">
        <f t="shared" ref="O1287:P1287" si="1291">IF(ISBLANK(K1287),M1287,K1287)</f>
        <v>Development</v>
      </c>
      <c r="P1287" s="1" t="str">
        <f t="shared" si="1291"/>
        <v>Software Development</v>
      </c>
      <c r="Q1287" s="108" t="str">
        <f t="shared" si="3"/>
        <v>2024</v>
      </c>
      <c r="R1287" s="110">
        <f t="shared" si="4"/>
        <v>6</v>
      </c>
      <c r="S1287" s="108" t="str">
        <f t="shared" si="5"/>
        <v>2024-Q2</v>
      </c>
      <c r="T1287" s="111" t="str">
        <f t="shared" si="6"/>
        <v>2024-06</v>
      </c>
      <c r="U1287" s="112" t="str">
        <f t="shared" si="7"/>
        <v>2024-H1</v>
      </c>
      <c r="V1287" s="1" t="str">
        <f>VLOOKUP(B1287,Bounties!A:E,2,FALSE)</f>
        <v>DeFi Infrastructure and Tooling Bounty</v>
      </c>
    </row>
    <row r="1288" hidden="1">
      <c r="A1288" s="109">
        <f>HYPERLINK("https://polkadot.subsquare.io/treasury/child-bounties/1286", 1286)</f>
        <v>1286</v>
      </c>
      <c r="B1288" s="183">
        <v>36.0</v>
      </c>
      <c r="C1288" s="27" t="s">
        <v>3427</v>
      </c>
      <c r="D1288" s="27" t="s">
        <v>3718</v>
      </c>
      <c r="E1288" s="129">
        <v>8442.380751</v>
      </c>
      <c r="F1288" s="66">
        <v>61196.52003497347</v>
      </c>
      <c r="H1288" s="167">
        <v>45446.0</v>
      </c>
      <c r="I1288" s="167">
        <v>45460.0</v>
      </c>
      <c r="J1288" s="66">
        <v>48916.94271182947</v>
      </c>
      <c r="K1288" s="1"/>
      <c r="L1288" s="1"/>
      <c r="M1288" s="1" t="str">
        <f>VLOOKUP(B1288,Bounties!A:D,3,FALSE)</f>
        <v>Development</v>
      </c>
      <c r="N1288" s="1" t="str">
        <f>VLOOKUP(B1288,Bounties!A:D,4,FALSE)</f>
        <v>Software Development</v>
      </c>
      <c r="O1288" s="1" t="str">
        <f t="shared" ref="O1288:P1288" si="1292">IF(ISBLANK(K1288),M1288,K1288)</f>
        <v>Development</v>
      </c>
      <c r="P1288" s="1" t="str">
        <f t="shared" si="1292"/>
        <v>Software Development</v>
      </c>
      <c r="Q1288" s="108" t="str">
        <f t="shared" si="3"/>
        <v>2024</v>
      </c>
      <c r="R1288" s="110">
        <f t="shared" si="4"/>
        <v>6</v>
      </c>
      <c r="S1288" s="108" t="str">
        <f t="shared" si="5"/>
        <v>2024-Q2</v>
      </c>
      <c r="T1288" s="111" t="str">
        <f t="shared" si="6"/>
        <v>2024-06</v>
      </c>
      <c r="U1288" s="112" t="str">
        <f t="shared" si="7"/>
        <v>2024-H1</v>
      </c>
      <c r="V1288" s="1" t="str">
        <f>VLOOKUP(B1288,Bounties!A:E,2,FALSE)</f>
        <v>DeFi Infrastructure and Tooling Bounty</v>
      </c>
    </row>
    <row r="1289" hidden="1">
      <c r="A1289" s="109">
        <f>HYPERLINK("https://polkadot.subsquare.io/treasury/child-bounties/1287", 1287)</f>
        <v>1287</v>
      </c>
      <c r="B1289" s="183">
        <v>36.0</v>
      </c>
      <c r="C1289" s="27" t="s">
        <v>3427</v>
      </c>
      <c r="D1289" s="27" t="s">
        <v>3719</v>
      </c>
      <c r="E1289" s="129">
        <v>16603.34881</v>
      </c>
      <c r="F1289" s="66">
        <v>120353.15606660653</v>
      </c>
      <c r="H1289" s="167">
        <v>45446.0</v>
      </c>
      <c r="I1289" s="167">
        <v>45447.0</v>
      </c>
      <c r="J1289" s="66">
        <v>118581.3500902472</v>
      </c>
      <c r="K1289" s="1"/>
      <c r="L1289" s="1"/>
      <c r="M1289" s="1" t="str">
        <f>VLOOKUP(B1289,Bounties!A:D,3,FALSE)</f>
        <v>Development</v>
      </c>
      <c r="N1289" s="1" t="str">
        <f>VLOOKUP(B1289,Bounties!A:D,4,FALSE)</f>
        <v>Software Development</v>
      </c>
      <c r="O1289" s="1" t="str">
        <f t="shared" ref="O1289:P1289" si="1293">IF(ISBLANK(K1289),M1289,K1289)</f>
        <v>Development</v>
      </c>
      <c r="P1289" s="1" t="str">
        <f t="shared" si="1293"/>
        <v>Software Development</v>
      </c>
      <c r="Q1289" s="108" t="str">
        <f t="shared" si="3"/>
        <v>2024</v>
      </c>
      <c r="R1289" s="110">
        <f t="shared" si="4"/>
        <v>6</v>
      </c>
      <c r="S1289" s="108" t="str">
        <f t="shared" si="5"/>
        <v>2024-Q2</v>
      </c>
      <c r="T1289" s="111" t="str">
        <f t="shared" si="6"/>
        <v>2024-06</v>
      </c>
      <c r="U1289" s="112" t="str">
        <f t="shared" si="7"/>
        <v>2024-H1</v>
      </c>
      <c r="V1289" s="1" t="str">
        <f>VLOOKUP(B1289,Bounties!A:E,2,FALSE)</f>
        <v>DeFi Infrastructure and Tooling Bounty</v>
      </c>
    </row>
    <row r="1290" hidden="1">
      <c r="A1290" s="109">
        <f>HYPERLINK("https://polkadot.subsquare.io/treasury/child-bounties/1288", 1288)</f>
        <v>1288</v>
      </c>
      <c r="B1290" s="183">
        <v>36.0</v>
      </c>
      <c r="C1290" s="27" t="s">
        <v>3427</v>
      </c>
      <c r="D1290" s="27" t="s">
        <v>3720</v>
      </c>
      <c r="E1290" s="129">
        <v>703.53</v>
      </c>
      <c r="F1290" s="66">
        <v>5024.621128163338</v>
      </c>
      <c r="H1290" s="167">
        <v>45447.0</v>
      </c>
      <c r="I1290" s="167">
        <v>45460.0</v>
      </c>
      <c r="J1290" s="66">
        <v>4076.401873011589</v>
      </c>
      <c r="K1290" s="1"/>
      <c r="L1290" s="1"/>
      <c r="M1290" s="1" t="str">
        <f>VLOOKUP(B1290,Bounties!A:D,3,FALSE)</f>
        <v>Development</v>
      </c>
      <c r="N1290" s="1" t="str">
        <f>VLOOKUP(B1290,Bounties!A:D,4,FALSE)</f>
        <v>Software Development</v>
      </c>
      <c r="O1290" s="1" t="str">
        <f t="shared" ref="O1290:P1290" si="1294">IF(ISBLANK(K1290),M1290,K1290)</f>
        <v>Development</v>
      </c>
      <c r="P1290" s="1" t="str">
        <f t="shared" si="1294"/>
        <v>Software Development</v>
      </c>
      <c r="Q1290" s="108" t="str">
        <f t="shared" si="3"/>
        <v>2024</v>
      </c>
      <c r="R1290" s="110">
        <f t="shared" si="4"/>
        <v>6</v>
      </c>
      <c r="S1290" s="108" t="str">
        <f t="shared" si="5"/>
        <v>2024-Q2</v>
      </c>
      <c r="T1290" s="111" t="str">
        <f t="shared" si="6"/>
        <v>2024-06</v>
      </c>
      <c r="U1290" s="112" t="str">
        <f t="shared" si="7"/>
        <v>2024-H1</v>
      </c>
      <c r="V1290" s="1" t="str">
        <f>VLOOKUP(B1290,Bounties!A:E,2,FALSE)</f>
        <v>DeFi Infrastructure and Tooling Bounty</v>
      </c>
    </row>
    <row r="1291" hidden="1">
      <c r="A1291" s="109">
        <f>HYPERLINK("https://polkadot.subsquare.io/treasury/child-bounties/1289", 1289)</f>
        <v>1289</v>
      </c>
      <c r="B1291" s="183">
        <v>17.0</v>
      </c>
      <c r="C1291" s="27" t="s">
        <v>3404</v>
      </c>
      <c r="D1291" s="27" t="s">
        <v>1827</v>
      </c>
      <c r="E1291" s="129">
        <v>545.0</v>
      </c>
      <c r="F1291" s="66">
        <v>3892.397644519806</v>
      </c>
      <c r="G1291" s="27" t="s">
        <v>3618</v>
      </c>
      <c r="H1291" s="167">
        <v>45447.0</v>
      </c>
      <c r="I1291" s="167">
        <v>45458.0</v>
      </c>
      <c r="J1291" s="66">
        <v>3310.2836775779724</v>
      </c>
      <c r="K1291" s="1"/>
      <c r="L1291" s="1"/>
      <c r="M1291" s="1" t="str">
        <f>VLOOKUP(B1291,Bounties!A:D,3,FALSE)</f>
        <v>Outreach</v>
      </c>
      <c r="N1291" s="1" t="str">
        <f>VLOOKUP(B1291,Bounties!A:D,4,FALSE)</f>
        <v>Events/Meetups</v>
      </c>
      <c r="O1291" s="1" t="str">
        <f t="shared" ref="O1291:P1291" si="1295">IF(ISBLANK(K1291),M1291,K1291)</f>
        <v>Outreach</v>
      </c>
      <c r="P1291" s="1" t="str">
        <f t="shared" si="1295"/>
        <v>Events/Meetups</v>
      </c>
      <c r="Q1291" s="108" t="str">
        <f t="shared" si="3"/>
        <v>2024</v>
      </c>
      <c r="R1291" s="110">
        <f t="shared" si="4"/>
        <v>6</v>
      </c>
      <c r="S1291" s="108" t="str">
        <f t="shared" si="5"/>
        <v>2024-Q2</v>
      </c>
      <c r="T1291" s="111" t="str">
        <f t="shared" si="6"/>
        <v>2024-06</v>
      </c>
      <c r="U1291" s="112" t="str">
        <f t="shared" si="7"/>
        <v>2024-H1</v>
      </c>
      <c r="V1291" s="1" t="str">
        <f>VLOOKUP(B1291,Bounties!A:E,2,FALSE)</f>
        <v>Events Bounty</v>
      </c>
    </row>
    <row r="1292" hidden="1">
      <c r="A1292" s="109">
        <f>HYPERLINK("https://polkadot.subsquare.io/treasury/child-bounties/1290", 1290)</f>
        <v>1290</v>
      </c>
      <c r="B1292" s="183">
        <v>17.0</v>
      </c>
      <c r="C1292" s="27" t="s">
        <v>3404</v>
      </c>
      <c r="D1292" s="27" t="s">
        <v>1828</v>
      </c>
      <c r="E1292" s="129">
        <v>545.0</v>
      </c>
      <c r="F1292" s="66">
        <v>3892.397644519806</v>
      </c>
      <c r="G1292" s="27" t="s">
        <v>3617</v>
      </c>
      <c r="H1292" s="167">
        <v>45447.0</v>
      </c>
      <c r="I1292" s="167">
        <v>45465.0</v>
      </c>
      <c r="J1292" s="66">
        <v>3184.159755706787</v>
      </c>
      <c r="K1292" s="1"/>
      <c r="L1292" s="1"/>
      <c r="M1292" s="1" t="str">
        <f>VLOOKUP(B1292,Bounties!A:D,3,FALSE)</f>
        <v>Outreach</v>
      </c>
      <c r="N1292" s="1" t="str">
        <f>VLOOKUP(B1292,Bounties!A:D,4,FALSE)</f>
        <v>Events/Meetups</v>
      </c>
      <c r="O1292" s="1" t="str">
        <f t="shared" ref="O1292:P1292" si="1296">IF(ISBLANK(K1292),M1292,K1292)</f>
        <v>Outreach</v>
      </c>
      <c r="P1292" s="1" t="str">
        <f t="shared" si="1296"/>
        <v>Events/Meetups</v>
      </c>
      <c r="Q1292" s="108" t="str">
        <f t="shared" si="3"/>
        <v>2024</v>
      </c>
      <c r="R1292" s="110">
        <f t="shared" si="4"/>
        <v>6</v>
      </c>
      <c r="S1292" s="108" t="str">
        <f t="shared" si="5"/>
        <v>2024-Q2</v>
      </c>
      <c r="T1292" s="111" t="str">
        <f t="shared" si="6"/>
        <v>2024-06</v>
      </c>
      <c r="U1292" s="112" t="str">
        <f t="shared" si="7"/>
        <v>2024-H1</v>
      </c>
      <c r="V1292" s="1" t="str">
        <f>VLOOKUP(B1292,Bounties!A:E,2,FALSE)</f>
        <v>Events Bounty</v>
      </c>
    </row>
    <row r="1293" hidden="1">
      <c r="A1293" s="109">
        <f>HYPERLINK("https://polkadot.subsquare.io/treasury/child-bounties/1291", 1291)</f>
        <v>1291</v>
      </c>
      <c r="B1293" s="183">
        <v>17.0</v>
      </c>
      <c r="C1293" s="27" t="s">
        <v>3404</v>
      </c>
      <c r="D1293" s="27" t="s">
        <v>1829</v>
      </c>
      <c r="E1293" s="129">
        <v>545.0</v>
      </c>
      <c r="F1293" s="66">
        <v>3892.397644519806</v>
      </c>
      <c r="G1293" s="27" t="s">
        <v>3619</v>
      </c>
      <c r="H1293" s="167">
        <v>45447.0</v>
      </c>
      <c r="I1293" s="167">
        <v>45526.0</v>
      </c>
      <c r="J1293" s="66">
        <v>2717.8801703453064</v>
      </c>
      <c r="K1293" s="1"/>
      <c r="L1293" s="1"/>
      <c r="M1293" s="1" t="str">
        <f>VLOOKUP(B1293,Bounties!A:D,3,FALSE)</f>
        <v>Outreach</v>
      </c>
      <c r="N1293" s="1" t="str">
        <f>VLOOKUP(B1293,Bounties!A:D,4,FALSE)</f>
        <v>Events/Meetups</v>
      </c>
      <c r="O1293" s="1" t="str">
        <f t="shared" ref="O1293:P1293" si="1297">IF(ISBLANK(K1293),M1293,K1293)</f>
        <v>Outreach</v>
      </c>
      <c r="P1293" s="1" t="str">
        <f t="shared" si="1297"/>
        <v>Events/Meetups</v>
      </c>
      <c r="Q1293" s="108" t="str">
        <f t="shared" si="3"/>
        <v>2024</v>
      </c>
      <c r="R1293" s="110">
        <f t="shared" si="4"/>
        <v>8</v>
      </c>
      <c r="S1293" s="108" t="str">
        <f t="shared" si="5"/>
        <v>2024-Q3</v>
      </c>
      <c r="T1293" s="111" t="str">
        <f t="shared" si="6"/>
        <v>2024-08</v>
      </c>
      <c r="U1293" s="112" t="str">
        <f t="shared" si="7"/>
        <v>2024-H2</v>
      </c>
      <c r="V1293" s="1" t="str">
        <f>VLOOKUP(B1293,Bounties!A:E,2,FALSE)</f>
        <v>Events Bounty</v>
      </c>
    </row>
    <row r="1294" hidden="1">
      <c r="A1294" s="109">
        <f>HYPERLINK("https://polkadot.subsquare.io/treasury/child-bounties/1292", 1292)</f>
        <v>1292</v>
      </c>
      <c r="B1294" s="183">
        <v>17.0</v>
      </c>
      <c r="C1294" s="27" t="s">
        <v>3404</v>
      </c>
      <c r="D1294" s="27" t="s">
        <v>1830</v>
      </c>
      <c r="E1294" s="129">
        <v>545.0</v>
      </c>
      <c r="F1294" s="66">
        <v>3892.397644519806</v>
      </c>
      <c r="G1294" s="27" t="s">
        <v>3413</v>
      </c>
      <c r="H1294" s="167">
        <v>45447.0</v>
      </c>
      <c r="I1294" s="167">
        <v>45555.0</v>
      </c>
      <c r="J1294" s="66">
        <v>2428.2311964035034</v>
      </c>
      <c r="K1294" s="1"/>
      <c r="L1294" s="1"/>
      <c r="M1294" s="1" t="str">
        <f>VLOOKUP(B1294,Bounties!A:D,3,FALSE)</f>
        <v>Outreach</v>
      </c>
      <c r="N1294" s="1" t="str">
        <f>VLOOKUP(B1294,Bounties!A:D,4,FALSE)</f>
        <v>Events/Meetups</v>
      </c>
      <c r="O1294" s="1" t="str">
        <f t="shared" ref="O1294:P1294" si="1298">IF(ISBLANK(K1294),M1294,K1294)</f>
        <v>Outreach</v>
      </c>
      <c r="P1294" s="1" t="str">
        <f t="shared" si="1298"/>
        <v>Events/Meetups</v>
      </c>
      <c r="Q1294" s="108" t="str">
        <f t="shared" si="3"/>
        <v>2024</v>
      </c>
      <c r="R1294" s="110">
        <f t="shared" si="4"/>
        <v>9</v>
      </c>
      <c r="S1294" s="108" t="str">
        <f t="shared" si="5"/>
        <v>2024-Q3</v>
      </c>
      <c r="T1294" s="111" t="str">
        <f t="shared" si="6"/>
        <v>2024-09</v>
      </c>
      <c r="U1294" s="112" t="str">
        <f t="shared" si="7"/>
        <v>2024-H2</v>
      </c>
      <c r="V1294" s="1" t="str">
        <f>VLOOKUP(B1294,Bounties!A:E,2,FALSE)</f>
        <v>Events Bounty</v>
      </c>
    </row>
    <row r="1295" hidden="1">
      <c r="A1295" s="109">
        <f>HYPERLINK("https://polkadot.subsquare.io/treasury/child-bounties/1293", 1293)</f>
        <v>1293</v>
      </c>
      <c r="B1295" s="183">
        <v>17.0</v>
      </c>
      <c r="C1295" s="27" t="s">
        <v>3404</v>
      </c>
      <c r="D1295" s="27" t="s">
        <v>1831</v>
      </c>
      <c r="E1295" s="129">
        <v>614.0</v>
      </c>
      <c r="F1295" s="66">
        <v>4385.196612358093</v>
      </c>
      <c r="G1295" s="27" t="s">
        <v>3559</v>
      </c>
      <c r="H1295" s="167">
        <v>45447.0</v>
      </c>
      <c r="I1295" s="167">
        <v>45457.0</v>
      </c>
      <c r="J1295" s="66">
        <v>3729.383812904358</v>
      </c>
      <c r="K1295" s="1"/>
      <c r="L1295" s="1"/>
      <c r="M1295" s="1" t="str">
        <f>VLOOKUP(B1295,Bounties!A:D,3,FALSE)</f>
        <v>Outreach</v>
      </c>
      <c r="N1295" s="1" t="str">
        <f>VLOOKUP(B1295,Bounties!A:D,4,FALSE)</f>
        <v>Events/Meetups</v>
      </c>
      <c r="O1295" s="1" t="str">
        <f t="shared" ref="O1295:P1295" si="1299">IF(ISBLANK(K1295),M1295,K1295)</f>
        <v>Outreach</v>
      </c>
      <c r="P1295" s="1" t="str">
        <f t="shared" si="1299"/>
        <v>Events/Meetups</v>
      </c>
      <c r="Q1295" s="108" t="str">
        <f t="shared" si="3"/>
        <v>2024</v>
      </c>
      <c r="R1295" s="110">
        <f t="shared" si="4"/>
        <v>6</v>
      </c>
      <c r="S1295" s="108" t="str">
        <f t="shared" si="5"/>
        <v>2024-Q2</v>
      </c>
      <c r="T1295" s="111" t="str">
        <f t="shared" si="6"/>
        <v>2024-06</v>
      </c>
      <c r="U1295" s="112" t="str">
        <f t="shared" si="7"/>
        <v>2024-H1</v>
      </c>
      <c r="V1295" s="1" t="str">
        <f>VLOOKUP(B1295,Bounties!A:E,2,FALSE)</f>
        <v>Events Bounty</v>
      </c>
    </row>
    <row r="1296" hidden="1">
      <c r="A1296" s="109">
        <f>HYPERLINK("https://polkadot.subsquare.io/treasury/child-bounties/1294", 1294)</f>
        <v>1294</v>
      </c>
      <c r="B1296" s="183">
        <v>37.0</v>
      </c>
      <c r="C1296" s="27" t="s">
        <v>3404</v>
      </c>
      <c r="D1296" s="27" t="s">
        <v>1832</v>
      </c>
      <c r="E1296" s="129">
        <v>178.39</v>
      </c>
      <c r="F1296" s="66">
        <v>1187.6790228414534</v>
      </c>
      <c r="G1296" s="27" t="s">
        <v>3594</v>
      </c>
      <c r="H1296" s="167">
        <v>45447.0</v>
      </c>
      <c r="I1296" s="167">
        <v>45460.0</v>
      </c>
      <c r="J1296" s="66">
        <v>1033.6294545030594</v>
      </c>
      <c r="K1296" s="1"/>
      <c r="L1296" s="1"/>
      <c r="M1296" s="1" t="str">
        <f>VLOOKUP(B1296,Bounties!A:D,3,FALSE)</f>
        <v>Operations</v>
      </c>
      <c r="N1296" s="1" t="str">
        <f>VLOOKUP(B1296,Bounties!A:D,4,FALSE)</f>
        <v>Infrastructure</v>
      </c>
      <c r="O1296" s="1" t="str">
        <f t="shared" ref="O1296:P1296" si="1300">IF(ISBLANK(K1296),M1296,K1296)</f>
        <v>Operations</v>
      </c>
      <c r="P1296" s="1" t="str">
        <f t="shared" si="1300"/>
        <v>Infrastructure</v>
      </c>
      <c r="Q1296" s="108" t="str">
        <f t="shared" si="3"/>
        <v>2024</v>
      </c>
      <c r="R1296" s="110">
        <f t="shared" si="4"/>
        <v>6</v>
      </c>
      <c r="S1296" s="108" t="str">
        <f t="shared" si="5"/>
        <v>2024-Q2</v>
      </c>
      <c r="T1296" s="111" t="str">
        <f t="shared" si="6"/>
        <v>2024-06</v>
      </c>
      <c r="U1296" s="112" t="str">
        <f t="shared" si="7"/>
        <v>2024-H1</v>
      </c>
      <c r="V1296" s="1" t="str">
        <f>VLOOKUP(B1296,Bounties!A:E,2,FALSE)</f>
        <v>Paseo Testnet Bounty</v>
      </c>
    </row>
    <row r="1297">
      <c r="A1297" s="109">
        <f>HYPERLINK("https://polkadot.subsquare.io/treasury/child-bounties/1295", 1295)</f>
        <v>1295</v>
      </c>
      <c r="B1297" s="183">
        <v>37.0</v>
      </c>
      <c r="C1297" s="27" t="s">
        <v>3404</v>
      </c>
      <c r="D1297" s="27" t="s">
        <v>1833</v>
      </c>
      <c r="E1297" s="129">
        <v>187.5</v>
      </c>
      <c r="F1297" s="66">
        <v>1248.3312785625458</v>
      </c>
      <c r="G1297" s="27" t="s">
        <v>3653</v>
      </c>
      <c r="H1297" s="167">
        <v>45447.0</v>
      </c>
      <c r="I1297" s="167">
        <v>45494.0</v>
      </c>
      <c r="J1297" s="66">
        <v>1077.8221786022186</v>
      </c>
      <c r="K1297" s="1"/>
      <c r="L1297" s="1"/>
      <c r="M1297" s="1" t="str">
        <f>VLOOKUP(B1297,Bounties!A:D,3,FALSE)</f>
        <v>Operations</v>
      </c>
      <c r="N1297" s="1" t="str">
        <f>VLOOKUP(B1297,Bounties!A:D,4,FALSE)</f>
        <v>Infrastructure</v>
      </c>
      <c r="O1297" s="1" t="str">
        <f t="shared" ref="O1297:P1297" si="1301">IF(ISBLANK(K1297),M1297,K1297)</f>
        <v>Operations</v>
      </c>
      <c r="P1297" s="1" t="str">
        <f t="shared" si="1301"/>
        <v>Infrastructure</v>
      </c>
      <c r="Q1297" s="108" t="str">
        <f t="shared" si="3"/>
        <v>2024</v>
      </c>
      <c r="R1297" s="110">
        <f t="shared" si="4"/>
        <v>7</v>
      </c>
      <c r="S1297" s="108" t="str">
        <f t="shared" si="5"/>
        <v>2024-Q3</v>
      </c>
      <c r="T1297" s="111" t="str">
        <f t="shared" si="6"/>
        <v>2024-07</v>
      </c>
      <c r="U1297" s="112" t="str">
        <f t="shared" si="7"/>
        <v>2024-H2</v>
      </c>
      <c r="V1297" s="1" t="str">
        <f>VLOOKUP(B1297,Bounties!A:E,2,FALSE)</f>
        <v>Paseo Testnet Bounty</v>
      </c>
    </row>
    <row r="1298">
      <c r="A1298" s="109">
        <f>HYPERLINK("https://polkadot.subsquare.io/treasury/child-bounties/1296", 1296)</f>
        <v>1296</v>
      </c>
      <c r="B1298" s="183">
        <v>37.0</v>
      </c>
      <c r="C1298" s="27" t="s">
        <v>3404</v>
      </c>
      <c r="D1298" s="27" t="s">
        <v>1834</v>
      </c>
      <c r="E1298" s="129">
        <v>154.97</v>
      </c>
      <c r="F1298" s="66">
        <v>1031.754123940468</v>
      </c>
      <c r="G1298" s="27" t="s">
        <v>3721</v>
      </c>
      <c r="H1298" s="167">
        <v>45447.0</v>
      </c>
      <c r="I1298" s="167">
        <v>45490.0</v>
      </c>
      <c r="J1298" s="66">
        <v>982.0650469064713</v>
      </c>
      <c r="K1298" s="1"/>
      <c r="L1298" s="1"/>
      <c r="M1298" s="1" t="str">
        <f>VLOOKUP(B1298,Bounties!A:D,3,FALSE)</f>
        <v>Operations</v>
      </c>
      <c r="N1298" s="1" t="str">
        <f>VLOOKUP(B1298,Bounties!A:D,4,FALSE)</f>
        <v>Infrastructure</v>
      </c>
      <c r="O1298" s="1" t="str">
        <f t="shared" ref="O1298:P1298" si="1302">IF(ISBLANK(K1298),M1298,K1298)</f>
        <v>Operations</v>
      </c>
      <c r="P1298" s="1" t="str">
        <f t="shared" si="1302"/>
        <v>Infrastructure</v>
      </c>
      <c r="Q1298" s="108" t="str">
        <f t="shared" si="3"/>
        <v>2024</v>
      </c>
      <c r="R1298" s="110">
        <f t="shared" si="4"/>
        <v>7</v>
      </c>
      <c r="S1298" s="108" t="str">
        <f t="shared" si="5"/>
        <v>2024-Q3</v>
      </c>
      <c r="T1298" s="111" t="str">
        <f t="shared" si="6"/>
        <v>2024-07</v>
      </c>
      <c r="U1298" s="112" t="str">
        <f t="shared" si="7"/>
        <v>2024-H2</v>
      </c>
      <c r="V1298" s="1" t="str">
        <f>VLOOKUP(B1298,Bounties!A:E,2,FALSE)</f>
        <v>Paseo Testnet Bounty</v>
      </c>
    </row>
    <row r="1299" hidden="1">
      <c r="A1299" s="109">
        <f>HYPERLINK("https://polkadot.subsquare.io/treasury/child-bounties/1297", 1297)</f>
        <v>1297</v>
      </c>
      <c r="B1299" s="183">
        <v>19.0</v>
      </c>
      <c r="C1299" s="27" t="s">
        <v>3404</v>
      </c>
      <c r="D1299" s="27" t="s">
        <v>1835</v>
      </c>
      <c r="E1299" s="129">
        <v>1520.0</v>
      </c>
      <c r="F1299" s="66">
        <v>10119.805564880371</v>
      </c>
      <c r="G1299" s="27" t="s">
        <v>3551</v>
      </c>
      <c r="H1299" s="167">
        <v>45447.0</v>
      </c>
      <c r="I1299" s="167">
        <v>45457.0</v>
      </c>
      <c r="J1299" s="66">
        <v>9232.350807189941</v>
      </c>
      <c r="K1299" s="1"/>
      <c r="L1299" s="1"/>
      <c r="M1299" s="1" t="str">
        <f>VLOOKUP(B1299,Bounties!A:D,3,FALSE)</f>
        <v>Development</v>
      </c>
      <c r="N1299" s="1" t="str">
        <f>VLOOKUP(B1299,Bounties!A:D,4,FALSE)</f>
        <v>Smart Contracts</v>
      </c>
      <c r="O1299" s="1" t="str">
        <f t="shared" ref="O1299:P1299" si="1303">IF(ISBLANK(K1299),M1299,K1299)</f>
        <v>Development</v>
      </c>
      <c r="P1299" s="1" t="str">
        <f t="shared" si="1303"/>
        <v>Smart Contracts</v>
      </c>
      <c r="Q1299" s="108" t="str">
        <f t="shared" si="3"/>
        <v>2024</v>
      </c>
      <c r="R1299" s="110">
        <f t="shared" si="4"/>
        <v>6</v>
      </c>
      <c r="S1299" s="108" t="str">
        <f t="shared" si="5"/>
        <v>2024-Q2</v>
      </c>
      <c r="T1299" s="111" t="str">
        <f t="shared" si="6"/>
        <v>2024-06</v>
      </c>
      <c r="U1299" s="112" t="str">
        <f t="shared" si="7"/>
        <v>2024-H1</v>
      </c>
      <c r="V1299" s="1" t="str">
        <f>VLOOKUP(B1299,Bounties!A:E,2,FALSE)</f>
        <v>Wasm Smart Contracts Bounty</v>
      </c>
    </row>
    <row r="1300" hidden="1">
      <c r="A1300" s="109">
        <f>HYPERLINK("https://polkadot.subsquare.io/treasury/child-bounties/1298", 1298)</f>
        <v>1298</v>
      </c>
      <c r="B1300" s="183">
        <v>11.0</v>
      </c>
      <c r="C1300" s="27" t="s">
        <v>3404</v>
      </c>
      <c r="D1300" s="27" t="s">
        <v>1836</v>
      </c>
      <c r="E1300" s="129">
        <v>373.3</v>
      </c>
      <c r="F1300" s="66">
        <v>2485.344353532791</v>
      </c>
      <c r="G1300" s="27" t="s">
        <v>3526</v>
      </c>
      <c r="H1300" s="167">
        <v>45448.0</v>
      </c>
      <c r="I1300" s="167">
        <v>45459.0</v>
      </c>
      <c r="J1300" s="66">
        <v>2162.979289007187</v>
      </c>
      <c r="K1300" s="1"/>
      <c r="L1300" s="1"/>
      <c r="M1300" s="1" t="str">
        <f>VLOOKUP(B1300,Bounties!A:D,3,FALSE)</f>
        <v>Research</v>
      </c>
      <c r="N1300" s="1" t="str">
        <f>VLOOKUP(B1300,Bounties!A:D,4,FALSE)</f>
        <v>Anti-Scam</v>
      </c>
      <c r="O1300" s="1" t="str">
        <f t="shared" ref="O1300:P1300" si="1304">IF(ISBLANK(K1300),M1300,K1300)</f>
        <v>Research</v>
      </c>
      <c r="P1300" s="1" t="str">
        <f t="shared" si="1304"/>
        <v>Anti-Scam</v>
      </c>
      <c r="Q1300" s="108" t="str">
        <f t="shared" si="3"/>
        <v>2024</v>
      </c>
      <c r="R1300" s="110">
        <f t="shared" si="4"/>
        <v>6</v>
      </c>
      <c r="S1300" s="108" t="str">
        <f t="shared" si="5"/>
        <v>2024-Q2</v>
      </c>
      <c r="T1300" s="111" t="str">
        <f t="shared" si="6"/>
        <v>2024-06</v>
      </c>
      <c r="U1300" s="112" t="str">
        <f t="shared" si="7"/>
        <v>2024-H1</v>
      </c>
      <c r="V1300" s="1" t="str">
        <f>VLOOKUP(B1300,Bounties!A:E,2,FALSE)</f>
        <v>Anti-Scam Bounty</v>
      </c>
    </row>
    <row r="1301" hidden="1">
      <c r="A1301" s="109">
        <f>HYPERLINK("https://polkadot.subsquare.io/treasury/child-bounties/1299", 1299)</f>
        <v>1299</v>
      </c>
      <c r="B1301" s="183">
        <v>11.0</v>
      </c>
      <c r="C1301" s="27" t="s">
        <v>3404</v>
      </c>
      <c r="D1301" s="27" t="s">
        <v>1837</v>
      </c>
      <c r="E1301" s="129">
        <v>373.3</v>
      </c>
      <c r="F1301" s="66">
        <v>2485.344353532791</v>
      </c>
      <c r="G1301" s="27" t="s">
        <v>3577</v>
      </c>
      <c r="H1301" s="167">
        <v>45448.0</v>
      </c>
      <c r="I1301" s="167">
        <v>45459.0</v>
      </c>
      <c r="J1301" s="66">
        <v>2162.979289007187</v>
      </c>
      <c r="K1301" s="1"/>
      <c r="L1301" s="1"/>
      <c r="M1301" s="1" t="str">
        <f>VLOOKUP(B1301,Bounties!A:D,3,FALSE)</f>
        <v>Research</v>
      </c>
      <c r="N1301" s="1" t="str">
        <f>VLOOKUP(B1301,Bounties!A:D,4,FALSE)</f>
        <v>Anti-Scam</v>
      </c>
      <c r="O1301" s="1" t="str">
        <f t="shared" ref="O1301:P1301" si="1305">IF(ISBLANK(K1301),M1301,K1301)</f>
        <v>Research</v>
      </c>
      <c r="P1301" s="1" t="str">
        <f t="shared" si="1305"/>
        <v>Anti-Scam</v>
      </c>
      <c r="Q1301" s="108" t="str">
        <f t="shared" si="3"/>
        <v>2024</v>
      </c>
      <c r="R1301" s="110">
        <f t="shared" si="4"/>
        <v>6</v>
      </c>
      <c r="S1301" s="108" t="str">
        <f t="shared" si="5"/>
        <v>2024-Q2</v>
      </c>
      <c r="T1301" s="111" t="str">
        <f t="shared" si="6"/>
        <v>2024-06</v>
      </c>
      <c r="U1301" s="112" t="str">
        <f t="shared" si="7"/>
        <v>2024-H1</v>
      </c>
      <c r="V1301" s="1" t="str">
        <f>VLOOKUP(B1301,Bounties!A:E,2,FALSE)</f>
        <v>Anti-Scam Bounty</v>
      </c>
    </row>
    <row r="1302" hidden="1">
      <c r="A1302" s="109">
        <f>HYPERLINK("https://polkadot.subsquare.io/treasury/child-bounties/1300", 1300)</f>
        <v>1300</v>
      </c>
      <c r="B1302" s="183">
        <v>11.0</v>
      </c>
      <c r="C1302" s="27" t="s">
        <v>3404</v>
      </c>
      <c r="D1302" s="27" t="s">
        <v>1838</v>
      </c>
      <c r="E1302" s="129">
        <v>373.3</v>
      </c>
      <c r="F1302" s="66">
        <v>2485.344353532791</v>
      </c>
      <c r="G1302" s="27" t="s">
        <v>3578</v>
      </c>
      <c r="H1302" s="167">
        <v>45448.0</v>
      </c>
      <c r="I1302" s="167">
        <v>45459.0</v>
      </c>
      <c r="J1302" s="66">
        <v>2156.050510120392</v>
      </c>
      <c r="K1302" s="1"/>
      <c r="L1302" s="1"/>
      <c r="M1302" s="1" t="str">
        <f>VLOOKUP(B1302,Bounties!A:D,3,FALSE)</f>
        <v>Research</v>
      </c>
      <c r="N1302" s="1" t="str">
        <f>VLOOKUP(B1302,Bounties!A:D,4,FALSE)</f>
        <v>Anti-Scam</v>
      </c>
      <c r="O1302" s="1" t="str">
        <f t="shared" ref="O1302:P1302" si="1306">IF(ISBLANK(K1302),M1302,K1302)</f>
        <v>Research</v>
      </c>
      <c r="P1302" s="1" t="str">
        <f t="shared" si="1306"/>
        <v>Anti-Scam</v>
      </c>
      <c r="Q1302" s="108" t="str">
        <f t="shared" si="3"/>
        <v>2024</v>
      </c>
      <c r="R1302" s="110">
        <f t="shared" si="4"/>
        <v>6</v>
      </c>
      <c r="S1302" s="108" t="str">
        <f t="shared" si="5"/>
        <v>2024-Q2</v>
      </c>
      <c r="T1302" s="111" t="str">
        <f t="shared" si="6"/>
        <v>2024-06</v>
      </c>
      <c r="U1302" s="112" t="str">
        <f t="shared" si="7"/>
        <v>2024-H1</v>
      </c>
      <c r="V1302" s="1" t="str">
        <f>VLOOKUP(B1302,Bounties!A:E,2,FALSE)</f>
        <v>Anti-Scam Bounty</v>
      </c>
    </row>
    <row r="1303" hidden="1">
      <c r="A1303" s="109">
        <f>HYPERLINK("https://polkadot.subsquare.io/treasury/child-bounties/1301", 1301)</f>
        <v>1301</v>
      </c>
      <c r="B1303" s="183">
        <v>11.0</v>
      </c>
      <c r="C1303" s="27" t="s">
        <v>3404</v>
      </c>
      <c r="D1303" s="27" t="s">
        <v>1839</v>
      </c>
      <c r="E1303" s="129">
        <v>371.66</v>
      </c>
      <c r="F1303" s="66">
        <v>2374.321633987427</v>
      </c>
      <c r="G1303" s="27" t="s">
        <v>3576</v>
      </c>
      <c r="H1303" s="167">
        <v>45448.0</v>
      </c>
      <c r="I1303" s="167">
        <v>45458.0</v>
      </c>
      <c r="J1303" s="66">
        <v>2257.4312506580354</v>
      </c>
      <c r="K1303" s="1"/>
      <c r="L1303" s="1"/>
      <c r="M1303" s="1" t="str">
        <f>VLOOKUP(B1303,Bounties!A:D,3,FALSE)</f>
        <v>Research</v>
      </c>
      <c r="N1303" s="1" t="str">
        <f>VLOOKUP(B1303,Bounties!A:D,4,FALSE)</f>
        <v>Anti-Scam</v>
      </c>
      <c r="O1303" s="1" t="str">
        <f t="shared" ref="O1303:P1303" si="1307">IF(ISBLANK(K1303),M1303,K1303)</f>
        <v>Research</v>
      </c>
      <c r="P1303" s="1" t="str">
        <f t="shared" si="1307"/>
        <v>Anti-Scam</v>
      </c>
      <c r="Q1303" s="108" t="str">
        <f t="shared" si="3"/>
        <v>2024</v>
      </c>
      <c r="R1303" s="110">
        <f t="shared" si="4"/>
        <v>6</v>
      </c>
      <c r="S1303" s="108" t="str">
        <f t="shared" si="5"/>
        <v>2024-Q2</v>
      </c>
      <c r="T1303" s="111" t="str">
        <f t="shared" si="6"/>
        <v>2024-06</v>
      </c>
      <c r="U1303" s="112" t="str">
        <f t="shared" si="7"/>
        <v>2024-H1</v>
      </c>
      <c r="V1303" s="1" t="str">
        <f>VLOOKUP(B1303,Bounties!A:E,2,FALSE)</f>
        <v>Anti-Scam Bounty</v>
      </c>
    </row>
    <row r="1304" hidden="1">
      <c r="A1304" s="109">
        <f>HYPERLINK("https://polkadot.subsquare.io/treasury/child-bounties/1302", 1302)</f>
        <v>1302</v>
      </c>
      <c r="B1304" s="183">
        <v>11.0</v>
      </c>
      <c r="C1304" s="27" t="s">
        <v>3404</v>
      </c>
      <c r="D1304" s="27" t="s">
        <v>1840</v>
      </c>
      <c r="E1304" s="129">
        <v>230.54</v>
      </c>
      <c r="F1304" s="66">
        <v>1472.7872504425047</v>
      </c>
      <c r="G1304" s="27" t="s">
        <v>3576</v>
      </c>
      <c r="H1304" s="167">
        <v>45448.0</v>
      </c>
      <c r="I1304" s="167">
        <v>45458.0</v>
      </c>
      <c r="J1304" s="66">
        <v>1400.280365190506</v>
      </c>
      <c r="K1304" s="1"/>
      <c r="L1304" s="1"/>
      <c r="M1304" s="1" t="str">
        <f>VLOOKUP(B1304,Bounties!A:D,3,FALSE)</f>
        <v>Research</v>
      </c>
      <c r="N1304" s="1" t="str">
        <f>VLOOKUP(B1304,Bounties!A:D,4,FALSE)</f>
        <v>Anti-Scam</v>
      </c>
      <c r="O1304" s="1" t="str">
        <f t="shared" ref="O1304:P1304" si="1308">IF(ISBLANK(K1304),M1304,K1304)</f>
        <v>Research</v>
      </c>
      <c r="P1304" s="1" t="str">
        <f t="shared" si="1308"/>
        <v>Anti-Scam</v>
      </c>
      <c r="Q1304" s="108" t="str">
        <f t="shared" si="3"/>
        <v>2024</v>
      </c>
      <c r="R1304" s="110">
        <f t="shared" si="4"/>
        <v>6</v>
      </c>
      <c r="S1304" s="108" t="str">
        <f t="shared" si="5"/>
        <v>2024-Q2</v>
      </c>
      <c r="T1304" s="111" t="str">
        <f t="shared" si="6"/>
        <v>2024-06</v>
      </c>
      <c r="U1304" s="112" t="str">
        <f t="shared" si="7"/>
        <v>2024-H1</v>
      </c>
      <c r="V1304" s="1" t="str">
        <f>VLOOKUP(B1304,Bounties!A:E,2,FALSE)</f>
        <v>Anti-Scam Bounty</v>
      </c>
    </row>
    <row r="1305" hidden="1">
      <c r="A1305" s="109">
        <f>HYPERLINK("https://polkadot.subsquare.io/treasury/child-bounties/1303", 1303)</f>
        <v>1303</v>
      </c>
      <c r="B1305" s="183">
        <v>42.0</v>
      </c>
      <c r="C1305" s="27" t="s">
        <v>3404</v>
      </c>
      <c r="D1305" s="27" t="s">
        <v>1725</v>
      </c>
      <c r="E1305" s="129">
        <v>7.38</v>
      </c>
      <c r="F1305" s="66">
        <v>47.14656852722168</v>
      </c>
      <c r="G1305" s="27" t="s">
        <v>3675</v>
      </c>
      <c r="H1305" s="167">
        <v>45448.0</v>
      </c>
      <c r="I1305" s="167">
        <v>45463.0</v>
      </c>
      <c r="J1305" s="66">
        <v>41.65930455207825</v>
      </c>
      <c r="K1305" s="1"/>
      <c r="L1305" s="1"/>
      <c r="M1305" s="1" t="str">
        <f>VLOOKUP(B1305,Bounties!A:D,3,FALSE)</f>
        <v>Outreach</v>
      </c>
      <c r="N1305" s="1" t="str">
        <f>VLOOKUP(B1305,Bounties!A:D,4,FALSE)</f>
        <v>Media</v>
      </c>
      <c r="O1305" s="1" t="str">
        <f t="shared" ref="O1305:P1305" si="1309">IF(ISBLANK(K1305),M1305,K1305)</f>
        <v>Outreach</v>
      </c>
      <c r="P1305" s="1" t="str">
        <f t="shared" si="1309"/>
        <v>Media</v>
      </c>
      <c r="Q1305" s="108" t="str">
        <f t="shared" si="3"/>
        <v>2024</v>
      </c>
      <c r="R1305" s="110">
        <f t="shared" si="4"/>
        <v>6</v>
      </c>
      <c r="S1305" s="108" t="str">
        <f t="shared" si="5"/>
        <v>2024-Q2</v>
      </c>
      <c r="T1305" s="111" t="str">
        <f t="shared" si="6"/>
        <v>2024-06</v>
      </c>
      <c r="U1305" s="112" t="str">
        <f t="shared" si="7"/>
        <v>2024-H1</v>
      </c>
      <c r="V1305" s="1" t="str">
        <f>VLOOKUP(B1305,Bounties!A:E,2,FALSE)</f>
        <v>Spanish Bounty</v>
      </c>
    </row>
    <row r="1306" hidden="1">
      <c r="A1306" s="109">
        <f>HYPERLINK("https://polkadot.subsquare.io/treasury/child-bounties/1304", 1304)</f>
        <v>1304</v>
      </c>
      <c r="B1306" s="183">
        <v>42.0</v>
      </c>
      <c r="C1306" s="27" t="s">
        <v>3404</v>
      </c>
      <c r="D1306" s="27" t="s">
        <v>1725</v>
      </c>
      <c r="E1306" s="129">
        <v>69.83</v>
      </c>
      <c r="F1306" s="66">
        <v>446.10364231109617</v>
      </c>
      <c r="G1306" s="27" t="s">
        <v>3722</v>
      </c>
      <c r="H1306" s="167">
        <v>45448.0</v>
      </c>
      <c r="I1306" s="167">
        <v>45456.0</v>
      </c>
      <c r="J1306" s="66">
        <v>446.0788023471832</v>
      </c>
      <c r="K1306" s="1"/>
      <c r="L1306" s="1"/>
      <c r="M1306" s="1" t="str">
        <f>VLOOKUP(B1306,Bounties!A:D,3,FALSE)</f>
        <v>Outreach</v>
      </c>
      <c r="N1306" s="1" t="str">
        <f>VLOOKUP(B1306,Bounties!A:D,4,FALSE)</f>
        <v>Media</v>
      </c>
      <c r="O1306" s="1" t="str">
        <f t="shared" ref="O1306:P1306" si="1310">IF(ISBLANK(K1306),M1306,K1306)</f>
        <v>Outreach</v>
      </c>
      <c r="P1306" s="1" t="str">
        <f t="shared" si="1310"/>
        <v>Media</v>
      </c>
      <c r="Q1306" s="108" t="str">
        <f t="shared" si="3"/>
        <v>2024</v>
      </c>
      <c r="R1306" s="110">
        <f t="shared" si="4"/>
        <v>6</v>
      </c>
      <c r="S1306" s="108" t="str">
        <f t="shared" si="5"/>
        <v>2024-Q2</v>
      </c>
      <c r="T1306" s="111" t="str">
        <f t="shared" si="6"/>
        <v>2024-06</v>
      </c>
      <c r="U1306" s="112" t="str">
        <f t="shared" si="7"/>
        <v>2024-H1</v>
      </c>
      <c r="V1306" s="1" t="str">
        <f>VLOOKUP(B1306,Bounties!A:E,2,FALSE)</f>
        <v>Spanish Bounty</v>
      </c>
    </row>
    <row r="1307" hidden="1">
      <c r="A1307" s="109">
        <f>HYPERLINK("https://polkadot.subsquare.io/treasury/child-bounties/1305", 1305)</f>
        <v>1305</v>
      </c>
      <c r="B1307" s="183">
        <v>42.0</v>
      </c>
      <c r="C1307" s="27" t="s">
        <v>3404</v>
      </c>
      <c r="D1307" s="27" t="s">
        <v>1725</v>
      </c>
      <c r="E1307" s="129">
        <v>21.28</v>
      </c>
      <c r="F1307" s="66">
        <v>135.94566101074219</v>
      </c>
      <c r="G1307" s="27" t="s">
        <v>3723</v>
      </c>
      <c r="H1307" s="167">
        <v>45448.0</v>
      </c>
      <c r="I1307" s="167">
        <v>45459.0</v>
      </c>
      <c r="J1307" s="66">
        <v>123.30082847595216</v>
      </c>
      <c r="K1307" s="1"/>
      <c r="L1307" s="1"/>
      <c r="M1307" s="1" t="str">
        <f>VLOOKUP(B1307,Bounties!A:D,3,FALSE)</f>
        <v>Outreach</v>
      </c>
      <c r="N1307" s="1" t="str">
        <f>VLOOKUP(B1307,Bounties!A:D,4,FALSE)</f>
        <v>Media</v>
      </c>
      <c r="O1307" s="1" t="str">
        <f t="shared" ref="O1307:P1307" si="1311">IF(ISBLANK(K1307),M1307,K1307)</f>
        <v>Outreach</v>
      </c>
      <c r="P1307" s="1" t="str">
        <f t="shared" si="1311"/>
        <v>Media</v>
      </c>
      <c r="Q1307" s="108" t="str">
        <f t="shared" si="3"/>
        <v>2024</v>
      </c>
      <c r="R1307" s="110">
        <f t="shared" si="4"/>
        <v>6</v>
      </c>
      <c r="S1307" s="108" t="str">
        <f t="shared" si="5"/>
        <v>2024-Q2</v>
      </c>
      <c r="T1307" s="111" t="str">
        <f t="shared" si="6"/>
        <v>2024-06</v>
      </c>
      <c r="U1307" s="112" t="str">
        <f t="shared" si="7"/>
        <v>2024-H1</v>
      </c>
      <c r="V1307" s="1" t="str">
        <f>VLOOKUP(B1307,Bounties!A:E,2,FALSE)</f>
        <v>Spanish Bounty</v>
      </c>
    </row>
    <row r="1308" hidden="1">
      <c r="A1308" s="109">
        <f>HYPERLINK("https://polkadot.subsquare.io/treasury/child-bounties/1306", 1306)</f>
        <v>1306</v>
      </c>
      <c r="B1308" s="183">
        <v>42.0</v>
      </c>
      <c r="C1308" s="27" t="s">
        <v>3404</v>
      </c>
      <c r="D1308" s="27" t="s">
        <v>1725</v>
      </c>
      <c r="E1308" s="129">
        <v>17.42</v>
      </c>
      <c r="F1308" s="66">
        <v>111.28634468078614</v>
      </c>
      <c r="G1308" s="27" t="s">
        <v>3674</v>
      </c>
      <c r="H1308" s="167">
        <v>45448.0</v>
      </c>
      <c r="I1308" s="167">
        <v>45459.0</v>
      </c>
      <c r="J1308" s="66">
        <v>100.93517067909242</v>
      </c>
      <c r="K1308" s="1"/>
      <c r="L1308" s="1"/>
      <c r="M1308" s="1" t="str">
        <f>VLOOKUP(B1308,Bounties!A:D,3,FALSE)</f>
        <v>Outreach</v>
      </c>
      <c r="N1308" s="1" t="str">
        <f>VLOOKUP(B1308,Bounties!A:D,4,FALSE)</f>
        <v>Media</v>
      </c>
      <c r="O1308" s="1" t="str">
        <f t="shared" ref="O1308:P1308" si="1312">IF(ISBLANK(K1308),M1308,K1308)</f>
        <v>Outreach</v>
      </c>
      <c r="P1308" s="1" t="str">
        <f t="shared" si="1312"/>
        <v>Media</v>
      </c>
      <c r="Q1308" s="108" t="str">
        <f t="shared" si="3"/>
        <v>2024</v>
      </c>
      <c r="R1308" s="110">
        <f t="shared" si="4"/>
        <v>6</v>
      </c>
      <c r="S1308" s="108" t="str">
        <f t="shared" si="5"/>
        <v>2024-Q2</v>
      </c>
      <c r="T1308" s="111" t="str">
        <f t="shared" si="6"/>
        <v>2024-06</v>
      </c>
      <c r="U1308" s="112" t="str">
        <f t="shared" si="7"/>
        <v>2024-H1</v>
      </c>
      <c r="V1308" s="1" t="str">
        <f>VLOOKUP(B1308,Bounties!A:E,2,FALSE)</f>
        <v>Spanish Bounty</v>
      </c>
    </row>
    <row r="1309" hidden="1">
      <c r="A1309" s="109">
        <f>HYPERLINK("https://polkadot.subsquare.io/treasury/child-bounties/1307", 1307)</f>
        <v>1307</v>
      </c>
      <c r="B1309" s="183">
        <v>42.0</v>
      </c>
      <c r="C1309" s="27" t="s">
        <v>3404</v>
      </c>
      <c r="D1309" s="27" t="s">
        <v>1725</v>
      </c>
      <c r="E1309" s="129">
        <v>4.12</v>
      </c>
      <c r="F1309" s="66">
        <v>26.320306549072267</v>
      </c>
      <c r="G1309" s="27" t="s">
        <v>3676</v>
      </c>
      <c r="H1309" s="167">
        <v>45448.0</v>
      </c>
      <c r="I1309" s="167">
        <v>45462.0</v>
      </c>
      <c r="J1309" s="66">
        <v>23.117575645446777</v>
      </c>
      <c r="K1309" s="1"/>
      <c r="L1309" s="1"/>
      <c r="M1309" s="1" t="str">
        <f>VLOOKUP(B1309,Bounties!A:D,3,FALSE)</f>
        <v>Outreach</v>
      </c>
      <c r="N1309" s="1" t="str">
        <f>VLOOKUP(B1309,Bounties!A:D,4,FALSE)</f>
        <v>Media</v>
      </c>
      <c r="O1309" s="1" t="str">
        <f t="shared" ref="O1309:P1309" si="1313">IF(ISBLANK(K1309),M1309,K1309)</f>
        <v>Outreach</v>
      </c>
      <c r="P1309" s="1" t="str">
        <f t="shared" si="1313"/>
        <v>Media</v>
      </c>
      <c r="Q1309" s="108" t="str">
        <f t="shared" si="3"/>
        <v>2024</v>
      </c>
      <c r="R1309" s="110">
        <f t="shared" si="4"/>
        <v>6</v>
      </c>
      <c r="S1309" s="108" t="str">
        <f t="shared" si="5"/>
        <v>2024-Q2</v>
      </c>
      <c r="T1309" s="111" t="str">
        <f t="shared" si="6"/>
        <v>2024-06</v>
      </c>
      <c r="U1309" s="112" t="str">
        <f t="shared" si="7"/>
        <v>2024-H1</v>
      </c>
      <c r="V1309" s="1" t="str">
        <f>VLOOKUP(B1309,Bounties!A:E,2,FALSE)</f>
        <v>Spanish Bounty</v>
      </c>
    </row>
    <row r="1310" hidden="1">
      <c r="A1310" s="109">
        <f>HYPERLINK("https://polkadot.subsquare.io/treasury/child-bounties/1308", 1308)</f>
        <v>1308</v>
      </c>
      <c r="B1310" s="183">
        <v>42.0</v>
      </c>
      <c r="C1310" s="27" t="s">
        <v>3404</v>
      </c>
      <c r="D1310" s="27" t="s">
        <v>1725</v>
      </c>
      <c r="E1310" s="129">
        <v>30.13</v>
      </c>
      <c r="F1310" s="66">
        <v>192.48321269989012</v>
      </c>
      <c r="G1310" s="27" t="s">
        <v>3644</v>
      </c>
      <c r="H1310" s="167">
        <v>45448.0</v>
      </c>
      <c r="I1310" s="167">
        <v>45457.0</v>
      </c>
      <c r="J1310" s="66">
        <v>183.00705909252167</v>
      </c>
      <c r="K1310" s="1"/>
      <c r="L1310" s="1"/>
      <c r="M1310" s="1" t="str">
        <f>VLOOKUP(B1310,Bounties!A:D,3,FALSE)</f>
        <v>Outreach</v>
      </c>
      <c r="N1310" s="1" t="str">
        <f>VLOOKUP(B1310,Bounties!A:D,4,FALSE)</f>
        <v>Media</v>
      </c>
      <c r="O1310" s="1" t="str">
        <f t="shared" ref="O1310:P1310" si="1314">IF(ISBLANK(K1310),M1310,K1310)</f>
        <v>Outreach</v>
      </c>
      <c r="P1310" s="1" t="str">
        <f t="shared" si="1314"/>
        <v>Media</v>
      </c>
      <c r="Q1310" s="108" t="str">
        <f t="shared" si="3"/>
        <v>2024</v>
      </c>
      <c r="R1310" s="110">
        <f t="shared" si="4"/>
        <v>6</v>
      </c>
      <c r="S1310" s="108" t="str">
        <f t="shared" si="5"/>
        <v>2024-Q2</v>
      </c>
      <c r="T1310" s="111" t="str">
        <f t="shared" si="6"/>
        <v>2024-06</v>
      </c>
      <c r="U1310" s="112" t="str">
        <f t="shared" si="7"/>
        <v>2024-H1</v>
      </c>
      <c r="V1310" s="1" t="str">
        <f>VLOOKUP(B1310,Bounties!A:E,2,FALSE)</f>
        <v>Spanish Bounty</v>
      </c>
    </row>
    <row r="1311" hidden="1">
      <c r="A1311" s="109">
        <f>HYPERLINK("https://polkadot.subsquare.io/treasury/child-bounties/1309", 1309)</f>
        <v>1309</v>
      </c>
      <c r="B1311" s="183">
        <v>42.0</v>
      </c>
      <c r="C1311" s="27" t="s">
        <v>3404</v>
      </c>
      <c r="D1311" s="27" t="s">
        <v>1725</v>
      </c>
      <c r="E1311" s="129">
        <v>30.45</v>
      </c>
      <c r="F1311" s="66">
        <v>194.527508354187</v>
      </c>
      <c r="G1311" s="27" t="s">
        <v>3644</v>
      </c>
      <c r="H1311" s="167">
        <v>45448.0</v>
      </c>
      <c r="I1311" s="167">
        <v>45457.0</v>
      </c>
      <c r="J1311" s="66">
        <v>184.95071189403532</v>
      </c>
      <c r="K1311" s="1"/>
      <c r="L1311" s="1"/>
      <c r="M1311" s="1" t="str">
        <f>VLOOKUP(B1311,Bounties!A:D,3,FALSE)</f>
        <v>Outreach</v>
      </c>
      <c r="N1311" s="1" t="str">
        <f>VLOOKUP(B1311,Bounties!A:D,4,FALSE)</f>
        <v>Media</v>
      </c>
      <c r="O1311" s="1" t="str">
        <f t="shared" ref="O1311:P1311" si="1315">IF(ISBLANK(K1311),M1311,K1311)</f>
        <v>Outreach</v>
      </c>
      <c r="P1311" s="1" t="str">
        <f t="shared" si="1315"/>
        <v>Media</v>
      </c>
      <c r="Q1311" s="108" t="str">
        <f t="shared" si="3"/>
        <v>2024</v>
      </c>
      <c r="R1311" s="110">
        <f t="shared" si="4"/>
        <v>6</v>
      </c>
      <c r="S1311" s="108" t="str">
        <f t="shared" si="5"/>
        <v>2024-Q2</v>
      </c>
      <c r="T1311" s="111" t="str">
        <f t="shared" si="6"/>
        <v>2024-06</v>
      </c>
      <c r="U1311" s="112" t="str">
        <f t="shared" si="7"/>
        <v>2024-H1</v>
      </c>
      <c r="V1311" s="1" t="str">
        <f>VLOOKUP(B1311,Bounties!A:E,2,FALSE)</f>
        <v>Spanish Bounty</v>
      </c>
    </row>
    <row r="1312" hidden="1">
      <c r="A1312" s="109">
        <f>HYPERLINK("https://polkadot.subsquare.io/treasury/child-bounties/1310", 1310)</f>
        <v>1310</v>
      </c>
      <c r="B1312" s="183">
        <v>22.0</v>
      </c>
      <c r="C1312" s="27" t="s">
        <v>3404</v>
      </c>
      <c r="D1312" s="27" t="s">
        <v>1841</v>
      </c>
      <c r="E1312" s="129">
        <v>1670.0</v>
      </c>
      <c r="F1312" s="66">
        <v>10668.667945861816</v>
      </c>
      <c r="G1312" s="27" t="s">
        <v>3564</v>
      </c>
      <c r="H1312" s="167">
        <v>45449.0</v>
      </c>
      <c r="I1312" s="167">
        <v>45467.0</v>
      </c>
      <c r="J1312" s="66">
        <v>10490.011601448059</v>
      </c>
      <c r="K1312" s="1"/>
      <c r="L1312" s="1"/>
      <c r="M1312" s="1" t="str">
        <f>VLOOKUP(B1312,Bounties!A:D,3,FALSE)</f>
        <v>Development</v>
      </c>
      <c r="N1312" s="1" t="str">
        <f>VLOOKUP(B1312,Bounties!A:D,4,FALSE)</f>
        <v>Ecosystem Services</v>
      </c>
      <c r="O1312" s="1" t="str">
        <f t="shared" ref="O1312:P1312" si="1316">IF(ISBLANK(K1312),M1312,K1312)</f>
        <v>Development</v>
      </c>
      <c r="P1312" s="1" t="str">
        <f t="shared" si="1316"/>
        <v>Ecosystem Services</v>
      </c>
      <c r="Q1312" s="108" t="str">
        <f t="shared" si="3"/>
        <v>2024</v>
      </c>
      <c r="R1312" s="110">
        <f t="shared" si="4"/>
        <v>6</v>
      </c>
      <c r="S1312" s="108" t="str">
        <f t="shared" si="5"/>
        <v>2024-Q2</v>
      </c>
      <c r="T1312" s="111" t="str">
        <f t="shared" si="6"/>
        <v>2024-06</v>
      </c>
      <c r="U1312" s="112" t="str">
        <f t="shared" si="7"/>
        <v>2024-H1</v>
      </c>
      <c r="V1312" s="1" t="str">
        <f>VLOOKUP(B1312,Bounties!A:E,2,FALSE)</f>
        <v>Polkadot Assurance Legion Bounty</v>
      </c>
    </row>
    <row r="1313" hidden="1">
      <c r="A1313" s="109">
        <f>HYPERLINK("https://polkadot.subsquare.io/treasury/child-bounties/1311", 1311)</f>
        <v>1311</v>
      </c>
      <c r="B1313" s="183">
        <v>22.0</v>
      </c>
      <c r="C1313" s="27" t="s">
        <v>3404</v>
      </c>
      <c r="D1313" s="27" t="s">
        <v>1842</v>
      </c>
      <c r="E1313" s="129">
        <v>18360.0</v>
      </c>
      <c r="F1313" s="66">
        <v>117291.4631652832</v>
      </c>
      <c r="G1313" s="27" t="s">
        <v>3724</v>
      </c>
      <c r="H1313" s="167">
        <v>45449.0</v>
      </c>
      <c r="I1313" s="167">
        <v>45467.0</v>
      </c>
      <c r="J1313" s="66">
        <v>115327.31317520142</v>
      </c>
      <c r="K1313" s="1"/>
      <c r="L1313" s="1"/>
      <c r="M1313" s="1" t="str">
        <f>VLOOKUP(B1313,Bounties!A:D,3,FALSE)</f>
        <v>Development</v>
      </c>
      <c r="N1313" s="1" t="str">
        <f>VLOOKUP(B1313,Bounties!A:D,4,FALSE)</f>
        <v>Ecosystem Services</v>
      </c>
      <c r="O1313" s="1" t="str">
        <f t="shared" ref="O1313:P1313" si="1317">IF(ISBLANK(K1313),M1313,K1313)</f>
        <v>Development</v>
      </c>
      <c r="P1313" s="1" t="str">
        <f t="shared" si="1317"/>
        <v>Ecosystem Services</v>
      </c>
      <c r="Q1313" s="108" t="str">
        <f t="shared" si="3"/>
        <v>2024</v>
      </c>
      <c r="R1313" s="110">
        <f t="shared" si="4"/>
        <v>6</v>
      </c>
      <c r="S1313" s="108" t="str">
        <f t="shared" si="5"/>
        <v>2024-Q2</v>
      </c>
      <c r="T1313" s="111" t="str">
        <f t="shared" si="6"/>
        <v>2024-06</v>
      </c>
      <c r="U1313" s="112" t="str">
        <f t="shared" si="7"/>
        <v>2024-H1</v>
      </c>
      <c r="V1313" s="1" t="str">
        <f>VLOOKUP(B1313,Bounties!A:E,2,FALSE)</f>
        <v>Polkadot Assurance Legion Bounty</v>
      </c>
    </row>
    <row r="1314" hidden="1">
      <c r="A1314" s="109">
        <f>HYPERLINK("https://polkadot.subsquare.io/treasury/child-bounties/1312", 1312)</f>
        <v>1312</v>
      </c>
      <c r="B1314" s="183">
        <v>50.0</v>
      </c>
      <c r="C1314" s="27" t="s">
        <v>3404</v>
      </c>
      <c r="D1314" s="27" t="s">
        <v>1843</v>
      </c>
      <c r="E1314" s="129">
        <v>1674.85</v>
      </c>
      <c r="F1314" s="66">
        <v>10685.370687437056</v>
      </c>
      <c r="G1314" s="27" t="s">
        <v>3725</v>
      </c>
      <c r="H1314" s="167">
        <v>45451.0</v>
      </c>
      <c r="I1314" s="167">
        <v>45459.0</v>
      </c>
      <c r="J1314" s="66">
        <v>9704.435741209983</v>
      </c>
      <c r="K1314" s="1"/>
      <c r="L1314" s="1"/>
      <c r="M1314" s="1" t="str">
        <f>VLOOKUP(B1314,Bounties!A:D,3,FALSE)</f>
        <v>Operations</v>
      </c>
      <c r="N1314" s="1" t="str">
        <f>VLOOKUP(B1314,Bounties!A:D,4,FALSE)</f>
        <v>RPCs and Nodes</v>
      </c>
      <c r="O1314" s="1" t="str">
        <f t="shared" ref="O1314:P1314" si="1318">IF(ISBLANK(K1314),M1314,K1314)</f>
        <v>Operations</v>
      </c>
      <c r="P1314" s="1" t="str">
        <f t="shared" si="1318"/>
        <v>RPCs and Nodes</v>
      </c>
      <c r="Q1314" s="108" t="str">
        <f t="shared" si="3"/>
        <v>2024</v>
      </c>
      <c r="R1314" s="110">
        <f t="shared" si="4"/>
        <v>6</v>
      </c>
      <c r="S1314" s="108" t="str">
        <f t="shared" si="5"/>
        <v>2024-Q2</v>
      </c>
      <c r="T1314" s="111" t="str">
        <f t="shared" si="6"/>
        <v>2024-06</v>
      </c>
      <c r="U1314" s="112" t="str">
        <f t="shared" si="7"/>
        <v>2024-H1</v>
      </c>
      <c r="V1314" s="1" t="str">
        <f>VLOOKUP(B1314,Bounties!A:E,2,FALSE)</f>
        <v>Infrastructure Builders Program</v>
      </c>
    </row>
    <row r="1315" hidden="1">
      <c r="A1315" s="109">
        <f>HYPERLINK("https://polkadot.subsquare.io/treasury/child-bounties/1313", 1313)</f>
        <v>1313</v>
      </c>
      <c r="B1315" s="183">
        <v>50.0</v>
      </c>
      <c r="C1315" s="27" t="s">
        <v>3404</v>
      </c>
      <c r="D1315" s="27" t="s">
        <v>1844</v>
      </c>
      <c r="E1315" s="129">
        <v>1583.17</v>
      </c>
      <c r="F1315" s="66">
        <v>10100.461719694138</v>
      </c>
      <c r="G1315" s="27" t="s">
        <v>3650</v>
      </c>
      <c r="H1315" s="167">
        <v>45451.0</v>
      </c>
      <c r="I1315" s="167">
        <v>45460.0</v>
      </c>
      <c r="J1315" s="66">
        <v>9173.222397475243</v>
      </c>
      <c r="K1315" s="1"/>
      <c r="L1315" s="1"/>
      <c r="M1315" s="1" t="str">
        <f>VLOOKUP(B1315,Bounties!A:D,3,FALSE)</f>
        <v>Operations</v>
      </c>
      <c r="N1315" s="1" t="str">
        <f>VLOOKUP(B1315,Bounties!A:D,4,FALSE)</f>
        <v>RPCs and Nodes</v>
      </c>
      <c r="O1315" s="1" t="str">
        <f t="shared" ref="O1315:P1315" si="1319">IF(ISBLANK(K1315),M1315,K1315)</f>
        <v>Operations</v>
      </c>
      <c r="P1315" s="1" t="str">
        <f t="shared" si="1319"/>
        <v>RPCs and Nodes</v>
      </c>
      <c r="Q1315" s="108" t="str">
        <f t="shared" si="3"/>
        <v>2024</v>
      </c>
      <c r="R1315" s="110">
        <f t="shared" si="4"/>
        <v>6</v>
      </c>
      <c r="S1315" s="108" t="str">
        <f t="shared" si="5"/>
        <v>2024-Q2</v>
      </c>
      <c r="T1315" s="111" t="str">
        <f t="shared" si="6"/>
        <v>2024-06</v>
      </c>
      <c r="U1315" s="112" t="str">
        <f t="shared" si="7"/>
        <v>2024-H1</v>
      </c>
      <c r="V1315" s="1" t="str">
        <f>VLOOKUP(B1315,Bounties!A:E,2,FALSE)</f>
        <v>Infrastructure Builders Program</v>
      </c>
    </row>
    <row r="1316" hidden="1">
      <c r="A1316" s="109">
        <f>HYPERLINK("https://polkadot.subsquare.io/treasury/child-bounties/1314", 1314)</f>
        <v>1314</v>
      </c>
      <c r="B1316" s="183">
        <v>50.0</v>
      </c>
      <c r="C1316" s="27" t="s">
        <v>3404</v>
      </c>
      <c r="D1316" s="27" t="s">
        <v>1845</v>
      </c>
      <c r="E1316" s="129">
        <v>1726.05</v>
      </c>
      <c r="F1316" s="66">
        <v>11012.021419858933</v>
      </c>
      <c r="G1316" s="27" t="s">
        <v>3726</v>
      </c>
      <c r="H1316" s="167">
        <v>45451.0</v>
      </c>
      <c r="I1316" s="167">
        <v>45459.0</v>
      </c>
      <c r="J1316" s="66">
        <v>10001.09938867092</v>
      </c>
      <c r="K1316" s="1"/>
      <c r="L1316" s="1"/>
      <c r="M1316" s="1" t="str">
        <f>VLOOKUP(B1316,Bounties!A:D,3,FALSE)</f>
        <v>Operations</v>
      </c>
      <c r="N1316" s="1" t="str">
        <f>VLOOKUP(B1316,Bounties!A:D,4,FALSE)</f>
        <v>RPCs and Nodes</v>
      </c>
      <c r="O1316" s="1" t="str">
        <f t="shared" ref="O1316:P1316" si="1320">IF(ISBLANK(K1316),M1316,K1316)</f>
        <v>Operations</v>
      </c>
      <c r="P1316" s="1" t="str">
        <f t="shared" si="1320"/>
        <v>RPCs and Nodes</v>
      </c>
      <c r="Q1316" s="108" t="str">
        <f t="shared" si="3"/>
        <v>2024</v>
      </c>
      <c r="R1316" s="110">
        <f t="shared" si="4"/>
        <v>6</v>
      </c>
      <c r="S1316" s="108" t="str">
        <f t="shared" si="5"/>
        <v>2024-Q2</v>
      </c>
      <c r="T1316" s="111" t="str">
        <f t="shared" si="6"/>
        <v>2024-06</v>
      </c>
      <c r="U1316" s="112" t="str">
        <f t="shared" si="7"/>
        <v>2024-H1</v>
      </c>
      <c r="V1316" s="1" t="str">
        <f>VLOOKUP(B1316,Bounties!A:E,2,FALSE)</f>
        <v>Infrastructure Builders Program</v>
      </c>
    </row>
    <row r="1317" hidden="1">
      <c r="A1317" s="109">
        <f>HYPERLINK("https://polkadot.subsquare.io/treasury/child-bounties/1315", 1315)</f>
        <v>1315</v>
      </c>
      <c r="B1317" s="183">
        <v>50.0</v>
      </c>
      <c r="C1317" s="27" t="s">
        <v>3404</v>
      </c>
      <c r="D1317" s="27" t="s">
        <v>1846</v>
      </c>
      <c r="E1317" s="129">
        <v>1954.91</v>
      </c>
      <c r="F1317" s="66">
        <v>12472.124674196244</v>
      </c>
      <c r="G1317" s="27" t="s">
        <v>3727</v>
      </c>
      <c r="H1317" s="167">
        <v>45451.0</v>
      </c>
      <c r="I1317" s="167">
        <v>45459.0</v>
      </c>
      <c r="J1317" s="66">
        <v>11327.162715973855</v>
      </c>
      <c r="K1317" s="1"/>
      <c r="L1317" s="1"/>
      <c r="M1317" s="1" t="str">
        <f>VLOOKUP(B1317,Bounties!A:D,3,FALSE)</f>
        <v>Operations</v>
      </c>
      <c r="N1317" s="1" t="str">
        <f>VLOOKUP(B1317,Bounties!A:D,4,FALSE)</f>
        <v>RPCs and Nodes</v>
      </c>
      <c r="O1317" s="1" t="str">
        <f t="shared" ref="O1317:P1317" si="1321">IF(ISBLANK(K1317),M1317,K1317)</f>
        <v>Operations</v>
      </c>
      <c r="P1317" s="1" t="str">
        <f t="shared" si="1321"/>
        <v>RPCs and Nodes</v>
      </c>
      <c r="Q1317" s="108" t="str">
        <f t="shared" si="3"/>
        <v>2024</v>
      </c>
      <c r="R1317" s="110">
        <f t="shared" si="4"/>
        <v>6</v>
      </c>
      <c r="S1317" s="108" t="str">
        <f t="shared" si="5"/>
        <v>2024-Q2</v>
      </c>
      <c r="T1317" s="111" t="str">
        <f t="shared" si="6"/>
        <v>2024-06</v>
      </c>
      <c r="U1317" s="112" t="str">
        <f t="shared" si="7"/>
        <v>2024-H1</v>
      </c>
      <c r="V1317" s="1" t="str">
        <f>VLOOKUP(B1317,Bounties!A:E,2,FALSE)</f>
        <v>Infrastructure Builders Program</v>
      </c>
    </row>
    <row r="1318" hidden="1">
      <c r="A1318" s="109">
        <f>HYPERLINK("https://polkadot.subsquare.io/treasury/child-bounties/1316", 1316)</f>
        <v>1316</v>
      </c>
      <c r="B1318" s="183">
        <v>50.0</v>
      </c>
      <c r="C1318" s="27" t="s">
        <v>3404</v>
      </c>
      <c r="D1318" s="27" t="s">
        <v>1847</v>
      </c>
      <c r="E1318" s="129">
        <v>1583.17</v>
      </c>
      <c r="F1318" s="66">
        <v>10100.461719694138</v>
      </c>
      <c r="G1318" s="27" t="s">
        <v>3728</v>
      </c>
      <c r="H1318" s="167">
        <v>45451.0</v>
      </c>
      <c r="I1318" s="167">
        <v>45464.0</v>
      </c>
      <c r="J1318" s="66">
        <v>9063.149855589867</v>
      </c>
      <c r="K1318" s="1"/>
      <c r="L1318" s="1"/>
      <c r="M1318" s="1" t="str">
        <f>VLOOKUP(B1318,Bounties!A:D,3,FALSE)</f>
        <v>Operations</v>
      </c>
      <c r="N1318" s="1" t="str">
        <f>VLOOKUP(B1318,Bounties!A:D,4,FALSE)</f>
        <v>RPCs and Nodes</v>
      </c>
      <c r="O1318" s="1" t="str">
        <f t="shared" ref="O1318:P1318" si="1322">IF(ISBLANK(K1318),M1318,K1318)</f>
        <v>Operations</v>
      </c>
      <c r="P1318" s="1" t="str">
        <f t="shared" si="1322"/>
        <v>RPCs and Nodes</v>
      </c>
      <c r="Q1318" s="108" t="str">
        <f t="shared" si="3"/>
        <v>2024</v>
      </c>
      <c r="R1318" s="110">
        <f t="shared" si="4"/>
        <v>6</v>
      </c>
      <c r="S1318" s="108" t="str">
        <f t="shared" si="5"/>
        <v>2024-Q2</v>
      </c>
      <c r="T1318" s="111" t="str">
        <f t="shared" si="6"/>
        <v>2024-06</v>
      </c>
      <c r="U1318" s="112" t="str">
        <f t="shared" si="7"/>
        <v>2024-H1</v>
      </c>
      <c r="V1318" s="1" t="str">
        <f>VLOOKUP(B1318,Bounties!A:E,2,FALSE)</f>
        <v>Infrastructure Builders Program</v>
      </c>
    </row>
    <row r="1319" hidden="1">
      <c r="A1319" s="109">
        <f>HYPERLINK("https://polkadot.subsquare.io/treasury/child-bounties/1317", 1317)</f>
        <v>1317</v>
      </c>
      <c r="B1319" s="183">
        <v>50.0</v>
      </c>
      <c r="C1319" s="27" t="s">
        <v>3404</v>
      </c>
      <c r="D1319" s="27" t="s">
        <v>1848</v>
      </c>
      <c r="E1319" s="129">
        <v>305.64</v>
      </c>
      <c r="F1319" s="66">
        <v>1949.951755027771</v>
      </c>
      <c r="G1319" s="27" t="s">
        <v>3729</v>
      </c>
      <c r="H1319" s="167">
        <v>45451.0</v>
      </c>
      <c r="I1319" s="167">
        <v>45459.0</v>
      </c>
      <c r="J1319" s="66">
        <v>1770.9429142570496</v>
      </c>
      <c r="K1319" s="1"/>
      <c r="L1319" s="1"/>
      <c r="M1319" s="1" t="str">
        <f>VLOOKUP(B1319,Bounties!A:D,3,FALSE)</f>
        <v>Operations</v>
      </c>
      <c r="N1319" s="1" t="str">
        <f>VLOOKUP(B1319,Bounties!A:D,4,FALSE)</f>
        <v>RPCs and Nodes</v>
      </c>
      <c r="O1319" s="1" t="str">
        <f t="shared" ref="O1319:P1319" si="1323">IF(ISBLANK(K1319),M1319,K1319)</f>
        <v>Operations</v>
      </c>
      <c r="P1319" s="1" t="str">
        <f t="shared" si="1323"/>
        <v>RPCs and Nodes</v>
      </c>
      <c r="Q1319" s="108" t="str">
        <f t="shared" si="3"/>
        <v>2024</v>
      </c>
      <c r="R1319" s="110">
        <f t="shared" si="4"/>
        <v>6</v>
      </c>
      <c r="S1319" s="108" t="str">
        <f t="shared" si="5"/>
        <v>2024-Q2</v>
      </c>
      <c r="T1319" s="111" t="str">
        <f t="shared" si="6"/>
        <v>2024-06</v>
      </c>
      <c r="U1319" s="112" t="str">
        <f t="shared" si="7"/>
        <v>2024-H1</v>
      </c>
      <c r="V1319" s="1" t="str">
        <f>VLOOKUP(B1319,Bounties!A:E,2,FALSE)</f>
        <v>Infrastructure Builders Program</v>
      </c>
    </row>
    <row r="1320" hidden="1">
      <c r="A1320" s="109">
        <f>HYPERLINK("https://polkadot.subsquare.io/treasury/child-bounties/1318", 1318)</f>
        <v>1318</v>
      </c>
      <c r="B1320" s="183">
        <v>50.0</v>
      </c>
      <c r="C1320" s="27" t="s">
        <v>3404</v>
      </c>
      <c r="D1320" s="27" t="s">
        <v>1849</v>
      </c>
      <c r="E1320" s="129">
        <v>1583.17</v>
      </c>
      <c r="F1320" s="66">
        <v>10100.461719694138</v>
      </c>
      <c r="G1320" s="27" t="s">
        <v>3730</v>
      </c>
      <c r="H1320" s="167">
        <v>45451.0</v>
      </c>
      <c r="I1320" s="167">
        <v>45471.0</v>
      </c>
      <c r="J1320" s="66">
        <v>9829.226301941871</v>
      </c>
      <c r="K1320" s="1"/>
      <c r="L1320" s="1"/>
      <c r="M1320" s="1" t="str">
        <f>VLOOKUP(B1320,Bounties!A:D,3,FALSE)</f>
        <v>Operations</v>
      </c>
      <c r="N1320" s="1" t="str">
        <f>VLOOKUP(B1320,Bounties!A:D,4,FALSE)</f>
        <v>RPCs and Nodes</v>
      </c>
      <c r="O1320" s="1" t="str">
        <f t="shared" ref="O1320:P1320" si="1324">IF(ISBLANK(K1320),M1320,K1320)</f>
        <v>Operations</v>
      </c>
      <c r="P1320" s="1" t="str">
        <f t="shared" si="1324"/>
        <v>RPCs and Nodes</v>
      </c>
      <c r="Q1320" s="108" t="str">
        <f t="shared" si="3"/>
        <v>2024</v>
      </c>
      <c r="R1320" s="110">
        <f t="shared" si="4"/>
        <v>6</v>
      </c>
      <c r="S1320" s="108" t="str">
        <f t="shared" si="5"/>
        <v>2024-Q2</v>
      </c>
      <c r="T1320" s="111" t="str">
        <f t="shared" si="6"/>
        <v>2024-06</v>
      </c>
      <c r="U1320" s="112" t="str">
        <f t="shared" si="7"/>
        <v>2024-H1</v>
      </c>
      <c r="V1320" s="1" t="str">
        <f>VLOOKUP(B1320,Bounties!A:E,2,FALSE)</f>
        <v>Infrastructure Builders Program</v>
      </c>
    </row>
    <row r="1321" hidden="1">
      <c r="A1321" s="109">
        <f>HYPERLINK("https://polkadot.subsquare.io/treasury/child-bounties/1319", 1319)</f>
        <v>1319</v>
      </c>
      <c r="B1321" s="183">
        <v>50.0</v>
      </c>
      <c r="C1321" s="27" t="s">
        <v>3404</v>
      </c>
      <c r="D1321" s="27" t="s">
        <v>1850</v>
      </c>
      <c r="E1321" s="129">
        <v>1954.67</v>
      </c>
      <c r="F1321" s="66">
        <v>12470.593498888016</v>
      </c>
      <c r="G1321" s="27" t="s">
        <v>3653</v>
      </c>
      <c r="H1321" s="167">
        <v>45451.0</v>
      </c>
      <c r="I1321" s="167">
        <v>45459.0</v>
      </c>
      <c r="J1321" s="66">
        <v>11325.772105126382</v>
      </c>
      <c r="K1321" s="1"/>
      <c r="L1321" s="1"/>
      <c r="M1321" s="1" t="str">
        <f>VLOOKUP(B1321,Bounties!A:D,3,FALSE)</f>
        <v>Operations</v>
      </c>
      <c r="N1321" s="1" t="str">
        <f>VLOOKUP(B1321,Bounties!A:D,4,FALSE)</f>
        <v>RPCs and Nodes</v>
      </c>
      <c r="O1321" s="1" t="str">
        <f t="shared" ref="O1321:P1321" si="1325">IF(ISBLANK(K1321),M1321,K1321)</f>
        <v>Operations</v>
      </c>
      <c r="P1321" s="1" t="str">
        <f t="shared" si="1325"/>
        <v>RPCs and Nodes</v>
      </c>
      <c r="Q1321" s="108" t="str">
        <f t="shared" si="3"/>
        <v>2024</v>
      </c>
      <c r="R1321" s="110">
        <f t="shared" si="4"/>
        <v>6</v>
      </c>
      <c r="S1321" s="108" t="str">
        <f t="shared" si="5"/>
        <v>2024-Q2</v>
      </c>
      <c r="T1321" s="111" t="str">
        <f t="shared" si="6"/>
        <v>2024-06</v>
      </c>
      <c r="U1321" s="112" t="str">
        <f t="shared" si="7"/>
        <v>2024-H1</v>
      </c>
      <c r="V1321" s="1" t="str">
        <f>VLOOKUP(B1321,Bounties!A:E,2,FALSE)</f>
        <v>Infrastructure Builders Program</v>
      </c>
    </row>
    <row r="1322" hidden="1">
      <c r="A1322" s="109">
        <f>HYPERLINK("https://polkadot.subsquare.io/treasury/child-bounties/1320", 1320)</f>
        <v>1320</v>
      </c>
      <c r="B1322" s="183">
        <v>50.0</v>
      </c>
      <c r="C1322" s="27" t="s">
        <v>3404</v>
      </c>
      <c r="D1322" s="27" t="s">
        <v>1851</v>
      </c>
      <c r="E1322" s="129">
        <v>1668.9</v>
      </c>
      <c r="F1322" s="66">
        <v>10647.41029958725</v>
      </c>
      <c r="G1322" s="27" t="s">
        <v>3721</v>
      </c>
      <c r="H1322" s="167">
        <v>45451.0</v>
      </c>
      <c r="I1322" s="167">
        <v>45467.0</v>
      </c>
      <c r="J1322" s="66">
        <v>9668.399629497528</v>
      </c>
      <c r="K1322" s="1"/>
      <c r="L1322" s="1"/>
      <c r="M1322" s="1" t="str">
        <f>VLOOKUP(B1322,Bounties!A:D,3,FALSE)</f>
        <v>Operations</v>
      </c>
      <c r="N1322" s="1" t="str">
        <f>VLOOKUP(B1322,Bounties!A:D,4,FALSE)</f>
        <v>RPCs and Nodes</v>
      </c>
      <c r="O1322" s="1" t="str">
        <f t="shared" ref="O1322:P1322" si="1326">IF(ISBLANK(K1322),M1322,K1322)</f>
        <v>Operations</v>
      </c>
      <c r="P1322" s="1" t="str">
        <f t="shared" si="1326"/>
        <v>RPCs and Nodes</v>
      </c>
      <c r="Q1322" s="108" t="str">
        <f t="shared" si="3"/>
        <v>2024</v>
      </c>
      <c r="R1322" s="110">
        <f t="shared" si="4"/>
        <v>6</v>
      </c>
      <c r="S1322" s="108" t="str">
        <f t="shared" si="5"/>
        <v>2024-Q2</v>
      </c>
      <c r="T1322" s="111" t="str">
        <f t="shared" si="6"/>
        <v>2024-06</v>
      </c>
      <c r="U1322" s="112" t="str">
        <f t="shared" si="7"/>
        <v>2024-H1</v>
      </c>
      <c r="V1322" s="1" t="str">
        <f>VLOOKUP(B1322,Bounties!A:E,2,FALSE)</f>
        <v>Infrastructure Builders Program</v>
      </c>
    </row>
    <row r="1323" hidden="1">
      <c r="A1323" s="109">
        <f>HYPERLINK("https://polkadot.subsquare.io/treasury/child-bounties/1321", 1321)</f>
        <v>1321</v>
      </c>
      <c r="B1323" s="183">
        <v>50.0</v>
      </c>
      <c r="C1323" s="27" t="s">
        <v>3404</v>
      </c>
      <c r="D1323" s="27" t="s">
        <v>1852</v>
      </c>
      <c r="E1323" s="129">
        <v>1668.9</v>
      </c>
      <c r="F1323" s="66">
        <v>10647.41029958725</v>
      </c>
      <c r="G1323" s="27" t="s">
        <v>3731</v>
      </c>
      <c r="H1323" s="167">
        <v>45451.0</v>
      </c>
      <c r="I1323" s="167">
        <v>45461.0</v>
      </c>
      <c r="J1323" s="66">
        <v>9413.879392147064</v>
      </c>
      <c r="K1323" s="1"/>
      <c r="L1323" s="1"/>
      <c r="M1323" s="1" t="str">
        <f>VLOOKUP(B1323,Bounties!A:D,3,FALSE)</f>
        <v>Operations</v>
      </c>
      <c r="N1323" s="1" t="str">
        <f>VLOOKUP(B1323,Bounties!A:D,4,FALSE)</f>
        <v>RPCs and Nodes</v>
      </c>
      <c r="O1323" s="1" t="str">
        <f t="shared" ref="O1323:P1323" si="1327">IF(ISBLANK(K1323),M1323,K1323)</f>
        <v>Operations</v>
      </c>
      <c r="P1323" s="1" t="str">
        <f t="shared" si="1327"/>
        <v>RPCs and Nodes</v>
      </c>
      <c r="Q1323" s="108" t="str">
        <f t="shared" si="3"/>
        <v>2024</v>
      </c>
      <c r="R1323" s="110">
        <f t="shared" si="4"/>
        <v>6</v>
      </c>
      <c r="S1323" s="108" t="str">
        <f t="shared" si="5"/>
        <v>2024-Q2</v>
      </c>
      <c r="T1323" s="111" t="str">
        <f t="shared" si="6"/>
        <v>2024-06</v>
      </c>
      <c r="U1323" s="112" t="str">
        <f t="shared" si="7"/>
        <v>2024-H1</v>
      </c>
      <c r="V1323" s="1" t="str">
        <f>VLOOKUP(B1323,Bounties!A:E,2,FALSE)</f>
        <v>Infrastructure Builders Program</v>
      </c>
    </row>
    <row r="1324" hidden="1">
      <c r="A1324" s="109">
        <f>HYPERLINK("https://polkadot.subsquare.io/treasury/child-bounties/1322", 1322)</f>
        <v>1322</v>
      </c>
      <c r="B1324" s="183">
        <v>50.0</v>
      </c>
      <c r="C1324" s="27" t="s">
        <v>3404</v>
      </c>
      <c r="D1324" s="27" t="s">
        <v>1853</v>
      </c>
      <c r="E1324" s="129">
        <v>1851.79</v>
      </c>
      <c r="F1324" s="66">
        <v>11814.229683427811</v>
      </c>
      <c r="G1324" s="27" t="s">
        <v>3594</v>
      </c>
      <c r="H1324" s="167">
        <v>45451.0</v>
      </c>
      <c r="I1324" s="167">
        <v>45460.0</v>
      </c>
      <c r="J1324" s="66">
        <v>10729.66358850956</v>
      </c>
      <c r="K1324" s="1"/>
      <c r="L1324" s="1"/>
      <c r="M1324" s="1" t="str">
        <f>VLOOKUP(B1324,Bounties!A:D,3,FALSE)</f>
        <v>Operations</v>
      </c>
      <c r="N1324" s="1" t="str">
        <f>VLOOKUP(B1324,Bounties!A:D,4,FALSE)</f>
        <v>RPCs and Nodes</v>
      </c>
      <c r="O1324" s="1" t="str">
        <f t="shared" ref="O1324:P1324" si="1328">IF(ISBLANK(K1324),M1324,K1324)</f>
        <v>Operations</v>
      </c>
      <c r="P1324" s="1" t="str">
        <f t="shared" si="1328"/>
        <v>RPCs and Nodes</v>
      </c>
      <c r="Q1324" s="108" t="str">
        <f t="shared" si="3"/>
        <v>2024</v>
      </c>
      <c r="R1324" s="110">
        <f t="shared" si="4"/>
        <v>6</v>
      </c>
      <c r="S1324" s="108" t="str">
        <f t="shared" si="5"/>
        <v>2024-Q2</v>
      </c>
      <c r="T1324" s="111" t="str">
        <f t="shared" si="6"/>
        <v>2024-06</v>
      </c>
      <c r="U1324" s="112" t="str">
        <f t="shared" si="7"/>
        <v>2024-H1</v>
      </c>
      <c r="V1324" s="1" t="str">
        <f>VLOOKUP(B1324,Bounties!A:E,2,FALSE)</f>
        <v>Infrastructure Builders Program</v>
      </c>
    </row>
    <row r="1325" hidden="1">
      <c r="A1325" s="109">
        <f>HYPERLINK("https://polkadot.subsquare.io/treasury/child-bounties/1323", 1323)</f>
        <v>1323</v>
      </c>
      <c r="B1325" s="183">
        <v>50.0</v>
      </c>
      <c r="C1325" s="27" t="s">
        <v>3404</v>
      </c>
      <c r="D1325" s="27" t="s">
        <v>1854</v>
      </c>
      <c r="E1325" s="129">
        <v>1583.16</v>
      </c>
      <c r="F1325" s="66">
        <v>10100.397920722962</v>
      </c>
      <c r="G1325" s="27" t="s">
        <v>3732</v>
      </c>
      <c r="H1325" s="167">
        <v>45451.0</v>
      </c>
      <c r="I1325" s="167">
        <v>45472.0</v>
      </c>
      <c r="J1325" s="66">
        <v>10314.004097557068</v>
      </c>
      <c r="K1325" s="1"/>
      <c r="L1325" s="1"/>
      <c r="M1325" s="1" t="str">
        <f>VLOOKUP(B1325,Bounties!A:D,3,FALSE)</f>
        <v>Operations</v>
      </c>
      <c r="N1325" s="1" t="str">
        <f>VLOOKUP(B1325,Bounties!A:D,4,FALSE)</f>
        <v>RPCs and Nodes</v>
      </c>
      <c r="O1325" s="1" t="str">
        <f t="shared" ref="O1325:P1325" si="1329">IF(ISBLANK(K1325),M1325,K1325)</f>
        <v>Operations</v>
      </c>
      <c r="P1325" s="1" t="str">
        <f t="shared" si="1329"/>
        <v>RPCs and Nodes</v>
      </c>
      <c r="Q1325" s="108" t="str">
        <f t="shared" si="3"/>
        <v>2024</v>
      </c>
      <c r="R1325" s="110">
        <f t="shared" si="4"/>
        <v>6</v>
      </c>
      <c r="S1325" s="108" t="str">
        <f t="shared" si="5"/>
        <v>2024-Q2</v>
      </c>
      <c r="T1325" s="111" t="str">
        <f t="shared" si="6"/>
        <v>2024-06</v>
      </c>
      <c r="U1325" s="112" t="str">
        <f t="shared" si="7"/>
        <v>2024-H1</v>
      </c>
      <c r="V1325" s="1" t="str">
        <f>VLOOKUP(B1325,Bounties!A:E,2,FALSE)</f>
        <v>Infrastructure Builders Program</v>
      </c>
    </row>
    <row r="1326" hidden="1">
      <c r="A1326" s="109">
        <f>HYPERLINK("https://polkadot.subsquare.io/treasury/child-bounties/1324", 1324)</f>
        <v>1324</v>
      </c>
      <c r="B1326" s="183">
        <v>11.0</v>
      </c>
      <c r="C1326" s="27" t="s">
        <v>3404</v>
      </c>
      <c r="D1326" s="27" t="s">
        <v>1855</v>
      </c>
      <c r="E1326" s="129">
        <v>19.0</v>
      </c>
      <c r="F1326" s="66">
        <v>121.21804523468018</v>
      </c>
      <c r="G1326" s="27" t="s">
        <v>3407</v>
      </c>
      <c r="H1326" s="167">
        <v>45451.0</v>
      </c>
      <c r="I1326" s="167">
        <v>45461.0</v>
      </c>
      <c r="J1326" s="66">
        <v>106.61017894744873</v>
      </c>
      <c r="K1326" s="1"/>
      <c r="L1326" s="1"/>
      <c r="M1326" s="1" t="str">
        <f>VLOOKUP(B1326,Bounties!A:D,3,FALSE)</f>
        <v>Research</v>
      </c>
      <c r="N1326" s="1" t="str">
        <f>VLOOKUP(B1326,Bounties!A:D,4,FALSE)</f>
        <v>Anti-Scam</v>
      </c>
      <c r="O1326" s="1" t="str">
        <f t="shared" ref="O1326:P1326" si="1330">IF(ISBLANK(K1326),M1326,K1326)</f>
        <v>Research</v>
      </c>
      <c r="P1326" s="1" t="str">
        <f t="shared" si="1330"/>
        <v>Anti-Scam</v>
      </c>
      <c r="Q1326" s="108" t="str">
        <f t="shared" si="3"/>
        <v>2024</v>
      </c>
      <c r="R1326" s="110">
        <f t="shared" si="4"/>
        <v>6</v>
      </c>
      <c r="S1326" s="108" t="str">
        <f t="shared" si="5"/>
        <v>2024-Q2</v>
      </c>
      <c r="T1326" s="111" t="str">
        <f t="shared" si="6"/>
        <v>2024-06</v>
      </c>
      <c r="U1326" s="112" t="str">
        <f t="shared" si="7"/>
        <v>2024-H1</v>
      </c>
      <c r="V1326" s="1" t="str">
        <f>VLOOKUP(B1326,Bounties!A:E,2,FALSE)</f>
        <v>Anti-Scam Bounty</v>
      </c>
    </row>
    <row r="1327" hidden="1">
      <c r="A1327" s="109">
        <f>HYPERLINK("https://polkadot.subsquare.io/treasury/child-bounties/1325", 1325)</f>
        <v>1325</v>
      </c>
      <c r="B1327" s="183">
        <v>32.0</v>
      </c>
      <c r="C1327" s="27" t="s">
        <v>3404</v>
      </c>
      <c r="D1327" s="27" t="s">
        <v>1856</v>
      </c>
      <c r="E1327" s="129">
        <v>5.9231000904</v>
      </c>
      <c r="F1327" s="66">
        <v>39.93186375313368</v>
      </c>
      <c r="G1327" s="27" t="s">
        <v>3587</v>
      </c>
      <c r="H1327" s="167">
        <v>45452.0</v>
      </c>
      <c r="I1327" s="167">
        <v>45461.0</v>
      </c>
      <c r="J1327" s="66">
        <v>33.23488213479967</v>
      </c>
      <c r="K1327" s="1"/>
      <c r="L1327" s="1"/>
      <c r="M1327" s="1" t="str">
        <f>VLOOKUP(B1327,Bounties!A:D,3,FALSE)</f>
        <v>Operations</v>
      </c>
      <c r="N1327" s="1" t="str">
        <f>VLOOKUP(B1327,Bounties!A:D,4,FALSE)</f>
        <v>RPCs and Nodes</v>
      </c>
      <c r="O1327" s="1" t="str">
        <f t="shared" ref="O1327:P1327" si="1331">IF(ISBLANK(K1327),M1327,K1327)</f>
        <v>Operations</v>
      </c>
      <c r="P1327" s="1" t="str">
        <f t="shared" si="1331"/>
        <v>RPCs and Nodes</v>
      </c>
      <c r="Q1327" s="108" t="str">
        <f t="shared" si="3"/>
        <v>2024</v>
      </c>
      <c r="R1327" s="110">
        <f t="shared" si="4"/>
        <v>6</v>
      </c>
      <c r="S1327" s="108" t="str">
        <f t="shared" si="5"/>
        <v>2024-Q2</v>
      </c>
      <c r="T1327" s="111" t="str">
        <f t="shared" si="6"/>
        <v>2024-06</v>
      </c>
      <c r="U1327" s="112" t="str">
        <f t="shared" si="7"/>
        <v>2024-H1</v>
      </c>
      <c r="V1327" s="1" t="str">
        <f>VLOOKUP(B1327,Bounties!A:E,2,FALSE)</f>
        <v>System Parachains Collator Bounty</v>
      </c>
    </row>
    <row r="1328" hidden="1">
      <c r="A1328" s="109">
        <f>HYPERLINK("https://polkadot.subsquare.io/treasury/child-bounties/1326", 1326)</f>
        <v>1326</v>
      </c>
      <c r="B1328" s="183">
        <v>32.0</v>
      </c>
      <c r="C1328" s="27" t="s">
        <v>3404</v>
      </c>
      <c r="D1328" s="27" t="s">
        <v>1857</v>
      </c>
      <c r="E1328" s="129">
        <v>57.0712420112</v>
      </c>
      <c r="F1328" s="66">
        <v>384.75815458648685</v>
      </c>
      <c r="G1328" s="27" t="s">
        <v>3590</v>
      </c>
      <c r="H1328" s="167">
        <v>45452.0</v>
      </c>
      <c r="I1328" s="167">
        <v>45462.0</v>
      </c>
      <c r="J1328" s="66">
        <v>320.2302801877466</v>
      </c>
      <c r="K1328" s="1"/>
      <c r="L1328" s="1"/>
      <c r="M1328" s="1" t="str">
        <f>VLOOKUP(B1328,Bounties!A:D,3,FALSE)</f>
        <v>Operations</v>
      </c>
      <c r="N1328" s="1" t="str">
        <f>VLOOKUP(B1328,Bounties!A:D,4,FALSE)</f>
        <v>RPCs and Nodes</v>
      </c>
      <c r="O1328" s="1" t="str">
        <f t="shared" ref="O1328:P1328" si="1332">IF(ISBLANK(K1328),M1328,K1328)</f>
        <v>Operations</v>
      </c>
      <c r="P1328" s="1" t="str">
        <f t="shared" si="1332"/>
        <v>RPCs and Nodes</v>
      </c>
      <c r="Q1328" s="108" t="str">
        <f t="shared" si="3"/>
        <v>2024</v>
      </c>
      <c r="R1328" s="110">
        <f t="shared" si="4"/>
        <v>6</v>
      </c>
      <c r="S1328" s="108" t="str">
        <f t="shared" si="5"/>
        <v>2024-Q2</v>
      </c>
      <c r="T1328" s="111" t="str">
        <f t="shared" si="6"/>
        <v>2024-06</v>
      </c>
      <c r="U1328" s="112" t="str">
        <f t="shared" si="7"/>
        <v>2024-H1</v>
      </c>
      <c r="V1328" s="1" t="str">
        <f>VLOOKUP(B1328,Bounties!A:E,2,FALSE)</f>
        <v>System Parachains Collator Bounty</v>
      </c>
    </row>
    <row r="1329" hidden="1">
      <c r="A1329" s="109">
        <f>HYPERLINK("https://polkadot.subsquare.io/treasury/child-bounties/1327", 1327)</f>
        <v>1327</v>
      </c>
      <c r="B1329" s="183">
        <v>32.0</v>
      </c>
      <c r="C1329" s="27" t="s">
        <v>3404</v>
      </c>
      <c r="D1329" s="27" t="s">
        <v>1858</v>
      </c>
      <c r="E1329" s="129">
        <v>57.0429661745</v>
      </c>
      <c r="F1329" s="66">
        <v>384.56752690142713</v>
      </c>
      <c r="G1329" s="27" t="s">
        <v>3591</v>
      </c>
      <c r="H1329" s="167">
        <v>45452.0</v>
      </c>
      <c r="I1329" s="167">
        <v>45462.0</v>
      </c>
      <c r="J1329" s="66">
        <v>320.07162271351103</v>
      </c>
      <c r="K1329" s="1"/>
      <c r="L1329" s="1"/>
      <c r="M1329" s="1" t="str">
        <f>VLOOKUP(B1329,Bounties!A:D,3,FALSE)</f>
        <v>Operations</v>
      </c>
      <c r="N1329" s="1" t="str">
        <f>VLOOKUP(B1329,Bounties!A:D,4,FALSE)</f>
        <v>RPCs and Nodes</v>
      </c>
      <c r="O1329" s="1" t="str">
        <f t="shared" ref="O1329:P1329" si="1333">IF(ISBLANK(K1329),M1329,K1329)</f>
        <v>Operations</v>
      </c>
      <c r="P1329" s="1" t="str">
        <f t="shared" si="1333"/>
        <v>RPCs and Nodes</v>
      </c>
      <c r="Q1329" s="108" t="str">
        <f t="shared" si="3"/>
        <v>2024</v>
      </c>
      <c r="R1329" s="110">
        <f t="shared" si="4"/>
        <v>6</v>
      </c>
      <c r="S1329" s="108" t="str">
        <f t="shared" si="5"/>
        <v>2024-Q2</v>
      </c>
      <c r="T1329" s="111" t="str">
        <f t="shared" si="6"/>
        <v>2024-06</v>
      </c>
      <c r="U1329" s="112" t="str">
        <f t="shared" si="7"/>
        <v>2024-H1</v>
      </c>
      <c r="V1329" s="1" t="str">
        <f>VLOOKUP(B1329,Bounties!A:E,2,FALSE)</f>
        <v>System Parachains Collator Bounty</v>
      </c>
    </row>
    <row r="1330" hidden="1">
      <c r="A1330" s="109">
        <f>HYPERLINK("https://polkadot.subsquare.io/treasury/child-bounties/1328", 1328)</f>
        <v>1328</v>
      </c>
      <c r="B1330" s="183">
        <v>32.0</v>
      </c>
      <c r="C1330" s="27" t="s">
        <v>3404</v>
      </c>
      <c r="D1330" s="27" t="s">
        <v>1859</v>
      </c>
      <c r="E1330" s="129">
        <v>50.232023996</v>
      </c>
      <c r="F1330" s="66">
        <v>338.6500831724007</v>
      </c>
      <c r="G1330" s="27" t="s">
        <v>3599</v>
      </c>
      <c r="H1330" s="167">
        <v>45452.0</v>
      </c>
      <c r="I1330" s="167">
        <v>45482.0</v>
      </c>
      <c r="J1330" s="66">
        <v>296.6147229239741</v>
      </c>
      <c r="K1330" s="1"/>
      <c r="L1330" s="1"/>
      <c r="M1330" s="1" t="str">
        <f>VLOOKUP(B1330,Bounties!A:D,3,FALSE)</f>
        <v>Operations</v>
      </c>
      <c r="N1330" s="1" t="str">
        <f>VLOOKUP(B1330,Bounties!A:D,4,FALSE)</f>
        <v>RPCs and Nodes</v>
      </c>
      <c r="O1330" s="1" t="str">
        <f t="shared" ref="O1330:P1330" si="1334">IF(ISBLANK(K1330),M1330,K1330)</f>
        <v>Operations</v>
      </c>
      <c r="P1330" s="1" t="str">
        <f t="shared" si="1334"/>
        <v>RPCs and Nodes</v>
      </c>
      <c r="Q1330" s="108" t="str">
        <f t="shared" si="3"/>
        <v>2024</v>
      </c>
      <c r="R1330" s="110">
        <f t="shared" si="4"/>
        <v>7</v>
      </c>
      <c r="S1330" s="108" t="str">
        <f t="shared" si="5"/>
        <v>2024-Q3</v>
      </c>
      <c r="T1330" s="111" t="str">
        <f t="shared" si="6"/>
        <v>2024-07</v>
      </c>
      <c r="U1330" s="112" t="str">
        <f t="shared" si="7"/>
        <v>2024-H2</v>
      </c>
      <c r="V1330" s="1" t="str">
        <f>VLOOKUP(B1330,Bounties!A:E,2,FALSE)</f>
        <v>System Parachains Collator Bounty</v>
      </c>
    </row>
    <row r="1331" hidden="1">
      <c r="A1331" s="109">
        <f>HYPERLINK("https://polkadot.subsquare.io/treasury/child-bounties/1329", 1329)</f>
        <v>1329</v>
      </c>
      <c r="B1331" s="183">
        <v>32.0</v>
      </c>
      <c r="C1331" s="27" t="s">
        <v>3404</v>
      </c>
      <c r="D1331" s="27" t="s">
        <v>1860</v>
      </c>
      <c r="E1331" s="129">
        <v>57.1737419195</v>
      </c>
      <c r="F1331" s="66">
        <v>385.44917994659824</v>
      </c>
      <c r="G1331" s="27" t="s">
        <v>3593</v>
      </c>
      <c r="H1331" s="167">
        <v>45452.0</v>
      </c>
      <c r="I1331" s="167">
        <v>45482.0</v>
      </c>
      <c r="J1331" s="66">
        <v>337.6048239531363</v>
      </c>
      <c r="K1331" s="1"/>
      <c r="L1331" s="1"/>
      <c r="M1331" s="1" t="str">
        <f>VLOOKUP(B1331,Bounties!A:D,3,FALSE)</f>
        <v>Operations</v>
      </c>
      <c r="N1331" s="1" t="str">
        <f>VLOOKUP(B1331,Bounties!A:D,4,FALSE)</f>
        <v>RPCs and Nodes</v>
      </c>
      <c r="O1331" s="1" t="str">
        <f t="shared" ref="O1331:P1331" si="1335">IF(ISBLANK(K1331),M1331,K1331)</f>
        <v>Operations</v>
      </c>
      <c r="P1331" s="1" t="str">
        <f t="shared" si="1335"/>
        <v>RPCs and Nodes</v>
      </c>
      <c r="Q1331" s="108" t="str">
        <f t="shared" si="3"/>
        <v>2024</v>
      </c>
      <c r="R1331" s="110">
        <f t="shared" si="4"/>
        <v>7</v>
      </c>
      <c r="S1331" s="108" t="str">
        <f t="shared" si="5"/>
        <v>2024-Q3</v>
      </c>
      <c r="T1331" s="111" t="str">
        <f t="shared" si="6"/>
        <v>2024-07</v>
      </c>
      <c r="U1331" s="112" t="str">
        <f t="shared" si="7"/>
        <v>2024-H2</v>
      </c>
      <c r="V1331" s="1" t="str">
        <f>VLOOKUP(B1331,Bounties!A:E,2,FALSE)</f>
        <v>System Parachains Collator Bounty</v>
      </c>
    </row>
    <row r="1332" hidden="1">
      <c r="A1332" s="109">
        <f>HYPERLINK("https://polkadot.subsquare.io/treasury/child-bounties/1330", 1330)</f>
        <v>1330</v>
      </c>
      <c r="B1332" s="183">
        <v>32.0</v>
      </c>
      <c r="C1332" s="27" t="s">
        <v>3404</v>
      </c>
      <c r="D1332" s="27" t="s">
        <v>1861</v>
      </c>
      <c r="E1332" s="129">
        <v>42.0445374944</v>
      </c>
      <c r="F1332" s="66">
        <v>283.4523673694193</v>
      </c>
      <c r="G1332" s="27" t="s">
        <v>3587</v>
      </c>
      <c r="H1332" s="167">
        <v>45452.0</v>
      </c>
      <c r="I1332" s="167">
        <v>45461.0</v>
      </c>
      <c r="J1332" s="66">
        <v>235.91450873898427</v>
      </c>
      <c r="K1332" s="1"/>
      <c r="L1332" s="1"/>
      <c r="M1332" s="1" t="str">
        <f>VLOOKUP(B1332,Bounties!A:D,3,FALSE)</f>
        <v>Operations</v>
      </c>
      <c r="N1332" s="1" t="str">
        <f>VLOOKUP(B1332,Bounties!A:D,4,FALSE)</f>
        <v>RPCs and Nodes</v>
      </c>
      <c r="O1332" s="1" t="str">
        <f t="shared" ref="O1332:P1332" si="1336">IF(ISBLANK(K1332),M1332,K1332)</f>
        <v>Operations</v>
      </c>
      <c r="P1332" s="1" t="str">
        <f t="shared" si="1336"/>
        <v>RPCs and Nodes</v>
      </c>
      <c r="Q1332" s="108" t="str">
        <f t="shared" si="3"/>
        <v>2024</v>
      </c>
      <c r="R1332" s="110">
        <f t="shared" si="4"/>
        <v>6</v>
      </c>
      <c r="S1332" s="108" t="str">
        <f t="shared" si="5"/>
        <v>2024-Q2</v>
      </c>
      <c r="T1332" s="111" t="str">
        <f t="shared" si="6"/>
        <v>2024-06</v>
      </c>
      <c r="U1332" s="112" t="str">
        <f t="shared" si="7"/>
        <v>2024-H1</v>
      </c>
      <c r="V1332" s="1" t="str">
        <f>VLOOKUP(B1332,Bounties!A:E,2,FALSE)</f>
        <v>System Parachains Collator Bounty</v>
      </c>
    </row>
    <row r="1333" hidden="1">
      <c r="A1333" s="109">
        <f>HYPERLINK("https://polkadot.subsquare.io/treasury/child-bounties/1331", 1331)</f>
        <v>1331</v>
      </c>
      <c r="B1333" s="183">
        <v>32.0</v>
      </c>
      <c r="C1333" s="27" t="s">
        <v>3404</v>
      </c>
      <c r="D1333" s="27" t="s">
        <v>1862</v>
      </c>
      <c r="E1333" s="129">
        <v>38.56732652</v>
      </c>
      <c r="F1333" s="66">
        <v>260.0099955115321</v>
      </c>
      <c r="G1333" s="27" t="s">
        <v>3601</v>
      </c>
      <c r="H1333" s="167">
        <v>45452.0</v>
      </c>
      <c r="I1333" s="167">
        <v>45482.0</v>
      </c>
      <c r="J1333" s="66">
        <v>227.73593336711224</v>
      </c>
      <c r="K1333" s="1"/>
      <c r="L1333" s="1"/>
      <c r="M1333" s="1" t="str">
        <f>VLOOKUP(B1333,Bounties!A:D,3,FALSE)</f>
        <v>Operations</v>
      </c>
      <c r="N1333" s="1" t="str">
        <f>VLOOKUP(B1333,Bounties!A:D,4,FALSE)</f>
        <v>RPCs and Nodes</v>
      </c>
      <c r="O1333" s="1" t="str">
        <f t="shared" ref="O1333:P1333" si="1337">IF(ISBLANK(K1333),M1333,K1333)</f>
        <v>Operations</v>
      </c>
      <c r="P1333" s="1" t="str">
        <f t="shared" si="1337"/>
        <v>RPCs and Nodes</v>
      </c>
      <c r="Q1333" s="108" t="str">
        <f t="shared" si="3"/>
        <v>2024</v>
      </c>
      <c r="R1333" s="110">
        <f t="shared" si="4"/>
        <v>7</v>
      </c>
      <c r="S1333" s="108" t="str">
        <f t="shared" si="5"/>
        <v>2024-Q3</v>
      </c>
      <c r="T1333" s="111" t="str">
        <f t="shared" si="6"/>
        <v>2024-07</v>
      </c>
      <c r="U1333" s="112" t="str">
        <f t="shared" si="7"/>
        <v>2024-H2</v>
      </c>
      <c r="V1333" s="1" t="str">
        <f>VLOOKUP(B1333,Bounties!A:E,2,FALSE)</f>
        <v>System Parachains Collator Bounty</v>
      </c>
    </row>
    <row r="1334" hidden="1">
      <c r="A1334" s="109">
        <f>HYPERLINK("https://polkadot.subsquare.io/treasury/child-bounties/1332", 1332)</f>
        <v>1332</v>
      </c>
      <c r="B1334" s="183">
        <v>32.0</v>
      </c>
      <c r="C1334" s="27" t="s">
        <v>3404</v>
      </c>
      <c r="D1334" s="27" t="s">
        <v>1863</v>
      </c>
      <c r="E1334" s="129">
        <v>41.2312767568</v>
      </c>
      <c r="F1334" s="66">
        <v>277.9695937417626</v>
      </c>
      <c r="G1334" s="27" t="s">
        <v>3602</v>
      </c>
      <c r="H1334" s="167">
        <v>45452.0</v>
      </c>
      <c r="I1334" s="167">
        <v>45482.0</v>
      </c>
      <c r="J1334" s="66">
        <v>243.46627426348164</v>
      </c>
      <c r="K1334" s="1"/>
      <c r="L1334" s="1"/>
      <c r="M1334" s="1" t="str">
        <f>VLOOKUP(B1334,Bounties!A:D,3,FALSE)</f>
        <v>Operations</v>
      </c>
      <c r="N1334" s="1" t="str">
        <f>VLOOKUP(B1334,Bounties!A:D,4,FALSE)</f>
        <v>RPCs and Nodes</v>
      </c>
      <c r="O1334" s="1" t="str">
        <f t="shared" ref="O1334:P1334" si="1338">IF(ISBLANK(K1334),M1334,K1334)</f>
        <v>Operations</v>
      </c>
      <c r="P1334" s="1" t="str">
        <f t="shared" si="1338"/>
        <v>RPCs and Nodes</v>
      </c>
      <c r="Q1334" s="108" t="str">
        <f t="shared" si="3"/>
        <v>2024</v>
      </c>
      <c r="R1334" s="110">
        <f t="shared" si="4"/>
        <v>7</v>
      </c>
      <c r="S1334" s="108" t="str">
        <f t="shared" si="5"/>
        <v>2024-Q3</v>
      </c>
      <c r="T1334" s="111" t="str">
        <f t="shared" si="6"/>
        <v>2024-07</v>
      </c>
      <c r="U1334" s="112" t="str">
        <f t="shared" si="7"/>
        <v>2024-H2</v>
      </c>
      <c r="V1334" s="1" t="str">
        <f>VLOOKUP(B1334,Bounties!A:E,2,FALSE)</f>
        <v>System Parachains Collator Bounty</v>
      </c>
    </row>
    <row r="1335" hidden="1">
      <c r="A1335" s="109">
        <f>HYPERLINK("https://polkadot.subsquare.io/treasury/child-bounties/1333", 1333)</f>
        <v>1333</v>
      </c>
      <c r="B1335" s="183">
        <v>32.0</v>
      </c>
      <c r="C1335" s="27" t="s">
        <v>3404</v>
      </c>
      <c r="D1335" s="27" t="s">
        <v>1864</v>
      </c>
      <c r="E1335" s="129">
        <v>41.9976186057</v>
      </c>
      <c r="F1335" s="66">
        <v>283.13605350633713</v>
      </c>
      <c r="G1335" s="27" t="s">
        <v>3589</v>
      </c>
      <c r="H1335" s="167">
        <v>45452.0</v>
      </c>
      <c r="I1335" s="167">
        <v>45482.0</v>
      </c>
      <c r="J1335" s="66">
        <v>247.99144082246042</v>
      </c>
      <c r="K1335" s="1"/>
      <c r="L1335" s="1"/>
      <c r="M1335" s="1" t="str">
        <f>VLOOKUP(B1335,Bounties!A:D,3,FALSE)</f>
        <v>Operations</v>
      </c>
      <c r="N1335" s="1" t="str">
        <f>VLOOKUP(B1335,Bounties!A:D,4,FALSE)</f>
        <v>RPCs and Nodes</v>
      </c>
      <c r="O1335" s="1" t="str">
        <f t="shared" ref="O1335:P1335" si="1339">IF(ISBLANK(K1335),M1335,K1335)</f>
        <v>Operations</v>
      </c>
      <c r="P1335" s="1" t="str">
        <f t="shared" si="1339"/>
        <v>RPCs and Nodes</v>
      </c>
      <c r="Q1335" s="108" t="str">
        <f t="shared" si="3"/>
        <v>2024</v>
      </c>
      <c r="R1335" s="110">
        <f t="shared" si="4"/>
        <v>7</v>
      </c>
      <c r="S1335" s="108" t="str">
        <f t="shared" si="5"/>
        <v>2024-Q3</v>
      </c>
      <c r="T1335" s="111" t="str">
        <f t="shared" si="6"/>
        <v>2024-07</v>
      </c>
      <c r="U1335" s="112" t="str">
        <f t="shared" si="7"/>
        <v>2024-H2</v>
      </c>
      <c r="V1335" s="1" t="str">
        <f>VLOOKUP(B1335,Bounties!A:E,2,FALSE)</f>
        <v>System Parachains Collator Bounty</v>
      </c>
    </row>
    <row r="1336" hidden="1">
      <c r="A1336" s="109">
        <f>HYPERLINK("https://polkadot.subsquare.io/treasury/child-bounties/1334", 1334)</f>
        <v>1334</v>
      </c>
      <c r="B1336" s="183">
        <v>32.0</v>
      </c>
      <c r="C1336" s="27" t="s">
        <v>3404</v>
      </c>
      <c r="D1336" s="27" t="s">
        <v>1865</v>
      </c>
      <c r="E1336" s="129">
        <v>41.8751081741</v>
      </c>
      <c r="F1336" s="66">
        <v>282.3101228638822</v>
      </c>
      <c r="G1336" s="27" t="s">
        <v>3592</v>
      </c>
      <c r="H1336" s="167">
        <v>45452.0</v>
      </c>
      <c r="I1336" s="167">
        <v>45460.0</v>
      </c>
      <c r="J1336" s="66">
        <v>236.20781226202232</v>
      </c>
      <c r="K1336" s="1"/>
      <c r="L1336" s="1"/>
      <c r="M1336" s="1" t="str">
        <f>VLOOKUP(B1336,Bounties!A:D,3,FALSE)</f>
        <v>Operations</v>
      </c>
      <c r="N1336" s="1" t="str">
        <f>VLOOKUP(B1336,Bounties!A:D,4,FALSE)</f>
        <v>RPCs and Nodes</v>
      </c>
      <c r="O1336" s="1" t="str">
        <f t="shared" ref="O1336:P1336" si="1340">IF(ISBLANK(K1336),M1336,K1336)</f>
        <v>Operations</v>
      </c>
      <c r="P1336" s="1" t="str">
        <f t="shared" si="1340"/>
        <v>RPCs and Nodes</v>
      </c>
      <c r="Q1336" s="108" t="str">
        <f t="shared" si="3"/>
        <v>2024</v>
      </c>
      <c r="R1336" s="110">
        <f t="shared" si="4"/>
        <v>6</v>
      </c>
      <c r="S1336" s="108" t="str">
        <f t="shared" si="5"/>
        <v>2024-Q2</v>
      </c>
      <c r="T1336" s="111" t="str">
        <f t="shared" si="6"/>
        <v>2024-06</v>
      </c>
      <c r="U1336" s="112" t="str">
        <f t="shared" si="7"/>
        <v>2024-H1</v>
      </c>
      <c r="V1336" s="1" t="str">
        <f>VLOOKUP(B1336,Bounties!A:E,2,FALSE)</f>
        <v>System Parachains Collator Bounty</v>
      </c>
    </row>
    <row r="1337" hidden="1">
      <c r="A1337" s="109">
        <f>HYPERLINK("https://polkadot.subsquare.io/treasury/child-bounties/1335", 1335)</f>
        <v>1335</v>
      </c>
      <c r="B1337" s="183">
        <v>32.0</v>
      </c>
      <c r="C1337" s="27" t="s">
        <v>3404</v>
      </c>
      <c r="D1337" s="27" t="s">
        <v>1866</v>
      </c>
      <c r="E1337" s="129">
        <v>55.8730534287</v>
      </c>
      <c r="F1337" s="66">
        <v>376.68030641632043</v>
      </c>
      <c r="G1337" s="27" t="s">
        <v>3594</v>
      </c>
      <c r="H1337" s="167">
        <v>45452.0</v>
      </c>
      <c r="I1337" s="167">
        <v>45482.0</v>
      </c>
      <c r="J1337" s="66">
        <v>329.9243976908028</v>
      </c>
      <c r="K1337" s="1"/>
      <c r="L1337" s="1"/>
      <c r="M1337" s="1" t="str">
        <f>VLOOKUP(B1337,Bounties!A:D,3,FALSE)</f>
        <v>Operations</v>
      </c>
      <c r="N1337" s="1" t="str">
        <f>VLOOKUP(B1337,Bounties!A:D,4,FALSE)</f>
        <v>RPCs and Nodes</v>
      </c>
      <c r="O1337" s="1" t="str">
        <f t="shared" ref="O1337:P1337" si="1341">IF(ISBLANK(K1337),M1337,K1337)</f>
        <v>Operations</v>
      </c>
      <c r="P1337" s="1" t="str">
        <f t="shared" si="1341"/>
        <v>RPCs and Nodes</v>
      </c>
      <c r="Q1337" s="108" t="str">
        <f t="shared" si="3"/>
        <v>2024</v>
      </c>
      <c r="R1337" s="110">
        <f t="shared" si="4"/>
        <v>7</v>
      </c>
      <c r="S1337" s="108" t="str">
        <f t="shared" si="5"/>
        <v>2024-Q3</v>
      </c>
      <c r="T1337" s="111" t="str">
        <f t="shared" si="6"/>
        <v>2024-07</v>
      </c>
      <c r="U1337" s="112" t="str">
        <f t="shared" si="7"/>
        <v>2024-H2</v>
      </c>
      <c r="V1337" s="1" t="str">
        <f>VLOOKUP(B1337,Bounties!A:E,2,FALSE)</f>
        <v>System Parachains Collator Bounty</v>
      </c>
    </row>
    <row r="1338" hidden="1">
      <c r="A1338" s="109">
        <f>HYPERLINK("https://polkadot.subsquare.io/treasury/child-bounties/1336", 1336)</f>
        <v>1336</v>
      </c>
      <c r="B1338" s="183">
        <v>32.0</v>
      </c>
      <c r="C1338" s="27" t="s">
        <v>3404</v>
      </c>
      <c r="D1338" s="27" t="s">
        <v>1867</v>
      </c>
      <c r="E1338" s="129">
        <v>56.8945180315</v>
      </c>
      <c r="F1338" s="66">
        <v>383.56673155267225</v>
      </c>
      <c r="G1338" s="27" t="s">
        <v>3595</v>
      </c>
      <c r="H1338" s="167">
        <v>45452.0</v>
      </c>
      <c r="I1338" s="167">
        <v>45461.0</v>
      </c>
      <c r="J1338" s="66">
        <v>319.2386709719507</v>
      </c>
      <c r="K1338" s="1"/>
      <c r="L1338" s="1"/>
      <c r="M1338" s="1" t="str">
        <f>VLOOKUP(B1338,Bounties!A:D,3,FALSE)</f>
        <v>Operations</v>
      </c>
      <c r="N1338" s="1" t="str">
        <f>VLOOKUP(B1338,Bounties!A:D,4,FALSE)</f>
        <v>RPCs and Nodes</v>
      </c>
      <c r="O1338" s="1" t="str">
        <f t="shared" ref="O1338:P1338" si="1342">IF(ISBLANK(K1338),M1338,K1338)</f>
        <v>Operations</v>
      </c>
      <c r="P1338" s="1" t="str">
        <f t="shared" si="1342"/>
        <v>RPCs and Nodes</v>
      </c>
      <c r="Q1338" s="108" t="str">
        <f t="shared" si="3"/>
        <v>2024</v>
      </c>
      <c r="R1338" s="110">
        <f t="shared" si="4"/>
        <v>6</v>
      </c>
      <c r="S1338" s="108" t="str">
        <f t="shared" si="5"/>
        <v>2024-Q2</v>
      </c>
      <c r="T1338" s="111" t="str">
        <f t="shared" si="6"/>
        <v>2024-06</v>
      </c>
      <c r="U1338" s="112" t="str">
        <f t="shared" si="7"/>
        <v>2024-H1</v>
      </c>
      <c r="V1338" s="1" t="str">
        <f>VLOOKUP(B1338,Bounties!A:E,2,FALSE)</f>
        <v>System Parachains Collator Bounty</v>
      </c>
    </row>
    <row r="1339" hidden="1">
      <c r="A1339" s="109">
        <f>HYPERLINK("https://polkadot.subsquare.io/treasury/child-bounties/1337", 1337)</f>
        <v>1337</v>
      </c>
      <c r="B1339" s="183">
        <v>32.0</v>
      </c>
      <c r="C1339" s="27" t="s">
        <v>3404</v>
      </c>
      <c r="D1339" s="27" t="s">
        <v>1868</v>
      </c>
      <c r="E1339" s="129">
        <v>50.1259896082</v>
      </c>
      <c r="F1339" s="66">
        <v>337.9352293522467</v>
      </c>
      <c r="G1339" s="27" t="s">
        <v>3596</v>
      </c>
      <c r="H1339" s="167">
        <v>45452.0</v>
      </c>
      <c r="I1339" s="167">
        <v>45482.0</v>
      </c>
      <c r="J1339" s="66">
        <v>295.98860121802386</v>
      </c>
      <c r="K1339" s="1"/>
      <c r="L1339" s="1"/>
      <c r="M1339" s="1" t="str">
        <f>VLOOKUP(B1339,Bounties!A:D,3,FALSE)</f>
        <v>Operations</v>
      </c>
      <c r="N1339" s="1" t="str">
        <f>VLOOKUP(B1339,Bounties!A:D,4,FALSE)</f>
        <v>RPCs and Nodes</v>
      </c>
      <c r="O1339" s="1" t="str">
        <f t="shared" ref="O1339:P1339" si="1343">IF(ISBLANK(K1339),M1339,K1339)</f>
        <v>Operations</v>
      </c>
      <c r="P1339" s="1" t="str">
        <f t="shared" si="1343"/>
        <v>RPCs and Nodes</v>
      </c>
      <c r="Q1339" s="108" t="str">
        <f t="shared" si="3"/>
        <v>2024</v>
      </c>
      <c r="R1339" s="110">
        <f t="shared" si="4"/>
        <v>7</v>
      </c>
      <c r="S1339" s="108" t="str">
        <f t="shared" si="5"/>
        <v>2024-Q3</v>
      </c>
      <c r="T1339" s="111" t="str">
        <f t="shared" si="6"/>
        <v>2024-07</v>
      </c>
      <c r="U1339" s="112" t="str">
        <f t="shared" si="7"/>
        <v>2024-H2</v>
      </c>
      <c r="V1339" s="1" t="str">
        <f>VLOOKUP(B1339,Bounties!A:E,2,FALSE)</f>
        <v>System Parachains Collator Bounty</v>
      </c>
    </row>
    <row r="1340" hidden="1">
      <c r="A1340" s="109">
        <f>HYPERLINK("https://polkadot.subsquare.io/treasury/child-bounties/1338", 1338)</f>
        <v>1338</v>
      </c>
      <c r="B1340" s="183">
        <v>32.0</v>
      </c>
      <c r="C1340" s="27" t="s">
        <v>3404</v>
      </c>
      <c r="D1340" s="27" t="s">
        <v>1869</v>
      </c>
      <c r="E1340" s="129">
        <v>9.9342083802</v>
      </c>
      <c r="F1340" s="66">
        <v>66.97362014468268</v>
      </c>
      <c r="G1340" s="27" t="s">
        <v>3407</v>
      </c>
      <c r="H1340" s="167">
        <v>45452.0</v>
      </c>
      <c r="I1340" s="167">
        <v>45468.0</v>
      </c>
      <c r="J1340" s="66">
        <v>61.33977377379182</v>
      </c>
      <c r="K1340" s="1"/>
      <c r="L1340" s="1"/>
      <c r="M1340" s="1" t="str">
        <f>VLOOKUP(B1340,Bounties!A:D,3,FALSE)</f>
        <v>Operations</v>
      </c>
      <c r="N1340" s="1" t="str">
        <f>VLOOKUP(B1340,Bounties!A:D,4,FALSE)</f>
        <v>RPCs and Nodes</v>
      </c>
      <c r="O1340" s="1" t="str">
        <f t="shared" ref="O1340:P1340" si="1344">IF(ISBLANK(K1340),M1340,K1340)</f>
        <v>Operations</v>
      </c>
      <c r="P1340" s="1" t="str">
        <f t="shared" si="1344"/>
        <v>RPCs and Nodes</v>
      </c>
      <c r="Q1340" s="108" t="str">
        <f t="shared" si="3"/>
        <v>2024</v>
      </c>
      <c r="R1340" s="110">
        <f t="shared" si="4"/>
        <v>6</v>
      </c>
      <c r="S1340" s="108" t="str">
        <f t="shared" si="5"/>
        <v>2024-Q2</v>
      </c>
      <c r="T1340" s="111" t="str">
        <f t="shared" si="6"/>
        <v>2024-06</v>
      </c>
      <c r="U1340" s="112" t="str">
        <f t="shared" si="7"/>
        <v>2024-H1</v>
      </c>
      <c r="V1340" s="1" t="str">
        <f>VLOOKUP(B1340,Bounties!A:E,2,FALSE)</f>
        <v>System Parachains Collator Bounty</v>
      </c>
    </row>
    <row r="1341" hidden="1">
      <c r="A1341" s="109">
        <f>HYPERLINK("https://polkadot.subsquare.io/treasury/child-bounties/1339", 1339)</f>
        <v>1339</v>
      </c>
      <c r="B1341" s="183">
        <v>32.0</v>
      </c>
      <c r="C1341" s="27" t="s">
        <v>3404</v>
      </c>
      <c r="D1341" s="27" t="s">
        <v>1870</v>
      </c>
      <c r="E1341" s="129">
        <v>9.9342083802</v>
      </c>
      <c r="F1341" s="66">
        <v>66.97362014468268</v>
      </c>
      <c r="G1341" s="27" t="s">
        <v>3406</v>
      </c>
      <c r="H1341" s="167">
        <v>45452.0</v>
      </c>
      <c r="I1341" s="167">
        <v>45482.0</v>
      </c>
      <c r="J1341" s="66">
        <v>58.66043674442994</v>
      </c>
      <c r="K1341" s="1"/>
      <c r="L1341" s="1"/>
      <c r="M1341" s="1" t="str">
        <f>VLOOKUP(B1341,Bounties!A:D,3,FALSE)</f>
        <v>Operations</v>
      </c>
      <c r="N1341" s="1" t="str">
        <f>VLOOKUP(B1341,Bounties!A:D,4,FALSE)</f>
        <v>RPCs and Nodes</v>
      </c>
      <c r="O1341" s="1" t="str">
        <f t="shared" ref="O1341:P1341" si="1345">IF(ISBLANK(K1341),M1341,K1341)</f>
        <v>Operations</v>
      </c>
      <c r="P1341" s="1" t="str">
        <f t="shared" si="1345"/>
        <v>RPCs and Nodes</v>
      </c>
      <c r="Q1341" s="108" t="str">
        <f t="shared" si="3"/>
        <v>2024</v>
      </c>
      <c r="R1341" s="110">
        <f t="shared" si="4"/>
        <v>7</v>
      </c>
      <c r="S1341" s="108" t="str">
        <f t="shared" si="5"/>
        <v>2024-Q3</v>
      </c>
      <c r="T1341" s="111" t="str">
        <f t="shared" si="6"/>
        <v>2024-07</v>
      </c>
      <c r="U1341" s="112" t="str">
        <f t="shared" si="7"/>
        <v>2024-H2</v>
      </c>
      <c r="V1341" s="1" t="str">
        <f>VLOOKUP(B1341,Bounties!A:E,2,FALSE)</f>
        <v>System Parachains Collator Bounty</v>
      </c>
    </row>
    <row r="1342" hidden="1">
      <c r="A1342" s="109">
        <f>HYPERLINK("https://polkadot.subsquare.io/treasury/child-bounties/1340", 1340)</f>
        <v>1340</v>
      </c>
      <c r="B1342" s="183">
        <v>32.0</v>
      </c>
      <c r="C1342" s="27" t="s">
        <v>3404</v>
      </c>
      <c r="D1342" s="27" t="s">
        <v>1871</v>
      </c>
      <c r="E1342" s="129">
        <v>9.9342083802</v>
      </c>
      <c r="F1342" s="66">
        <v>66.97362014468268</v>
      </c>
      <c r="G1342" s="27" t="s">
        <v>3411</v>
      </c>
      <c r="H1342" s="167">
        <v>45452.0</v>
      </c>
      <c r="I1342" s="167">
        <v>45468.0</v>
      </c>
      <c r="J1342" s="66">
        <v>61.33977377379182</v>
      </c>
      <c r="K1342" s="1"/>
      <c r="L1342" s="1"/>
      <c r="M1342" s="1" t="str">
        <f>VLOOKUP(B1342,Bounties!A:D,3,FALSE)</f>
        <v>Operations</v>
      </c>
      <c r="N1342" s="1" t="str">
        <f>VLOOKUP(B1342,Bounties!A:D,4,FALSE)</f>
        <v>RPCs and Nodes</v>
      </c>
      <c r="O1342" s="1" t="str">
        <f t="shared" ref="O1342:P1342" si="1346">IF(ISBLANK(K1342),M1342,K1342)</f>
        <v>Operations</v>
      </c>
      <c r="P1342" s="1" t="str">
        <f t="shared" si="1346"/>
        <v>RPCs and Nodes</v>
      </c>
      <c r="Q1342" s="108" t="str">
        <f t="shared" si="3"/>
        <v>2024</v>
      </c>
      <c r="R1342" s="110">
        <f t="shared" si="4"/>
        <v>6</v>
      </c>
      <c r="S1342" s="108" t="str">
        <f t="shared" si="5"/>
        <v>2024-Q2</v>
      </c>
      <c r="T1342" s="111" t="str">
        <f t="shared" si="6"/>
        <v>2024-06</v>
      </c>
      <c r="U1342" s="112" t="str">
        <f t="shared" si="7"/>
        <v>2024-H1</v>
      </c>
      <c r="V1342" s="1" t="str">
        <f>VLOOKUP(B1342,Bounties!A:E,2,FALSE)</f>
        <v>System Parachains Collator Bounty</v>
      </c>
    </row>
    <row r="1343" hidden="1">
      <c r="A1343" s="109">
        <f>HYPERLINK("https://polkadot.subsquare.io/treasury/child-bounties/1341", 1341)</f>
        <v>1341</v>
      </c>
      <c r="B1343" s="183">
        <v>32.0</v>
      </c>
      <c r="C1343" s="27" t="s">
        <v>3404</v>
      </c>
      <c r="D1343" s="27" t="s">
        <v>1856</v>
      </c>
      <c r="E1343" s="129">
        <v>5.9231000904</v>
      </c>
      <c r="F1343" s="66">
        <v>39.93186375313368</v>
      </c>
      <c r="G1343" s="27" t="s">
        <v>3587</v>
      </c>
      <c r="H1343" s="167">
        <v>45452.0</v>
      </c>
      <c r="I1343" s="167">
        <v>45461.0</v>
      </c>
      <c r="J1343" s="66">
        <v>33.23488213479967</v>
      </c>
      <c r="K1343" s="1"/>
      <c r="L1343" s="1"/>
      <c r="M1343" s="1" t="str">
        <f>VLOOKUP(B1343,Bounties!A:D,3,FALSE)</f>
        <v>Operations</v>
      </c>
      <c r="N1343" s="1" t="str">
        <f>VLOOKUP(B1343,Bounties!A:D,4,FALSE)</f>
        <v>RPCs and Nodes</v>
      </c>
      <c r="O1343" s="1" t="str">
        <f t="shared" ref="O1343:P1343" si="1347">IF(ISBLANK(K1343),M1343,K1343)</f>
        <v>Operations</v>
      </c>
      <c r="P1343" s="1" t="str">
        <f t="shared" si="1347"/>
        <v>RPCs and Nodes</v>
      </c>
      <c r="Q1343" s="108" t="str">
        <f t="shared" si="3"/>
        <v>2024</v>
      </c>
      <c r="R1343" s="110">
        <f t="shared" si="4"/>
        <v>6</v>
      </c>
      <c r="S1343" s="108" t="str">
        <f t="shared" si="5"/>
        <v>2024-Q2</v>
      </c>
      <c r="T1343" s="111" t="str">
        <f t="shared" si="6"/>
        <v>2024-06</v>
      </c>
      <c r="U1343" s="112" t="str">
        <f t="shared" si="7"/>
        <v>2024-H1</v>
      </c>
      <c r="V1343" s="1" t="str">
        <f>VLOOKUP(B1343,Bounties!A:E,2,FALSE)</f>
        <v>System Parachains Collator Bounty</v>
      </c>
    </row>
    <row r="1344" hidden="1">
      <c r="A1344" s="109">
        <f>HYPERLINK("https://polkadot.subsquare.io/treasury/child-bounties/1342", 1342)</f>
        <v>1342</v>
      </c>
      <c r="B1344" s="183">
        <v>32.0</v>
      </c>
      <c r="C1344" s="27" t="s">
        <v>3404</v>
      </c>
      <c r="D1344" s="27" t="s">
        <v>1872</v>
      </c>
      <c r="E1344" s="129">
        <v>57.0895442263</v>
      </c>
      <c r="F1344" s="66">
        <v>384.88154293863346</v>
      </c>
      <c r="G1344" s="27" t="s">
        <v>3590</v>
      </c>
      <c r="H1344" s="167">
        <v>45452.0</v>
      </c>
      <c r="I1344" s="167">
        <v>45462.0</v>
      </c>
      <c r="J1344" s="66">
        <v>320.3329750523227</v>
      </c>
      <c r="K1344" s="1"/>
      <c r="L1344" s="1"/>
      <c r="M1344" s="1" t="str">
        <f>VLOOKUP(B1344,Bounties!A:D,3,FALSE)</f>
        <v>Operations</v>
      </c>
      <c r="N1344" s="1" t="str">
        <f>VLOOKUP(B1344,Bounties!A:D,4,FALSE)</f>
        <v>RPCs and Nodes</v>
      </c>
      <c r="O1344" s="1" t="str">
        <f t="shared" ref="O1344:P1344" si="1348">IF(ISBLANK(K1344),M1344,K1344)</f>
        <v>Operations</v>
      </c>
      <c r="P1344" s="1" t="str">
        <f t="shared" si="1348"/>
        <v>RPCs and Nodes</v>
      </c>
      <c r="Q1344" s="108" t="str">
        <f t="shared" si="3"/>
        <v>2024</v>
      </c>
      <c r="R1344" s="110">
        <f t="shared" si="4"/>
        <v>6</v>
      </c>
      <c r="S1344" s="108" t="str">
        <f t="shared" si="5"/>
        <v>2024-Q2</v>
      </c>
      <c r="T1344" s="111" t="str">
        <f t="shared" si="6"/>
        <v>2024-06</v>
      </c>
      <c r="U1344" s="112" t="str">
        <f t="shared" si="7"/>
        <v>2024-H1</v>
      </c>
      <c r="V1344" s="1" t="str">
        <f>VLOOKUP(B1344,Bounties!A:E,2,FALSE)</f>
        <v>System Parachains Collator Bounty</v>
      </c>
    </row>
    <row r="1345" hidden="1">
      <c r="A1345" s="109">
        <f>HYPERLINK("https://polkadot.subsquare.io/treasury/child-bounties/1343", 1343)</f>
        <v>1343</v>
      </c>
      <c r="B1345" s="183">
        <v>32.0</v>
      </c>
      <c r="C1345" s="27" t="s">
        <v>3404</v>
      </c>
      <c r="D1345" s="27" t="s">
        <v>1873</v>
      </c>
      <c r="E1345" s="129">
        <v>56.9913135842</v>
      </c>
      <c r="F1345" s="66">
        <v>384.21929976244985</v>
      </c>
      <c r="G1345" s="27" t="s">
        <v>3587</v>
      </c>
      <c r="H1345" s="167">
        <v>45452.0</v>
      </c>
      <c r="I1345" s="167">
        <v>45461.0</v>
      </c>
      <c r="J1345" s="66">
        <v>319.78179682430147</v>
      </c>
      <c r="K1345" s="1"/>
      <c r="L1345" s="1"/>
      <c r="M1345" s="1" t="str">
        <f>VLOOKUP(B1345,Bounties!A:D,3,FALSE)</f>
        <v>Operations</v>
      </c>
      <c r="N1345" s="1" t="str">
        <f>VLOOKUP(B1345,Bounties!A:D,4,FALSE)</f>
        <v>RPCs and Nodes</v>
      </c>
      <c r="O1345" s="1" t="str">
        <f t="shared" ref="O1345:P1345" si="1349">IF(ISBLANK(K1345),M1345,K1345)</f>
        <v>Operations</v>
      </c>
      <c r="P1345" s="1" t="str">
        <f t="shared" si="1349"/>
        <v>RPCs and Nodes</v>
      </c>
      <c r="Q1345" s="108" t="str">
        <f t="shared" si="3"/>
        <v>2024</v>
      </c>
      <c r="R1345" s="110">
        <f t="shared" si="4"/>
        <v>6</v>
      </c>
      <c r="S1345" s="108" t="str">
        <f t="shared" si="5"/>
        <v>2024-Q2</v>
      </c>
      <c r="T1345" s="111" t="str">
        <f t="shared" si="6"/>
        <v>2024-06</v>
      </c>
      <c r="U1345" s="112" t="str">
        <f t="shared" si="7"/>
        <v>2024-H1</v>
      </c>
      <c r="V1345" s="1" t="str">
        <f>VLOOKUP(B1345,Bounties!A:E,2,FALSE)</f>
        <v>System Parachains Collator Bounty</v>
      </c>
    </row>
    <row r="1346" hidden="1">
      <c r="A1346" s="109">
        <f>HYPERLINK("https://polkadot.subsquare.io/treasury/child-bounties/1344", 1344)</f>
        <v>1344</v>
      </c>
      <c r="B1346" s="183">
        <v>32.0</v>
      </c>
      <c r="C1346" s="27" t="s">
        <v>3404</v>
      </c>
      <c r="D1346" s="27" t="s">
        <v>1874</v>
      </c>
      <c r="E1346" s="129">
        <v>56.9246570771</v>
      </c>
      <c r="F1346" s="66">
        <v>383.7699204645901</v>
      </c>
      <c r="G1346" s="27" t="s">
        <v>3589</v>
      </c>
      <c r="H1346" s="167">
        <v>45452.0</v>
      </c>
      <c r="I1346" s="167">
        <v>45482.0</v>
      </c>
      <c r="J1346" s="66">
        <v>336.1340046304086</v>
      </c>
      <c r="K1346" s="1"/>
      <c r="L1346" s="1"/>
      <c r="M1346" s="1" t="str">
        <f>VLOOKUP(B1346,Bounties!A:D,3,FALSE)</f>
        <v>Operations</v>
      </c>
      <c r="N1346" s="1" t="str">
        <f>VLOOKUP(B1346,Bounties!A:D,4,FALSE)</f>
        <v>RPCs and Nodes</v>
      </c>
      <c r="O1346" s="1" t="str">
        <f t="shared" ref="O1346:P1346" si="1350">IF(ISBLANK(K1346),M1346,K1346)</f>
        <v>Operations</v>
      </c>
      <c r="P1346" s="1" t="str">
        <f t="shared" si="1350"/>
        <v>RPCs and Nodes</v>
      </c>
      <c r="Q1346" s="108" t="str">
        <f t="shared" si="3"/>
        <v>2024</v>
      </c>
      <c r="R1346" s="110">
        <f t="shared" si="4"/>
        <v>7</v>
      </c>
      <c r="S1346" s="108" t="str">
        <f t="shared" si="5"/>
        <v>2024-Q3</v>
      </c>
      <c r="T1346" s="111" t="str">
        <f t="shared" si="6"/>
        <v>2024-07</v>
      </c>
      <c r="U1346" s="112" t="str">
        <f t="shared" si="7"/>
        <v>2024-H2</v>
      </c>
      <c r="V1346" s="1" t="str">
        <f>VLOOKUP(B1346,Bounties!A:E,2,FALSE)</f>
        <v>System Parachains Collator Bounty</v>
      </c>
    </row>
    <row r="1347" hidden="1">
      <c r="A1347" s="109">
        <f>HYPERLINK("https://polkadot.subsquare.io/treasury/child-bounties/1345", 1345)</f>
        <v>1345</v>
      </c>
      <c r="B1347" s="183">
        <v>32.0</v>
      </c>
      <c r="C1347" s="27" t="s">
        <v>3404</v>
      </c>
      <c r="D1347" s="27" t="s">
        <v>1875</v>
      </c>
      <c r="E1347" s="129">
        <v>56.7667864023</v>
      </c>
      <c r="F1347" s="66">
        <v>382.705601074319</v>
      </c>
      <c r="G1347" s="27" t="s">
        <v>3592</v>
      </c>
      <c r="H1347" s="167">
        <v>45452.0</v>
      </c>
      <c r="I1347" s="167">
        <v>45460.0</v>
      </c>
      <c r="J1347" s="66">
        <v>320.2083292414322</v>
      </c>
      <c r="K1347" s="1"/>
      <c r="L1347" s="1"/>
      <c r="M1347" s="1" t="str">
        <f>VLOOKUP(B1347,Bounties!A:D,3,FALSE)</f>
        <v>Operations</v>
      </c>
      <c r="N1347" s="1" t="str">
        <f>VLOOKUP(B1347,Bounties!A:D,4,FALSE)</f>
        <v>RPCs and Nodes</v>
      </c>
      <c r="O1347" s="1" t="str">
        <f t="shared" ref="O1347:P1347" si="1351">IF(ISBLANK(K1347),M1347,K1347)</f>
        <v>Operations</v>
      </c>
      <c r="P1347" s="1" t="str">
        <f t="shared" si="1351"/>
        <v>RPCs and Nodes</v>
      </c>
      <c r="Q1347" s="108" t="str">
        <f t="shared" si="3"/>
        <v>2024</v>
      </c>
      <c r="R1347" s="110">
        <f t="shared" si="4"/>
        <v>6</v>
      </c>
      <c r="S1347" s="108" t="str">
        <f t="shared" si="5"/>
        <v>2024-Q2</v>
      </c>
      <c r="T1347" s="111" t="str">
        <f t="shared" si="6"/>
        <v>2024-06</v>
      </c>
      <c r="U1347" s="112" t="str">
        <f t="shared" si="7"/>
        <v>2024-H1</v>
      </c>
      <c r="V1347" s="1" t="str">
        <f>VLOOKUP(B1347,Bounties!A:E,2,FALSE)</f>
        <v>System Parachains Collator Bounty</v>
      </c>
    </row>
    <row r="1348" hidden="1">
      <c r="A1348" s="109">
        <f>HYPERLINK("https://polkadot.subsquare.io/treasury/child-bounties/1346", 1346)</f>
        <v>1346</v>
      </c>
      <c r="B1348" s="183">
        <v>32.0</v>
      </c>
      <c r="C1348" s="27" t="s">
        <v>3404</v>
      </c>
      <c r="D1348" s="27" t="s">
        <v>1876</v>
      </c>
      <c r="E1348" s="129">
        <v>57.1737419195</v>
      </c>
      <c r="F1348" s="66">
        <v>385.44917994659824</v>
      </c>
      <c r="G1348" s="27" t="s">
        <v>3672</v>
      </c>
      <c r="H1348" s="167">
        <v>45452.0</v>
      </c>
      <c r="I1348" s="167">
        <v>45462.0</v>
      </c>
      <c r="J1348" s="66">
        <v>328.6272341609642</v>
      </c>
      <c r="K1348" s="1"/>
      <c r="L1348" s="1"/>
      <c r="M1348" s="1" t="str">
        <f>VLOOKUP(B1348,Bounties!A:D,3,FALSE)</f>
        <v>Operations</v>
      </c>
      <c r="N1348" s="1" t="str">
        <f>VLOOKUP(B1348,Bounties!A:D,4,FALSE)</f>
        <v>RPCs and Nodes</v>
      </c>
      <c r="O1348" s="1" t="str">
        <f t="shared" ref="O1348:P1348" si="1352">IF(ISBLANK(K1348),M1348,K1348)</f>
        <v>Operations</v>
      </c>
      <c r="P1348" s="1" t="str">
        <f t="shared" si="1352"/>
        <v>RPCs and Nodes</v>
      </c>
      <c r="Q1348" s="108" t="str">
        <f t="shared" si="3"/>
        <v>2024</v>
      </c>
      <c r="R1348" s="110">
        <f t="shared" si="4"/>
        <v>6</v>
      </c>
      <c r="S1348" s="108" t="str">
        <f t="shared" si="5"/>
        <v>2024-Q2</v>
      </c>
      <c r="T1348" s="111" t="str">
        <f t="shared" si="6"/>
        <v>2024-06</v>
      </c>
      <c r="U1348" s="112" t="str">
        <f t="shared" si="7"/>
        <v>2024-H1</v>
      </c>
      <c r="V1348" s="1" t="str">
        <f>VLOOKUP(B1348,Bounties!A:E,2,FALSE)</f>
        <v>System Parachains Collator Bounty</v>
      </c>
    </row>
    <row r="1349" hidden="1">
      <c r="A1349" s="109">
        <f>HYPERLINK("https://polkadot.subsquare.io/treasury/child-bounties/1347", 1347)</f>
        <v>1347</v>
      </c>
      <c r="B1349" s="183">
        <v>32.0</v>
      </c>
      <c r="C1349" s="27" t="s">
        <v>3404</v>
      </c>
      <c r="D1349" s="27" t="s">
        <v>1877</v>
      </c>
      <c r="E1349" s="129">
        <v>41.4736451113</v>
      </c>
      <c r="F1349" s="66">
        <v>279.60357256404376</v>
      </c>
      <c r="G1349" s="27" t="s">
        <v>3594</v>
      </c>
      <c r="H1349" s="167">
        <v>45452.0</v>
      </c>
      <c r="I1349" s="167">
        <v>45466.0</v>
      </c>
      <c r="J1349" s="66">
        <v>242.30956272636146</v>
      </c>
      <c r="K1349" s="1"/>
      <c r="L1349" s="1"/>
      <c r="M1349" s="1" t="str">
        <f>VLOOKUP(B1349,Bounties!A:D,3,FALSE)</f>
        <v>Operations</v>
      </c>
      <c r="N1349" s="1" t="str">
        <f>VLOOKUP(B1349,Bounties!A:D,4,FALSE)</f>
        <v>RPCs and Nodes</v>
      </c>
      <c r="O1349" s="1" t="str">
        <f t="shared" ref="O1349:P1349" si="1353">IF(ISBLANK(K1349),M1349,K1349)</f>
        <v>Operations</v>
      </c>
      <c r="P1349" s="1" t="str">
        <f t="shared" si="1353"/>
        <v>RPCs and Nodes</v>
      </c>
      <c r="Q1349" s="108" t="str">
        <f t="shared" si="3"/>
        <v>2024</v>
      </c>
      <c r="R1349" s="110">
        <f t="shared" si="4"/>
        <v>6</v>
      </c>
      <c r="S1349" s="108" t="str">
        <f t="shared" si="5"/>
        <v>2024-Q2</v>
      </c>
      <c r="T1349" s="111" t="str">
        <f t="shared" si="6"/>
        <v>2024-06</v>
      </c>
      <c r="U1349" s="112" t="str">
        <f t="shared" si="7"/>
        <v>2024-H1</v>
      </c>
      <c r="V1349" s="1" t="str">
        <f>VLOOKUP(B1349,Bounties!A:E,2,FALSE)</f>
        <v>System Parachains Collator Bounty</v>
      </c>
    </row>
    <row r="1350" hidden="1">
      <c r="A1350" s="109">
        <f>HYPERLINK("https://polkadot.subsquare.io/treasury/child-bounties/1348", 1348)</f>
        <v>1348</v>
      </c>
      <c r="B1350" s="183">
        <v>32.0</v>
      </c>
      <c r="C1350" s="27" t="s">
        <v>3404</v>
      </c>
      <c r="D1350" s="27" t="s">
        <v>1878</v>
      </c>
      <c r="E1350" s="129">
        <v>42.0738875109</v>
      </c>
      <c r="F1350" s="66">
        <v>283.65023687054924</v>
      </c>
      <c r="G1350" s="27" t="s">
        <v>3595</v>
      </c>
      <c r="H1350" s="167">
        <v>45452.0</v>
      </c>
      <c r="I1350" s="167">
        <v>45461.0</v>
      </c>
      <c r="J1350" s="66">
        <v>236.0791935027304</v>
      </c>
      <c r="K1350" s="1"/>
      <c r="L1350" s="1"/>
      <c r="M1350" s="1" t="str">
        <f>VLOOKUP(B1350,Bounties!A:D,3,FALSE)</f>
        <v>Operations</v>
      </c>
      <c r="N1350" s="1" t="str">
        <f>VLOOKUP(B1350,Bounties!A:D,4,FALSE)</f>
        <v>RPCs and Nodes</v>
      </c>
      <c r="O1350" s="1" t="str">
        <f t="shared" ref="O1350:P1350" si="1354">IF(ISBLANK(K1350),M1350,K1350)</f>
        <v>Operations</v>
      </c>
      <c r="P1350" s="1" t="str">
        <f t="shared" si="1354"/>
        <v>RPCs and Nodes</v>
      </c>
      <c r="Q1350" s="108" t="str">
        <f t="shared" si="3"/>
        <v>2024</v>
      </c>
      <c r="R1350" s="110">
        <f t="shared" si="4"/>
        <v>6</v>
      </c>
      <c r="S1350" s="108" t="str">
        <f t="shared" si="5"/>
        <v>2024-Q2</v>
      </c>
      <c r="T1350" s="111" t="str">
        <f t="shared" si="6"/>
        <v>2024-06</v>
      </c>
      <c r="U1350" s="112" t="str">
        <f t="shared" si="7"/>
        <v>2024-H1</v>
      </c>
      <c r="V1350" s="1" t="str">
        <f>VLOOKUP(B1350,Bounties!A:E,2,FALSE)</f>
        <v>System Parachains Collator Bounty</v>
      </c>
    </row>
    <row r="1351" hidden="1">
      <c r="A1351" s="109">
        <f>HYPERLINK("https://polkadot.subsquare.io/treasury/child-bounties/1349", 1349)</f>
        <v>1349</v>
      </c>
      <c r="B1351" s="183">
        <v>32.0</v>
      </c>
      <c r="C1351" s="27" t="s">
        <v>3404</v>
      </c>
      <c r="D1351" s="27" t="s">
        <v>1879</v>
      </c>
      <c r="E1351" s="129">
        <v>36.7131019419</v>
      </c>
      <c r="F1351" s="66">
        <v>247.5093384079307</v>
      </c>
      <c r="G1351" s="27" t="s">
        <v>3596</v>
      </c>
      <c r="H1351" s="167">
        <v>45452.0</v>
      </c>
      <c r="I1351" s="167">
        <v>45482.0</v>
      </c>
      <c r="J1351" s="66">
        <v>216.7869357811151</v>
      </c>
      <c r="K1351" s="1"/>
      <c r="L1351" s="1"/>
      <c r="M1351" s="1" t="str">
        <f>VLOOKUP(B1351,Bounties!A:D,3,FALSE)</f>
        <v>Operations</v>
      </c>
      <c r="N1351" s="1" t="str">
        <f>VLOOKUP(B1351,Bounties!A:D,4,FALSE)</f>
        <v>RPCs and Nodes</v>
      </c>
      <c r="O1351" s="1" t="str">
        <f t="shared" ref="O1351:P1351" si="1355">IF(ISBLANK(K1351),M1351,K1351)</f>
        <v>Operations</v>
      </c>
      <c r="P1351" s="1" t="str">
        <f t="shared" si="1355"/>
        <v>RPCs and Nodes</v>
      </c>
      <c r="Q1351" s="108" t="str">
        <f t="shared" si="3"/>
        <v>2024</v>
      </c>
      <c r="R1351" s="110">
        <f t="shared" si="4"/>
        <v>7</v>
      </c>
      <c r="S1351" s="108" t="str">
        <f t="shared" si="5"/>
        <v>2024-Q3</v>
      </c>
      <c r="T1351" s="111" t="str">
        <f t="shared" si="6"/>
        <v>2024-07</v>
      </c>
      <c r="U1351" s="112" t="str">
        <f t="shared" si="7"/>
        <v>2024-H2</v>
      </c>
      <c r="V1351" s="1" t="str">
        <f>VLOOKUP(B1351,Bounties!A:E,2,FALSE)</f>
        <v>System Parachains Collator Bounty</v>
      </c>
    </row>
    <row r="1352" hidden="1">
      <c r="A1352" s="109">
        <f>HYPERLINK("https://polkadot.subsquare.io/treasury/child-bounties/1350", 1350)</f>
        <v>1350</v>
      </c>
      <c r="B1352" s="183">
        <v>32.0</v>
      </c>
      <c r="C1352" s="27" t="s">
        <v>3404</v>
      </c>
      <c r="D1352" s="27" t="s">
        <v>1880</v>
      </c>
      <c r="E1352" s="129">
        <v>37.3055825863</v>
      </c>
      <c r="F1352" s="66">
        <v>251.50367515852776</v>
      </c>
      <c r="G1352" s="27" t="s">
        <v>3597</v>
      </c>
      <c r="H1352" s="167">
        <v>45452.0</v>
      </c>
      <c r="I1352" s="167">
        <v>45482.0</v>
      </c>
      <c r="J1352" s="66">
        <v>220.28547054432744</v>
      </c>
      <c r="K1352" s="1"/>
      <c r="L1352" s="1"/>
      <c r="M1352" s="1" t="str">
        <f>VLOOKUP(B1352,Bounties!A:D,3,FALSE)</f>
        <v>Operations</v>
      </c>
      <c r="N1352" s="1" t="str">
        <f>VLOOKUP(B1352,Bounties!A:D,4,FALSE)</f>
        <v>RPCs and Nodes</v>
      </c>
      <c r="O1352" s="1" t="str">
        <f t="shared" ref="O1352:P1352" si="1356">IF(ISBLANK(K1352),M1352,K1352)</f>
        <v>Operations</v>
      </c>
      <c r="P1352" s="1" t="str">
        <f t="shared" si="1356"/>
        <v>RPCs and Nodes</v>
      </c>
      <c r="Q1352" s="108" t="str">
        <f t="shared" si="3"/>
        <v>2024</v>
      </c>
      <c r="R1352" s="110">
        <f t="shared" si="4"/>
        <v>7</v>
      </c>
      <c r="S1352" s="108" t="str">
        <f t="shared" si="5"/>
        <v>2024-Q3</v>
      </c>
      <c r="T1352" s="111" t="str">
        <f t="shared" si="6"/>
        <v>2024-07</v>
      </c>
      <c r="U1352" s="112" t="str">
        <f t="shared" si="7"/>
        <v>2024-H2</v>
      </c>
      <c r="V1352" s="1" t="str">
        <f>VLOOKUP(B1352,Bounties!A:E,2,FALSE)</f>
        <v>System Parachains Collator Bounty</v>
      </c>
    </row>
    <row r="1353" hidden="1">
      <c r="A1353" s="109">
        <f>HYPERLINK("https://polkadot.subsquare.io/treasury/child-bounties/1351", 1351)</f>
        <v>1351</v>
      </c>
      <c r="B1353" s="183">
        <v>32.0</v>
      </c>
      <c r="C1353" s="27" t="s">
        <v>3404</v>
      </c>
      <c r="D1353" s="27" t="s">
        <v>1881</v>
      </c>
      <c r="E1353" s="129">
        <v>36.6820549212</v>
      </c>
      <c r="F1353" s="66">
        <v>247.30002818497118</v>
      </c>
      <c r="G1353" s="27" t="s">
        <v>3599</v>
      </c>
      <c r="H1353" s="167">
        <v>45452.0</v>
      </c>
      <c r="I1353" s="167">
        <v>45482.0</v>
      </c>
      <c r="J1353" s="66">
        <v>216.60360644835163</v>
      </c>
      <c r="K1353" s="1"/>
      <c r="L1353" s="1"/>
      <c r="M1353" s="1" t="str">
        <f>VLOOKUP(B1353,Bounties!A:D,3,FALSE)</f>
        <v>Operations</v>
      </c>
      <c r="N1353" s="1" t="str">
        <f>VLOOKUP(B1353,Bounties!A:D,4,FALSE)</f>
        <v>RPCs and Nodes</v>
      </c>
      <c r="O1353" s="1" t="str">
        <f t="shared" ref="O1353:P1353" si="1357">IF(ISBLANK(K1353),M1353,K1353)</f>
        <v>Operations</v>
      </c>
      <c r="P1353" s="1" t="str">
        <f t="shared" si="1357"/>
        <v>RPCs and Nodes</v>
      </c>
      <c r="Q1353" s="108" t="str">
        <f t="shared" si="3"/>
        <v>2024</v>
      </c>
      <c r="R1353" s="110">
        <f t="shared" si="4"/>
        <v>7</v>
      </c>
      <c r="S1353" s="108" t="str">
        <f t="shared" si="5"/>
        <v>2024-Q3</v>
      </c>
      <c r="T1353" s="111" t="str">
        <f t="shared" si="6"/>
        <v>2024-07</v>
      </c>
      <c r="U1353" s="112" t="str">
        <f t="shared" si="7"/>
        <v>2024-H2</v>
      </c>
      <c r="V1353" s="1" t="str">
        <f>VLOOKUP(B1353,Bounties!A:E,2,FALSE)</f>
        <v>System Parachains Collator Bounty</v>
      </c>
    </row>
    <row r="1354" hidden="1">
      <c r="A1354" s="109">
        <f>HYPERLINK("https://polkadot.subsquare.io/treasury/child-bounties/1352", 1352)</f>
        <v>1352</v>
      </c>
      <c r="B1354" s="183">
        <v>32.0</v>
      </c>
      <c r="C1354" s="27" t="s">
        <v>3404</v>
      </c>
      <c r="D1354" s="27" t="s">
        <v>1882</v>
      </c>
      <c r="E1354" s="129">
        <v>52.3183416116</v>
      </c>
      <c r="F1354" s="66">
        <v>352.71544582040474</v>
      </c>
      <c r="G1354" s="27" t="s">
        <v>3588</v>
      </c>
      <c r="H1354" s="167">
        <v>45452.0</v>
      </c>
      <c r="I1354" s="167">
        <v>45482.0</v>
      </c>
      <c r="J1354" s="66">
        <v>308.9342050442223</v>
      </c>
      <c r="K1354" s="1"/>
      <c r="L1354" s="1"/>
      <c r="M1354" s="1" t="str">
        <f>VLOOKUP(B1354,Bounties!A:D,3,FALSE)</f>
        <v>Operations</v>
      </c>
      <c r="N1354" s="1" t="str">
        <f>VLOOKUP(B1354,Bounties!A:D,4,FALSE)</f>
        <v>RPCs and Nodes</v>
      </c>
      <c r="O1354" s="1" t="str">
        <f t="shared" ref="O1354:P1354" si="1358">IF(ISBLANK(K1354),M1354,K1354)</f>
        <v>Operations</v>
      </c>
      <c r="P1354" s="1" t="str">
        <f t="shared" si="1358"/>
        <v>RPCs and Nodes</v>
      </c>
      <c r="Q1354" s="108" t="str">
        <f t="shared" si="3"/>
        <v>2024</v>
      </c>
      <c r="R1354" s="110">
        <f t="shared" si="4"/>
        <v>7</v>
      </c>
      <c r="S1354" s="108" t="str">
        <f t="shared" si="5"/>
        <v>2024-Q3</v>
      </c>
      <c r="T1354" s="111" t="str">
        <f t="shared" si="6"/>
        <v>2024-07</v>
      </c>
      <c r="U1354" s="112" t="str">
        <f t="shared" si="7"/>
        <v>2024-H2</v>
      </c>
      <c r="V1354" s="1" t="str">
        <f>VLOOKUP(B1354,Bounties!A:E,2,FALSE)</f>
        <v>System Parachains Collator Bounty</v>
      </c>
    </row>
    <row r="1355" hidden="1">
      <c r="A1355" s="109">
        <f>HYPERLINK("https://polkadot.subsquare.io/treasury/child-bounties/1353", 1353)</f>
        <v>1353</v>
      </c>
      <c r="B1355" s="183">
        <v>32.0</v>
      </c>
      <c r="C1355" s="27" t="s">
        <v>3404</v>
      </c>
      <c r="D1355" s="27" t="s">
        <v>1883</v>
      </c>
      <c r="E1355" s="129">
        <v>57.0720030402</v>
      </c>
      <c r="F1355" s="66">
        <v>384.76328522852845</v>
      </c>
      <c r="G1355" s="27" t="s">
        <v>3591</v>
      </c>
      <c r="H1355" s="167">
        <v>45452.0</v>
      </c>
      <c r="I1355" s="167">
        <v>45462.0</v>
      </c>
      <c r="J1355" s="66">
        <v>320.2345503686874</v>
      </c>
      <c r="K1355" s="1"/>
      <c r="L1355" s="1"/>
      <c r="M1355" s="1" t="str">
        <f>VLOOKUP(B1355,Bounties!A:D,3,FALSE)</f>
        <v>Operations</v>
      </c>
      <c r="N1355" s="1" t="str">
        <f>VLOOKUP(B1355,Bounties!A:D,4,FALSE)</f>
        <v>RPCs and Nodes</v>
      </c>
      <c r="O1355" s="1" t="str">
        <f t="shared" ref="O1355:P1355" si="1359">IF(ISBLANK(K1355),M1355,K1355)</f>
        <v>Operations</v>
      </c>
      <c r="P1355" s="1" t="str">
        <f t="shared" si="1359"/>
        <v>RPCs and Nodes</v>
      </c>
      <c r="Q1355" s="108" t="str">
        <f t="shared" si="3"/>
        <v>2024</v>
      </c>
      <c r="R1355" s="110">
        <f t="shared" si="4"/>
        <v>6</v>
      </c>
      <c r="S1355" s="108" t="str">
        <f t="shared" si="5"/>
        <v>2024-Q2</v>
      </c>
      <c r="T1355" s="111" t="str">
        <f t="shared" si="6"/>
        <v>2024-06</v>
      </c>
      <c r="U1355" s="112" t="str">
        <f t="shared" si="7"/>
        <v>2024-H1</v>
      </c>
      <c r="V1355" s="1" t="str">
        <f>VLOOKUP(B1355,Bounties!A:E,2,FALSE)</f>
        <v>System Parachains Collator Bounty</v>
      </c>
    </row>
    <row r="1356" hidden="1">
      <c r="A1356" s="109">
        <f>HYPERLINK("https://polkadot.subsquare.io/treasury/child-bounties/1354", 1354)</f>
        <v>1354</v>
      </c>
      <c r="B1356" s="183">
        <v>32.0</v>
      </c>
      <c r="C1356" s="27" t="s">
        <v>3404</v>
      </c>
      <c r="D1356" s="27" t="s">
        <v>1884</v>
      </c>
      <c r="E1356" s="129">
        <v>9.9084626671</v>
      </c>
      <c r="F1356" s="66">
        <v>66.80004983655928</v>
      </c>
      <c r="G1356" s="27" t="s">
        <v>3407</v>
      </c>
      <c r="H1356" s="167">
        <v>45452.0</v>
      </c>
      <c r="I1356" s="167">
        <v>45468.0</v>
      </c>
      <c r="J1356" s="66">
        <v>61.18080426592983</v>
      </c>
      <c r="K1356" s="1"/>
      <c r="L1356" s="1"/>
      <c r="M1356" s="1" t="str">
        <f>VLOOKUP(B1356,Bounties!A:D,3,FALSE)</f>
        <v>Operations</v>
      </c>
      <c r="N1356" s="1" t="str">
        <f>VLOOKUP(B1356,Bounties!A:D,4,FALSE)</f>
        <v>RPCs and Nodes</v>
      </c>
      <c r="O1356" s="1" t="str">
        <f t="shared" ref="O1356:P1356" si="1360">IF(ISBLANK(K1356),M1356,K1356)</f>
        <v>Operations</v>
      </c>
      <c r="P1356" s="1" t="str">
        <f t="shared" si="1360"/>
        <v>RPCs and Nodes</v>
      </c>
      <c r="Q1356" s="108" t="str">
        <f t="shared" si="3"/>
        <v>2024</v>
      </c>
      <c r="R1356" s="110">
        <f t="shared" si="4"/>
        <v>6</v>
      </c>
      <c r="S1356" s="108" t="str">
        <f t="shared" si="5"/>
        <v>2024-Q2</v>
      </c>
      <c r="T1356" s="111" t="str">
        <f t="shared" si="6"/>
        <v>2024-06</v>
      </c>
      <c r="U1356" s="112" t="str">
        <f t="shared" si="7"/>
        <v>2024-H1</v>
      </c>
      <c r="V1356" s="1" t="str">
        <f>VLOOKUP(B1356,Bounties!A:E,2,FALSE)</f>
        <v>System Parachains Collator Bounty</v>
      </c>
    </row>
    <row r="1357" hidden="1">
      <c r="A1357" s="109">
        <f>HYPERLINK("https://polkadot.subsquare.io/treasury/child-bounties/1355", 1355)</f>
        <v>1355</v>
      </c>
      <c r="B1357" s="183">
        <v>32.0</v>
      </c>
      <c r="C1357" s="27" t="s">
        <v>3404</v>
      </c>
      <c r="D1357" s="27" t="s">
        <v>1885</v>
      </c>
      <c r="E1357" s="129">
        <v>9.9084626671</v>
      </c>
      <c r="F1357" s="66">
        <v>66.80004983655928</v>
      </c>
      <c r="G1357" s="27" t="s">
        <v>3406</v>
      </c>
      <c r="H1357" s="167">
        <v>45452.0</v>
      </c>
      <c r="I1357" s="167">
        <v>45482.0</v>
      </c>
      <c r="J1357" s="66">
        <v>58.508411065388124</v>
      </c>
      <c r="K1357" s="1"/>
      <c r="L1357" s="1"/>
      <c r="M1357" s="1" t="str">
        <f>VLOOKUP(B1357,Bounties!A:D,3,FALSE)</f>
        <v>Operations</v>
      </c>
      <c r="N1357" s="1" t="str">
        <f>VLOOKUP(B1357,Bounties!A:D,4,FALSE)</f>
        <v>RPCs and Nodes</v>
      </c>
      <c r="O1357" s="1" t="str">
        <f t="shared" ref="O1357:P1357" si="1361">IF(ISBLANK(K1357),M1357,K1357)</f>
        <v>Operations</v>
      </c>
      <c r="P1357" s="1" t="str">
        <f t="shared" si="1361"/>
        <v>RPCs and Nodes</v>
      </c>
      <c r="Q1357" s="108" t="str">
        <f t="shared" si="3"/>
        <v>2024</v>
      </c>
      <c r="R1357" s="110">
        <f t="shared" si="4"/>
        <v>7</v>
      </c>
      <c r="S1357" s="108" t="str">
        <f t="shared" si="5"/>
        <v>2024-Q3</v>
      </c>
      <c r="T1357" s="111" t="str">
        <f t="shared" si="6"/>
        <v>2024-07</v>
      </c>
      <c r="U1357" s="112" t="str">
        <f t="shared" si="7"/>
        <v>2024-H2</v>
      </c>
      <c r="V1357" s="1" t="str">
        <f>VLOOKUP(B1357,Bounties!A:E,2,FALSE)</f>
        <v>System Parachains Collator Bounty</v>
      </c>
    </row>
    <row r="1358" hidden="1">
      <c r="A1358" s="109">
        <f>HYPERLINK("https://polkadot.subsquare.io/treasury/child-bounties/1356", 1356)</f>
        <v>1356</v>
      </c>
      <c r="B1358" s="183">
        <v>32.0</v>
      </c>
      <c r="C1358" s="27" t="s">
        <v>3404</v>
      </c>
      <c r="D1358" s="27" t="s">
        <v>1886</v>
      </c>
      <c r="E1358" s="129">
        <v>9.9084626671</v>
      </c>
      <c r="F1358" s="66">
        <v>66.80004983655928</v>
      </c>
      <c r="G1358" s="27" t="s">
        <v>3411</v>
      </c>
      <c r="H1358" s="167">
        <v>45452.0</v>
      </c>
      <c r="I1358" s="167">
        <v>45468.0</v>
      </c>
      <c r="J1358" s="66">
        <v>61.18080426592983</v>
      </c>
      <c r="K1358" s="1"/>
      <c r="L1358" s="1"/>
      <c r="M1358" s="1" t="str">
        <f>VLOOKUP(B1358,Bounties!A:D,3,FALSE)</f>
        <v>Operations</v>
      </c>
      <c r="N1358" s="1" t="str">
        <f>VLOOKUP(B1358,Bounties!A:D,4,FALSE)</f>
        <v>RPCs and Nodes</v>
      </c>
      <c r="O1358" s="1" t="str">
        <f t="shared" ref="O1358:P1358" si="1362">IF(ISBLANK(K1358),M1358,K1358)</f>
        <v>Operations</v>
      </c>
      <c r="P1358" s="1" t="str">
        <f t="shared" si="1362"/>
        <v>RPCs and Nodes</v>
      </c>
      <c r="Q1358" s="108" t="str">
        <f t="shared" si="3"/>
        <v>2024</v>
      </c>
      <c r="R1358" s="110">
        <f t="shared" si="4"/>
        <v>6</v>
      </c>
      <c r="S1358" s="108" t="str">
        <f t="shared" si="5"/>
        <v>2024-Q2</v>
      </c>
      <c r="T1358" s="111" t="str">
        <f t="shared" si="6"/>
        <v>2024-06</v>
      </c>
      <c r="U1358" s="112" t="str">
        <f t="shared" si="7"/>
        <v>2024-H1</v>
      </c>
      <c r="V1358" s="1" t="str">
        <f>VLOOKUP(B1358,Bounties!A:E,2,FALSE)</f>
        <v>System Parachains Collator Bounty</v>
      </c>
    </row>
    <row r="1359" hidden="1">
      <c r="A1359" s="109">
        <f>HYPERLINK("https://polkadot.subsquare.io/treasury/child-bounties/1357", 1357)</f>
        <v>1357</v>
      </c>
      <c r="B1359" s="183">
        <v>42.0</v>
      </c>
      <c r="C1359" s="27" t="s">
        <v>3404</v>
      </c>
      <c r="D1359" s="27" t="s">
        <v>1887</v>
      </c>
      <c r="E1359" s="129">
        <v>31.72</v>
      </c>
      <c r="F1359" s="66">
        <v>201.7414881515503</v>
      </c>
      <c r="G1359" s="27" t="s">
        <v>3703</v>
      </c>
      <c r="H1359" s="167">
        <v>45453.0</v>
      </c>
      <c r="I1359" s="167">
        <v>45463.0</v>
      </c>
      <c r="J1359" s="66">
        <v>182.3224353981018</v>
      </c>
      <c r="K1359" s="1"/>
      <c r="L1359" s="1"/>
      <c r="M1359" s="1" t="str">
        <f>VLOOKUP(B1359,Bounties!A:D,3,FALSE)</f>
        <v>Outreach</v>
      </c>
      <c r="N1359" s="1" t="str">
        <f>VLOOKUP(B1359,Bounties!A:D,4,FALSE)</f>
        <v>Media</v>
      </c>
      <c r="O1359" s="1" t="str">
        <f t="shared" ref="O1359:P1359" si="1363">IF(ISBLANK(K1359),M1359,K1359)</f>
        <v>Outreach</v>
      </c>
      <c r="P1359" s="1" t="str">
        <f t="shared" si="1363"/>
        <v>Media</v>
      </c>
      <c r="Q1359" s="108" t="str">
        <f t="shared" si="3"/>
        <v>2024</v>
      </c>
      <c r="R1359" s="110">
        <f t="shared" si="4"/>
        <v>6</v>
      </c>
      <c r="S1359" s="108" t="str">
        <f t="shared" si="5"/>
        <v>2024-Q2</v>
      </c>
      <c r="T1359" s="111" t="str">
        <f t="shared" si="6"/>
        <v>2024-06</v>
      </c>
      <c r="U1359" s="112" t="str">
        <f t="shared" si="7"/>
        <v>2024-H1</v>
      </c>
      <c r="V1359" s="1" t="str">
        <f>VLOOKUP(B1359,Bounties!A:E,2,FALSE)</f>
        <v>Spanish Bounty</v>
      </c>
    </row>
    <row r="1360" hidden="1">
      <c r="A1360" s="109">
        <f>HYPERLINK("https://polkadot.subsquare.io/treasury/child-bounties/1358", 1358)</f>
        <v>1358</v>
      </c>
      <c r="B1360" s="183">
        <v>42.0</v>
      </c>
      <c r="C1360" s="27" t="s">
        <v>3404</v>
      </c>
      <c r="D1360" s="27" t="s">
        <v>1888</v>
      </c>
      <c r="E1360" s="129">
        <v>20.8</v>
      </c>
      <c r="F1360" s="66">
        <v>132.2895004272461</v>
      </c>
      <c r="G1360" s="27" t="s">
        <v>3704</v>
      </c>
      <c r="H1360" s="167">
        <v>45453.0</v>
      </c>
      <c r="I1360" s="167">
        <v>45462.0</v>
      </c>
      <c r="J1360" s="66">
        <v>119.55569534301758</v>
      </c>
      <c r="K1360" s="1"/>
      <c r="L1360" s="1"/>
      <c r="M1360" s="1" t="str">
        <f>VLOOKUP(B1360,Bounties!A:D,3,FALSE)</f>
        <v>Outreach</v>
      </c>
      <c r="N1360" s="1" t="str">
        <f>VLOOKUP(B1360,Bounties!A:D,4,FALSE)</f>
        <v>Media</v>
      </c>
      <c r="O1360" s="1" t="str">
        <f t="shared" ref="O1360:P1360" si="1364">IF(ISBLANK(K1360),M1360,K1360)</f>
        <v>Outreach</v>
      </c>
      <c r="P1360" s="1" t="str">
        <f t="shared" si="1364"/>
        <v>Media</v>
      </c>
      <c r="Q1360" s="108" t="str">
        <f t="shared" si="3"/>
        <v>2024</v>
      </c>
      <c r="R1360" s="110">
        <f t="shared" si="4"/>
        <v>6</v>
      </c>
      <c r="S1360" s="108" t="str">
        <f t="shared" si="5"/>
        <v>2024-Q2</v>
      </c>
      <c r="T1360" s="111" t="str">
        <f t="shared" si="6"/>
        <v>2024-06</v>
      </c>
      <c r="U1360" s="112" t="str">
        <f t="shared" si="7"/>
        <v>2024-H1</v>
      </c>
      <c r="V1360" s="1" t="str">
        <f>VLOOKUP(B1360,Bounties!A:E,2,FALSE)</f>
        <v>Spanish Bounty</v>
      </c>
    </row>
    <row r="1361" hidden="1">
      <c r="A1361" s="109">
        <f>HYPERLINK("https://polkadot.subsquare.io/treasury/child-bounties/1359", 1359)</f>
        <v>1359</v>
      </c>
      <c r="B1361" s="183">
        <v>42.0</v>
      </c>
      <c r="C1361" s="27" t="s">
        <v>3404</v>
      </c>
      <c r="D1361" s="27" t="s">
        <v>1889</v>
      </c>
      <c r="E1361" s="129">
        <v>8.79</v>
      </c>
      <c r="F1361" s="66">
        <v>55.90503407478332</v>
      </c>
      <c r="G1361" s="27" t="s">
        <v>3702</v>
      </c>
      <c r="H1361" s="167">
        <v>45453.0</v>
      </c>
      <c r="I1361" s="167">
        <v>45462.0</v>
      </c>
      <c r="J1361" s="66">
        <v>50.52377702236175</v>
      </c>
      <c r="K1361" s="1"/>
      <c r="L1361" s="1"/>
      <c r="M1361" s="1" t="str">
        <f>VLOOKUP(B1361,Bounties!A:D,3,FALSE)</f>
        <v>Outreach</v>
      </c>
      <c r="N1361" s="1" t="str">
        <f>VLOOKUP(B1361,Bounties!A:D,4,FALSE)</f>
        <v>Media</v>
      </c>
      <c r="O1361" s="1" t="str">
        <f t="shared" ref="O1361:P1361" si="1365">IF(ISBLANK(K1361),M1361,K1361)</f>
        <v>Outreach</v>
      </c>
      <c r="P1361" s="1" t="str">
        <f t="shared" si="1365"/>
        <v>Media</v>
      </c>
      <c r="Q1361" s="108" t="str">
        <f t="shared" si="3"/>
        <v>2024</v>
      </c>
      <c r="R1361" s="110">
        <f t="shared" si="4"/>
        <v>6</v>
      </c>
      <c r="S1361" s="108" t="str">
        <f t="shared" si="5"/>
        <v>2024-Q2</v>
      </c>
      <c r="T1361" s="111" t="str">
        <f t="shared" si="6"/>
        <v>2024-06</v>
      </c>
      <c r="U1361" s="112" t="str">
        <f t="shared" si="7"/>
        <v>2024-H1</v>
      </c>
      <c r="V1361" s="1" t="str">
        <f>VLOOKUP(B1361,Bounties!A:E,2,FALSE)</f>
        <v>Spanish Bounty</v>
      </c>
    </row>
    <row r="1362" hidden="1">
      <c r="A1362" s="109">
        <f>HYPERLINK("https://polkadot.subsquare.io/treasury/child-bounties/1360", 1360)</f>
        <v>1360</v>
      </c>
      <c r="B1362" s="183">
        <v>42.0</v>
      </c>
      <c r="C1362" s="27" t="s">
        <v>3404</v>
      </c>
      <c r="D1362" s="27" t="s">
        <v>1890</v>
      </c>
      <c r="E1362" s="129">
        <v>12.42</v>
      </c>
      <c r="F1362" s="66">
        <v>78.99209592819214</v>
      </c>
      <c r="G1362" s="27" t="s">
        <v>3689</v>
      </c>
      <c r="H1362" s="167">
        <v>45453.0</v>
      </c>
      <c r="I1362" s="167">
        <v>45462.0</v>
      </c>
      <c r="J1362" s="66">
        <v>71.38854500770569</v>
      </c>
      <c r="K1362" s="1"/>
      <c r="L1362" s="1"/>
      <c r="M1362" s="1" t="str">
        <f>VLOOKUP(B1362,Bounties!A:D,3,FALSE)</f>
        <v>Outreach</v>
      </c>
      <c r="N1362" s="1" t="str">
        <f>VLOOKUP(B1362,Bounties!A:D,4,FALSE)</f>
        <v>Media</v>
      </c>
      <c r="O1362" s="1" t="str">
        <f t="shared" ref="O1362:P1362" si="1366">IF(ISBLANK(K1362),M1362,K1362)</f>
        <v>Outreach</v>
      </c>
      <c r="P1362" s="1" t="str">
        <f t="shared" si="1366"/>
        <v>Media</v>
      </c>
      <c r="Q1362" s="108" t="str">
        <f t="shared" si="3"/>
        <v>2024</v>
      </c>
      <c r="R1362" s="110">
        <f t="shared" si="4"/>
        <v>6</v>
      </c>
      <c r="S1362" s="108" t="str">
        <f t="shared" si="5"/>
        <v>2024-Q2</v>
      </c>
      <c r="T1362" s="111" t="str">
        <f t="shared" si="6"/>
        <v>2024-06</v>
      </c>
      <c r="U1362" s="112" t="str">
        <f t="shared" si="7"/>
        <v>2024-H1</v>
      </c>
      <c r="V1362" s="1" t="str">
        <f>VLOOKUP(B1362,Bounties!A:E,2,FALSE)</f>
        <v>Spanish Bounty</v>
      </c>
    </row>
    <row r="1363" hidden="1">
      <c r="A1363" s="109">
        <f>HYPERLINK("https://polkadot.subsquare.io/treasury/child-bounties/1361", 1361)</f>
        <v>1361</v>
      </c>
      <c r="B1363" s="183">
        <v>42.0</v>
      </c>
      <c r="C1363" s="27" t="s">
        <v>3404</v>
      </c>
      <c r="D1363" s="27" t="s">
        <v>1891</v>
      </c>
      <c r="E1363" s="129">
        <v>7.65</v>
      </c>
      <c r="F1363" s="66">
        <v>48.65455183982849</v>
      </c>
      <c r="G1363" s="27" t="s">
        <v>3681</v>
      </c>
      <c r="H1363" s="167">
        <v>45453.0</v>
      </c>
      <c r="I1363" s="167">
        <v>45462.0</v>
      </c>
      <c r="J1363" s="66">
        <v>43.971205258369444</v>
      </c>
      <c r="K1363" s="1"/>
      <c r="L1363" s="1"/>
      <c r="M1363" s="1" t="str">
        <f>VLOOKUP(B1363,Bounties!A:D,3,FALSE)</f>
        <v>Outreach</v>
      </c>
      <c r="N1363" s="1" t="str">
        <f>VLOOKUP(B1363,Bounties!A:D,4,FALSE)</f>
        <v>Media</v>
      </c>
      <c r="O1363" s="1" t="str">
        <f t="shared" ref="O1363:P1363" si="1367">IF(ISBLANK(K1363),M1363,K1363)</f>
        <v>Outreach</v>
      </c>
      <c r="P1363" s="1" t="str">
        <f t="shared" si="1367"/>
        <v>Media</v>
      </c>
      <c r="Q1363" s="108" t="str">
        <f t="shared" si="3"/>
        <v>2024</v>
      </c>
      <c r="R1363" s="110">
        <f t="shared" si="4"/>
        <v>6</v>
      </c>
      <c r="S1363" s="108" t="str">
        <f t="shared" si="5"/>
        <v>2024-Q2</v>
      </c>
      <c r="T1363" s="111" t="str">
        <f t="shared" si="6"/>
        <v>2024-06</v>
      </c>
      <c r="U1363" s="112" t="str">
        <f t="shared" si="7"/>
        <v>2024-H1</v>
      </c>
      <c r="V1363" s="1" t="str">
        <f>VLOOKUP(B1363,Bounties!A:E,2,FALSE)</f>
        <v>Spanish Bounty</v>
      </c>
    </row>
    <row r="1364" hidden="1">
      <c r="A1364" s="109">
        <f>HYPERLINK("https://polkadot.subsquare.io/treasury/child-bounties/1362", 1362)</f>
        <v>1362</v>
      </c>
      <c r="B1364" s="183">
        <v>42.0</v>
      </c>
      <c r="C1364" s="27" t="s">
        <v>3404</v>
      </c>
      <c r="D1364" s="27" t="s">
        <v>1892</v>
      </c>
      <c r="E1364" s="129">
        <v>17.02</v>
      </c>
      <c r="F1364" s="66">
        <v>108.24842775344848</v>
      </c>
      <c r="G1364" s="27" t="s">
        <v>3695</v>
      </c>
      <c r="H1364" s="167">
        <v>45453.0</v>
      </c>
      <c r="I1364" s="167">
        <v>45461.0</v>
      </c>
      <c r="J1364" s="66">
        <v>95.5002760887146</v>
      </c>
      <c r="K1364" s="1"/>
      <c r="L1364" s="1"/>
      <c r="M1364" s="1" t="str">
        <f>VLOOKUP(B1364,Bounties!A:D,3,FALSE)</f>
        <v>Outreach</v>
      </c>
      <c r="N1364" s="1" t="str">
        <f>VLOOKUP(B1364,Bounties!A:D,4,FALSE)</f>
        <v>Media</v>
      </c>
      <c r="O1364" s="1" t="str">
        <f t="shared" ref="O1364:P1364" si="1368">IF(ISBLANK(K1364),M1364,K1364)</f>
        <v>Outreach</v>
      </c>
      <c r="P1364" s="1" t="str">
        <f t="shared" si="1368"/>
        <v>Media</v>
      </c>
      <c r="Q1364" s="108" t="str">
        <f t="shared" si="3"/>
        <v>2024</v>
      </c>
      <c r="R1364" s="110">
        <f t="shared" si="4"/>
        <v>6</v>
      </c>
      <c r="S1364" s="108" t="str">
        <f t="shared" si="5"/>
        <v>2024-Q2</v>
      </c>
      <c r="T1364" s="111" t="str">
        <f t="shared" si="6"/>
        <v>2024-06</v>
      </c>
      <c r="U1364" s="112" t="str">
        <f t="shared" si="7"/>
        <v>2024-H1</v>
      </c>
      <c r="V1364" s="1" t="str">
        <f>VLOOKUP(B1364,Bounties!A:E,2,FALSE)</f>
        <v>Spanish Bounty</v>
      </c>
    </row>
    <row r="1365" hidden="1">
      <c r="A1365" s="109">
        <f>HYPERLINK("https://polkadot.subsquare.io/treasury/child-bounties/1363", 1363)</f>
        <v>1363</v>
      </c>
      <c r="B1365" s="183">
        <v>42.0</v>
      </c>
      <c r="C1365" s="27" t="s">
        <v>3404</v>
      </c>
      <c r="D1365" s="27" t="s">
        <v>1893</v>
      </c>
      <c r="E1365" s="129">
        <v>36.86</v>
      </c>
      <c r="F1365" s="66">
        <v>234.4322589302063</v>
      </c>
      <c r="G1365" s="27" t="s">
        <v>3695</v>
      </c>
      <c r="H1365" s="167">
        <v>45453.0</v>
      </c>
      <c r="I1365" s="167">
        <v>45461.0</v>
      </c>
      <c r="J1365" s="66">
        <v>206.82374715805054</v>
      </c>
      <c r="K1365" s="1"/>
      <c r="L1365" s="1"/>
      <c r="M1365" s="1" t="str">
        <f>VLOOKUP(B1365,Bounties!A:D,3,FALSE)</f>
        <v>Outreach</v>
      </c>
      <c r="N1365" s="1" t="str">
        <f>VLOOKUP(B1365,Bounties!A:D,4,FALSE)</f>
        <v>Media</v>
      </c>
      <c r="O1365" s="1" t="str">
        <f t="shared" ref="O1365:P1365" si="1369">IF(ISBLANK(K1365),M1365,K1365)</f>
        <v>Outreach</v>
      </c>
      <c r="P1365" s="1" t="str">
        <f t="shared" si="1369"/>
        <v>Media</v>
      </c>
      <c r="Q1365" s="108" t="str">
        <f t="shared" si="3"/>
        <v>2024</v>
      </c>
      <c r="R1365" s="110">
        <f t="shared" si="4"/>
        <v>6</v>
      </c>
      <c r="S1365" s="108" t="str">
        <f t="shared" si="5"/>
        <v>2024-Q2</v>
      </c>
      <c r="T1365" s="111" t="str">
        <f t="shared" si="6"/>
        <v>2024-06</v>
      </c>
      <c r="U1365" s="112" t="str">
        <f t="shared" si="7"/>
        <v>2024-H1</v>
      </c>
      <c r="V1365" s="1" t="str">
        <f>VLOOKUP(B1365,Bounties!A:E,2,FALSE)</f>
        <v>Spanish Bounty</v>
      </c>
    </row>
    <row r="1366" hidden="1">
      <c r="A1366" s="109">
        <f>HYPERLINK("https://polkadot.subsquare.io/treasury/child-bounties/1364", 1364)</f>
        <v>1364</v>
      </c>
      <c r="B1366" s="183">
        <v>42.0</v>
      </c>
      <c r="C1366" s="27" t="s">
        <v>3404</v>
      </c>
      <c r="D1366" s="27" t="s">
        <v>1894</v>
      </c>
      <c r="E1366" s="129">
        <v>30.47</v>
      </c>
      <c r="F1366" s="66">
        <v>193.79139798164368</v>
      </c>
      <c r="G1366" s="27" t="s">
        <v>3695</v>
      </c>
      <c r="H1366" s="167">
        <v>45453.0</v>
      </c>
      <c r="I1366" s="167">
        <v>45461.0</v>
      </c>
      <c r="J1366" s="66">
        <v>170.96906065940857</v>
      </c>
      <c r="K1366" s="1"/>
      <c r="L1366" s="1"/>
      <c r="M1366" s="1" t="str">
        <f>VLOOKUP(B1366,Bounties!A:D,3,FALSE)</f>
        <v>Outreach</v>
      </c>
      <c r="N1366" s="1" t="str">
        <f>VLOOKUP(B1366,Bounties!A:D,4,FALSE)</f>
        <v>Media</v>
      </c>
      <c r="O1366" s="1" t="str">
        <f t="shared" ref="O1366:P1366" si="1370">IF(ISBLANK(K1366),M1366,K1366)</f>
        <v>Outreach</v>
      </c>
      <c r="P1366" s="1" t="str">
        <f t="shared" si="1370"/>
        <v>Media</v>
      </c>
      <c r="Q1366" s="108" t="str">
        <f t="shared" si="3"/>
        <v>2024</v>
      </c>
      <c r="R1366" s="110">
        <f t="shared" si="4"/>
        <v>6</v>
      </c>
      <c r="S1366" s="108" t="str">
        <f t="shared" si="5"/>
        <v>2024-Q2</v>
      </c>
      <c r="T1366" s="111" t="str">
        <f t="shared" si="6"/>
        <v>2024-06</v>
      </c>
      <c r="U1366" s="112" t="str">
        <f t="shared" si="7"/>
        <v>2024-H1</v>
      </c>
      <c r="V1366" s="1" t="str">
        <f>VLOOKUP(B1366,Bounties!A:E,2,FALSE)</f>
        <v>Spanish Bounty</v>
      </c>
    </row>
    <row r="1367" hidden="1">
      <c r="A1367" s="109">
        <f>HYPERLINK("https://polkadot.subsquare.io/treasury/child-bounties/1365", 1365)</f>
        <v>1365</v>
      </c>
      <c r="B1367" s="183">
        <v>42.0</v>
      </c>
      <c r="C1367" s="27" t="s">
        <v>3404</v>
      </c>
      <c r="D1367" s="27" t="s">
        <v>1895</v>
      </c>
      <c r="E1367" s="129">
        <v>33.98</v>
      </c>
      <c r="F1367" s="66">
        <v>216.11525117874143</v>
      </c>
      <c r="G1367" s="27" t="s">
        <v>3695</v>
      </c>
      <c r="H1367" s="167">
        <v>45453.0</v>
      </c>
      <c r="I1367" s="167">
        <v>45461.0</v>
      </c>
      <c r="J1367" s="66">
        <v>190.66388845443723</v>
      </c>
      <c r="K1367" s="1"/>
      <c r="L1367" s="1"/>
      <c r="M1367" s="1" t="str">
        <f>VLOOKUP(B1367,Bounties!A:D,3,FALSE)</f>
        <v>Outreach</v>
      </c>
      <c r="N1367" s="1" t="str">
        <f>VLOOKUP(B1367,Bounties!A:D,4,FALSE)</f>
        <v>Media</v>
      </c>
      <c r="O1367" s="1" t="str">
        <f t="shared" ref="O1367:P1367" si="1371">IF(ISBLANK(K1367),M1367,K1367)</f>
        <v>Outreach</v>
      </c>
      <c r="P1367" s="1" t="str">
        <f t="shared" si="1371"/>
        <v>Media</v>
      </c>
      <c r="Q1367" s="108" t="str">
        <f t="shared" si="3"/>
        <v>2024</v>
      </c>
      <c r="R1367" s="110">
        <f t="shared" si="4"/>
        <v>6</v>
      </c>
      <c r="S1367" s="108" t="str">
        <f t="shared" si="5"/>
        <v>2024-Q2</v>
      </c>
      <c r="T1367" s="111" t="str">
        <f t="shared" si="6"/>
        <v>2024-06</v>
      </c>
      <c r="U1367" s="112" t="str">
        <f t="shared" si="7"/>
        <v>2024-H1</v>
      </c>
      <c r="V1367" s="1" t="str">
        <f>VLOOKUP(B1367,Bounties!A:E,2,FALSE)</f>
        <v>Spanish Bounty</v>
      </c>
    </row>
    <row r="1368" hidden="1">
      <c r="A1368" s="109">
        <f>HYPERLINK("https://polkadot.subsquare.io/treasury/child-bounties/1366", 1366)</f>
        <v>1366</v>
      </c>
      <c r="B1368" s="183">
        <v>42.0</v>
      </c>
      <c r="C1368" s="27" t="s">
        <v>3404</v>
      </c>
      <c r="D1368" s="27" t="s">
        <v>1896</v>
      </c>
      <c r="E1368" s="129">
        <v>32.58</v>
      </c>
      <c r="F1368" s="66">
        <v>207.21115018844603</v>
      </c>
      <c r="G1368" s="27" t="s">
        <v>3676</v>
      </c>
      <c r="H1368" s="167">
        <v>45453.0</v>
      </c>
      <c r="I1368" s="167">
        <v>45462.0</v>
      </c>
      <c r="J1368" s="66">
        <v>182.80840158462524</v>
      </c>
      <c r="K1368" s="1"/>
      <c r="L1368" s="1"/>
      <c r="M1368" s="1" t="str">
        <f>VLOOKUP(B1368,Bounties!A:D,3,FALSE)</f>
        <v>Outreach</v>
      </c>
      <c r="N1368" s="1" t="str">
        <f>VLOOKUP(B1368,Bounties!A:D,4,FALSE)</f>
        <v>Media</v>
      </c>
      <c r="O1368" s="1" t="str">
        <f t="shared" ref="O1368:P1368" si="1372">IF(ISBLANK(K1368),M1368,K1368)</f>
        <v>Outreach</v>
      </c>
      <c r="P1368" s="1" t="str">
        <f t="shared" si="1372"/>
        <v>Media</v>
      </c>
      <c r="Q1368" s="108" t="str">
        <f t="shared" si="3"/>
        <v>2024</v>
      </c>
      <c r="R1368" s="110">
        <f t="shared" si="4"/>
        <v>6</v>
      </c>
      <c r="S1368" s="108" t="str">
        <f t="shared" si="5"/>
        <v>2024-Q2</v>
      </c>
      <c r="T1368" s="111" t="str">
        <f t="shared" si="6"/>
        <v>2024-06</v>
      </c>
      <c r="U1368" s="112" t="str">
        <f t="shared" si="7"/>
        <v>2024-H1</v>
      </c>
      <c r="V1368" s="1" t="str">
        <f>VLOOKUP(B1368,Bounties!A:E,2,FALSE)</f>
        <v>Spanish Bounty</v>
      </c>
    </row>
    <row r="1369" hidden="1">
      <c r="A1369" s="109">
        <f>HYPERLINK("https://polkadot.subsquare.io/treasury/child-bounties/1367", 1367)</f>
        <v>1367</v>
      </c>
      <c r="B1369" s="183">
        <v>42.0</v>
      </c>
      <c r="C1369" s="27" t="s">
        <v>3404</v>
      </c>
      <c r="D1369" s="27" t="s">
        <v>1897</v>
      </c>
      <c r="E1369" s="129">
        <v>10.93</v>
      </c>
      <c r="F1369" s="66">
        <v>69.51558844566345</v>
      </c>
      <c r="G1369" s="27" t="s">
        <v>3680</v>
      </c>
      <c r="H1369" s="167">
        <v>45453.0</v>
      </c>
      <c r="I1369" s="167">
        <v>45462.0</v>
      </c>
      <c r="J1369" s="66">
        <v>62.82421875476837</v>
      </c>
      <c r="K1369" s="1"/>
      <c r="L1369" s="1"/>
      <c r="M1369" s="1" t="str">
        <f>VLOOKUP(B1369,Bounties!A:D,3,FALSE)</f>
        <v>Outreach</v>
      </c>
      <c r="N1369" s="1" t="str">
        <f>VLOOKUP(B1369,Bounties!A:D,4,FALSE)</f>
        <v>Media</v>
      </c>
      <c r="O1369" s="1" t="str">
        <f t="shared" ref="O1369:P1369" si="1373">IF(ISBLANK(K1369),M1369,K1369)</f>
        <v>Outreach</v>
      </c>
      <c r="P1369" s="1" t="str">
        <f t="shared" si="1373"/>
        <v>Media</v>
      </c>
      <c r="Q1369" s="108" t="str">
        <f t="shared" si="3"/>
        <v>2024</v>
      </c>
      <c r="R1369" s="110">
        <f t="shared" si="4"/>
        <v>6</v>
      </c>
      <c r="S1369" s="108" t="str">
        <f t="shared" si="5"/>
        <v>2024-Q2</v>
      </c>
      <c r="T1369" s="111" t="str">
        <f t="shared" si="6"/>
        <v>2024-06</v>
      </c>
      <c r="U1369" s="112" t="str">
        <f t="shared" si="7"/>
        <v>2024-H1</v>
      </c>
      <c r="V1369" s="1" t="str">
        <f>VLOOKUP(B1369,Bounties!A:E,2,FALSE)</f>
        <v>Spanish Bounty</v>
      </c>
    </row>
    <row r="1370" hidden="1">
      <c r="A1370" s="109">
        <f>HYPERLINK("https://polkadot.subsquare.io/treasury/child-bounties/1368", 1368)</f>
        <v>1368</v>
      </c>
      <c r="B1370" s="183">
        <v>42.0</v>
      </c>
      <c r="C1370" s="27" t="s">
        <v>3404</v>
      </c>
      <c r="D1370" s="27" t="s">
        <v>1898</v>
      </c>
      <c r="E1370" s="129">
        <v>31.5</v>
      </c>
      <c r="F1370" s="66">
        <v>200.34227228164673</v>
      </c>
      <c r="G1370" s="27" t="s">
        <v>3677</v>
      </c>
      <c r="H1370" s="167">
        <v>45453.0</v>
      </c>
      <c r="I1370" s="167">
        <v>45461.0</v>
      </c>
      <c r="J1370" s="66">
        <v>176.74845457077026</v>
      </c>
      <c r="K1370" s="1"/>
      <c r="L1370" s="1"/>
      <c r="M1370" s="1" t="str">
        <f>VLOOKUP(B1370,Bounties!A:D,3,FALSE)</f>
        <v>Outreach</v>
      </c>
      <c r="N1370" s="1" t="str">
        <f>VLOOKUP(B1370,Bounties!A:D,4,FALSE)</f>
        <v>Media</v>
      </c>
      <c r="O1370" s="1" t="str">
        <f t="shared" ref="O1370:P1370" si="1374">IF(ISBLANK(K1370),M1370,K1370)</f>
        <v>Outreach</v>
      </c>
      <c r="P1370" s="1" t="str">
        <f t="shared" si="1374"/>
        <v>Media</v>
      </c>
      <c r="Q1370" s="108" t="str">
        <f t="shared" si="3"/>
        <v>2024</v>
      </c>
      <c r="R1370" s="110">
        <f t="shared" si="4"/>
        <v>6</v>
      </c>
      <c r="S1370" s="108" t="str">
        <f t="shared" si="5"/>
        <v>2024-Q2</v>
      </c>
      <c r="T1370" s="111" t="str">
        <f t="shared" si="6"/>
        <v>2024-06</v>
      </c>
      <c r="U1370" s="112" t="str">
        <f t="shared" si="7"/>
        <v>2024-H1</v>
      </c>
      <c r="V1370" s="1" t="str">
        <f>VLOOKUP(B1370,Bounties!A:E,2,FALSE)</f>
        <v>Spanish Bounty</v>
      </c>
    </row>
    <row r="1371" hidden="1">
      <c r="A1371" s="109">
        <f>HYPERLINK("https://polkadot.subsquare.io/treasury/child-bounties/1369", 1369)</f>
        <v>1369</v>
      </c>
      <c r="B1371" s="183">
        <v>42.0</v>
      </c>
      <c r="C1371" s="27" t="s">
        <v>3404</v>
      </c>
      <c r="D1371" s="27" t="s">
        <v>1899</v>
      </c>
      <c r="E1371" s="129">
        <v>160.7</v>
      </c>
      <c r="F1371" s="66">
        <v>1022.0635922431945</v>
      </c>
      <c r="G1371" s="27" t="s">
        <v>3677</v>
      </c>
      <c r="H1371" s="167">
        <v>45453.0</v>
      </c>
      <c r="I1371" s="167">
        <v>45461.0</v>
      </c>
      <c r="J1371" s="66">
        <v>901.6976714134215</v>
      </c>
      <c r="K1371" s="1"/>
      <c r="L1371" s="1"/>
      <c r="M1371" s="1" t="str">
        <f>VLOOKUP(B1371,Bounties!A:D,3,FALSE)</f>
        <v>Outreach</v>
      </c>
      <c r="N1371" s="1" t="str">
        <f>VLOOKUP(B1371,Bounties!A:D,4,FALSE)</f>
        <v>Media</v>
      </c>
      <c r="O1371" s="1" t="str">
        <f t="shared" ref="O1371:P1371" si="1375">IF(ISBLANK(K1371),M1371,K1371)</f>
        <v>Outreach</v>
      </c>
      <c r="P1371" s="1" t="str">
        <f t="shared" si="1375"/>
        <v>Media</v>
      </c>
      <c r="Q1371" s="108" t="str">
        <f t="shared" si="3"/>
        <v>2024</v>
      </c>
      <c r="R1371" s="110">
        <f t="shared" si="4"/>
        <v>6</v>
      </c>
      <c r="S1371" s="108" t="str">
        <f t="shared" si="5"/>
        <v>2024-Q2</v>
      </c>
      <c r="T1371" s="111" t="str">
        <f t="shared" si="6"/>
        <v>2024-06</v>
      </c>
      <c r="U1371" s="112" t="str">
        <f t="shared" si="7"/>
        <v>2024-H1</v>
      </c>
      <c r="V1371" s="1" t="str">
        <f>VLOOKUP(B1371,Bounties!A:E,2,FALSE)</f>
        <v>Spanish Bounty</v>
      </c>
    </row>
    <row r="1372" hidden="1">
      <c r="A1372" s="109">
        <f>HYPERLINK("https://polkadot.subsquare.io/treasury/child-bounties/1370", 1370)</f>
        <v>1370</v>
      </c>
      <c r="B1372" s="183">
        <v>42.0</v>
      </c>
      <c r="C1372" s="27" t="s">
        <v>3404</v>
      </c>
      <c r="D1372" s="27" t="s">
        <v>1900</v>
      </c>
      <c r="E1372" s="129">
        <v>22.43</v>
      </c>
      <c r="F1372" s="66">
        <v>142.6564180088043</v>
      </c>
      <c r="G1372" s="27" t="s">
        <v>3677</v>
      </c>
      <c r="H1372" s="167">
        <v>45453.0</v>
      </c>
      <c r="I1372" s="167">
        <v>45461.0</v>
      </c>
      <c r="J1372" s="66">
        <v>125.85612177848816</v>
      </c>
      <c r="K1372" s="1"/>
      <c r="L1372" s="1"/>
      <c r="M1372" s="1" t="str">
        <f>VLOOKUP(B1372,Bounties!A:D,3,FALSE)</f>
        <v>Outreach</v>
      </c>
      <c r="N1372" s="1" t="str">
        <f>VLOOKUP(B1372,Bounties!A:D,4,FALSE)</f>
        <v>Media</v>
      </c>
      <c r="O1372" s="1" t="str">
        <f t="shared" ref="O1372:P1372" si="1376">IF(ISBLANK(K1372),M1372,K1372)</f>
        <v>Outreach</v>
      </c>
      <c r="P1372" s="1" t="str">
        <f t="shared" si="1376"/>
        <v>Media</v>
      </c>
      <c r="Q1372" s="108" t="str">
        <f t="shared" si="3"/>
        <v>2024</v>
      </c>
      <c r="R1372" s="110">
        <f t="shared" si="4"/>
        <v>6</v>
      </c>
      <c r="S1372" s="108" t="str">
        <f t="shared" si="5"/>
        <v>2024-Q2</v>
      </c>
      <c r="T1372" s="111" t="str">
        <f t="shared" si="6"/>
        <v>2024-06</v>
      </c>
      <c r="U1372" s="112" t="str">
        <f t="shared" si="7"/>
        <v>2024-H1</v>
      </c>
      <c r="V1372" s="1" t="str">
        <f>VLOOKUP(B1372,Bounties!A:E,2,FALSE)</f>
        <v>Spanish Bounty</v>
      </c>
    </row>
    <row r="1373" hidden="1">
      <c r="A1373" s="109">
        <f>HYPERLINK("https://polkadot.subsquare.io/treasury/child-bounties/1371", 1371)</f>
        <v>1371</v>
      </c>
      <c r="B1373" s="183">
        <v>42.0</v>
      </c>
      <c r="C1373" s="27" t="s">
        <v>3404</v>
      </c>
      <c r="D1373" s="27" t="s">
        <v>1901</v>
      </c>
      <c r="E1373" s="129">
        <v>6.05</v>
      </c>
      <c r="F1373" s="66">
        <v>38.47843642234802</v>
      </c>
      <c r="G1373" s="27" t="s">
        <v>3733</v>
      </c>
      <c r="H1373" s="167">
        <v>45453.0</v>
      </c>
      <c r="I1373" s="167">
        <v>45465.0</v>
      </c>
      <c r="J1373" s="66">
        <v>35.34709453582764</v>
      </c>
      <c r="K1373" s="1"/>
      <c r="L1373" s="1"/>
      <c r="M1373" s="1" t="str">
        <f>VLOOKUP(B1373,Bounties!A:D,3,FALSE)</f>
        <v>Outreach</v>
      </c>
      <c r="N1373" s="1" t="str">
        <f>VLOOKUP(B1373,Bounties!A:D,4,FALSE)</f>
        <v>Media</v>
      </c>
      <c r="O1373" s="1" t="str">
        <f t="shared" ref="O1373:P1373" si="1377">IF(ISBLANK(K1373),M1373,K1373)</f>
        <v>Outreach</v>
      </c>
      <c r="P1373" s="1" t="str">
        <f t="shared" si="1377"/>
        <v>Media</v>
      </c>
      <c r="Q1373" s="108" t="str">
        <f t="shared" si="3"/>
        <v>2024</v>
      </c>
      <c r="R1373" s="110">
        <f t="shared" si="4"/>
        <v>6</v>
      </c>
      <c r="S1373" s="108" t="str">
        <f t="shared" si="5"/>
        <v>2024-Q2</v>
      </c>
      <c r="T1373" s="111" t="str">
        <f t="shared" si="6"/>
        <v>2024-06</v>
      </c>
      <c r="U1373" s="112" t="str">
        <f t="shared" si="7"/>
        <v>2024-H1</v>
      </c>
      <c r="V1373" s="1" t="str">
        <f>VLOOKUP(B1373,Bounties!A:E,2,FALSE)</f>
        <v>Spanish Bounty</v>
      </c>
    </row>
    <row r="1374" hidden="1">
      <c r="A1374" s="109">
        <f>HYPERLINK("https://polkadot.subsquare.io/treasury/child-bounties/1372", 1372)</f>
        <v>1372</v>
      </c>
      <c r="B1374" s="183">
        <v>42.0</v>
      </c>
      <c r="C1374" s="27" t="s">
        <v>3404</v>
      </c>
      <c r="D1374" s="27" t="s">
        <v>1902</v>
      </c>
      <c r="E1374" s="129">
        <v>4.8</v>
      </c>
      <c r="F1374" s="66">
        <v>30.528346252441406</v>
      </c>
      <c r="G1374" s="27" t="s">
        <v>3680</v>
      </c>
      <c r="H1374" s="167">
        <v>45453.0</v>
      </c>
      <c r="I1374" s="167">
        <v>45462.0</v>
      </c>
      <c r="J1374" s="66">
        <v>27.589775848388673</v>
      </c>
      <c r="K1374" s="1"/>
      <c r="L1374" s="1"/>
      <c r="M1374" s="1" t="str">
        <f>VLOOKUP(B1374,Bounties!A:D,3,FALSE)</f>
        <v>Outreach</v>
      </c>
      <c r="N1374" s="1" t="str">
        <f>VLOOKUP(B1374,Bounties!A:D,4,FALSE)</f>
        <v>Media</v>
      </c>
      <c r="O1374" s="1" t="str">
        <f t="shared" ref="O1374:P1374" si="1378">IF(ISBLANK(K1374),M1374,K1374)</f>
        <v>Outreach</v>
      </c>
      <c r="P1374" s="1" t="str">
        <f t="shared" si="1378"/>
        <v>Media</v>
      </c>
      <c r="Q1374" s="108" t="str">
        <f t="shared" si="3"/>
        <v>2024</v>
      </c>
      <c r="R1374" s="110">
        <f t="shared" si="4"/>
        <v>6</v>
      </c>
      <c r="S1374" s="108" t="str">
        <f t="shared" si="5"/>
        <v>2024-Q2</v>
      </c>
      <c r="T1374" s="111" t="str">
        <f t="shared" si="6"/>
        <v>2024-06</v>
      </c>
      <c r="U1374" s="112" t="str">
        <f t="shared" si="7"/>
        <v>2024-H1</v>
      </c>
      <c r="V1374" s="1" t="str">
        <f>VLOOKUP(B1374,Bounties!A:E,2,FALSE)</f>
        <v>Spanish Bounty</v>
      </c>
    </row>
    <row r="1375" hidden="1">
      <c r="A1375" s="109">
        <f>HYPERLINK("https://polkadot.subsquare.io/treasury/child-bounties/1373", 1373)</f>
        <v>1373</v>
      </c>
      <c r="B1375" s="183">
        <v>42.0</v>
      </c>
      <c r="C1375" s="27" t="s">
        <v>3404</v>
      </c>
      <c r="D1375" s="27" t="s">
        <v>1903</v>
      </c>
      <c r="E1375" s="129">
        <v>6.7</v>
      </c>
      <c r="F1375" s="66">
        <v>42.61248331069947</v>
      </c>
      <c r="G1375" s="27" t="s">
        <v>3734</v>
      </c>
      <c r="H1375" s="167">
        <v>45453.0</v>
      </c>
      <c r="I1375" s="167">
        <v>45461.0</v>
      </c>
      <c r="J1375" s="66">
        <v>37.59411573410034</v>
      </c>
      <c r="K1375" s="1"/>
      <c r="L1375" s="1"/>
      <c r="M1375" s="1" t="str">
        <f>VLOOKUP(B1375,Bounties!A:D,3,FALSE)</f>
        <v>Outreach</v>
      </c>
      <c r="N1375" s="1" t="str">
        <f>VLOOKUP(B1375,Bounties!A:D,4,FALSE)</f>
        <v>Media</v>
      </c>
      <c r="O1375" s="1" t="str">
        <f t="shared" ref="O1375:P1375" si="1379">IF(ISBLANK(K1375),M1375,K1375)</f>
        <v>Outreach</v>
      </c>
      <c r="P1375" s="1" t="str">
        <f t="shared" si="1379"/>
        <v>Media</v>
      </c>
      <c r="Q1375" s="108" t="str">
        <f t="shared" si="3"/>
        <v>2024</v>
      </c>
      <c r="R1375" s="110">
        <f t="shared" si="4"/>
        <v>6</v>
      </c>
      <c r="S1375" s="108" t="str">
        <f t="shared" si="5"/>
        <v>2024-Q2</v>
      </c>
      <c r="T1375" s="111" t="str">
        <f t="shared" si="6"/>
        <v>2024-06</v>
      </c>
      <c r="U1375" s="112" t="str">
        <f t="shared" si="7"/>
        <v>2024-H1</v>
      </c>
      <c r="V1375" s="1" t="str">
        <f>VLOOKUP(B1375,Bounties!A:E,2,FALSE)</f>
        <v>Spanish Bounty</v>
      </c>
    </row>
    <row r="1376" hidden="1">
      <c r="A1376" s="109">
        <f>HYPERLINK("https://polkadot.subsquare.io/treasury/child-bounties/1374", 1374)</f>
        <v>1374</v>
      </c>
      <c r="B1376" s="183">
        <v>42.0</v>
      </c>
      <c r="C1376" s="27" t="s">
        <v>3404</v>
      </c>
      <c r="D1376" s="27" t="s">
        <v>1904</v>
      </c>
      <c r="E1376" s="129">
        <v>8.1</v>
      </c>
      <c r="F1376" s="66">
        <v>51.51658430099487</v>
      </c>
      <c r="G1376" s="27" t="s">
        <v>3687</v>
      </c>
      <c r="H1376" s="167">
        <v>45453.0</v>
      </c>
      <c r="I1376" s="167">
        <v>45461.0</v>
      </c>
      <c r="J1376" s="66">
        <v>45.44960260391235</v>
      </c>
      <c r="K1376" s="1"/>
      <c r="L1376" s="1"/>
      <c r="M1376" s="1" t="str">
        <f>VLOOKUP(B1376,Bounties!A:D,3,FALSE)</f>
        <v>Outreach</v>
      </c>
      <c r="N1376" s="1" t="str">
        <f>VLOOKUP(B1376,Bounties!A:D,4,FALSE)</f>
        <v>Media</v>
      </c>
      <c r="O1376" s="1" t="str">
        <f t="shared" ref="O1376:P1376" si="1380">IF(ISBLANK(K1376),M1376,K1376)</f>
        <v>Outreach</v>
      </c>
      <c r="P1376" s="1" t="str">
        <f t="shared" si="1380"/>
        <v>Media</v>
      </c>
      <c r="Q1376" s="108" t="str">
        <f t="shared" si="3"/>
        <v>2024</v>
      </c>
      <c r="R1376" s="110">
        <f t="shared" si="4"/>
        <v>6</v>
      </c>
      <c r="S1376" s="108" t="str">
        <f t="shared" si="5"/>
        <v>2024-Q2</v>
      </c>
      <c r="T1376" s="111" t="str">
        <f t="shared" si="6"/>
        <v>2024-06</v>
      </c>
      <c r="U1376" s="112" t="str">
        <f t="shared" si="7"/>
        <v>2024-H1</v>
      </c>
      <c r="V1376" s="1" t="str">
        <f>VLOOKUP(B1376,Bounties!A:E,2,FALSE)</f>
        <v>Spanish Bounty</v>
      </c>
    </row>
    <row r="1377" hidden="1">
      <c r="A1377" s="109">
        <f>HYPERLINK("https://polkadot.subsquare.io/treasury/child-bounties/1375", 1375)</f>
        <v>1375</v>
      </c>
      <c r="B1377" s="183">
        <v>42.0</v>
      </c>
      <c r="C1377" s="27" t="s">
        <v>3404</v>
      </c>
      <c r="D1377" s="27" t="s">
        <v>1905</v>
      </c>
      <c r="E1377" s="129">
        <v>8.69</v>
      </c>
      <c r="F1377" s="66">
        <v>55.269026861190795</v>
      </c>
      <c r="G1377" s="27" t="s">
        <v>3493</v>
      </c>
      <c r="H1377" s="167">
        <v>45453.0</v>
      </c>
      <c r="I1377" s="167">
        <v>45462.0</v>
      </c>
      <c r="J1377" s="66">
        <v>49.948990025520324</v>
      </c>
      <c r="K1377" s="1"/>
      <c r="L1377" s="1"/>
      <c r="M1377" s="1" t="str">
        <f>VLOOKUP(B1377,Bounties!A:D,3,FALSE)</f>
        <v>Outreach</v>
      </c>
      <c r="N1377" s="1" t="str">
        <f>VLOOKUP(B1377,Bounties!A:D,4,FALSE)</f>
        <v>Media</v>
      </c>
      <c r="O1377" s="1" t="str">
        <f t="shared" ref="O1377:P1377" si="1381">IF(ISBLANK(K1377),M1377,K1377)</f>
        <v>Outreach</v>
      </c>
      <c r="P1377" s="1" t="str">
        <f t="shared" si="1381"/>
        <v>Media</v>
      </c>
      <c r="Q1377" s="108" t="str">
        <f t="shared" si="3"/>
        <v>2024</v>
      </c>
      <c r="R1377" s="110">
        <f t="shared" si="4"/>
        <v>6</v>
      </c>
      <c r="S1377" s="108" t="str">
        <f t="shared" si="5"/>
        <v>2024-Q2</v>
      </c>
      <c r="T1377" s="111" t="str">
        <f t="shared" si="6"/>
        <v>2024-06</v>
      </c>
      <c r="U1377" s="112" t="str">
        <f t="shared" si="7"/>
        <v>2024-H1</v>
      </c>
      <c r="V1377" s="1" t="str">
        <f>VLOOKUP(B1377,Bounties!A:E,2,FALSE)</f>
        <v>Spanish Bounty</v>
      </c>
    </row>
    <row r="1378" hidden="1">
      <c r="A1378" s="109">
        <f>HYPERLINK("https://polkadot.subsquare.io/treasury/child-bounties/1376", 1376)</f>
        <v>1376</v>
      </c>
      <c r="B1378" s="183">
        <v>42.0</v>
      </c>
      <c r="C1378" s="27" t="s">
        <v>3404</v>
      </c>
      <c r="D1378" s="27" t="s">
        <v>1906</v>
      </c>
      <c r="E1378" s="129">
        <v>5.5</v>
      </c>
      <c r="F1378" s="66">
        <v>34.98039674758911</v>
      </c>
      <c r="G1378" s="27" t="s">
        <v>3691</v>
      </c>
      <c r="H1378" s="167">
        <v>45453.0</v>
      </c>
      <c r="I1378" s="167">
        <v>45462.0</v>
      </c>
      <c r="J1378" s="66">
        <v>30.860841274261475</v>
      </c>
      <c r="K1378" s="1"/>
      <c r="L1378" s="1"/>
      <c r="M1378" s="1" t="str">
        <f>VLOOKUP(B1378,Bounties!A:D,3,FALSE)</f>
        <v>Outreach</v>
      </c>
      <c r="N1378" s="1" t="str">
        <f>VLOOKUP(B1378,Bounties!A:D,4,FALSE)</f>
        <v>Media</v>
      </c>
      <c r="O1378" s="1" t="str">
        <f t="shared" ref="O1378:P1378" si="1382">IF(ISBLANK(K1378),M1378,K1378)</f>
        <v>Outreach</v>
      </c>
      <c r="P1378" s="1" t="str">
        <f t="shared" si="1382"/>
        <v>Media</v>
      </c>
      <c r="Q1378" s="108" t="str">
        <f t="shared" si="3"/>
        <v>2024</v>
      </c>
      <c r="R1378" s="110">
        <f t="shared" si="4"/>
        <v>6</v>
      </c>
      <c r="S1378" s="108" t="str">
        <f t="shared" si="5"/>
        <v>2024-Q2</v>
      </c>
      <c r="T1378" s="111" t="str">
        <f t="shared" si="6"/>
        <v>2024-06</v>
      </c>
      <c r="U1378" s="112" t="str">
        <f t="shared" si="7"/>
        <v>2024-H1</v>
      </c>
      <c r="V1378" s="1" t="str">
        <f>VLOOKUP(B1378,Bounties!A:E,2,FALSE)</f>
        <v>Spanish Bounty</v>
      </c>
    </row>
    <row r="1379" hidden="1">
      <c r="A1379" s="109">
        <f>HYPERLINK("https://polkadot.subsquare.io/treasury/child-bounties/1377", 1377)</f>
        <v>1377</v>
      </c>
      <c r="B1379" s="183">
        <v>32.0</v>
      </c>
      <c r="C1379" s="27" t="s">
        <v>3404</v>
      </c>
      <c r="D1379" s="27" t="s">
        <v>1856</v>
      </c>
      <c r="E1379" s="129">
        <v>5.9231000904</v>
      </c>
      <c r="F1379" s="66">
        <v>37.67134384324962</v>
      </c>
      <c r="G1379" s="27" t="s">
        <v>3587</v>
      </c>
      <c r="H1379" s="167">
        <v>45453.0</v>
      </c>
      <c r="I1379" s="167">
        <v>45555.0</v>
      </c>
      <c r="J1379" s="66">
        <v>26.390195264091176</v>
      </c>
      <c r="K1379" s="1"/>
      <c r="L1379" s="1"/>
      <c r="M1379" s="1" t="str">
        <f>VLOOKUP(B1379,Bounties!A:D,3,FALSE)</f>
        <v>Operations</v>
      </c>
      <c r="N1379" s="1" t="str">
        <f>VLOOKUP(B1379,Bounties!A:D,4,FALSE)</f>
        <v>RPCs and Nodes</v>
      </c>
      <c r="O1379" s="1" t="str">
        <f t="shared" ref="O1379:P1379" si="1383">IF(ISBLANK(K1379),M1379,K1379)</f>
        <v>Operations</v>
      </c>
      <c r="P1379" s="1" t="str">
        <f t="shared" si="1383"/>
        <v>RPCs and Nodes</v>
      </c>
      <c r="Q1379" s="108" t="str">
        <f t="shared" si="3"/>
        <v>2024</v>
      </c>
      <c r="R1379" s="110">
        <f t="shared" si="4"/>
        <v>9</v>
      </c>
      <c r="S1379" s="108" t="str">
        <f t="shared" si="5"/>
        <v>2024-Q3</v>
      </c>
      <c r="T1379" s="111" t="str">
        <f t="shared" si="6"/>
        <v>2024-09</v>
      </c>
      <c r="U1379" s="112" t="str">
        <f t="shared" si="7"/>
        <v>2024-H2</v>
      </c>
      <c r="V1379" s="1" t="str">
        <f>VLOOKUP(B1379,Bounties!A:E,2,FALSE)</f>
        <v>System Parachains Collator Bounty</v>
      </c>
    </row>
    <row r="1380" hidden="1">
      <c r="A1380" s="109">
        <f>HYPERLINK("https://polkadot.subsquare.io/treasury/child-bounties/1378", 1378)</f>
        <v>1378</v>
      </c>
      <c r="B1380" s="183">
        <v>32.0</v>
      </c>
      <c r="C1380" s="27" t="s">
        <v>3404</v>
      </c>
      <c r="D1380" s="27" t="s">
        <v>1907</v>
      </c>
      <c r="E1380" s="129">
        <v>36.9380843599</v>
      </c>
      <c r="F1380" s="66">
        <v>234.92888109185787</v>
      </c>
      <c r="G1380" s="27" t="s">
        <v>3603</v>
      </c>
      <c r="H1380" s="167">
        <v>45453.0</v>
      </c>
      <c r="I1380" s="167">
        <v>45482.0</v>
      </c>
      <c r="J1380" s="66">
        <v>218.1154328686135</v>
      </c>
      <c r="K1380" s="1"/>
      <c r="L1380" s="1"/>
      <c r="M1380" s="1" t="str">
        <f>VLOOKUP(B1380,Bounties!A:D,3,FALSE)</f>
        <v>Operations</v>
      </c>
      <c r="N1380" s="1" t="str">
        <f>VLOOKUP(B1380,Bounties!A:D,4,FALSE)</f>
        <v>RPCs and Nodes</v>
      </c>
      <c r="O1380" s="1" t="str">
        <f t="shared" ref="O1380:P1380" si="1384">IF(ISBLANK(K1380),M1380,K1380)</f>
        <v>Operations</v>
      </c>
      <c r="P1380" s="1" t="str">
        <f t="shared" si="1384"/>
        <v>RPCs and Nodes</v>
      </c>
      <c r="Q1380" s="108" t="str">
        <f t="shared" si="3"/>
        <v>2024</v>
      </c>
      <c r="R1380" s="110">
        <f t="shared" si="4"/>
        <v>7</v>
      </c>
      <c r="S1380" s="108" t="str">
        <f t="shared" si="5"/>
        <v>2024-Q3</v>
      </c>
      <c r="T1380" s="111" t="str">
        <f t="shared" si="6"/>
        <v>2024-07</v>
      </c>
      <c r="U1380" s="112" t="str">
        <f t="shared" si="7"/>
        <v>2024-H2</v>
      </c>
      <c r="V1380" s="1" t="str">
        <f>VLOOKUP(B1380,Bounties!A:E,2,FALSE)</f>
        <v>System Parachains Collator Bounty</v>
      </c>
    </row>
    <row r="1381" hidden="1">
      <c r="A1381" s="109">
        <f>HYPERLINK("https://polkadot.subsquare.io/treasury/child-bounties/1379", 1379)</f>
        <v>1379</v>
      </c>
      <c r="B1381" s="183">
        <v>32.0</v>
      </c>
      <c r="C1381" s="27" t="s">
        <v>3404</v>
      </c>
      <c r="D1381" s="27" t="s">
        <v>1908</v>
      </c>
      <c r="E1381" s="129">
        <v>42.1024993127</v>
      </c>
      <c r="F1381" s="66">
        <v>267.774932731517</v>
      </c>
      <c r="G1381" s="27" t="s">
        <v>3591</v>
      </c>
      <c r="H1381" s="167">
        <v>45453.0</v>
      </c>
      <c r="I1381" s="167">
        <v>45462.0</v>
      </c>
      <c r="J1381" s="66">
        <v>236.23973609798864</v>
      </c>
      <c r="K1381" s="1"/>
      <c r="L1381" s="1"/>
      <c r="M1381" s="1" t="str">
        <f>VLOOKUP(B1381,Bounties!A:D,3,FALSE)</f>
        <v>Operations</v>
      </c>
      <c r="N1381" s="1" t="str">
        <f>VLOOKUP(B1381,Bounties!A:D,4,FALSE)</f>
        <v>RPCs and Nodes</v>
      </c>
      <c r="O1381" s="1" t="str">
        <f t="shared" ref="O1381:P1381" si="1385">IF(ISBLANK(K1381),M1381,K1381)</f>
        <v>Operations</v>
      </c>
      <c r="P1381" s="1" t="str">
        <f t="shared" si="1385"/>
        <v>RPCs and Nodes</v>
      </c>
      <c r="Q1381" s="108" t="str">
        <f t="shared" si="3"/>
        <v>2024</v>
      </c>
      <c r="R1381" s="110">
        <f t="shared" si="4"/>
        <v>6</v>
      </c>
      <c r="S1381" s="108" t="str">
        <f t="shared" si="5"/>
        <v>2024-Q2</v>
      </c>
      <c r="T1381" s="111" t="str">
        <f t="shared" si="6"/>
        <v>2024-06</v>
      </c>
      <c r="U1381" s="112" t="str">
        <f t="shared" si="7"/>
        <v>2024-H1</v>
      </c>
      <c r="V1381" s="1" t="str">
        <f>VLOOKUP(B1381,Bounties!A:E,2,FALSE)</f>
        <v>System Parachains Collator Bounty</v>
      </c>
    </row>
    <row r="1382" hidden="1">
      <c r="A1382" s="109">
        <f>HYPERLINK("https://polkadot.subsquare.io/treasury/child-bounties/1380", 1380)</f>
        <v>1380</v>
      </c>
      <c r="B1382" s="183">
        <v>32.0</v>
      </c>
      <c r="C1382" s="27" t="s">
        <v>3404</v>
      </c>
      <c r="D1382" s="27" t="s">
        <v>1909</v>
      </c>
      <c r="E1382" s="129">
        <v>42.0637855575</v>
      </c>
      <c r="F1382" s="66">
        <v>267.5287104557925</v>
      </c>
      <c r="G1382" s="27" t="s">
        <v>3590</v>
      </c>
      <c r="H1382" s="167">
        <v>45453.0</v>
      </c>
      <c r="I1382" s="167">
        <v>45462.0</v>
      </c>
      <c r="J1382" s="66">
        <v>236.02251081537813</v>
      </c>
      <c r="K1382" s="1"/>
      <c r="L1382" s="1"/>
      <c r="M1382" s="1" t="str">
        <f>VLOOKUP(B1382,Bounties!A:D,3,FALSE)</f>
        <v>Operations</v>
      </c>
      <c r="N1382" s="1" t="str">
        <f>VLOOKUP(B1382,Bounties!A:D,4,FALSE)</f>
        <v>RPCs and Nodes</v>
      </c>
      <c r="O1382" s="1" t="str">
        <f t="shared" ref="O1382:P1382" si="1386">IF(ISBLANK(K1382),M1382,K1382)</f>
        <v>Operations</v>
      </c>
      <c r="P1382" s="1" t="str">
        <f t="shared" si="1386"/>
        <v>RPCs and Nodes</v>
      </c>
      <c r="Q1382" s="108" t="str">
        <f t="shared" si="3"/>
        <v>2024</v>
      </c>
      <c r="R1382" s="110">
        <f t="shared" si="4"/>
        <v>6</v>
      </c>
      <c r="S1382" s="108" t="str">
        <f t="shared" si="5"/>
        <v>2024-Q2</v>
      </c>
      <c r="T1382" s="111" t="str">
        <f t="shared" si="6"/>
        <v>2024-06</v>
      </c>
      <c r="U1382" s="112" t="str">
        <f t="shared" si="7"/>
        <v>2024-H1</v>
      </c>
      <c r="V1382" s="1" t="str">
        <f>VLOOKUP(B1382,Bounties!A:E,2,FALSE)</f>
        <v>System Parachains Collator Bounty</v>
      </c>
    </row>
    <row r="1383" hidden="1">
      <c r="A1383" s="109">
        <f>HYPERLINK("https://polkadot.subsquare.io/treasury/child-bounties/1381", 1381)</f>
        <v>1381</v>
      </c>
      <c r="B1383" s="183">
        <v>32.0</v>
      </c>
      <c r="C1383" s="27" t="s">
        <v>3404</v>
      </c>
      <c r="D1383" s="27" t="s">
        <v>1910</v>
      </c>
      <c r="E1383" s="129">
        <v>42.0792710596</v>
      </c>
      <c r="F1383" s="66">
        <v>267.62719936620954</v>
      </c>
      <c r="G1383" s="27" t="s">
        <v>3605</v>
      </c>
      <c r="H1383" s="167">
        <v>45453.0</v>
      </c>
      <c r="I1383" s="167">
        <v>45482.0</v>
      </c>
      <c r="J1383" s="66">
        <v>248.4735898195134</v>
      </c>
      <c r="K1383" s="1"/>
      <c r="L1383" s="1"/>
      <c r="M1383" s="1" t="str">
        <f>VLOOKUP(B1383,Bounties!A:D,3,FALSE)</f>
        <v>Operations</v>
      </c>
      <c r="N1383" s="1" t="str">
        <f>VLOOKUP(B1383,Bounties!A:D,4,FALSE)</f>
        <v>RPCs and Nodes</v>
      </c>
      <c r="O1383" s="1" t="str">
        <f t="shared" ref="O1383:P1383" si="1387">IF(ISBLANK(K1383),M1383,K1383)</f>
        <v>Operations</v>
      </c>
      <c r="P1383" s="1" t="str">
        <f t="shared" si="1387"/>
        <v>RPCs and Nodes</v>
      </c>
      <c r="Q1383" s="108" t="str">
        <f t="shared" si="3"/>
        <v>2024</v>
      </c>
      <c r="R1383" s="110">
        <f t="shared" si="4"/>
        <v>7</v>
      </c>
      <c r="S1383" s="108" t="str">
        <f t="shared" si="5"/>
        <v>2024-Q3</v>
      </c>
      <c r="T1383" s="111" t="str">
        <f t="shared" si="6"/>
        <v>2024-07</v>
      </c>
      <c r="U1383" s="112" t="str">
        <f t="shared" si="7"/>
        <v>2024-H2</v>
      </c>
      <c r="V1383" s="1" t="str">
        <f>VLOOKUP(B1383,Bounties!A:E,2,FALSE)</f>
        <v>System Parachains Collator Bounty</v>
      </c>
    </row>
    <row r="1384" hidden="1">
      <c r="A1384" s="109">
        <f>HYPERLINK("https://polkadot.subsquare.io/treasury/child-bounties/1382", 1382)</f>
        <v>1382</v>
      </c>
      <c r="B1384" s="183">
        <v>32.0</v>
      </c>
      <c r="C1384" s="27" t="s">
        <v>3404</v>
      </c>
      <c r="D1384" s="27" t="s">
        <v>1911</v>
      </c>
      <c r="E1384" s="129">
        <v>57.1737419195</v>
      </c>
      <c r="F1384" s="66">
        <v>363.62912288879585</v>
      </c>
      <c r="G1384" s="27" t="s">
        <v>3595</v>
      </c>
      <c r="H1384" s="167">
        <v>45453.0</v>
      </c>
      <c r="I1384" s="167">
        <v>45461.0</v>
      </c>
      <c r="J1384" s="66">
        <v>320.8054135333235</v>
      </c>
      <c r="K1384" s="1"/>
      <c r="L1384" s="1"/>
      <c r="M1384" s="1" t="str">
        <f>VLOOKUP(B1384,Bounties!A:D,3,FALSE)</f>
        <v>Operations</v>
      </c>
      <c r="N1384" s="1" t="str">
        <f>VLOOKUP(B1384,Bounties!A:D,4,FALSE)</f>
        <v>RPCs and Nodes</v>
      </c>
      <c r="O1384" s="1" t="str">
        <f t="shared" ref="O1384:P1384" si="1388">IF(ISBLANK(K1384),M1384,K1384)</f>
        <v>Operations</v>
      </c>
      <c r="P1384" s="1" t="str">
        <f t="shared" si="1388"/>
        <v>RPCs and Nodes</v>
      </c>
      <c r="Q1384" s="108" t="str">
        <f t="shared" si="3"/>
        <v>2024</v>
      </c>
      <c r="R1384" s="110">
        <f t="shared" si="4"/>
        <v>6</v>
      </c>
      <c r="S1384" s="108" t="str">
        <f t="shared" si="5"/>
        <v>2024-Q2</v>
      </c>
      <c r="T1384" s="111" t="str">
        <f t="shared" si="6"/>
        <v>2024-06</v>
      </c>
      <c r="U1384" s="112" t="str">
        <f t="shared" si="7"/>
        <v>2024-H1</v>
      </c>
      <c r="V1384" s="1" t="str">
        <f>VLOOKUP(B1384,Bounties!A:E,2,FALSE)</f>
        <v>System Parachains Collator Bounty</v>
      </c>
    </row>
    <row r="1385" hidden="1">
      <c r="A1385" s="109">
        <f>HYPERLINK("https://polkadot.subsquare.io/treasury/child-bounties/1383", 1383)</f>
        <v>1383</v>
      </c>
      <c r="B1385" s="183">
        <v>32.0</v>
      </c>
      <c r="C1385" s="27" t="s">
        <v>3404</v>
      </c>
      <c r="D1385" s="27" t="s">
        <v>1912</v>
      </c>
      <c r="E1385" s="129">
        <v>56.2533346155</v>
      </c>
      <c r="F1385" s="66">
        <v>357.7752660409233</v>
      </c>
      <c r="G1385" s="27" t="s">
        <v>3587</v>
      </c>
      <c r="H1385" s="167">
        <v>45453.0</v>
      </c>
      <c r="I1385" s="167">
        <v>45461.0</v>
      </c>
      <c r="J1385" s="66">
        <v>315.64095103942986</v>
      </c>
      <c r="K1385" s="1"/>
      <c r="L1385" s="1"/>
      <c r="M1385" s="1" t="str">
        <f>VLOOKUP(B1385,Bounties!A:D,3,FALSE)</f>
        <v>Operations</v>
      </c>
      <c r="N1385" s="1" t="str">
        <f>VLOOKUP(B1385,Bounties!A:D,4,FALSE)</f>
        <v>RPCs and Nodes</v>
      </c>
      <c r="O1385" s="1" t="str">
        <f t="shared" ref="O1385:P1385" si="1389">IF(ISBLANK(K1385),M1385,K1385)</f>
        <v>Operations</v>
      </c>
      <c r="P1385" s="1" t="str">
        <f t="shared" si="1389"/>
        <v>RPCs and Nodes</v>
      </c>
      <c r="Q1385" s="108" t="str">
        <f t="shared" si="3"/>
        <v>2024</v>
      </c>
      <c r="R1385" s="110">
        <f t="shared" si="4"/>
        <v>6</v>
      </c>
      <c r="S1385" s="108" t="str">
        <f t="shared" si="5"/>
        <v>2024-Q2</v>
      </c>
      <c r="T1385" s="111" t="str">
        <f t="shared" si="6"/>
        <v>2024-06</v>
      </c>
      <c r="U1385" s="112" t="str">
        <f t="shared" si="7"/>
        <v>2024-H1</v>
      </c>
      <c r="V1385" s="1" t="str">
        <f>VLOOKUP(B1385,Bounties!A:E,2,FALSE)</f>
        <v>System Parachains Collator Bounty</v>
      </c>
    </row>
    <row r="1386" hidden="1">
      <c r="A1386" s="109">
        <f>HYPERLINK("https://polkadot.subsquare.io/treasury/child-bounties/1384", 1384)</f>
        <v>1384</v>
      </c>
      <c r="B1386" s="183">
        <v>32.0</v>
      </c>
      <c r="C1386" s="27" t="s">
        <v>3404</v>
      </c>
      <c r="D1386" s="27" t="s">
        <v>1913</v>
      </c>
      <c r="E1386" s="129">
        <v>56.9917602472</v>
      </c>
      <c r="F1386" s="66">
        <v>362.4717063255515</v>
      </c>
      <c r="G1386" s="27" t="s">
        <v>3589</v>
      </c>
      <c r="H1386" s="167">
        <v>45453.0</v>
      </c>
      <c r="I1386" s="167">
        <v>45468.0</v>
      </c>
      <c r="J1386" s="66">
        <v>351.90138426138486</v>
      </c>
      <c r="K1386" s="1"/>
      <c r="L1386" s="1"/>
      <c r="M1386" s="1" t="str">
        <f>VLOOKUP(B1386,Bounties!A:D,3,FALSE)</f>
        <v>Operations</v>
      </c>
      <c r="N1386" s="1" t="str">
        <f>VLOOKUP(B1386,Bounties!A:D,4,FALSE)</f>
        <v>RPCs and Nodes</v>
      </c>
      <c r="O1386" s="1" t="str">
        <f t="shared" ref="O1386:P1386" si="1390">IF(ISBLANK(K1386),M1386,K1386)</f>
        <v>Operations</v>
      </c>
      <c r="P1386" s="1" t="str">
        <f t="shared" si="1390"/>
        <v>RPCs and Nodes</v>
      </c>
      <c r="Q1386" s="108" t="str">
        <f t="shared" si="3"/>
        <v>2024</v>
      </c>
      <c r="R1386" s="110">
        <f t="shared" si="4"/>
        <v>6</v>
      </c>
      <c r="S1386" s="108" t="str">
        <f t="shared" si="5"/>
        <v>2024-Q2</v>
      </c>
      <c r="T1386" s="111" t="str">
        <f t="shared" si="6"/>
        <v>2024-06</v>
      </c>
      <c r="U1386" s="112" t="str">
        <f t="shared" si="7"/>
        <v>2024-H1</v>
      </c>
      <c r="V1386" s="1" t="str">
        <f>VLOOKUP(B1386,Bounties!A:E,2,FALSE)</f>
        <v>System Parachains Collator Bounty</v>
      </c>
    </row>
    <row r="1387" hidden="1">
      <c r="A1387" s="109">
        <f>HYPERLINK("https://polkadot.subsquare.io/treasury/child-bounties/1385", 1385)</f>
        <v>1385</v>
      </c>
      <c r="B1387" s="183">
        <v>32.0</v>
      </c>
      <c r="C1387" s="27" t="s">
        <v>3404</v>
      </c>
      <c r="D1387" s="27" t="s">
        <v>1914</v>
      </c>
      <c r="E1387" s="129">
        <v>50.1884454225</v>
      </c>
      <c r="F1387" s="66">
        <v>319.2021332770496</v>
      </c>
      <c r="G1387" s="27" t="s">
        <v>3596</v>
      </c>
      <c r="H1387" s="167">
        <v>45453.0</v>
      </c>
      <c r="I1387" s="167">
        <v>45482.0</v>
      </c>
      <c r="J1387" s="66">
        <v>296.3573961137872</v>
      </c>
      <c r="K1387" s="1"/>
      <c r="L1387" s="1"/>
      <c r="M1387" s="1" t="str">
        <f>VLOOKUP(B1387,Bounties!A:D,3,FALSE)</f>
        <v>Operations</v>
      </c>
      <c r="N1387" s="1" t="str">
        <f>VLOOKUP(B1387,Bounties!A:D,4,FALSE)</f>
        <v>RPCs and Nodes</v>
      </c>
      <c r="O1387" s="1" t="str">
        <f t="shared" ref="O1387:P1387" si="1391">IF(ISBLANK(K1387),M1387,K1387)</f>
        <v>Operations</v>
      </c>
      <c r="P1387" s="1" t="str">
        <f t="shared" si="1391"/>
        <v>RPCs and Nodes</v>
      </c>
      <c r="Q1387" s="108" t="str">
        <f t="shared" si="3"/>
        <v>2024</v>
      </c>
      <c r="R1387" s="110">
        <f t="shared" si="4"/>
        <v>7</v>
      </c>
      <c r="S1387" s="108" t="str">
        <f t="shared" si="5"/>
        <v>2024-Q3</v>
      </c>
      <c r="T1387" s="111" t="str">
        <f t="shared" si="6"/>
        <v>2024-07</v>
      </c>
      <c r="U1387" s="112" t="str">
        <f t="shared" si="7"/>
        <v>2024-H2</v>
      </c>
      <c r="V1387" s="1" t="str">
        <f>VLOOKUP(B1387,Bounties!A:E,2,FALSE)</f>
        <v>System Parachains Collator Bounty</v>
      </c>
    </row>
    <row r="1388" hidden="1">
      <c r="A1388" s="109">
        <f>HYPERLINK("https://polkadot.subsquare.io/treasury/child-bounties/1386", 1386)</f>
        <v>1386</v>
      </c>
      <c r="B1388" s="183">
        <v>32.0</v>
      </c>
      <c r="C1388" s="27" t="s">
        <v>3404</v>
      </c>
      <c r="D1388" s="27" t="s">
        <v>1915</v>
      </c>
      <c r="E1388" s="129">
        <v>57.1597433293</v>
      </c>
      <c r="F1388" s="66">
        <v>363.54009084532254</v>
      </c>
      <c r="G1388" s="27" t="s">
        <v>3607</v>
      </c>
      <c r="H1388" s="167">
        <v>45453.0</v>
      </c>
      <c r="I1388" s="167">
        <v>45462.0</v>
      </c>
      <c r="J1388" s="66">
        <v>328.54677208475346</v>
      </c>
      <c r="K1388" s="1"/>
      <c r="L1388" s="1"/>
      <c r="M1388" s="1" t="str">
        <f>VLOOKUP(B1388,Bounties!A:D,3,FALSE)</f>
        <v>Operations</v>
      </c>
      <c r="N1388" s="1" t="str">
        <f>VLOOKUP(B1388,Bounties!A:D,4,FALSE)</f>
        <v>RPCs and Nodes</v>
      </c>
      <c r="O1388" s="1" t="str">
        <f t="shared" ref="O1388:P1388" si="1392">IF(ISBLANK(K1388),M1388,K1388)</f>
        <v>Operations</v>
      </c>
      <c r="P1388" s="1" t="str">
        <f t="shared" si="1392"/>
        <v>RPCs and Nodes</v>
      </c>
      <c r="Q1388" s="108" t="str">
        <f t="shared" si="3"/>
        <v>2024</v>
      </c>
      <c r="R1388" s="110">
        <f t="shared" si="4"/>
        <v>6</v>
      </c>
      <c r="S1388" s="108" t="str">
        <f t="shared" si="5"/>
        <v>2024-Q2</v>
      </c>
      <c r="T1388" s="111" t="str">
        <f t="shared" si="6"/>
        <v>2024-06</v>
      </c>
      <c r="U1388" s="112" t="str">
        <f t="shared" si="7"/>
        <v>2024-H1</v>
      </c>
      <c r="V1388" s="1" t="str">
        <f>VLOOKUP(B1388,Bounties!A:E,2,FALSE)</f>
        <v>System Parachains Collator Bounty</v>
      </c>
    </row>
    <row r="1389" hidden="1">
      <c r="A1389" s="109">
        <f>HYPERLINK("https://polkadot.subsquare.io/treasury/child-bounties/1387", 1387)</f>
        <v>1387</v>
      </c>
      <c r="B1389" s="183">
        <v>32.0</v>
      </c>
      <c r="C1389" s="27" t="s">
        <v>3404</v>
      </c>
      <c r="D1389" s="27" t="s">
        <v>1916</v>
      </c>
      <c r="E1389" s="129">
        <v>56.4388159353</v>
      </c>
      <c r="F1389" s="66">
        <v>358.95494061471794</v>
      </c>
      <c r="G1389" s="27" t="s">
        <v>3608</v>
      </c>
      <c r="H1389" s="167">
        <v>45453.0</v>
      </c>
      <c r="I1389" s="167">
        <v>45482.0</v>
      </c>
      <c r="J1389" s="66">
        <v>333.26516471124563</v>
      </c>
      <c r="K1389" s="1"/>
      <c r="L1389" s="1"/>
      <c r="M1389" s="1" t="str">
        <f>VLOOKUP(B1389,Bounties!A:D,3,FALSE)</f>
        <v>Operations</v>
      </c>
      <c r="N1389" s="1" t="str">
        <f>VLOOKUP(B1389,Bounties!A:D,4,FALSE)</f>
        <v>RPCs and Nodes</v>
      </c>
      <c r="O1389" s="1" t="str">
        <f t="shared" ref="O1389:P1389" si="1393">IF(ISBLANK(K1389),M1389,K1389)</f>
        <v>Operations</v>
      </c>
      <c r="P1389" s="1" t="str">
        <f t="shared" si="1393"/>
        <v>RPCs and Nodes</v>
      </c>
      <c r="Q1389" s="108" t="str">
        <f t="shared" si="3"/>
        <v>2024</v>
      </c>
      <c r="R1389" s="110">
        <f t="shared" si="4"/>
        <v>7</v>
      </c>
      <c r="S1389" s="108" t="str">
        <f t="shared" si="5"/>
        <v>2024-Q3</v>
      </c>
      <c r="T1389" s="111" t="str">
        <f t="shared" si="6"/>
        <v>2024-07</v>
      </c>
      <c r="U1389" s="112" t="str">
        <f t="shared" si="7"/>
        <v>2024-H2</v>
      </c>
      <c r="V1389" s="1" t="str">
        <f>VLOOKUP(B1389,Bounties!A:E,2,FALSE)</f>
        <v>System Parachains Collator Bounty</v>
      </c>
    </row>
    <row r="1390" hidden="1">
      <c r="A1390" s="109">
        <f>HYPERLINK("https://polkadot.subsquare.io/treasury/child-bounties/1388", 1388)</f>
        <v>1388</v>
      </c>
      <c r="B1390" s="183">
        <v>32.0</v>
      </c>
      <c r="C1390" s="27" t="s">
        <v>3404</v>
      </c>
      <c r="D1390" s="27" t="s">
        <v>1917</v>
      </c>
      <c r="E1390" s="129">
        <v>41.7514945983</v>
      </c>
      <c r="F1390" s="66">
        <v>265.5425174278832</v>
      </c>
      <c r="G1390" s="27" t="s">
        <v>3604</v>
      </c>
      <c r="H1390" s="167">
        <v>45453.0</v>
      </c>
      <c r="I1390" s="167">
        <v>45482.0</v>
      </c>
      <c r="J1390" s="66">
        <v>246.5381049133658</v>
      </c>
      <c r="K1390" s="1"/>
      <c r="L1390" s="1"/>
      <c r="M1390" s="1" t="str">
        <f>VLOOKUP(B1390,Bounties!A:D,3,FALSE)</f>
        <v>Operations</v>
      </c>
      <c r="N1390" s="1" t="str">
        <f>VLOOKUP(B1390,Bounties!A:D,4,FALSE)</f>
        <v>RPCs and Nodes</v>
      </c>
      <c r="O1390" s="1" t="str">
        <f t="shared" ref="O1390:P1390" si="1394">IF(ISBLANK(K1390),M1390,K1390)</f>
        <v>Operations</v>
      </c>
      <c r="P1390" s="1" t="str">
        <f t="shared" si="1394"/>
        <v>RPCs and Nodes</v>
      </c>
      <c r="Q1390" s="108" t="str">
        <f t="shared" si="3"/>
        <v>2024</v>
      </c>
      <c r="R1390" s="110">
        <f t="shared" si="4"/>
        <v>7</v>
      </c>
      <c r="S1390" s="108" t="str">
        <f t="shared" si="5"/>
        <v>2024-Q3</v>
      </c>
      <c r="T1390" s="111" t="str">
        <f t="shared" si="6"/>
        <v>2024-07</v>
      </c>
      <c r="U1390" s="112" t="str">
        <f t="shared" si="7"/>
        <v>2024-H2</v>
      </c>
      <c r="V1390" s="1" t="str">
        <f>VLOOKUP(B1390,Bounties!A:E,2,FALSE)</f>
        <v>System Parachains Collator Bounty</v>
      </c>
    </row>
    <row r="1391" hidden="1">
      <c r="A1391" s="109">
        <f>HYPERLINK("https://polkadot.subsquare.io/treasury/child-bounties/1389", 1389)</f>
        <v>1389</v>
      </c>
      <c r="B1391" s="183">
        <v>32.0</v>
      </c>
      <c r="C1391" s="27" t="s">
        <v>3404</v>
      </c>
      <c r="D1391" s="27" t="s">
        <v>1918</v>
      </c>
      <c r="E1391" s="129">
        <v>44.0780608114</v>
      </c>
      <c r="F1391" s="66">
        <v>280.3396463722058</v>
      </c>
      <c r="G1391" s="27" t="s">
        <v>3594</v>
      </c>
      <c r="H1391" s="167">
        <v>45453.0</v>
      </c>
      <c r="I1391" s="167">
        <v>45466.0</v>
      </c>
      <c r="J1391" s="66">
        <v>257.5258483399199</v>
      </c>
      <c r="K1391" s="1"/>
      <c r="L1391" s="1"/>
      <c r="M1391" s="1" t="str">
        <f>VLOOKUP(B1391,Bounties!A:D,3,FALSE)</f>
        <v>Operations</v>
      </c>
      <c r="N1391" s="1" t="str">
        <f>VLOOKUP(B1391,Bounties!A:D,4,FALSE)</f>
        <v>RPCs and Nodes</v>
      </c>
      <c r="O1391" s="1" t="str">
        <f t="shared" ref="O1391:P1391" si="1395">IF(ISBLANK(K1391),M1391,K1391)</f>
        <v>Operations</v>
      </c>
      <c r="P1391" s="1" t="str">
        <f t="shared" si="1395"/>
        <v>RPCs and Nodes</v>
      </c>
      <c r="Q1391" s="108" t="str">
        <f t="shared" si="3"/>
        <v>2024</v>
      </c>
      <c r="R1391" s="110">
        <f t="shared" si="4"/>
        <v>6</v>
      </c>
      <c r="S1391" s="108" t="str">
        <f t="shared" si="5"/>
        <v>2024-Q2</v>
      </c>
      <c r="T1391" s="111" t="str">
        <f t="shared" si="6"/>
        <v>2024-06</v>
      </c>
      <c r="U1391" s="112" t="str">
        <f t="shared" si="7"/>
        <v>2024-H1</v>
      </c>
      <c r="V1391" s="1" t="str">
        <f>VLOOKUP(B1391,Bounties!A:E,2,FALSE)</f>
        <v>System Parachains Collator Bounty</v>
      </c>
    </row>
    <row r="1392" hidden="1">
      <c r="A1392" s="109">
        <f>HYPERLINK("https://polkadot.subsquare.io/treasury/child-bounties/1390", 1390)</f>
        <v>1390</v>
      </c>
      <c r="B1392" s="183">
        <v>32.0</v>
      </c>
      <c r="C1392" s="27" t="s">
        <v>3404</v>
      </c>
      <c r="D1392" s="27" t="s">
        <v>1919</v>
      </c>
      <c r="E1392" s="129">
        <v>9.819035621</v>
      </c>
      <c r="F1392" s="66">
        <v>62.44977485478</v>
      </c>
      <c r="G1392" s="27" t="s">
        <v>3407</v>
      </c>
      <c r="H1392" s="167">
        <v>45453.0</v>
      </c>
      <c r="I1392" s="167">
        <v>45468.0</v>
      </c>
      <c r="J1392" s="66">
        <v>60.628627930675414</v>
      </c>
      <c r="K1392" s="1"/>
      <c r="L1392" s="1"/>
      <c r="M1392" s="1" t="str">
        <f>VLOOKUP(B1392,Bounties!A:D,3,FALSE)</f>
        <v>Operations</v>
      </c>
      <c r="N1392" s="1" t="str">
        <f>VLOOKUP(B1392,Bounties!A:D,4,FALSE)</f>
        <v>RPCs and Nodes</v>
      </c>
      <c r="O1392" s="1" t="str">
        <f t="shared" ref="O1392:P1392" si="1396">IF(ISBLANK(K1392),M1392,K1392)</f>
        <v>Operations</v>
      </c>
      <c r="P1392" s="1" t="str">
        <f t="shared" si="1396"/>
        <v>RPCs and Nodes</v>
      </c>
      <c r="Q1392" s="108" t="str">
        <f t="shared" si="3"/>
        <v>2024</v>
      </c>
      <c r="R1392" s="110">
        <f t="shared" si="4"/>
        <v>6</v>
      </c>
      <c r="S1392" s="108" t="str">
        <f t="shared" si="5"/>
        <v>2024-Q2</v>
      </c>
      <c r="T1392" s="111" t="str">
        <f t="shared" si="6"/>
        <v>2024-06</v>
      </c>
      <c r="U1392" s="112" t="str">
        <f t="shared" si="7"/>
        <v>2024-H1</v>
      </c>
      <c r="V1392" s="1" t="str">
        <f>VLOOKUP(B1392,Bounties!A:E,2,FALSE)</f>
        <v>System Parachains Collator Bounty</v>
      </c>
    </row>
    <row r="1393" hidden="1">
      <c r="A1393" s="109">
        <f>HYPERLINK("https://polkadot.subsquare.io/treasury/child-bounties/1391", 1391)</f>
        <v>1391</v>
      </c>
      <c r="B1393" s="183">
        <v>32.0</v>
      </c>
      <c r="C1393" s="27" t="s">
        <v>3404</v>
      </c>
      <c r="D1393" s="27" t="s">
        <v>1920</v>
      </c>
      <c r="E1393" s="129">
        <v>9.819035621</v>
      </c>
      <c r="F1393" s="66">
        <v>62.44977485478</v>
      </c>
      <c r="G1393" s="27" t="s">
        <v>3406</v>
      </c>
      <c r="H1393" s="167">
        <v>45453.0</v>
      </c>
      <c r="I1393" s="167">
        <v>45482.0</v>
      </c>
      <c r="J1393" s="66">
        <v>57.98035393388625</v>
      </c>
      <c r="K1393" s="1"/>
      <c r="L1393" s="1"/>
      <c r="M1393" s="1" t="str">
        <f>VLOOKUP(B1393,Bounties!A:D,3,FALSE)</f>
        <v>Operations</v>
      </c>
      <c r="N1393" s="1" t="str">
        <f>VLOOKUP(B1393,Bounties!A:D,4,FALSE)</f>
        <v>RPCs and Nodes</v>
      </c>
      <c r="O1393" s="1" t="str">
        <f t="shared" ref="O1393:P1393" si="1397">IF(ISBLANK(K1393),M1393,K1393)</f>
        <v>Operations</v>
      </c>
      <c r="P1393" s="1" t="str">
        <f t="shared" si="1397"/>
        <v>RPCs and Nodes</v>
      </c>
      <c r="Q1393" s="108" t="str">
        <f t="shared" si="3"/>
        <v>2024</v>
      </c>
      <c r="R1393" s="110">
        <f t="shared" si="4"/>
        <v>7</v>
      </c>
      <c r="S1393" s="108" t="str">
        <f t="shared" si="5"/>
        <v>2024-Q3</v>
      </c>
      <c r="T1393" s="111" t="str">
        <f t="shared" si="6"/>
        <v>2024-07</v>
      </c>
      <c r="U1393" s="112" t="str">
        <f t="shared" si="7"/>
        <v>2024-H2</v>
      </c>
      <c r="V1393" s="1" t="str">
        <f>VLOOKUP(B1393,Bounties!A:E,2,FALSE)</f>
        <v>System Parachains Collator Bounty</v>
      </c>
    </row>
    <row r="1394" hidden="1">
      <c r="A1394" s="109">
        <f>HYPERLINK("https://polkadot.subsquare.io/treasury/child-bounties/1392", 1392)</f>
        <v>1392</v>
      </c>
      <c r="B1394" s="183">
        <v>32.0</v>
      </c>
      <c r="C1394" s="27" t="s">
        <v>3404</v>
      </c>
      <c r="D1394" s="27" t="s">
        <v>1921</v>
      </c>
      <c r="E1394" s="129">
        <v>9.819035621</v>
      </c>
      <c r="F1394" s="66">
        <v>62.44977485478</v>
      </c>
      <c r="G1394" s="27" t="s">
        <v>3411</v>
      </c>
      <c r="H1394" s="167">
        <v>45453.0</v>
      </c>
      <c r="I1394" s="167">
        <v>45468.0</v>
      </c>
      <c r="J1394" s="66">
        <v>60.628627930675414</v>
      </c>
      <c r="K1394" s="1"/>
      <c r="L1394" s="1"/>
      <c r="M1394" s="1" t="str">
        <f>VLOOKUP(B1394,Bounties!A:D,3,FALSE)</f>
        <v>Operations</v>
      </c>
      <c r="N1394" s="1" t="str">
        <f>VLOOKUP(B1394,Bounties!A:D,4,FALSE)</f>
        <v>RPCs and Nodes</v>
      </c>
      <c r="O1394" s="1" t="str">
        <f t="shared" ref="O1394:P1394" si="1398">IF(ISBLANK(K1394),M1394,K1394)</f>
        <v>Operations</v>
      </c>
      <c r="P1394" s="1" t="str">
        <f t="shared" si="1398"/>
        <v>RPCs and Nodes</v>
      </c>
      <c r="Q1394" s="108" t="str">
        <f t="shared" si="3"/>
        <v>2024</v>
      </c>
      <c r="R1394" s="110">
        <f t="shared" si="4"/>
        <v>6</v>
      </c>
      <c r="S1394" s="108" t="str">
        <f t="shared" si="5"/>
        <v>2024-Q2</v>
      </c>
      <c r="T1394" s="111" t="str">
        <f t="shared" si="6"/>
        <v>2024-06</v>
      </c>
      <c r="U1394" s="112" t="str">
        <f t="shared" si="7"/>
        <v>2024-H1</v>
      </c>
      <c r="V1394" s="1" t="str">
        <f>VLOOKUP(B1394,Bounties!A:E,2,FALSE)</f>
        <v>System Parachains Collator Bounty</v>
      </c>
    </row>
    <row r="1395" hidden="1">
      <c r="A1395" s="109">
        <f>HYPERLINK("https://polkadot.subsquare.io/treasury/child-bounties/1393", 1393)</f>
        <v>1393</v>
      </c>
      <c r="B1395" s="183">
        <v>42.0</v>
      </c>
      <c r="C1395" s="27" t="s">
        <v>3404</v>
      </c>
      <c r="D1395" s="27" t="s">
        <v>1922</v>
      </c>
      <c r="E1395" s="129">
        <v>22.06</v>
      </c>
      <c r="F1395" s="66">
        <v>140.30319131851195</v>
      </c>
      <c r="G1395" s="27" t="s">
        <v>3723</v>
      </c>
      <c r="H1395" s="167">
        <v>45453.0</v>
      </c>
      <c r="I1395" s="167">
        <v>45462.0</v>
      </c>
      <c r="J1395" s="66">
        <v>126.7980115032196</v>
      </c>
      <c r="K1395" s="1"/>
      <c r="L1395" s="1"/>
      <c r="M1395" s="1" t="str">
        <f>VLOOKUP(B1395,Bounties!A:D,3,FALSE)</f>
        <v>Outreach</v>
      </c>
      <c r="N1395" s="1" t="str">
        <f>VLOOKUP(B1395,Bounties!A:D,4,FALSE)</f>
        <v>Media</v>
      </c>
      <c r="O1395" s="1" t="str">
        <f t="shared" ref="O1395:P1395" si="1399">IF(ISBLANK(K1395),M1395,K1395)</f>
        <v>Outreach</v>
      </c>
      <c r="P1395" s="1" t="str">
        <f t="shared" si="1399"/>
        <v>Media</v>
      </c>
      <c r="Q1395" s="108" t="str">
        <f t="shared" si="3"/>
        <v>2024</v>
      </c>
      <c r="R1395" s="110">
        <f t="shared" si="4"/>
        <v>6</v>
      </c>
      <c r="S1395" s="108" t="str">
        <f t="shared" si="5"/>
        <v>2024-Q2</v>
      </c>
      <c r="T1395" s="111" t="str">
        <f t="shared" si="6"/>
        <v>2024-06</v>
      </c>
      <c r="U1395" s="112" t="str">
        <f t="shared" si="7"/>
        <v>2024-H1</v>
      </c>
      <c r="V1395" s="1" t="str">
        <f>VLOOKUP(B1395,Bounties!A:E,2,FALSE)</f>
        <v>Spanish Bounty</v>
      </c>
    </row>
    <row r="1396" hidden="1">
      <c r="A1396" s="109">
        <f>HYPERLINK("https://polkadot.subsquare.io/treasury/child-bounties/1394", 1394)</f>
        <v>1394</v>
      </c>
      <c r="B1396" s="183">
        <v>33.0</v>
      </c>
      <c r="C1396" s="27" t="s">
        <v>3404</v>
      </c>
      <c r="D1396" s="27" t="s">
        <v>1923</v>
      </c>
      <c r="E1396" s="129">
        <v>21220.0</v>
      </c>
      <c r="F1396" s="66">
        <v>134960.73072433472</v>
      </c>
      <c r="G1396" s="27" t="s">
        <v>3638</v>
      </c>
      <c r="H1396" s="167">
        <v>45453.0</v>
      </c>
      <c r="I1396" s="167">
        <v>45461.0</v>
      </c>
      <c r="J1396" s="66">
        <v>119066.73669815063</v>
      </c>
      <c r="K1396" s="1"/>
      <c r="L1396" s="185" t="s">
        <v>277</v>
      </c>
      <c r="M1396" s="1" t="str">
        <f>VLOOKUP(B1396,Bounties!A:D,3,FALSE)</f>
        <v>Outreach</v>
      </c>
      <c r="N1396" s="1" t="str">
        <f>VLOOKUP(B1396,Bounties!A:D,4,FALSE)</f>
        <v>Advertising</v>
      </c>
      <c r="O1396" s="1" t="str">
        <f t="shared" ref="O1396:P1396" si="1400">IF(ISBLANK(K1396),M1396,K1396)</f>
        <v>Outreach</v>
      </c>
      <c r="P1396" s="1" t="str">
        <f t="shared" si="1400"/>
        <v>PR</v>
      </c>
      <c r="Q1396" s="108" t="str">
        <f t="shared" si="3"/>
        <v>2024</v>
      </c>
      <c r="R1396" s="110">
        <f t="shared" si="4"/>
        <v>6</v>
      </c>
      <c r="S1396" s="108" t="str">
        <f t="shared" si="5"/>
        <v>2024-Q2</v>
      </c>
      <c r="T1396" s="111" t="str">
        <f t="shared" si="6"/>
        <v>2024-06</v>
      </c>
      <c r="U1396" s="112" t="str">
        <f t="shared" si="7"/>
        <v>2024-H1</v>
      </c>
      <c r="V1396" s="1" t="str">
        <f>VLOOKUP(B1396,Bounties!A:E,2,FALSE)</f>
        <v>Marketing Bounty</v>
      </c>
    </row>
    <row r="1397" hidden="1">
      <c r="A1397" s="109">
        <f>HYPERLINK("https://polkadot.subsquare.io/treasury/child-bounties/1395", 1395)</f>
        <v>1395</v>
      </c>
      <c r="B1397" s="183">
        <v>46.0</v>
      </c>
      <c r="C1397" s="27" t="s">
        <v>3404</v>
      </c>
      <c r="D1397" s="27" t="s">
        <v>1924</v>
      </c>
      <c r="E1397" s="129">
        <v>40.541</v>
      </c>
      <c r="F1397" s="66">
        <v>249.84450227117537</v>
      </c>
      <c r="G1397" s="27" t="s">
        <v>3735</v>
      </c>
      <c r="H1397" s="167">
        <v>45454.0</v>
      </c>
      <c r="I1397" s="167">
        <v>45470.0</v>
      </c>
      <c r="J1397" s="66">
        <v>246.17873641014097</v>
      </c>
      <c r="K1397" s="1"/>
      <c r="L1397" s="1"/>
      <c r="M1397" s="1" t="str">
        <f>VLOOKUP(B1397,Bounties!A:D,3,FALSE)</f>
        <v>Outreach</v>
      </c>
      <c r="N1397" s="1" t="str">
        <f>VLOOKUP(B1397,Bounties!A:D,4,FALSE)</f>
        <v>Other</v>
      </c>
      <c r="O1397" s="1" t="str">
        <f t="shared" ref="O1397:P1397" si="1401">IF(ISBLANK(K1397),M1397,K1397)</f>
        <v>Outreach</v>
      </c>
      <c r="P1397" s="1" t="str">
        <f t="shared" si="1401"/>
        <v>Other</v>
      </c>
      <c r="Q1397" s="108" t="str">
        <f t="shared" si="3"/>
        <v>2024</v>
      </c>
      <c r="R1397" s="110">
        <f t="shared" si="4"/>
        <v>6</v>
      </c>
      <c r="S1397" s="108" t="str">
        <f t="shared" si="5"/>
        <v>2024-Q2</v>
      </c>
      <c r="T1397" s="111" t="str">
        <f t="shared" si="6"/>
        <v>2024-06</v>
      </c>
      <c r="U1397" s="112" t="str">
        <f t="shared" si="7"/>
        <v>2024-H1</v>
      </c>
      <c r="V1397" s="1" t="str">
        <f>VLOOKUP(B1397,Bounties!A:E,2,FALSE)</f>
        <v>AMI Bounty Program</v>
      </c>
    </row>
    <row r="1398" hidden="1">
      <c r="A1398" s="109">
        <f>HYPERLINK("https://polkadot.subsquare.io/treasury/child-bounties/1396", 1396)</f>
        <v>1396</v>
      </c>
      <c r="B1398" s="183">
        <v>11.0</v>
      </c>
      <c r="C1398" s="27" t="s">
        <v>3404</v>
      </c>
      <c r="D1398" s="27" t="s">
        <v>1925</v>
      </c>
      <c r="E1398" s="129">
        <v>512.59</v>
      </c>
      <c r="F1398" s="66">
        <v>3158.9697693490984</v>
      </c>
      <c r="G1398" s="27" t="s">
        <v>3705</v>
      </c>
      <c r="H1398" s="167">
        <v>45454.0</v>
      </c>
      <c r="I1398" s="167">
        <v>45465.0</v>
      </c>
      <c r="J1398" s="66">
        <v>2994.8044939041138</v>
      </c>
      <c r="K1398" s="1"/>
      <c r="L1398" s="1"/>
      <c r="M1398" s="1" t="str">
        <f>VLOOKUP(B1398,Bounties!A:D,3,FALSE)</f>
        <v>Research</v>
      </c>
      <c r="N1398" s="1" t="str">
        <f>VLOOKUP(B1398,Bounties!A:D,4,FALSE)</f>
        <v>Anti-Scam</v>
      </c>
      <c r="O1398" s="1" t="str">
        <f t="shared" ref="O1398:P1398" si="1402">IF(ISBLANK(K1398),M1398,K1398)</f>
        <v>Research</v>
      </c>
      <c r="P1398" s="1" t="str">
        <f t="shared" si="1402"/>
        <v>Anti-Scam</v>
      </c>
      <c r="Q1398" s="108" t="str">
        <f t="shared" si="3"/>
        <v>2024</v>
      </c>
      <c r="R1398" s="110">
        <f t="shared" si="4"/>
        <v>6</v>
      </c>
      <c r="S1398" s="108" t="str">
        <f t="shared" si="5"/>
        <v>2024-Q2</v>
      </c>
      <c r="T1398" s="111" t="str">
        <f t="shared" si="6"/>
        <v>2024-06</v>
      </c>
      <c r="U1398" s="112" t="str">
        <f t="shared" si="7"/>
        <v>2024-H1</v>
      </c>
      <c r="V1398" s="1" t="str">
        <f>VLOOKUP(B1398,Bounties!A:E,2,FALSE)</f>
        <v>Anti-Scam Bounty</v>
      </c>
    </row>
    <row r="1399" hidden="1">
      <c r="A1399" s="109">
        <f>HYPERLINK("https://polkadot.subsquare.io/treasury/child-bounties/1397", 1397)</f>
        <v>1397</v>
      </c>
      <c r="B1399" s="183">
        <v>11.0</v>
      </c>
      <c r="C1399" s="27" t="s">
        <v>3404</v>
      </c>
      <c r="D1399" s="27" t="s">
        <v>1926</v>
      </c>
      <c r="E1399" s="129">
        <v>301.66</v>
      </c>
      <c r="F1399" s="66">
        <v>1859.0585470294955</v>
      </c>
      <c r="G1399" s="27" t="s">
        <v>3486</v>
      </c>
      <c r="H1399" s="167">
        <v>45454.0</v>
      </c>
      <c r="I1399" s="167">
        <v>45465.0</v>
      </c>
      <c r="J1399" s="66">
        <v>1762.4470310211184</v>
      </c>
      <c r="K1399" s="1"/>
      <c r="L1399" s="1"/>
      <c r="M1399" s="1" t="str">
        <f>VLOOKUP(B1399,Bounties!A:D,3,FALSE)</f>
        <v>Research</v>
      </c>
      <c r="N1399" s="1" t="str">
        <f>VLOOKUP(B1399,Bounties!A:D,4,FALSE)</f>
        <v>Anti-Scam</v>
      </c>
      <c r="O1399" s="1" t="str">
        <f t="shared" ref="O1399:P1399" si="1403">IF(ISBLANK(K1399),M1399,K1399)</f>
        <v>Research</v>
      </c>
      <c r="P1399" s="1" t="str">
        <f t="shared" si="1403"/>
        <v>Anti-Scam</v>
      </c>
      <c r="Q1399" s="108" t="str">
        <f t="shared" si="3"/>
        <v>2024</v>
      </c>
      <c r="R1399" s="110">
        <f t="shared" si="4"/>
        <v>6</v>
      </c>
      <c r="S1399" s="108" t="str">
        <f t="shared" si="5"/>
        <v>2024-Q2</v>
      </c>
      <c r="T1399" s="111" t="str">
        <f t="shared" si="6"/>
        <v>2024-06</v>
      </c>
      <c r="U1399" s="112" t="str">
        <f t="shared" si="7"/>
        <v>2024-H1</v>
      </c>
      <c r="V1399" s="1" t="str">
        <f>VLOOKUP(B1399,Bounties!A:E,2,FALSE)</f>
        <v>Anti-Scam Bounty</v>
      </c>
    </row>
    <row r="1400" hidden="1">
      <c r="A1400" s="109">
        <f>HYPERLINK("https://polkadot.subsquare.io/treasury/child-bounties/1398", 1398)</f>
        <v>1398</v>
      </c>
      <c r="B1400" s="183">
        <v>22.0</v>
      </c>
      <c r="C1400" s="27" t="s">
        <v>3404</v>
      </c>
      <c r="D1400" s="27" t="s">
        <v>1927</v>
      </c>
      <c r="E1400" s="129">
        <v>18360.0</v>
      </c>
      <c r="F1400" s="66">
        <v>113148.29584121704</v>
      </c>
      <c r="G1400" s="27" t="s">
        <v>3736</v>
      </c>
      <c r="H1400" s="167">
        <v>45455.0</v>
      </c>
      <c r="I1400" s="167">
        <v>45489.0</v>
      </c>
      <c r="J1400" s="66">
        <v>111878.00199508667</v>
      </c>
      <c r="K1400" s="1"/>
      <c r="L1400" s="1"/>
      <c r="M1400" s="1" t="str">
        <f>VLOOKUP(B1400,Bounties!A:D,3,FALSE)</f>
        <v>Development</v>
      </c>
      <c r="N1400" s="1" t="str">
        <f>VLOOKUP(B1400,Bounties!A:D,4,FALSE)</f>
        <v>Ecosystem Services</v>
      </c>
      <c r="O1400" s="1" t="str">
        <f t="shared" ref="O1400:P1400" si="1404">IF(ISBLANK(K1400),M1400,K1400)</f>
        <v>Development</v>
      </c>
      <c r="P1400" s="1" t="str">
        <f t="shared" si="1404"/>
        <v>Ecosystem Services</v>
      </c>
      <c r="Q1400" s="108" t="str">
        <f t="shared" si="3"/>
        <v>2024</v>
      </c>
      <c r="R1400" s="110">
        <f t="shared" si="4"/>
        <v>7</v>
      </c>
      <c r="S1400" s="108" t="str">
        <f t="shared" si="5"/>
        <v>2024-Q3</v>
      </c>
      <c r="T1400" s="111" t="str">
        <f t="shared" si="6"/>
        <v>2024-07</v>
      </c>
      <c r="U1400" s="112" t="str">
        <f t="shared" si="7"/>
        <v>2024-H2</v>
      </c>
      <c r="V1400" s="1" t="str">
        <f>VLOOKUP(B1400,Bounties!A:E,2,FALSE)</f>
        <v>Polkadot Assurance Legion Bounty</v>
      </c>
    </row>
    <row r="1401" hidden="1">
      <c r="A1401" s="109">
        <f>HYPERLINK("https://polkadot.subsquare.io/treasury/child-bounties/1399", 1399)</f>
        <v>1399</v>
      </c>
      <c r="B1401" s="183">
        <v>43.0</v>
      </c>
      <c r="C1401" s="27" t="s">
        <v>3404</v>
      </c>
      <c r="D1401" s="27" t="s">
        <v>1928</v>
      </c>
      <c r="E1401" s="129">
        <v>119.9</v>
      </c>
      <c r="F1401" s="66">
        <v>738.9150692462922</v>
      </c>
      <c r="G1401" s="27" t="s">
        <v>3495</v>
      </c>
      <c r="H1401" s="167">
        <v>45455.0</v>
      </c>
      <c r="I1401" s="167">
        <v>45466.0</v>
      </c>
      <c r="J1401" s="66">
        <v>694.6138867378235</v>
      </c>
      <c r="K1401" s="1"/>
      <c r="L1401" s="1"/>
      <c r="M1401" s="1" t="str">
        <f>VLOOKUP(B1401,Bounties!A:D,3,FALSE)</f>
        <v>Outreach</v>
      </c>
      <c r="N1401" s="1" t="str">
        <f>VLOOKUP(B1401,Bounties!A:D,4,FALSE)</f>
        <v>Events/Meetups</v>
      </c>
      <c r="O1401" s="1" t="str">
        <f t="shared" ref="O1401:P1401" si="1405">IF(ISBLANK(K1401),M1401,K1401)</f>
        <v>Outreach</v>
      </c>
      <c r="P1401" s="1" t="str">
        <f t="shared" si="1405"/>
        <v>Events/Meetups</v>
      </c>
      <c r="Q1401" s="108" t="str">
        <f t="shared" si="3"/>
        <v>2024</v>
      </c>
      <c r="R1401" s="110">
        <f t="shared" si="4"/>
        <v>6</v>
      </c>
      <c r="S1401" s="108" t="str">
        <f t="shared" si="5"/>
        <v>2024-Q2</v>
      </c>
      <c r="T1401" s="111" t="str">
        <f t="shared" si="6"/>
        <v>2024-06</v>
      </c>
      <c r="U1401" s="112" t="str">
        <f t="shared" si="7"/>
        <v>2024-H1</v>
      </c>
      <c r="V1401" s="1" t="str">
        <f>VLOOKUP(B1401,Bounties!A:E,2,FALSE)</f>
        <v>Meetups Bounty</v>
      </c>
    </row>
    <row r="1402" hidden="1">
      <c r="A1402" s="109">
        <f>HYPERLINK("https://polkadot.subsquare.io/treasury/child-bounties/1400", 1400)</f>
        <v>1400</v>
      </c>
      <c r="B1402" s="183">
        <v>43.0</v>
      </c>
      <c r="C1402" s="27" t="s">
        <v>3404</v>
      </c>
      <c r="D1402" s="27" t="s">
        <v>1929</v>
      </c>
      <c r="E1402" s="129">
        <v>110.0</v>
      </c>
      <c r="F1402" s="66">
        <v>668.1306505203247</v>
      </c>
      <c r="G1402" s="27" t="s">
        <v>3737</v>
      </c>
      <c r="H1402" s="167">
        <v>45457.0</v>
      </c>
      <c r="I1402" s="167">
        <v>45475.0</v>
      </c>
      <c r="J1402" s="66">
        <v>623.2315063476562</v>
      </c>
      <c r="K1402" s="1"/>
      <c r="L1402" s="1"/>
      <c r="M1402" s="1" t="str">
        <f>VLOOKUP(B1402,Bounties!A:D,3,FALSE)</f>
        <v>Outreach</v>
      </c>
      <c r="N1402" s="1" t="str">
        <f>VLOOKUP(B1402,Bounties!A:D,4,FALSE)</f>
        <v>Events/Meetups</v>
      </c>
      <c r="O1402" s="1" t="str">
        <f t="shared" ref="O1402:P1402" si="1406">IF(ISBLANK(K1402),M1402,K1402)</f>
        <v>Outreach</v>
      </c>
      <c r="P1402" s="1" t="str">
        <f t="shared" si="1406"/>
        <v>Events/Meetups</v>
      </c>
      <c r="Q1402" s="108" t="str">
        <f t="shared" si="3"/>
        <v>2024</v>
      </c>
      <c r="R1402" s="110">
        <f t="shared" si="4"/>
        <v>7</v>
      </c>
      <c r="S1402" s="108" t="str">
        <f t="shared" si="5"/>
        <v>2024-Q3</v>
      </c>
      <c r="T1402" s="111" t="str">
        <f t="shared" si="6"/>
        <v>2024-07</v>
      </c>
      <c r="U1402" s="112" t="str">
        <f t="shared" si="7"/>
        <v>2024-H2</v>
      </c>
      <c r="V1402" s="1" t="str">
        <f>VLOOKUP(B1402,Bounties!A:E,2,FALSE)</f>
        <v>Meetups Bounty</v>
      </c>
    </row>
    <row r="1403" hidden="1">
      <c r="A1403" s="109">
        <f>HYPERLINK("https://polkadot.subsquare.io/treasury/child-bounties/1401", 1401)</f>
        <v>1401</v>
      </c>
      <c r="B1403" s="183">
        <v>43.0</v>
      </c>
      <c r="C1403" s="27" t="s">
        <v>3404</v>
      </c>
      <c r="D1403" s="27" t="s">
        <v>1930</v>
      </c>
      <c r="E1403" s="129">
        <v>168.77</v>
      </c>
      <c r="F1403" s="66">
        <v>1025.09463534832</v>
      </c>
      <c r="G1403" s="27" t="s">
        <v>3738</v>
      </c>
      <c r="H1403" s="167">
        <v>45457.0</v>
      </c>
      <c r="I1403" s="167">
        <v>45469.0</v>
      </c>
      <c r="J1403" s="66">
        <v>1042.0874239397049</v>
      </c>
      <c r="K1403" s="1"/>
      <c r="L1403" s="1"/>
      <c r="M1403" s="1" t="str">
        <f>VLOOKUP(B1403,Bounties!A:D,3,FALSE)</f>
        <v>Outreach</v>
      </c>
      <c r="N1403" s="1" t="str">
        <f>VLOOKUP(B1403,Bounties!A:D,4,FALSE)</f>
        <v>Events/Meetups</v>
      </c>
      <c r="O1403" s="1" t="str">
        <f t="shared" ref="O1403:P1403" si="1407">IF(ISBLANK(K1403),M1403,K1403)</f>
        <v>Outreach</v>
      </c>
      <c r="P1403" s="1" t="str">
        <f t="shared" si="1407"/>
        <v>Events/Meetups</v>
      </c>
      <c r="Q1403" s="108" t="str">
        <f t="shared" si="3"/>
        <v>2024</v>
      </c>
      <c r="R1403" s="110">
        <f t="shared" si="4"/>
        <v>6</v>
      </c>
      <c r="S1403" s="108" t="str">
        <f t="shared" si="5"/>
        <v>2024-Q2</v>
      </c>
      <c r="T1403" s="111" t="str">
        <f t="shared" si="6"/>
        <v>2024-06</v>
      </c>
      <c r="U1403" s="112" t="str">
        <f t="shared" si="7"/>
        <v>2024-H1</v>
      </c>
      <c r="V1403" s="1" t="str">
        <f>VLOOKUP(B1403,Bounties!A:E,2,FALSE)</f>
        <v>Meetups Bounty</v>
      </c>
    </row>
    <row r="1404" hidden="1">
      <c r="A1404" s="109">
        <f>HYPERLINK("https://polkadot.subsquare.io/treasury/child-bounties/1402", 1402)</f>
        <v>1402</v>
      </c>
      <c r="B1404" s="183">
        <v>10.0</v>
      </c>
      <c r="C1404" s="27" t="s">
        <v>3404</v>
      </c>
      <c r="D1404" s="27" t="s">
        <v>1931</v>
      </c>
      <c r="E1404" s="129">
        <v>21470.0</v>
      </c>
      <c r="F1404" s="66">
        <v>124401.72873020172</v>
      </c>
      <c r="G1404" s="27" t="s">
        <v>3479</v>
      </c>
      <c r="H1404" s="167">
        <v>45459.0</v>
      </c>
      <c r="I1404" s="167">
        <v>45475.0</v>
      </c>
      <c r="J1404" s="66">
        <v>119353.10217857361</v>
      </c>
      <c r="K1404" s="3" t="s">
        <v>81</v>
      </c>
      <c r="L1404" s="185" t="s">
        <v>185</v>
      </c>
      <c r="M1404" s="1" t="str">
        <f>VLOOKUP(B1404,Bounties!A:D,3,FALSE)</f>
        <v/>
      </c>
      <c r="N1404" s="1" t="str">
        <f>VLOOKUP(B1404,Bounties!A:D,4,FALSE)</f>
        <v/>
      </c>
      <c r="O1404" s="1" t="str">
        <f t="shared" ref="O1404:P1404" si="1408">IF(ISBLANK(K1404),M1404,K1404)</f>
        <v>Development</v>
      </c>
      <c r="P1404" s="1" t="str">
        <f t="shared" si="1408"/>
        <v>Polkadot Protocol &amp; SDK</v>
      </c>
      <c r="Q1404" s="108" t="str">
        <f t="shared" si="3"/>
        <v>2024</v>
      </c>
      <c r="R1404" s="110">
        <f t="shared" si="4"/>
        <v>7</v>
      </c>
      <c r="S1404" s="108" t="str">
        <f t="shared" si="5"/>
        <v>2024-Q3</v>
      </c>
      <c r="T1404" s="111" t="str">
        <f t="shared" si="6"/>
        <v>2024-07</v>
      </c>
      <c r="U1404" s="112" t="str">
        <f t="shared" si="7"/>
        <v>2024-H2</v>
      </c>
      <c r="V1404" s="1" t="str">
        <f>VLOOKUP(B1404,Bounties!A:E,2,FALSE)</f>
        <v>Polkadot Pioneers Bounty</v>
      </c>
    </row>
    <row r="1405" hidden="1">
      <c r="A1405" s="109">
        <f>HYPERLINK("https://polkadot.subsquare.io/treasury/child-bounties/1403", 1403)</f>
        <v>1403</v>
      </c>
      <c r="B1405" s="183">
        <v>36.0</v>
      </c>
      <c r="C1405" s="27" t="s">
        <v>3404</v>
      </c>
      <c r="D1405" s="27" t="s">
        <v>1932</v>
      </c>
      <c r="E1405" s="129">
        <v>10131.88</v>
      </c>
      <c r="F1405" s="66">
        <v>58706.25930540085</v>
      </c>
      <c r="G1405" s="27" t="s">
        <v>3739</v>
      </c>
      <c r="H1405" s="167">
        <v>45460.0</v>
      </c>
      <c r="I1405" s="167">
        <v>45473.0</v>
      </c>
      <c r="J1405" s="66">
        <v>61493.7544108963</v>
      </c>
      <c r="K1405" s="1"/>
      <c r="L1405" s="1"/>
      <c r="M1405" s="1" t="str">
        <f>VLOOKUP(B1405,Bounties!A:D,3,FALSE)</f>
        <v>Development</v>
      </c>
      <c r="N1405" s="1" t="str">
        <f>VLOOKUP(B1405,Bounties!A:D,4,FALSE)</f>
        <v>Software Development</v>
      </c>
      <c r="O1405" s="1" t="str">
        <f t="shared" ref="O1405:P1405" si="1409">IF(ISBLANK(K1405),M1405,K1405)</f>
        <v>Development</v>
      </c>
      <c r="P1405" s="1" t="str">
        <f t="shared" si="1409"/>
        <v>Software Development</v>
      </c>
      <c r="Q1405" s="108" t="str">
        <f t="shared" si="3"/>
        <v>2024</v>
      </c>
      <c r="R1405" s="110">
        <f t="shared" si="4"/>
        <v>6</v>
      </c>
      <c r="S1405" s="108" t="str">
        <f t="shared" si="5"/>
        <v>2024-Q2</v>
      </c>
      <c r="T1405" s="111" t="str">
        <f t="shared" si="6"/>
        <v>2024-06</v>
      </c>
      <c r="U1405" s="112" t="str">
        <f t="shared" si="7"/>
        <v>2024-H1</v>
      </c>
      <c r="V1405" s="1" t="str">
        <f>VLOOKUP(B1405,Bounties!A:E,2,FALSE)</f>
        <v>DeFi Infrastructure and Tooling Bounty</v>
      </c>
    </row>
    <row r="1406" hidden="1">
      <c r="A1406" s="109">
        <f>HYPERLINK("https://polkadot.subsquare.io/treasury/child-bounties/1404", 1404)</f>
        <v>1404</v>
      </c>
      <c r="B1406" s="183">
        <v>36.0</v>
      </c>
      <c r="C1406" s="27" t="s">
        <v>3404</v>
      </c>
      <c r="D1406" s="27" t="s">
        <v>1933</v>
      </c>
      <c r="E1406" s="129">
        <v>9649.4</v>
      </c>
      <c r="F1406" s="66">
        <v>55910.66796503067</v>
      </c>
      <c r="G1406" s="27" t="s">
        <v>3740</v>
      </c>
      <c r="H1406" s="167">
        <v>45460.0</v>
      </c>
      <c r="I1406" s="167">
        <v>45473.0</v>
      </c>
      <c r="J1406" s="66">
        <v>58565.42258815765</v>
      </c>
      <c r="K1406" s="1"/>
      <c r="L1406" s="1"/>
      <c r="M1406" s="1" t="str">
        <f>VLOOKUP(B1406,Bounties!A:D,3,FALSE)</f>
        <v>Development</v>
      </c>
      <c r="N1406" s="1" t="str">
        <f>VLOOKUP(B1406,Bounties!A:D,4,FALSE)</f>
        <v>Software Development</v>
      </c>
      <c r="O1406" s="1" t="str">
        <f t="shared" ref="O1406:P1406" si="1410">IF(ISBLANK(K1406),M1406,K1406)</f>
        <v>Development</v>
      </c>
      <c r="P1406" s="1" t="str">
        <f t="shared" si="1410"/>
        <v>Software Development</v>
      </c>
      <c r="Q1406" s="108" t="str">
        <f t="shared" si="3"/>
        <v>2024</v>
      </c>
      <c r="R1406" s="110">
        <f t="shared" si="4"/>
        <v>6</v>
      </c>
      <c r="S1406" s="108" t="str">
        <f t="shared" si="5"/>
        <v>2024-Q2</v>
      </c>
      <c r="T1406" s="111" t="str">
        <f t="shared" si="6"/>
        <v>2024-06</v>
      </c>
      <c r="U1406" s="112" t="str">
        <f t="shared" si="7"/>
        <v>2024-H1</v>
      </c>
      <c r="V1406" s="1" t="str">
        <f>VLOOKUP(B1406,Bounties!A:E,2,FALSE)</f>
        <v>DeFi Infrastructure and Tooling Bounty</v>
      </c>
    </row>
    <row r="1407" hidden="1">
      <c r="A1407" s="109">
        <f>HYPERLINK("https://polkadot.subsquare.io/treasury/child-bounties/1405", 1405)</f>
        <v>1405</v>
      </c>
      <c r="B1407" s="183">
        <v>36.0</v>
      </c>
      <c r="C1407" s="27" t="s">
        <v>3404</v>
      </c>
      <c r="D1407" s="27" t="s">
        <v>1934</v>
      </c>
      <c r="E1407" s="129">
        <v>804.12</v>
      </c>
      <c r="F1407" s="66">
        <v>4659.241644458771</v>
      </c>
      <c r="G1407" s="27" t="s">
        <v>3741</v>
      </c>
      <c r="H1407" s="167">
        <v>45460.0</v>
      </c>
      <c r="I1407" s="167">
        <v>45473.0</v>
      </c>
      <c r="J1407" s="66">
        <v>4880.472113456726</v>
      </c>
      <c r="K1407" s="1"/>
      <c r="L1407" s="1"/>
      <c r="M1407" s="1" t="str">
        <f>VLOOKUP(B1407,Bounties!A:D,3,FALSE)</f>
        <v>Development</v>
      </c>
      <c r="N1407" s="1" t="str">
        <f>VLOOKUP(B1407,Bounties!A:D,4,FALSE)</f>
        <v>Software Development</v>
      </c>
      <c r="O1407" s="1" t="str">
        <f t="shared" ref="O1407:P1407" si="1411">IF(ISBLANK(K1407),M1407,K1407)</f>
        <v>Development</v>
      </c>
      <c r="P1407" s="1" t="str">
        <f t="shared" si="1411"/>
        <v>Software Development</v>
      </c>
      <c r="Q1407" s="108" t="str">
        <f t="shared" si="3"/>
        <v>2024</v>
      </c>
      <c r="R1407" s="110">
        <f t="shared" si="4"/>
        <v>6</v>
      </c>
      <c r="S1407" s="108" t="str">
        <f t="shared" si="5"/>
        <v>2024-Q2</v>
      </c>
      <c r="T1407" s="111" t="str">
        <f t="shared" si="6"/>
        <v>2024-06</v>
      </c>
      <c r="U1407" s="112" t="str">
        <f t="shared" si="7"/>
        <v>2024-H1</v>
      </c>
      <c r="V1407" s="1" t="str">
        <f>VLOOKUP(B1407,Bounties!A:E,2,FALSE)</f>
        <v>DeFi Infrastructure and Tooling Bounty</v>
      </c>
    </row>
    <row r="1408" hidden="1">
      <c r="A1408" s="109">
        <f>HYPERLINK("https://polkadot.subsquare.io/treasury/child-bounties/1406", 1406)</f>
        <v>1406</v>
      </c>
      <c r="B1408" s="183">
        <v>42.0</v>
      </c>
      <c r="C1408" s="27" t="s">
        <v>3404</v>
      </c>
      <c r="D1408" s="27" t="s">
        <v>1935</v>
      </c>
      <c r="E1408" s="129">
        <v>38.56</v>
      </c>
      <c r="F1408" s="66">
        <v>217.50805282592773</v>
      </c>
      <c r="G1408" s="27" t="s">
        <v>3644</v>
      </c>
      <c r="H1408" s="167">
        <v>45460.0</v>
      </c>
      <c r="I1408" s="167">
        <v>45468.0</v>
      </c>
      <c r="J1408" s="66">
        <v>238.09261756896973</v>
      </c>
      <c r="K1408" s="1"/>
      <c r="L1408" s="1"/>
      <c r="M1408" s="1" t="str">
        <f>VLOOKUP(B1408,Bounties!A:D,3,FALSE)</f>
        <v>Outreach</v>
      </c>
      <c r="N1408" s="1" t="str">
        <f>VLOOKUP(B1408,Bounties!A:D,4,FALSE)</f>
        <v>Media</v>
      </c>
      <c r="O1408" s="1" t="str">
        <f t="shared" ref="O1408:P1408" si="1412">IF(ISBLANK(K1408),M1408,K1408)</f>
        <v>Outreach</v>
      </c>
      <c r="P1408" s="1" t="str">
        <f t="shared" si="1412"/>
        <v>Media</v>
      </c>
      <c r="Q1408" s="108" t="str">
        <f t="shared" si="3"/>
        <v>2024</v>
      </c>
      <c r="R1408" s="110">
        <f t="shared" si="4"/>
        <v>6</v>
      </c>
      <c r="S1408" s="108" t="str">
        <f t="shared" si="5"/>
        <v>2024-Q2</v>
      </c>
      <c r="T1408" s="111" t="str">
        <f t="shared" si="6"/>
        <v>2024-06</v>
      </c>
      <c r="U1408" s="112" t="str">
        <f t="shared" si="7"/>
        <v>2024-H1</v>
      </c>
      <c r="V1408" s="1" t="str">
        <f>VLOOKUP(B1408,Bounties!A:E,2,FALSE)</f>
        <v>Spanish Bounty</v>
      </c>
    </row>
    <row r="1409" hidden="1">
      <c r="A1409" s="109">
        <f>HYPERLINK("https://polkadot.subsquare.io/treasury/child-bounties/1407", 1407)</f>
        <v>1407</v>
      </c>
      <c r="B1409" s="183">
        <v>42.0</v>
      </c>
      <c r="C1409" s="27" t="s">
        <v>3404</v>
      </c>
      <c r="D1409" s="27" t="s">
        <v>1936</v>
      </c>
      <c r="E1409" s="129">
        <v>4.78</v>
      </c>
      <c r="F1409" s="66">
        <v>26.962875843048096</v>
      </c>
      <c r="G1409" s="27" t="s">
        <v>3676</v>
      </c>
      <c r="H1409" s="167">
        <v>45460.0</v>
      </c>
      <c r="I1409" s="167">
        <v>45473.0</v>
      </c>
      <c r="J1409" s="66">
        <v>29.011412105560304</v>
      </c>
      <c r="K1409" s="1"/>
      <c r="L1409" s="1"/>
      <c r="M1409" s="1" t="str">
        <f>VLOOKUP(B1409,Bounties!A:D,3,FALSE)</f>
        <v>Outreach</v>
      </c>
      <c r="N1409" s="1" t="str">
        <f>VLOOKUP(B1409,Bounties!A:D,4,FALSE)</f>
        <v>Media</v>
      </c>
      <c r="O1409" s="1" t="str">
        <f t="shared" ref="O1409:P1409" si="1413">IF(ISBLANK(K1409),M1409,K1409)</f>
        <v>Outreach</v>
      </c>
      <c r="P1409" s="1" t="str">
        <f t="shared" si="1413"/>
        <v>Media</v>
      </c>
      <c r="Q1409" s="108" t="str">
        <f t="shared" si="3"/>
        <v>2024</v>
      </c>
      <c r="R1409" s="110">
        <f t="shared" si="4"/>
        <v>6</v>
      </c>
      <c r="S1409" s="108" t="str">
        <f t="shared" si="5"/>
        <v>2024-Q2</v>
      </c>
      <c r="T1409" s="111" t="str">
        <f t="shared" si="6"/>
        <v>2024-06</v>
      </c>
      <c r="U1409" s="112" t="str">
        <f t="shared" si="7"/>
        <v>2024-H1</v>
      </c>
      <c r="V1409" s="1" t="str">
        <f>VLOOKUP(B1409,Bounties!A:E,2,FALSE)</f>
        <v>Spanish Bounty</v>
      </c>
    </row>
    <row r="1410" hidden="1">
      <c r="A1410" s="109">
        <f>HYPERLINK("https://polkadot.subsquare.io/treasury/child-bounties/1408", 1408)</f>
        <v>1408</v>
      </c>
      <c r="B1410" s="183">
        <v>42.0</v>
      </c>
      <c r="C1410" s="27" t="s">
        <v>3404</v>
      </c>
      <c r="D1410" s="27" t="s">
        <v>1937</v>
      </c>
      <c r="E1410" s="129">
        <v>48.76</v>
      </c>
      <c r="F1410" s="66">
        <v>275.04389667510986</v>
      </c>
      <c r="G1410" s="27" t="s">
        <v>3676</v>
      </c>
      <c r="H1410" s="167">
        <v>45460.0</v>
      </c>
      <c r="I1410" s="167">
        <v>45473.0</v>
      </c>
      <c r="J1410" s="66">
        <v>295.940680809021</v>
      </c>
      <c r="K1410" s="1"/>
      <c r="L1410" s="1"/>
      <c r="M1410" s="1" t="str">
        <f>VLOOKUP(B1410,Bounties!A:D,3,FALSE)</f>
        <v>Outreach</v>
      </c>
      <c r="N1410" s="1" t="str">
        <f>VLOOKUP(B1410,Bounties!A:D,4,FALSE)</f>
        <v>Media</v>
      </c>
      <c r="O1410" s="1" t="str">
        <f t="shared" ref="O1410:P1410" si="1414">IF(ISBLANK(K1410),M1410,K1410)</f>
        <v>Outreach</v>
      </c>
      <c r="P1410" s="1" t="str">
        <f t="shared" si="1414"/>
        <v>Media</v>
      </c>
      <c r="Q1410" s="108" t="str">
        <f t="shared" si="3"/>
        <v>2024</v>
      </c>
      <c r="R1410" s="110">
        <f t="shared" si="4"/>
        <v>6</v>
      </c>
      <c r="S1410" s="108" t="str">
        <f t="shared" si="5"/>
        <v>2024-Q2</v>
      </c>
      <c r="T1410" s="111" t="str">
        <f t="shared" si="6"/>
        <v>2024-06</v>
      </c>
      <c r="U1410" s="112" t="str">
        <f t="shared" si="7"/>
        <v>2024-H1</v>
      </c>
      <c r="V1410" s="1" t="str">
        <f>VLOOKUP(B1410,Bounties!A:E,2,FALSE)</f>
        <v>Spanish Bounty</v>
      </c>
    </row>
    <row r="1411" hidden="1">
      <c r="A1411" s="109">
        <f>HYPERLINK("https://polkadot.subsquare.io/treasury/child-bounties/1409", 1409)</f>
        <v>1409</v>
      </c>
      <c r="B1411" s="183">
        <v>42.0</v>
      </c>
      <c r="C1411" s="27" t="s">
        <v>3404</v>
      </c>
      <c r="D1411" s="27" t="s">
        <v>1938</v>
      </c>
      <c r="E1411" s="129">
        <v>4.76</v>
      </c>
      <c r="F1411" s="66">
        <v>26.85006046295166</v>
      </c>
      <c r="G1411" s="27" t="s">
        <v>3675</v>
      </c>
      <c r="H1411" s="167">
        <v>45460.0</v>
      </c>
      <c r="I1411" s="167">
        <v>45470.0</v>
      </c>
      <c r="J1411" s="66">
        <v>29.55280683517456</v>
      </c>
      <c r="K1411" s="1"/>
      <c r="L1411" s="1"/>
      <c r="M1411" s="1" t="str">
        <f>VLOOKUP(B1411,Bounties!A:D,3,FALSE)</f>
        <v>Outreach</v>
      </c>
      <c r="N1411" s="1" t="str">
        <f>VLOOKUP(B1411,Bounties!A:D,4,FALSE)</f>
        <v>Media</v>
      </c>
      <c r="O1411" s="1" t="str">
        <f t="shared" ref="O1411:P1411" si="1415">IF(ISBLANK(K1411),M1411,K1411)</f>
        <v>Outreach</v>
      </c>
      <c r="P1411" s="1" t="str">
        <f t="shared" si="1415"/>
        <v>Media</v>
      </c>
      <c r="Q1411" s="108" t="str">
        <f t="shared" si="3"/>
        <v>2024</v>
      </c>
      <c r="R1411" s="110">
        <f t="shared" si="4"/>
        <v>6</v>
      </c>
      <c r="S1411" s="108" t="str">
        <f t="shared" si="5"/>
        <v>2024-Q2</v>
      </c>
      <c r="T1411" s="111" t="str">
        <f t="shared" si="6"/>
        <v>2024-06</v>
      </c>
      <c r="U1411" s="112" t="str">
        <f t="shared" si="7"/>
        <v>2024-H1</v>
      </c>
      <c r="V1411" s="1" t="str">
        <f>VLOOKUP(B1411,Bounties!A:E,2,FALSE)</f>
        <v>Spanish Bounty</v>
      </c>
    </row>
    <row r="1412" hidden="1">
      <c r="A1412" s="109">
        <f>HYPERLINK("https://polkadot.subsquare.io/treasury/child-bounties/1410", 1410)</f>
        <v>1410</v>
      </c>
      <c r="B1412" s="183">
        <v>42.0</v>
      </c>
      <c r="C1412" s="27" t="s">
        <v>3404</v>
      </c>
      <c r="D1412" s="27" t="s">
        <v>1939</v>
      </c>
      <c r="E1412" s="129">
        <v>60.11</v>
      </c>
      <c r="F1412" s="66">
        <v>339.06662487983704</v>
      </c>
      <c r="G1412" s="27" t="s">
        <v>3644</v>
      </c>
      <c r="H1412" s="167">
        <v>45460.0</v>
      </c>
      <c r="I1412" s="167">
        <v>45468.0</v>
      </c>
      <c r="J1412" s="66">
        <v>371.15527080059053</v>
      </c>
      <c r="K1412" s="1"/>
      <c r="L1412" s="1"/>
      <c r="M1412" s="1" t="str">
        <f>VLOOKUP(B1412,Bounties!A:D,3,FALSE)</f>
        <v>Outreach</v>
      </c>
      <c r="N1412" s="1" t="str">
        <f>VLOOKUP(B1412,Bounties!A:D,4,FALSE)</f>
        <v>Media</v>
      </c>
      <c r="O1412" s="1" t="str">
        <f t="shared" ref="O1412:P1412" si="1416">IF(ISBLANK(K1412),M1412,K1412)</f>
        <v>Outreach</v>
      </c>
      <c r="P1412" s="1" t="str">
        <f t="shared" si="1416"/>
        <v>Media</v>
      </c>
      <c r="Q1412" s="108" t="str">
        <f t="shared" si="3"/>
        <v>2024</v>
      </c>
      <c r="R1412" s="110">
        <f t="shared" si="4"/>
        <v>6</v>
      </c>
      <c r="S1412" s="108" t="str">
        <f t="shared" si="5"/>
        <v>2024-Q2</v>
      </c>
      <c r="T1412" s="111" t="str">
        <f t="shared" si="6"/>
        <v>2024-06</v>
      </c>
      <c r="U1412" s="112" t="str">
        <f t="shared" si="7"/>
        <v>2024-H1</v>
      </c>
      <c r="V1412" s="1" t="str">
        <f>VLOOKUP(B1412,Bounties!A:E,2,FALSE)</f>
        <v>Spanish Bounty</v>
      </c>
    </row>
    <row r="1413" hidden="1">
      <c r="A1413" s="109">
        <f>HYPERLINK("https://polkadot.subsquare.io/treasury/child-bounties/1411", 1411)</f>
        <v>1411</v>
      </c>
      <c r="B1413" s="183">
        <v>42.0</v>
      </c>
      <c r="C1413" s="27" t="s">
        <v>3404</v>
      </c>
      <c r="D1413" s="27" t="s">
        <v>1940</v>
      </c>
      <c r="E1413" s="129">
        <v>14.28</v>
      </c>
      <c r="F1413" s="66">
        <v>80.55018138885498</v>
      </c>
      <c r="G1413" s="27" t="s">
        <v>3702</v>
      </c>
      <c r="H1413" s="167">
        <v>45460.0</v>
      </c>
      <c r="I1413" s="167">
        <v>45468.0</v>
      </c>
      <c r="J1413" s="66">
        <v>88.17330339431763</v>
      </c>
      <c r="K1413" s="1"/>
      <c r="L1413" s="1"/>
      <c r="M1413" s="1" t="str">
        <f>VLOOKUP(B1413,Bounties!A:D,3,FALSE)</f>
        <v>Outreach</v>
      </c>
      <c r="N1413" s="1" t="str">
        <f>VLOOKUP(B1413,Bounties!A:D,4,FALSE)</f>
        <v>Media</v>
      </c>
      <c r="O1413" s="1" t="str">
        <f t="shared" ref="O1413:P1413" si="1417">IF(ISBLANK(K1413),M1413,K1413)</f>
        <v>Outreach</v>
      </c>
      <c r="P1413" s="1" t="str">
        <f t="shared" si="1417"/>
        <v>Media</v>
      </c>
      <c r="Q1413" s="108" t="str">
        <f t="shared" si="3"/>
        <v>2024</v>
      </c>
      <c r="R1413" s="110">
        <f t="shared" si="4"/>
        <v>6</v>
      </c>
      <c r="S1413" s="108" t="str">
        <f t="shared" si="5"/>
        <v>2024-Q2</v>
      </c>
      <c r="T1413" s="111" t="str">
        <f t="shared" si="6"/>
        <v>2024-06</v>
      </c>
      <c r="U1413" s="112" t="str">
        <f t="shared" si="7"/>
        <v>2024-H1</v>
      </c>
      <c r="V1413" s="1" t="str">
        <f>VLOOKUP(B1413,Bounties!A:E,2,FALSE)</f>
        <v>Spanish Bounty</v>
      </c>
    </row>
    <row r="1414" hidden="1">
      <c r="A1414" s="109">
        <f>HYPERLINK("https://polkadot.subsquare.io/treasury/child-bounties/1412", 1412)</f>
        <v>1412</v>
      </c>
      <c r="B1414" s="183">
        <v>42.0</v>
      </c>
      <c r="C1414" s="27" t="s">
        <v>3404</v>
      </c>
      <c r="D1414" s="27" t="s">
        <v>1941</v>
      </c>
      <c r="E1414" s="129">
        <v>7.19</v>
      </c>
      <c r="F1414" s="66">
        <v>40.55712914466858</v>
      </c>
      <c r="G1414" s="27" t="s">
        <v>3734</v>
      </c>
      <c r="H1414" s="167">
        <v>45460.0</v>
      </c>
      <c r="I1414" s="167">
        <v>45469.0</v>
      </c>
      <c r="J1414" s="66">
        <v>43.66012468338013</v>
      </c>
      <c r="K1414" s="1"/>
      <c r="L1414" s="1"/>
      <c r="M1414" s="1" t="str">
        <f>VLOOKUP(B1414,Bounties!A:D,3,FALSE)</f>
        <v>Outreach</v>
      </c>
      <c r="N1414" s="1" t="str">
        <f>VLOOKUP(B1414,Bounties!A:D,4,FALSE)</f>
        <v>Media</v>
      </c>
      <c r="O1414" s="1" t="str">
        <f t="shared" ref="O1414:P1414" si="1418">IF(ISBLANK(K1414),M1414,K1414)</f>
        <v>Outreach</v>
      </c>
      <c r="P1414" s="1" t="str">
        <f t="shared" si="1418"/>
        <v>Media</v>
      </c>
      <c r="Q1414" s="108" t="str">
        <f t="shared" si="3"/>
        <v>2024</v>
      </c>
      <c r="R1414" s="110">
        <f t="shared" si="4"/>
        <v>6</v>
      </c>
      <c r="S1414" s="108" t="str">
        <f t="shared" si="5"/>
        <v>2024-Q2</v>
      </c>
      <c r="T1414" s="111" t="str">
        <f t="shared" si="6"/>
        <v>2024-06</v>
      </c>
      <c r="U1414" s="112" t="str">
        <f t="shared" si="7"/>
        <v>2024-H1</v>
      </c>
      <c r="V1414" s="1" t="str">
        <f>VLOOKUP(B1414,Bounties!A:E,2,FALSE)</f>
        <v>Spanish Bounty</v>
      </c>
    </row>
    <row r="1415" hidden="1">
      <c r="A1415" s="109">
        <f>HYPERLINK("https://polkadot.subsquare.io/treasury/child-bounties/1413", 1413)</f>
        <v>1413</v>
      </c>
      <c r="B1415" s="183">
        <v>42.0</v>
      </c>
      <c r="C1415" s="27" t="s">
        <v>3404</v>
      </c>
      <c r="D1415" s="27" t="s">
        <v>1942</v>
      </c>
      <c r="E1415" s="129">
        <v>11.18</v>
      </c>
      <c r="F1415" s="66">
        <v>63.06379747390747</v>
      </c>
      <c r="G1415" s="27" t="s">
        <v>3703</v>
      </c>
      <c r="H1415" s="167">
        <v>45460.0</v>
      </c>
      <c r="I1415" s="167">
        <v>45469.0</v>
      </c>
      <c r="J1415" s="66">
        <v>69.03204005241393</v>
      </c>
      <c r="K1415" s="1"/>
      <c r="L1415" s="1"/>
      <c r="M1415" s="1" t="str">
        <f>VLOOKUP(B1415,Bounties!A:D,3,FALSE)</f>
        <v>Outreach</v>
      </c>
      <c r="N1415" s="1" t="str">
        <f>VLOOKUP(B1415,Bounties!A:D,4,FALSE)</f>
        <v>Media</v>
      </c>
      <c r="O1415" s="1" t="str">
        <f t="shared" ref="O1415:P1415" si="1419">IF(ISBLANK(K1415),M1415,K1415)</f>
        <v>Outreach</v>
      </c>
      <c r="P1415" s="1" t="str">
        <f t="shared" si="1419"/>
        <v>Media</v>
      </c>
      <c r="Q1415" s="108" t="str">
        <f t="shared" si="3"/>
        <v>2024</v>
      </c>
      <c r="R1415" s="110">
        <f t="shared" si="4"/>
        <v>6</v>
      </c>
      <c r="S1415" s="108" t="str">
        <f t="shared" si="5"/>
        <v>2024-Q2</v>
      </c>
      <c r="T1415" s="111" t="str">
        <f t="shared" si="6"/>
        <v>2024-06</v>
      </c>
      <c r="U1415" s="112" t="str">
        <f t="shared" si="7"/>
        <v>2024-H1</v>
      </c>
      <c r="V1415" s="1" t="str">
        <f>VLOOKUP(B1415,Bounties!A:E,2,FALSE)</f>
        <v>Spanish Bounty</v>
      </c>
    </row>
    <row r="1416" hidden="1">
      <c r="A1416" s="109">
        <f>HYPERLINK("https://polkadot.subsquare.io/treasury/child-bounties/1414", 1414)</f>
        <v>1414</v>
      </c>
      <c r="B1416" s="183">
        <v>42.0</v>
      </c>
      <c r="C1416" s="27" t="s">
        <v>3404</v>
      </c>
      <c r="D1416" s="27" t="s">
        <v>1943</v>
      </c>
      <c r="E1416" s="129">
        <v>40.72</v>
      </c>
      <c r="F1416" s="66">
        <v>229.69211387634277</v>
      </c>
      <c r="G1416" s="27" t="s">
        <v>3674</v>
      </c>
      <c r="H1416" s="167">
        <v>45460.0</v>
      </c>
      <c r="I1416" s="167">
        <v>45472.0</v>
      </c>
      <c r="J1416" s="66">
        <v>265.2835132598877</v>
      </c>
      <c r="K1416" s="1"/>
      <c r="L1416" s="1"/>
      <c r="M1416" s="1" t="str">
        <f>VLOOKUP(B1416,Bounties!A:D,3,FALSE)</f>
        <v>Outreach</v>
      </c>
      <c r="N1416" s="1" t="str">
        <f>VLOOKUP(B1416,Bounties!A:D,4,FALSE)</f>
        <v>Media</v>
      </c>
      <c r="O1416" s="1" t="str">
        <f t="shared" ref="O1416:P1416" si="1420">IF(ISBLANK(K1416),M1416,K1416)</f>
        <v>Outreach</v>
      </c>
      <c r="P1416" s="1" t="str">
        <f t="shared" si="1420"/>
        <v>Media</v>
      </c>
      <c r="Q1416" s="108" t="str">
        <f t="shared" si="3"/>
        <v>2024</v>
      </c>
      <c r="R1416" s="110">
        <f t="shared" si="4"/>
        <v>6</v>
      </c>
      <c r="S1416" s="108" t="str">
        <f t="shared" si="5"/>
        <v>2024-Q2</v>
      </c>
      <c r="T1416" s="111" t="str">
        <f t="shared" si="6"/>
        <v>2024-06</v>
      </c>
      <c r="U1416" s="112" t="str">
        <f t="shared" si="7"/>
        <v>2024-H1</v>
      </c>
      <c r="V1416" s="1" t="str">
        <f>VLOOKUP(B1416,Bounties!A:E,2,FALSE)</f>
        <v>Spanish Bounty</v>
      </c>
    </row>
    <row r="1417" hidden="1">
      <c r="A1417" s="109">
        <f>HYPERLINK("https://polkadot.subsquare.io/treasury/child-bounties/1415", 1415)</f>
        <v>1415</v>
      </c>
      <c r="B1417" s="183">
        <v>42.0</v>
      </c>
      <c r="C1417" s="27" t="s">
        <v>3404</v>
      </c>
      <c r="D1417" s="27" t="s">
        <v>1944</v>
      </c>
      <c r="E1417" s="129">
        <v>14.68</v>
      </c>
      <c r="F1417" s="66">
        <v>82.80648899078369</v>
      </c>
      <c r="G1417" s="27" t="s">
        <v>3494</v>
      </c>
      <c r="H1417" s="167">
        <v>45460.0</v>
      </c>
      <c r="I1417" s="167">
        <v>45475.0</v>
      </c>
      <c r="J1417" s="66">
        <v>83.17307739257812</v>
      </c>
      <c r="K1417" s="1"/>
      <c r="L1417" s="1"/>
      <c r="M1417" s="1" t="str">
        <f>VLOOKUP(B1417,Bounties!A:D,3,FALSE)</f>
        <v>Outreach</v>
      </c>
      <c r="N1417" s="1" t="str">
        <f>VLOOKUP(B1417,Bounties!A:D,4,FALSE)</f>
        <v>Media</v>
      </c>
      <c r="O1417" s="1" t="str">
        <f t="shared" ref="O1417:P1417" si="1421">IF(ISBLANK(K1417),M1417,K1417)</f>
        <v>Outreach</v>
      </c>
      <c r="P1417" s="1" t="str">
        <f t="shared" si="1421"/>
        <v>Media</v>
      </c>
      <c r="Q1417" s="108" t="str">
        <f t="shared" si="3"/>
        <v>2024</v>
      </c>
      <c r="R1417" s="110">
        <f t="shared" si="4"/>
        <v>7</v>
      </c>
      <c r="S1417" s="108" t="str">
        <f t="shared" si="5"/>
        <v>2024-Q3</v>
      </c>
      <c r="T1417" s="111" t="str">
        <f t="shared" si="6"/>
        <v>2024-07</v>
      </c>
      <c r="U1417" s="112" t="str">
        <f t="shared" si="7"/>
        <v>2024-H2</v>
      </c>
      <c r="V1417" s="1" t="str">
        <f>VLOOKUP(B1417,Bounties!A:E,2,FALSE)</f>
        <v>Spanish Bounty</v>
      </c>
    </row>
    <row r="1418" hidden="1">
      <c r="A1418" s="109">
        <f>HYPERLINK("https://polkadot.subsquare.io/treasury/child-bounties/1416", 1416)</f>
        <v>1416</v>
      </c>
      <c r="B1418" s="183">
        <v>42.0</v>
      </c>
      <c r="C1418" s="27" t="s">
        <v>3404</v>
      </c>
      <c r="D1418" s="27" t="s">
        <v>1945</v>
      </c>
      <c r="E1418" s="129">
        <v>1319.52</v>
      </c>
      <c r="F1418" s="66">
        <v>7443.107517242432</v>
      </c>
      <c r="G1418" s="27" t="s">
        <v>3689</v>
      </c>
      <c r="H1418" s="167">
        <v>45460.0</v>
      </c>
      <c r="I1418" s="167">
        <v>45471.0</v>
      </c>
      <c r="J1418" s="66">
        <v>8352.853446350098</v>
      </c>
      <c r="K1418" s="1"/>
      <c r="L1418" s="1"/>
      <c r="M1418" s="1" t="str">
        <f>VLOOKUP(B1418,Bounties!A:D,3,FALSE)</f>
        <v>Outreach</v>
      </c>
      <c r="N1418" s="1" t="str">
        <f>VLOOKUP(B1418,Bounties!A:D,4,FALSE)</f>
        <v>Media</v>
      </c>
      <c r="O1418" s="1" t="str">
        <f t="shared" ref="O1418:P1418" si="1422">IF(ISBLANK(K1418),M1418,K1418)</f>
        <v>Outreach</v>
      </c>
      <c r="P1418" s="1" t="str">
        <f t="shared" si="1422"/>
        <v>Media</v>
      </c>
      <c r="Q1418" s="108" t="str">
        <f t="shared" si="3"/>
        <v>2024</v>
      </c>
      <c r="R1418" s="110">
        <f t="shared" si="4"/>
        <v>6</v>
      </c>
      <c r="S1418" s="108" t="str">
        <f t="shared" si="5"/>
        <v>2024-Q2</v>
      </c>
      <c r="T1418" s="111" t="str">
        <f t="shared" si="6"/>
        <v>2024-06</v>
      </c>
      <c r="U1418" s="112" t="str">
        <f t="shared" si="7"/>
        <v>2024-H1</v>
      </c>
      <c r="V1418" s="1" t="str">
        <f>VLOOKUP(B1418,Bounties!A:E,2,FALSE)</f>
        <v>Spanish Bounty</v>
      </c>
    </row>
    <row r="1419" hidden="1">
      <c r="A1419" s="109">
        <f>HYPERLINK("https://polkadot.subsquare.io/treasury/child-bounties/1417", 1417)</f>
        <v>1417</v>
      </c>
      <c r="B1419" s="183">
        <v>42.0</v>
      </c>
      <c r="C1419" s="27" t="s">
        <v>3404</v>
      </c>
      <c r="D1419" s="27" t="s">
        <v>1946</v>
      </c>
      <c r="E1419" s="129">
        <v>127.22</v>
      </c>
      <c r="F1419" s="66">
        <v>717.6186327934265</v>
      </c>
      <c r="G1419" s="27" t="s">
        <v>3742</v>
      </c>
      <c r="H1419" s="167">
        <v>45460.0</v>
      </c>
      <c r="I1419" s="167">
        <v>45468.0</v>
      </c>
      <c r="J1419" s="66">
        <v>785.5327491474152</v>
      </c>
      <c r="K1419" s="1"/>
      <c r="L1419" s="1"/>
      <c r="M1419" s="1" t="str">
        <f>VLOOKUP(B1419,Bounties!A:D,3,FALSE)</f>
        <v>Outreach</v>
      </c>
      <c r="N1419" s="1" t="str">
        <f>VLOOKUP(B1419,Bounties!A:D,4,FALSE)</f>
        <v>Media</v>
      </c>
      <c r="O1419" s="1" t="str">
        <f t="shared" ref="O1419:P1419" si="1423">IF(ISBLANK(K1419),M1419,K1419)</f>
        <v>Outreach</v>
      </c>
      <c r="P1419" s="1" t="str">
        <f t="shared" si="1423"/>
        <v>Media</v>
      </c>
      <c r="Q1419" s="108" t="str">
        <f t="shared" si="3"/>
        <v>2024</v>
      </c>
      <c r="R1419" s="110">
        <f t="shared" si="4"/>
        <v>6</v>
      </c>
      <c r="S1419" s="108" t="str">
        <f t="shared" si="5"/>
        <v>2024-Q2</v>
      </c>
      <c r="T1419" s="111" t="str">
        <f t="shared" si="6"/>
        <v>2024-06</v>
      </c>
      <c r="U1419" s="112" t="str">
        <f t="shared" si="7"/>
        <v>2024-H1</v>
      </c>
      <c r="V1419" s="1" t="str">
        <f>VLOOKUP(B1419,Bounties!A:E,2,FALSE)</f>
        <v>Spanish Bounty</v>
      </c>
    </row>
    <row r="1420" hidden="1">
      <c r="A1420" s="109">
        <f>HYPERLINK("https://polkadot.subsquare.io/treasury/child-bounties/1418", 1418)</f>
        <v>1418</v>
      </c>
      <c r="B1420" s="183">
        <v>11.0</v>
      </c>
      <c r="C1420" s="27" t="s">
        <v>3404</v>
      </c>
      <c r="D1420" s="27" t="s">
        <v>1947</v>
      </c>
      <c r="E1420" s="129">
        <v>287.68</v>
      </c>
      <c r="F1420" s="66">
        <v>1622.736427307129</v>
      </c>
      <c r="G1420" s="27" t="s">
        <v>3423</v>
      </c>
      <c r="H1420" s="167">
        <v>45460.0</v>
      </c>
      <c r="I1420" s="167">
        <v>45473.0</v>
      </c>
      <c r="J1420" s="66">
        <v>1874.1837203979492</v>
      </c>
      <c r="K1420" s="1"/>
      <c r="L1420" s="1"/>
      <c r="M1420" s="1" t="str">
        <f>VLOOKUP(B1420,Bounties!A:D,3,FALSE)</f>
        <v>Research</v>
      </c>
      <c r="N1420" s="1" t="str">
        <f>VLOOKUP(B1420,Bounties!A:D,4,FALSE)</f>
        <v>Anti-Scam</v>
      </c>
      <c r="O1420" s="1" t="str">
        <f t="shared" ref="O1420:P1420" si="1424">IF(ISBLANK(K1420),M1420,K1420)</f>
        <v>Research</v>
      </c>
      <c r="P1420" s="1" t="str">
        <f t="shared" si="1424"/>
        <v>Anti-Scam</v>
      </c>
      <c r="Q1420" s="108" t="str">
        <f t="shared" si="3"/>
        <v>2024</v>
      </c>
      <c r="R1420" s="110">
        <f t="shared" si="4"/>
        <v>6</v>
      </c>
      <c r="S1420" s="108" t="str">
        <f t="shared" si="5"/>
        <v>2024-Q2</v>
      </c>
      <c r="T1420" s="111" t="str">
        <f t="shared" si="6"/>
        <v>2024-06</v>
      </c>
      <c r="U1420" s="112" t="str">
        <f t="shared" si="7"/>
        <v>2024-H1</v>
      </c>
      <c r="V1420" s="1" t="str">
        <f>VLOOKUP(B1420,Bounties!A:E,2,FALSE)</f>
        <v>Anti-Scam Bounty</v>
      </c>
    </row>
    <row r="1421" hidden="1">
      <c r="A1421" s="109">
        <f>HYPERLINK("https://polkadot.subsquare.io/treasury/child-bounties/1419", 1419)</f>
        <v>1419</v>
      </c>
      <c r="B1421" s="183">
        <v>19.0</v>
      </c>
      <c r="C1421" s="27" t="s">
        <v>3404</v>
      </c>
      <c r="D1421" s="27" t="s">
        <v>1948</v>
      </c>
      <c r="E1421" s="129">
        <v>5609.0</v>
      </c>
      <c r="F1421" s="66">
        <v>31639.07334804535</v>
      </c>
      <c r="G1421" s="27" t="s">
        <v>3570</v>
      </c>
      <c r="H1421" s="167">
        <v>45461.0</v>
      </c>
      <c r="I1421" s="167">
        <v>45469.0</v>
      </c>
      <c r="J1421" s="66">
        <v>34633.337446689606</v>
      </c>
      <c r="K1421" s="1"/>
      <c r="L1421" s="1"/>
      <c r="M1421" s="1" t="str">
        <f>VLOOKUP(B1421,Bounties!A:D,3,FALSE)</f>
        <v>Development</v>
      </c>
      <c r="N1421" s="1" t="str">
        <f>VLOOKUP(B1421,Bounties!A:D,4,FALSE)</f>
        <v>Smart Contracts</v>
      </c>
      <c r="O1421" s="1" t="str">
        <f t="shared" ref="O1421:P1421" si="1425">IF(ISBLANK(K1421),M1421,K1421)</f>
        <v>Development</v>
      </c>
      <c r="P1421" s="1" t="str">
        <f t="shared" si="1425"/>
        <v>Smart Contracts</v>
      </c>
      <c r="Q1421" s="108" t="str">
        <f t="shared" si="3"/>
        <v>2024</v>
      </c>
      <c r="R1421" s="110">
        <f t="shared" si="4"/>
        <v>6</v>
      </c>
      <c r="S1421" s="108" t="str">
        <f t="shared" si="5"/>
        <v>2024-Q2</v>
      </c>
      <c r="T1421" s="111" t="str">
        <f t="shared" si="6"/>
        <v>2024-06</v>
      </c>
      <c r="U1421" s="112" t="str">
        <f t="shared" si="7"/>
        <v>2024-H1</v>
      </c>
      <c r="V1421" s="1" t="str">
        <f>VLOOKUP(B1421,Bounties!A:E,2,FALSE)</f>
        <v>Wasm Smart Contracts Bounty</v>
      </c>
    </row>
    <row r="1422" hidden="1">
      <c r="A1422" s="109">
        <f>HYPERLINK("https://polkadot.subsquare.io/treasury/child-bounties/1420", 1420)</f>
        <v>1420</v>
      </c>
      <c r="B1422" s="183">
        <v>33.0</v>
      </c>
      <c r="C1422" s="27" t="s">
        <v>3404</v>
      </c>
      <c r="D1422" s="27" t="s">
        <v>1949</v>
      </c>
      <c r="E1422" s="129">
        <v>44082.0</v>
      </c>
      <c r="F1422" s="66">
        <v>247346.8372821808</v>
      </c>
      <c r="G1422" s="27" t="s">
        <v>3611</v>
      </c>
      <c r="H1422" s="167">
        <v>45462.0</v>
      </c>
      <c r="I1422" s="167">
        <v>45470.0</v>
      </c>
      <c r="J1422" s="66">
        <v>273686.3090143204</v>
      </c>
      <c r="L1422" s="185" t="s">
        <v>537</v>
      </c>
      <c r="M1422" s="1" t="str">
        <f>VLOOKUP(B1422,Bounties!A:D,3,FALSE)</f>
        <v>Outreach</v>
      </c>
      <c r="N1422" s="1" t="str">
        <f>VLOOKUP(B1422,Bounties!A:D,4,FALSE)</f>
        <v>Advertising</v>
      </c>
      <c r="O1422" s="1" t="str">
        <f t="shared" ref="O1422:P1422" si="1426">IF(ISBLANK(K1422),M1422,K1422)</f>
        <v>Outreach</v>
      </c>
      <c r="P1422" s="1" t="str">
        <f t="shared" si="1426"/>
        <v>Advertising/Platform Integrations</v>
      </c>
      <c r="Q1422" s="108" t="str">
        <f t="shared" si="3"/>
        <v>2024</v>
      </c>
      <c r="R1422" s="110">
        <f t="shared" si="4"/>
        <v>6</v>
      </c>
      <c r="S1422" s="108" t="str">
        <f t="shared" si="5"/>
        <v>2024-Q2</v>
      </c>
      <c r="T1422" s="111" t="str">
        <f t="shared" si="6"/>
        <v>2024-06</v>
      </c>
      <c r="U1422" s="112" t="str">
        <f t="shared" si="7"/>
        <v>2024-H1</v>
      </c>
      <c r="V1422" s="1" t="str">
        <f>VLOOKUP(B1422,Bounties!A:E,2,FALSE)</f>
        <v>Marketing Bounty</v>
      </c>
    </row>
    <row r="1423" hidden="1">
      <c r="A1423" s="109">
        <f>HYPERLINK("https://polkadot.subsquare.io/treasury/child-bounties/1421", 1421)</f>
        <v>1421</v>
      </c>
      <c r="B1423" s="183">
        <v>33.0</v>
      </c>
      <c r="C1423" s="27" t="s">
        <v>3404</v>
      </c>
      <c r="D1423" s="27" t="s">
        <v>1950</v>
      </c>
      <c r="E1423" s="129">
        <v>94850.0</v>
      </c>
      <c r="F1423" s="66">
        <v>532209.2354297638</v>
      </c>
      <c r="G1423" s="27" t="s">
        <v>3586</v>
      </c>
      <c r="H1423" s="167">
        <v>45462.0</v>
      </c>
      <c r="I1423" s="167">
        <v>45472.0</v>
      </c>
      <c r="J1423" s="66">
        <v>617930.7768344879</v>
      </c>
      <c r="L1423" s="185" t="s">
        <v>296</v>
      </c>
      <c r="M1423" s="1" t="str">
        <f>VLOOKUP(B1423,Bounties!A:D,3,FALSE)</f>
        <v>Outreach</v>
      </c>
      <c r="N1423" s="1" t="str">
        <f>VLOOKUP(B1423,Bounties!A:D,4,FALSE)</f>
        <v>Advertising</v>
      </c>
      <c r="O1423" s="1" t="str">
        <f t="shared" ref="O1423:P1423" si="1427">IF(ISBLANK(K1423),M1423,K1423)</f>
        <v>Outreach</v>
      </c>
      <c r="P1423" s="1" t="str">
        <f t="shared" si="1427"/>
        <v>Advertising/Influencers</v>
      </c>
      <c r="Q1423" s="108" t="str">
        <f t="shared" si="3"/>
        <v>2024</v>
      </c>
      <c r="R1423" s="110">
        <f t="shared" si="4"/>
        <v>6</v>
      </c>
      <c r="S1423" s="108" t="str">
        <f t="shared" si="5"/>
        <v>2024-Q2</v>
      </c>
      <c r="T1423" s="111" t="str">
        <f t="shared" si="6"/>
        <v>2024-06</v>
      </c>
      <c r="U1423" s="112" t="str">
        <f t="shared" si="7"/>
        <v>2024-H1</v>
      </c>
      <c r="V1423" s="1" t="str">
        <f>VLOOKUP(B1423,Bounties!A:E,2,FALSE)</f>
        <v>Marketing Bounty</v>
      </c>
    </row>
    <row r="1424" hidden="1">
      <c r="A1424" s="109">
        <f>HYPERLINK("https://polkadot.subsquare.io/treasury/child-bounties/1422", 1422)</f>
        <v>1422</v>
      </c>
      <c r="B1424" s="183">
        <v>31.0</v>
      </c>
      <c r="C1424" s="27" t="s">
        <v>3404</v>
      </c>
      <c r="D1424" s="27" t="s">
        <v>1951</v>
      </c>
      <c r="E1424" s="129">
        <v>114.98</v>
      </c>
      <c r="F1424" s="66">
        <v>660.890088968277</v>
      </c>
      <c r="G1424" s="27" t="s">
        <v>3652</v>
      </c>
      <c r="H1424" s="167">
        <v>45462.0</v>
      </c>
      <c r="I1424" s="167">
        <v>45486.0</v>
      </c>
      <c r="J1424" s="66">
        <v>747.2040942955017</v>
      </c>
      <c r="M1424" s="1" t="str">
        <f>VLOOKUP(B1424,Bounties!A:D,3,FALSE)</f>
        <v>Operations</v>
      </c>
      <c r="N1424" s="1" t="str">
        <f>VLOOKUP(B1424,Bounties!A:D,4,FALSE)</f>
        <v>RPCs and Nodes</v>
      </c>
      <c r="O1424" s="1" t="str">
        <f t="shared" ref="O1424:P1424" si="1428">IF(ISBLANK(K1424),M1424,K1424)</f>
        <v>Operations</v>
      </c>
      <c r="P1424" s="1" t="str">
        <f t="shared" si="1428"/>
        <v>RPCs and Nodes</v>
      </c>
      <c r="Q1424" s="108" t="str">
        <f t="shared" si="3"/>
        <v>2024</v>
      </c>
      <c r="R1424" s="110">
        <f t="shared" si="4"/>
        <v>7</v>
      </c>
      <c r="S1424" s="108" t="str">
        <f t="shared" si="5"/>
        <v>2024-Q3</v>
      </c>
      <c r="T1424" s="111" t="str">
        <f t="shared" si="6"/>
        <v>2024-07</v>
      </c>
      <c r="U1424" s="112" t="str">
        <f t="shared" si="7"/>
        <v>2024-H2</v>
      </c>
      <c r="V1424" s="1" t="str">
        <f>VLOOKUP(B1424,Bounties!A:E,2,FALSE)</f>
        <v>Public RPCs for Relay and System Chains</v>
      </c>
    </row>
    <row r="1425" hidden="1">
      <c r="A1425" s="109">
        <f>HYPERLINK("https://polkadot.subsquare.io/treasury/child-bounties/1423", 1423)</f>
        <v>1423</v>
      </c>
      <c r="B1425" s="183">
        <v>31.0</v>
      </c>
      <c r="C1425" s="27" t="s">
        <v>3404</v>
      </c>
      <c r="D1425" s="27" t="s">
        <v>1952</v>
      </c>
      <c r="E1425" s="129">
        <v>363.17</v>
      </c>
      <c r="F1425" s="66">
        <v>2087.453936429024</v>
      </c>
      <c r="G1425" s="27" t="s">
        <v>3653</v>
      </c>
      <c r="H1425" s="167">
        <v>45462.0</v>
      </c>
      <c r="I1425" s="167">
        <v>45494.0</v>
      </c>
      <c r="J1425" s="66">
        <v>2087.640963215828</v>
      </c>
      <c r="M1425" s="1" t="str">
        <f>VLOOKUP(B1425,Bounties!A:D,3,FALSE)</f>
        <v>Operations</v>
      </c>
      <c r="N1425" s="1" t="str">
        <f>VLOOKUP(B1425,Bounties!A:D,4,FALSE)</f>
        <v>RPCs and Nodes</v>
      </c>
      <c r="O1425" s="1" t="str">
        <f t="shared" ref="O1425:P1425" si="1429">IF(ISBLANK(K1425),M1425,K1425)</f>
        <v>Operations</v>
      </c>
      <c r="P1425" s="1" t="str">
        <f t="shared" si="1429"/>
        <v>RPCs and Nodes</v>
      </c>
      <c r="Q1425" s="108" t="str">
        <f t="shared" si="3"/>
        <v>2024</v>
      </c>
      <c r="R1425" s="110">
        <f t="shared" si="4"/>
        <v>7</v>
      </c>
      <c r="S1425" s="108" t="str">
        <f t="shared" si="5"/>
        <v>2024-Q3</v>
      </c>
      <c r="T1425" s="111" t="str">
        <f t="shared" si="6"/>
        <v>2024-07</v>
      </c>
      <c r="U1425" s="112" t="str">
        <f t="shared" si="7"/>
        <v>2024-H2</v>
      </c>
      <c r="V1425" s="1" t="str">
        <f>VLOOKUP(B1425,Bounties!A:E,2,FALSE)</f>
        <v>Public RPCs for Relay and System Chains</v>
      </c>
    </row>
    <row r="1426" hidden="1">
      <c r="A1426" s="109">
        <f>HYPERLINK("https://polkadot.subsquare.io/treasury/child-bounties/1424", 1424)</f>
        <v>1424</v>
      </c>
      <c r="B1426" s="183">
        <v>31.0</v>
      </c>
      <c r="C1426" s="27" t="s">
        <v>3404</v>
      </c>
      <c r="D1426" s="27" t="s">
        <v>1953</v>
      </c>
      <c r="E1426" s="129">
        <v>627.06</v>
      </c>
      <c r="F1426" s="66">
        <v>3604.2593423938747</v>
      </c>
      <c r="G1426" s="27" t="s">
        <v>3654</v>
      </c>
      <c r="H1426" s="167">
        <v>45462.0</v>
      </c>
      <c r="I1426" s="167">
        <v>45475.0</v>
      </c>
      <c r="J1426" s="66">
        <v>3552.7595306396483</v>
      </c>
      <c r="M1426" s="1" t="str">
        <f>VLOOKUP(B1426,Bounties!A:D,3,FALSE)</f>
        <v>Operations</v>
      </c>
      <c r="N1426" s="1" t="str">
        <f>VLOOKUP(B1426,Bounties!A:D,4,FALSE)</f>
        <v>RPCs and Nodes</v>
      </c>
      <c r="O1426" s="1" t="str">
        <f t="shared" ref="O1426:P1426" si="1430">IF(ISBLANK(K1426),M1426,K1426)</f>
        <v>Operations</v>
      </c>
      <c r="P1426" s="1" t="str">
        <f t="shared" si="1430"/>
        <v>RPCs and Nodes</v>
      </c>
      <c r="Q1426" s="108" t="str">
        <f t="shared" si="3"/>
        <v>2024</v>
      </c>
      <c r="R1426" s="110">
        <f t="shared" si="4"/>
        <v>7</v>
      </c>
      <c r="S1426" s="108" t="str">
        <f t="shared" si="5"/>
        <v>2024-Q3</v>
      </c>
      <c r="T1426" s="111" t="str">
        <f t="shared" si="6"/>
        <v>2024-07</v>
      </c>
      <c r="U1426" s="112" t="str">
        <f t="shared" si="7"/>
        <v>2024-H2</v>
      </c>
      <c r="V1426" s="1" t="str">
        <f>VLOOKUP(B1426,Bounties!A:E,2,FALSE)</f>
        <v>Public RPCs for Relay and System Chains</v>
      </c>
    </row>
    <row r="1427" hidden="1">
      <c r="A1427" s="109">
        <f>HYPERLINK("https://polkadot.subsquare.io/treasury/child-bounties/1425", 1425)</f>
        <v>1425</v>
      </c>
      <c r="B1427" s="183">
        <v>31.0</v>
      </c>
      <c r="C1427" s="27" t="s">
        <v>3404</v>
      </c>
      <c r="D1427" s="27" t="s">
        <v>1954</v>
      </c>
      <c r="E1427" s="129">
        <v>825.08</v>
      </c>
      <c r="F1427" s="66">
        <v>4742.452553539277</v>
      </c>
      <c r="G1427" s="27" t="s">
        <v>3589</v>
      </c>
      <c r="H1427" s="167">
        <v>45462.0</v>
      </c>
      <c r="I1427" s="167">
        <v>45507.0</v>
      </c>
      <c r="J1427" s="66">
        <v>3718.5792745018007</v>
      </c>
      <c r="M1427" s="1" t="str">
        <f>VLOOKUP(B1427,Bounties!A:D,3,FALSE)</f>
        <v>Operations</v>
      </c>
      <c r="N1427" s="1" t="str">
        <f>VLOOKUP(B1427,Bounties!A:D,4,FALSE)</f>
        <v>RPCs and Nodes</v>
      </c>
      <c r="O1427" s="1" t="str">
        <f t="shared" ref="O1427:P1427" si="1431">IF(ISBLANK(K1427),M1427,K1427)</f>
        <v>Operations</v>
      </c>
      <c r="P1427" s="1" t="str">
        <f t="shared" si="1431"/>
        <v>RPCs and Nodes</v>
      </c>
      <c r="Q1427" s="108" t="str">
        <f t="shared" si="3"/>
        <v>2024</v>
      </c>
      <c r="R1427" s="110">
        <f t="shared" si="4"/>
        <v>8</v>
      </c>
      <c r="S1427" s="108" t="str">
        <f t="shared" si="5"/>
        <v>2024-Q3</v>
      </c>
      <c r="T1427" s="111" t="str">
        <f t="shared" si="6"/>
        <v>2024-08</v>
      </c>
      <c r="U1427" s="112" t="str">
        <f t="shared" si="7"/>
        <v>2024-H2</v>
      </c>
      <c r="V1427" s="1" t="str">
        <f>VLOOKUP(B1427,Bounties!A:E,2,FALSE)</f>
        <v>Public RPCs for Relay and System Chains</v>
      </c>
    </row>
    <row r="1428" hidden="1">
      <c r="A1428" s="109">
        <f>HYPERLINK("https://polkadot.subsquare.io/treasury/child-bounties/1427", 1427)</f>
        <v>1427</v>
      </c>
      <c r="B1428" s="183">
        <v>31.0</v>
      </c>
      <c r="C1428" s="27" t="s">
        <v>3404</v>
      </c>
      <c r="D1428" s="27" t="s">
        <v>1955</v>
      </c>
      <c r="E1428" s="129">
        <v>577.56</v>
      </c>
      <c r="F1428" s="66">
        <v>3319.7397789573665</v>
      </c>
      <c r="G1428" s="27" t="s">
        <v>3658</v>
      </c>
      <c r="H1428" s="167">
        <v>45462.0</v>
      </c>
      <c r="I1428" s="167">
        <v>45474.0</v>
      </c>
      <c r="J1428" s="66">
        <v>3210.692952690124</v>
      </c>
      <c r="M1428" s="1" t="str">
        <f>VLOOKUP(B1428,Bounties!A:D,3,FALSE)</f>
        <v>Operations</v>
      </c>
      <c r="N1428" s="1" t="str">
        <f>VLOOKUP(B1428,Bounties!A:D,4,FALSE)</f>
        <v>RPCs and Nodes</v>
      </c>
      <c r="O1428" s="1" t="str">
        <f t="shared" ref="O1428:P1428" si="1432">IF(ISBLANK(K1428),M1428,K1428)</f>
        <v>Operations</v>
      </c>
      <c r="P1428" s="1" t="str">
        <f t="shared" si="1432"/>
        <v>RPCs and Nodes</v>
      </c>
      <c r="Q1428" s="108" t="str">
        <f t="shared" si="3"/>
        <v>2024</v>
      </c>
      <c r="R1428" s="110">
        <f t="shared" si="4"/>
        <v>7</v>
      </c>
      <c r="S1428" s="108" t="str">
        <f t="shared" si="5"/>
        <v>2024-Q3</v>
      </c>
      <c r="T1428" s="111" t="str">
        <f t="shared" si="6"/>
        <v>2024-07</v>
      </c>
      <c r="U1428" s="112" t="str">
        <f t="shared" si="7"/>
        <v>2024-H2</v>
      </c>
      <c r="V1428" s="1" t="str">
        <f>VLOOKUP(B1428,Bounties!A:E,2,FALSE)</f>
        <v>Public RPCs for Relay and System Chains</v>
      </c>
    </row>
    <row r="1429" hidden="1">
      <c r="A1429" s="109">
        <f>HYPERLINK("https://polkadot.subsquare.io/treasury/child-bounties/1428", 1428)</f>
        <v>1428</v>
      </c>
      <c r="B1429" s="183">
        <v>31.0</v>
      </c>
      <c r="C1429" s="27" t="s">
        <v>3404</v>
      </c>
      <c r="D1429" s="27" t="s">
        <v>1956</v>
      </c>
      <c r="E1429" s="129">
        <v>651.82</v>
      </c>
      <c r="F1429" s="66">
        <v>3746.5766028118137</v>
      </c>
      <c r="G1429" s="27" t="s">
        <v>3659</v>
      </c>
      <c r="H1429" s="167">
        <v>45462.0</v>
      </c>
      <c r="I1429" s="167">
        <v>45493.0</v>
      </c>
      <c r="J1429" s="66">
        <v>3980.748887996674</v>
      </c>
      <c r="M1429" s="1" t="str">
        <f>VLOOKUP(B1429,Bounties!A:D,3,FALSE)</f>
        <v>Operations</v>
      </c>
      <c r="N1429" s="1" t="str">
        <f>VLOOKUP(B1429,Bounties!A:D,4,FALSE)</f>
        <v>RPCs and Nodes</v>
      </c>
      <c r="O1429" s="1" t="str">
        <f t="shared" ref="O1429:P1429" si="1433">IF(ISBLANK(K1429),M1429,K1429)</f>
        <v>Operations</v>
      </c>
      <c r="P1429" s="1" t="str">
        <f t="shared" si="1433"/>
        <v>RPCs and Nodes</v>
      </c>
      <c r="Q1429" s="108" t="str">
        <f t="shared" si="3"/>
        <v>2024</v>
      </c>
      <c r="R1429" s="110">
        <f t="shared" si="4"/>
        <v>7</v>
      </c>
      <c r="S1429" s="108" t="str">
        <f t="shared" si="5"/>
        <v>2024-Q3</v>
      </c>
      <c r="T1429" s="111" t="str">
        <f t="shared" si="6"/>
        <v>2024-07</v>
      </c>
      <c r="U1429" s="112" t="str">
        <f t="shared" si="7"/>
        <v>2024-H2</v>
      </c>
      <c r="V1429" s="1" t="str">
        <f>VLOOKUP(B1429,Bounties!A:E,2,FALSE)</f>
        <v>Public RPCs for Relay and System Chains</v>
      </c>
    </row>
    <row r="1430" hidden="1">
      <c r="A1430" s="109">
        <f>HYPERLINK("https://polkadot.subsquare.io/treasury/child-bounties/1429", 1429)</f>
        <v>1429</v>
      </c>
      <c r="B1430" s="183">
        <v>43.0</v>
      </c>
      <c r="C1430" s="27" t="s">
        <v>3404</v>
      </c>
      <c r="D1430" s="27" t="s">
        <v>1957</v>
      </c>
      <c r="E1430" s="129">
        <v>167.154753</v>
      </c>
      <c r="F1430" s="66">
        <v>943.5705640317635</v>
      </c>
      <c r="G1430" s="27" t="s">
        <v>3681</v>
      </c>
      <c r="H1430" s="167">
        <v>45463.0</v>
      </c>
      <c r="I1430" s="167">
        <v>45475.0</v>
      </c>
      <c r="J1430" s="66">
        <v>947.0555318669128</v>
      </c>
      <c r="M1430" s="1" t="str">
        <f>VLOOKUP(B1430,Bounties!A:D,3,FALSE)</f>
        <v>Outreach</v>
      </c>
      <c r="N1430" s="1" t="str">
        <f>VLOOKUP(B1430,Bounties!A:D,4,FALSE)</f>
        <v>Events/Meetups</v>
      </c>
      <c r="O1430" s="1" t="str">
        <f t="shared" ref="O1430:P1430" si="1434">IF(ISBLANK(K1430),M1430,K1430)</f>
        <v>Outreach</v>
      </c>
      <c r="P1430" s="1" t="str">
        <f t="shared" si="1434"/>
        <v>Events/Meetups</v>
      </c>
      <c r="Q1430" s="108" t="str">
        <f t="shared" si="3"/>
        <v>2024</v>
      </c>
      <c r="R1430" s="110">
        <f t="shared" si="4"/>
        <v>7</v>
      </c>
      <c r="S1430" s="108" t="str">
        <f t="shared" si="5"/>
        <v>2024-Q3</v>
      </c>
      <c r="T1430" s="111" t="str">
        <f t="shared" si="6"/>
        <v>2024-07</v>
      </c>
      <c r="U1430" s="112" t="str">
        <f t="shared" si="7"/>
        <v>2024-H2</v>
      </c>
      <c r="V1430" s="1" t="str">
        <f>VLOOKUP(B1430,Bounties!A:E,2,FALSE)</f>
        <v>Meetups Bounty</v>
      </c>
    </row>
    <row r="1431" hidden="1">
      <c r="A1431" s="109">
        <f>HYPERLINK("https://polkadot.subsquare.io/treasury/child-bounties/1430", 1430)</f>
        <v>1430</v>
      </c>
      <c r="B1431" s="183">
        <v>33.0</v>
      </c>
      <c r="C1431" s="27" t="s">
        <v>3404</v>
      </c>
      <c r="D1431" s="27" t="s">
        <v>1958</v>
      </c>
      <c r="E1431" s="129">
        <v>886.92</v>
      </c>
      <c r="F1431" s="66">
        <v>5181.825634002686</v>
      </c>
      <c r="G1431" s="27" t="s">
        <v>3645</v>
      </c>
      <c r="H1431" s="167">
        <v>45465.0</v>
      </c>
      <c r="I1431" s="167">
        <v>45473.0</v>
      </c>
      <c r="J1431" s="66">
        <v>5383.0128921890255</v>
      </c>
      <c r="L1431" s="3" t="s">
        <v>523</v>
      </c>
      <c r="M1431" s="1" t="str">
        <f>VLOOKUP(B1431,Bounties!A:D,3,FALSE)</f>
        <v>Outreach</v>
      </c>
      <c r="N1431" s="1" t="str">
        <f>VLOOKUP(B1431,Bounties!A:D,4,FALSE)</f>
        <v>Advertising</v>
      </c>
      <c r="O1431" s="1" t="str">
        <f t="shared" ref="O1431:P1431" si="1435">IF(ISBLANK(K1431),M1431,K1431)</f>
        <v>Outreach</v>
      </c>
      <c r="P1431" s="1" t="str">
        <f t="shared" si="1435"/>
        <v>Advertising</v>
      </c>
      <c r="Q1431" s="108" t="str">
        <f t="shared" si="3"/>
        <v>2024</v>
      </c>
      <c r="R1431" s="110">
        <f t="shared" si="4"/>
        <v>6</v>
      </c>
      <c r="S1431" s="108" t="str">
        <f t="shared" si="5"/>
        <v>2024-Q2</v>
      </c>
      <c r="T1431" s="111" t="str">
        <f t="shared" si="6"/>
        <v>2024-06</v>
      </c>
      <c r="U1431" s="112" t="str">
        <f t="shared" si="7"/>
        <v>2024-H1</v>
      </c>
      <c r="V1431" s="1" t="str">
        <f>VLOOKUP(B1431,Bounties!A:E,2,FALSE)</f>
        <v>Marketing Bounty</v>
      </c>
    </row>
    <row r="1432" hidden="1">
      <c r="A1432" s="109">
        <f>HYPERLINK("https://polkadot.subsquare.io/treasury/child-bounties/1432", 1432)</f>
        <v>1432</v>
      </c>
      <c r="B1432" s="183">
        <v>24.0</v>
      </c>
      <c r="C1432" s="27" t="s">
        <v>3404</v>
      </c>
      <c r="D1432" s="27" t="s">
        <v>1959</v>
      </c>
      <c r="E1432" s="129">
        <v>265.16</v>
      </c>
      <c r="F1432" s="66">
        <v>1549.1959648132326</v>
      </c>
      <c r="G1432" s="27" t="s">
        <v>3409</v>
      </c>
      <c r="H1432" s="167">
        <v>45466.0</v>
      </c>
      <c r="I1432" s="167">
        <v>45475.0</v>
      </c>
      <c r="J1432" s="66">
        <v>1502.3278747558595</v>
      </c>
      <c r="M1432" s="1" t="str">
        <f>VLOOKUP(B1432,Bounties!A:D,3,FALSE)</f>
        <v>Outreach</v>
      </c>
      <c r="N1432" s="1" t="str">
        <f>VLOOKUP(B1432,Bounties!A:D,4,FALSE)</f>
        <v>Community Building</v>
      </c>
      <c r="O1432" s="1" t="str">
        <f t="shared" ref="O1432:P1432" si="1436">IF(ISBLANK(K1432),M1432,K1432)</f>
        <v>Outreach</v>
      </c>
      <c r="P1432" s="1" t="str">
        <f t="shared" si="1436"/>
        <v>Community Building</v>
      </c>
      <c r="Q1432" s="108" t="str">
        <f t="shared" si="3"/>
        <v>2024</v>
      </c>
      <c r="R1432" s="110">
        <f t="shared" si="4"/>
        <v>7</v>
      </c>
      <c r="S1432" s="108" t="str">
        <f t="shared" si="5"/>
        <v>2024-Q3</v>
      </c>
      <c r="T1432" s="111" t="str">
        <f t="shared" si="6"/>
        <v>2024-07</v>
      </c>
      <c r="U1432" s="112" t="str">
        <f t="shared" si="7"/>
        <v>2024-H2</v>
      </c>
      <c r="V1432" s="1" t="str">
        <f>VLOOKUP(B1432,Bounties!A:E,2,FALSE)</f>
        <v>Moderation Team Bounty</v>
      </c>
    </row>
    <row r="1433" hidden="1">
      <c r="A1433" s="109">
        <f>HYPERLINK("https://polkadot.subsquare.io/treasury/child-bounties/1433", 1433)</f>
        <v>1433</v>
      </c>
      <c r="B1433" s="183">
        <v>24.0</v>
      </c>
      <c r="C1433" s="27" t="s">
        <v>3404</v>
      </c>
      <c r="D1433" s="27" t="s">
        <v>1960</v>
      </c>
      <c r="E1433" s="129">
        <v>265.16</v>
      </c>
      <c r="F1433" s="66">
        <v>1549.1959648132326</v>
      </c>
      <c r="G1433" s="27" t="s">
        <v>3486</v>
      </c>
      <c r="H1433" s="167">
        <v>45466.0</v>
      </c>
      <c r="I1433" s="167">
        <v>45475.0</v>
      </c>
      <c r="J1433" s="66">
        <v>1474.041386756897</v>
      </c>
      <c r="M1433" s="1" t="str">
        <f>VLOOKUP(B1433,Bounties!A:D,3,FALSE)</f>
        <v>Outreach</v>
      </c>
      <c r="N1433" s="1" t="str">
        <f>VLOOKUP(B1433,Bounties!A:D,4,FALSE)</f>
        <v>Community Building</v>
      </c>
      <c r="O1433" s="1" t="str">
        <f t="shared" ref="O1433:P1433" si="1437">IF(ISBLANK(K1433),M1433,K1433)</f>
        <v>Outreach</v>
      </c>
      <c r="P1433" s="1" t="str">
        <f t="shared" si="1437"/>
        <v>Community Building</v>
      </c>
      <c r="Q1433" s="108" t="str">
        <f t="shared" si="3"/>
        <v>2024</v>
      </c>
      <c r="R1433" s="110">
        <f t="shared" si="4"/>
        <v>7</v>
      </c>
      <c r="S1433" s="108" t="str">
        <f t="shared" si="5"/>
        <v>2024-Q3</v>
      </c>
      <c r="T1433" s="111" t="str">
        <f t="shared" si="6"/>
        <v>2024-07</v>
      </c>
      <c r="U1433" s="112" t="str">
        <f t="shared" si="7"/>
        <v>2024-H2</v>
      </c>
      <c r="V1433" s="1" t="str">
        <f>VLOOKUP(B1433,Bounties!A:E,2,FALSE)</f>
        <v>Moderation Team Bounty</v>
      </c>
    </row>
    <row r="1434" hidden="1">
      <c r="A1434" s="109">
        <f>HYPERLINK("https://polkadot.subsquare.io/treasury/child-bounties/1434", 1434)</f>
        <v>1434</v>
      </c>
      <c r="B1434" s="183">
        <v>24.0</v>
      </c>
      <c r="C1434" s="27" t="s">
        <v>3404</v>
      </c>
      <c r="D1434" s="27" t="s">
        <v>1961</v>
      </c>
      <c r="E1434" s="129">
        <v>285.02</v>
      </c>
      <c r="F1434" s="66">
        <v>1665.2279148101807</v>
      </c>
      <c r="G1434" s="27" t="s">
        <v>3550</v>
      </c>
      <c r="H1434" s="167">
        <v>45466.0</v>
      </c>
      <c r="I1434" s="167">
        <v>45474.0</v>
      </c>
      <c r="J1434" s="66">
        <v>1584.4443960380554</v>
      </c>
      <c r="M1434" s="1" t="str">
        <f>VLOOKUP(B1434,Bounties!A:D,3,FALSE)</f>
        <v>Outreach</v>
      </c>
      <c r="N1434" s="1" t="str">
        <f>VLOOKUP(B1434,Bounties!A:D,4,FALSE)</f>
        <v>Community Building</v>
      </c>
      <c r="O1434" s="1" t="str">
        <f t="shared" ref="O1434:P1434" si="1438">IF(ISBLANK(K1434),M1434,K1434)</f>
        <v>Outreach</v>
      </c>
      <c r="P1434" s="1" t="str">
        <f t="shared" si="1438"/>
        <v>Community Building</v>
      </c>
      <c r="Q1434" s="108" t="str">
        <f t="shared" si="3"/>
        <v>2024</v>
      </c>
      <c r="R1434" s="110">
        <f t="shared" si="4"/>
        <v>7</v>
      </c>
      <c r="S1434" s="108" t="str">
        <f t="shared" si="5"/>
        <v>2024-Q3</v>
      </c>
      <c r="T1434" s="111" t="str">
        <f t="shared" si="6"/>
        <v>2024-07</v>
      </c>
      <c r="U1434" s="112" t="str">
        <f t="shared" si="7"/>
        <v>2024-H2</v>
      </c>
      <c r="V1434" s="1" t="str">
        <f>VLOOKUP(B1434,Bounties!A:E,2,FALSE)</f>
        <v>Moderation Team Bounty</v>
      </c>
    </row>
    <row r="1435" hidden="1">
      <c r="A1435" s="109">
        <f>HYPERLINK("https://polkadot.subsquare.io/treasury/child-bounties/1435", 1435)</f>
        <v>1435</v>
      </c>
      <c r="B1435" s="183">
        <v>24.0</v>
      </c>
      <c r="C1435" s="27" t="s">
        <v>3404</v>
      </c>
      <c r="D1435" s="27" t="s">
        <v>1962</v>
      </c>
      <c r="E1435" s="129">
        <v>241.84</v>
      </c>
      <c r="F1435" s="66">
        <v>1412.9489822387695</v>
      </c>
      <c r="G1435" s="27" t="s">
        <v>3549</v>
      </c>
      <c r="H1435" s="167">
        <v>45466.0</v>
      </c>
      <c r="I1435" s="167">
        <v>45474.0</v>
      </c>
      <c r="J1435" s="66">
        <v>1344.404016342163</v>
      </c>
      <c r="M1435" s="1" t="str">
        <f>VLOOKUP(B1435,Bounties!A:D,3,FALSE)</f>
        <v>Outreach</v>
      </c>
      <c r="N1435" s="1" t="str">
        <f>VLOOKUP(B1435,Bounties!A:D,4,FALSE)</f>
        <v>Community Building</v>
      </c>
      <c r="O1435" s="1" t="str">
        <f t="shared" ref="O1435:P1435" si="1439">IF(ISBLANK(K1435),M1435,K1435)</f>
        <v>Outreach</v>
      </c>
      <c r="P1435" s="1" t="str">
        <f t="shared" si="1439"/>
        <v>Community Building</v>
      </c>
      <c r="Q1435" s="108" t="str">
        <f t="shared" si="3"/>
        <v>2024</v>
      </c>
      <c r="R1435" s="110">
        <f t="shared" si="4"/>
        <v>7</v>
      </c>
      <c r="S1435" s="108" t="str">
        <f t="shared" si="5"/>
        <v>2024-Q3</v>
      </c>
      <c r="T1435" s="111" t="str">
        <f t="shared" si="6"/>
        <v>2024-07</v>
      </c>
      <c r="U1435" s="112" t="str">
        <f t="shared" si="7"/>
        <v>2024-H2</v>
      </c>
      <c r="V1435" s="1" t="str">
        <f>VLOOKUP(B1435,Bounties!A:E,2,FALSE)</f>
        <v>Moderation Team Bounty</v>
      </c>
    </row>
    <row r="1436" hidden="1">
      <c r="A1436" s="109">
        <f>HYPERLINK("https://polkadot.subsquare.io/treasury/child-bounties/1436", 1436)</f>
        <v>1436</v>
      </c>
      <c r="B1436" s="183">
        <v>24.0</v>
      </c>
      <c r="C1436" s="27" t="s">
        <v>3404</v>
      </c>
      <c r="D1436" s="27" t="s">
        <v>1963</v>
      </c>
      <c r="E1436" s="129">
        <v>241.84</v>
      </c>
      <c r="F1436" s="66">
        <v>1412.9489822387695</v>
      </c>
      <c r="G1436" s="27" t="s">
        <v>3408</v>
      </c>
      <c r="H1436" s="167">
        <v>45466.0</v>
      </c>
      <c r="I1436" s="167">
        <v>45475.0</v>
      </c>
      <c r="J1436" s="66">
        <v>1344.404016342163</v>
      </c>
      <c r="M1436" s="1" t="str">
        <f>VLOOKUP(B1436,Bounties!A:D,3,FALSE)</f>
        <v>Outreach</v>
      </c>
      <c r="N1436" s="1" t="str">
        <f>VLOOKUP(B1436,Bounties!A:D,4,FALSE)</f>
        <v>Community Building</v>
      </c>
      <c r="O1436" s="1" t="str">
        <f t="shared" ref="O1436:P1436" si="1440">IF(ISBLANK(K1436),M1436,K1436)</f>
        <v>Outreach</v>
      </c>
      <c r="P1436" s="1" t="str">
        <f t="shared" si="1440"/>
        <v>Community Building</v>
      </c>
      <c r="Q1436" s="108" t="str">
        <f t="shared" si="3"/>
        <v>2024</v>
      </c>
      <c r="R1436" s="110">
        <f t="shared" si="4"/>
        <v>7</v>
      </c>
      <c r="S1436" s="108" t="str">
        <f t="shared" si="5"/>
        <v>2024-Q3</v>
      </c>
      <c r="T1436" s="111" t="str">
        <f t="shared" si="6"/>
        <v>2024-07</v>
      </c>
      <c r="U1436" s="112" t="str">
        <f t="shared" si="7"/>
        <v>2024-H2</v>
      </c>
      <c r="V1436" s="1" t="str">
        <f>VLOOKUP(B1436,Bounties!A:E,2,FALSE)</f>
        <v>Moderation Team Bounty</v>
      </c>
    </row>
    <row r="1437" hidden="1">
      <c r="A1437" s="109">
        <f>HYPERLINK("https://polkadot.subsquare.io/treasury/child-bounties/1437", 1437)</f>
        <v>1437</v>
      </c>
      <c r="B1437" s="183">
        <v>24.0</v>
      </c>
      <c r="C1437" s="27" t="s">
        <v>3404</v>
      </c>
      <c r="D1437" s="27" t="s">
        <v>1964</v>
      </c>
      <c r="E1437" s="129">
        <v>241.84</v>
      </c>
      <c r="F1437" s="66">
        <v>1412.9489822387695</v>
      </c>
      <c r="G1437" s="27" t="s">
        <v>3548</v>
      </c>
      <c r="H1437" s="167">
        <v>45466.0</v>
      </c>
      <c r="I1437" s="167">
        <v>45474.0</v>
      </c>
      <c r="J1437" s="66">
        <v>1344.404016342163</v>
      </c>
      <c r="M1437" s="1" t="str">
        <f>VLOOKUP(B1437,Bounties!A:D,3,FALSE)</f>
        <v>Outreach</v>
      </c>
      <c r="N1437" s="1" t="str">
        <f>VLOOKUP(B1437,Bounties!A:D,4,FALSE)</f>
        <v>Community Building</v>
      </c>
      <c r="O1437" s="1" t="str">
        <f t="shared" ref="O1437:P1437" si="1441">IF(ISBLANK(K1437),M1437,K1437)</f>
        <v>Outreach</v>
      </c>
      <c r="P1437" s="1" t="str">
        <f t="shared" si="1441"/>
        <v>Community Building</v>
      </c>
      <c r="Q1437" s="108" t="str">
        <f t="shared" si="3"/>
        <v>2024</v>
      </c>
      <c r="R1437" s="110">
        <f t="shared" si="4"/>
        <v>7</v>
      </c>
      <c r="S1437" s="108" t="str">
        <f t="shared" si="5"/>
        <v>2024-Q3</v>
      </c>
      <c r="T1437" s="111" t="str">
        <f t="shared" si="6"/>
        <v>2024-07</v>
      </c>
      <c r="U1437" s="112" t="str">
        <f t="shared" si="7"/>
        <v>2024-H2</v>
      </c>
      <c r="V1437" s="1" t="str">
        <f>VLOOKUP(B1437,Bounties!A:E,2,FALSE)</f>
        <v>Moderation Team Bounty</v>
      </c>
    </row>
    <row r="1438" hidden="1">
      <c r="A1438" s="109">
        <f>HYPERLINK("https://polkadot.subsquare.io/treasury/child-bounties/1438", 1438)</f>
        <v>1438</v>
      </c>
      <c r="B1438" s="183">
        <v>24.0</v>
      </c>
      <c r="C1438" s="27" t="s">
        <v>3404</v>
      </c>
      <c r="D1438" s="27" t="s">
        <v>1965</v>
      </c>
      <c r="E1438" s="129">
        <v>241.84</v>
      </c>
      <c r="F1438" s="66">
        <v>1412.9489822387695</v>
      </c>
      <c r="G1438" s="27" t="s">
        <v>3526</v>
      </c>
      <c r="H1438" s="167">
        <v>45466.0</v>
      </c>
      <c r="I1438" s="167">
        <v>45474.0</v>
      </c>
      <c r="J1438" s="66">
        <v>1344.404016342163</v>
      </c>
      <c r="M1438" s="1" t="str">
        <f>VLOOKUP(B1438,Bounties!A:D,3,FALSE)</f>
        <v>Outreach</v>
      </c>
      <c r="N1438" s="1" t="str">
        <f>VLOOKUP(B1438,Bounties!A:D,4,FALSE)</f>
        <v>Community Building</v>
      </c>
      <c r="O1438" s="1" t="str">
        <f t="shared" ref="O1438:P1438" si="1442">IF(ISBLANK(K1438),M1438,K1438)</f>
        <v>Outreach</v>
      </c>
      <c r="P1438" s="1" t="str">
        <f t="shared" si="1442"/>
        <v>Community Building</v>
      </c>
      <c r="Q1438" s="108" t="str">
        <f t="shared" si="3"/>
        <v>2024</v>
      </c>
      <c r="R1438" s="110">
        <f t="shared" si="4"/>
        <v>7</v>
      </c>
      <c r="S1438" s="108" t="str">
        <f t="shared" si="5"/>
        <v>2024-Q3</v>
      </c>
      <c r="T1438" s="111" t="str">
        <f t="shared" si="6"/>
        <v>2024-07</v>
      </c>
      <c r="U1438" s="112" t="str">
        <f t="shared" si="7"/>
        <v>2024-H2</v>
      </c>
      <c r="V1438" s="1" t="str">
        <f>VLOOKUP(B1438,Bounties!A:E,2,FALSE)</f>
        <v>Moderation Team Bounty</v>
      </c>
    </row>
    <row r="1439" hidden="1">
      <c r="A1439" s="109">
        <f>HYPERLINK("https://polkadot.subsquare.io/treasury/child-bounties/1439", 1439)</f>
        <v>1439</v>
      </c>
      <c r="B1439" s="183">
        <v>24.0</v>
      </c>
      <c r="C1439" s="27" t="s">
        <v>3404</v>
      </c>
      <c r="D1439" s="27" t="s">
        <v>1966</v>
      </c>
      <c r="E1439" s="129">
        <v>241.84</v>
      </c>
      <c r="F1439" s="66">
        <v>1412.9489822387695</v>
      </c>
      <c r="G1439" s="27" t="s">
        <v>3424</v>
      </c>
      <c r="H1439" s="167">
        <v>45466.0</v>
      </c>
      <c r="I1439" s="167">
        <v>45476.0</v>
      </c>
      <c r="J1439" s="66">
        <v>1509.4385700988769</v>
      </c>
      <c r="M1439" s="1" t="str">
        <f>VLOOKUP(B1439,Bounties!A:D,3,FALSE)</f>
        <v>Outreach</v>
      </c>
      <c r="N1439" s="1" t="str">
        <f>VLOOKUP(B1439,Bounties!A:D,4,FALSE)</f>
        <v>Community Building</v>
      </c>
      <c r="O1439" s="1" t="str">
        <f t="shared" ref="O1439:P1439" si="1443">IF(ISBLANK(K1439),M1439,K1439)</f>
        <v>Outreach</v>
      </c>
      <c r="P1439" s="1" t="str">
        <f t="shared" si="1443"/>
        <v>Community Building</v>
      </c>
      <c r="Q1439" s="108" t="str">
        <f t="shared" si="3"/>
        <v>2024</v>
      </c>
      <c r="R1439" s="110">
        <f t="shared" si="4"/>
        <v>7</v>
      </c>
      <c r="S1439" s="108" t="str">
        <f t="shared" si="5"/>
        <v>2024-Q3</v>
      </c>
      <c r="T1439" s="111" t="str">
        <f t="shared" si="6"/>
        <v>2024-07</v>
      </c>
      <c r="U1439" s="112" t="str">
        <f t="shared" si="7"/>
        <v>2024-H2</v>
      </c>
      <c r="V1439" s="1" t="str">
        <f>VLOOKUP(B1439,Bounties!A:E,2,FALSE)</f>
        <v>Moderation Team Bounty</v>
      </c>
    </row>
    <row r="1440" hidden="1">
      <c r="A1440" s="109">
        <f>HYPERLINK("https://polkadot.subsquare.io/treasury/child-bounties/1440", 1440)</f>
        <v>1440</v>
      </c>
      <c r="B1440" s="183">
        <v>24.0</v>
      </c>
      <c r="C1440" s="27" t="s">
        <v>3404</v>
      </c>
      <c r="D1440" s="27" t="s">
        <v>1967</v>
      </c>
      <c r="E1440" s="129">
        <v>241.84</v>
      </c>
      <c r="F1440" s="66">
        <v>1412.9489822387695</v>
      </c>
      <c r="G1440" s="27" t="s">
        <v>3469</v>
      </c>
      <c r="H1440" s="167">
        <v>45466.0</v>
      </c>
      <c r="I1440" s="167">
        <v>45474.0</v>
      </c>
      <c r="J1440" s="66">
        <v>1344.404016342163</v>
      </c>
      <c r="M1440" s="1" t="str">
        <f>VLOOKUP(B1440,Bounties!A:D,3,FALSE)</f>
        <v>Outreach</v>
      </c>
      <c r="N1440" s="1" t="str">
        <f>VLOOKUP(B1440,Bounties!A:D,4,FALSE)</f>
        <v>Community Building</v>
      </c>
      <c r="O1440" s="1" t="str">
        <f t="shared" ref="O1440:P1440" si="1444">IF(ISBLANK(K1440),M1440,K1440)</f>
        <v>Outreach</v>
      </c>
      <c r="P1440" s="1" t="str">
        <f t="shared" si="1444"/>
        <v>Community Building</v>
      </c>
      <c r="Q1440" s="108" t="str">
        <f t="shared" si="3"/>
        <v>2024</v>
      </c>
      <c r="R1440" s="110">
        <f t="shared" si="4"/>
        <v>7</v>
      </c>
      <c r="S1440" s="108" t="str">
        <f t="shared" si="5"/>
        <v>2024-Q3</v>
      </c>
      <c r="T1440" s="111" t="str">
        <f t="shared" si="6"/>
        <v>2024-07</v>
      </c>
      <c r="U1440" s="112" t="str">
        <f t="shared" si="7"/>
        <v>2024-H2</v>
      </c>
      <c r="V1440" s="1" t="str">
        <f>VLOOKUP(B1440,Bounties!A:E,2,FALSE)</f>
        <v>Moderation Team Bounty</v>
      </c>
    </row>
    <row r="1441" hidden="1">
      <c r="A1441" s="109">
        <f>HYPERLINK("https://polkadot.subsquare.io/treasury/child-bounties/1441", 1441)</f>
        <v>1441</v>
      </c>
      <c r="B1441" s="183">
        <v>24.0</v>
      </c>
      <c r="C1441" s="27" t="s">
        <v>3404</v>
      </c>
      <c r="D1441" s="27" t="s">
        <v>1968</v>
      </c>
      <c r="E1441" s="129">
        <v>241.84</v>
      </c>
      <c r="F1441" s="66">
        <v>1412.9489822387695</v>
      </c>
      <c r="G1441" s="27" t="s">
        <v>3411</v>
      </c>
      <c r="H1441" s="167">
        <v>45466.0</v>
      </c>
      <c r="I1441" s="167">
        <v>45474.0</v>
      </c>
      <c r="J1441" s="66">
        <v>1344.404016342163</v>
      </c>
      <c r="M1441" s="1" t="str">
        <f>VLOOKUP(B1441,Bounties!A:D,3,FALSE)</f>
        <v>Outreach</v>
      </c>
      <c r="N1441" s="1" t="str">
        <f>VLOOKUP(B1441,Bounties!A:D,4,FALSE)</f>
        <v>Community Building</v>
      </c>
      <c r="O1441" s="1" t="str">
        <f t="shared" ref="O1441:P1441" si="1445">IF(ISBLANK(K1441),M1441,K1441)</f>
        <v>Outreach</v>
      </c>
      <c r="P1441" s="1" t="str">
        <f t="shared" si="1445"/>
        <v>Community Building</v>
      </c>
      <c r="Q1441" s="108" t="str">
        <f t="shared" si="3"/>
        <v>2024</v>
      </c>
      <c r="R1441" s="110">
        <f t="shared" si="4"/>
        <v>7</v>
      </c>
      <c r="S1441" s="108" t="str">
        <f t="shared" si="5"/>
        <v>2024-Q3</v>
      </c>
      <c r="T1441" s="111" t="str">
        <f t="shared" si="6"/>
        <v>2024-07</v>
      </c>
      <c r="U1441" s="112" t="str">
        <f t="shared" si="7"/>
        <v>2024-H2</v>
      </c>
      <c r="V1441" s="1" t="str">
        <f>VLOOKUP(B1441,Bounties!A:E,2,FALSE)</f>
        <v>Moderation Team Bounty</v>
      </c>
    </row>
    <row r="1442" hidden="1">
      <c r="A1442" s="109">
        <f>HYPERLINK("https://polkadot.subsquare.io/treasury/child-bounties/1442", 1442)</f>
        <v>1442</v>
      </c>
      <c r="B1442" s="183">
        <v>24.0</v>
      </c>
      <c r="C1442" s="27" t="s">
        <v>3404</v>
      </c>
      <c r="D1442" s="27" t="s">
        <v>1969</v>
      </c>
      <c r="E1442" s="129">
        <v>241.84</v>
      </c>
      <c r="F1442" s="66">
        <v>1412.9489822387695</v>
      </c>
      <c r="G1442" s="27" t="s">
        <v>3457</v>
      </c>
      <c r="H1442" s="167">
        <v>45466.0</v>
      </c>
      <c r="I1442" s="167">
        <v>45474.0</v>
      </c>
      <c r="J1442" s="66">
        <v>1344.404016342163</v>
      </c>
      <c r="M1442" s="1" t="str">
        <f>VLOOKUP(B1442,Bounties!A:D,3,FALSE)</f>
        <v>Outreach</v>
      </c>
      <c r="N1442" s="1" t="str">
        <f>VLOOKUP(B1442,Bounties!A:D,4,FALSE)</f>
        <v>Community Building</v>
      </c>
      <c r="O1442" s="1" t="str">
        <f t="shared" ref="O1442:P1442" si="1446">IF(ISBLANK(K1442),M1442,K1442)</f>
        <v>Outreach</v>
      </c>
      <c r="P1442" s="1" t="str">
        <f t="shared" si="1446"/>
        <v>Community Building</v>
      </c>
      <c r="Q1442" s="108" t="str">
        <f t="shared" si="3"/>
        <v>2024</v>
      </c>
      <c r="R1442" s="110">
        <f t="shared" si="4"/>
        <v>7</v>
      </c>
      <c r="S1442" s="108" t="str">
        <f t="shared" si="5"/>
        <v>2024-Q3</v>
      </c>
      <c r="T1442" s="111" t="str">
        <f t="shared" si="6"/>
        <v>2024-07</v>
      </c>
      <c r="U1442" s="112" t="str">
        <f t="shared" si="7"/>
        <v>2024-H2</v>
      </c>
      <c r="V1442" s="1" t="str">
        <f>VLOOKUP(B1442,Bounties!A:E,2,FALSE)</f>
        <v>Moderation Team Bounty</v>
      </c>
    </row>
    <row r="1443" hidden="1">
      <c r="A1443" s="109">
        <f>HYPERLINK("https://polkadot.subsquare.io/treasury/child-bounties/1443", 1443)</f>
        <v>1443</v>
      </c>
      <c r="B1443" s="183">
        <v>24.0</v>
      </c>
      <c r="C1443" s="27" t="s">
        <v>3404</v>
      </c>
      <c r="D1443" s="27" t="s">
        <v>1970</v>
      </c>
      <c r="E1443" s="129">
        <v>241.84</v>
      </c>
      <c r="F1443" s="66">
        <v>1412.9489822387695</v>
      </c>
      <c r="G1443" s="27" t="s">
        <v>3407</v>
      </c>
      <c r="H1443" s="167">
        <v>45466.0</v>
      </c>
      <c r="I1443" s="167">
        <v>45474.0</v>
      </c>
      <c r="J1443" s="66">
        <v>1344.404016342163</v>
      </c>
      <c r="M1443" s="1" t="str">
        <f>VLOOKUP(B1443,Bounties!A:D,3,FALSE)</f>
        <v>Outreach</v>
      </c>
      <c r="N1443" s="1" t="str">
        <f>VLOOKUP(B1443,Bounties!A:D,4,FALSE)</f>
        <v>Community Building</v>
      </c>
      <c r="O1443" s="1" t="str">
        <f t="shared" ref="O1443:P1443" si="1447">IF(ISBLANK(K1443),M1443,K1443)</f>
        <v>Outreach</v>
      </c>
      <c r="P1443" s="1" t="str">
        <f t="shared" si="1447"/>
        <v>Community Building</v>
      </c>
      <c r="Q1443" s="108" t="str">
        <f t="shared" si="3"/>
        <v>2024</v>
      </c>
      <c r="R1443" s="110">
        <f t="shared" si="4"/>
        <v>7</v>
      </c>
      <c r="S1443" s="108" t="str">
        <f t="shared" si="5"/>
        <v>2024-Q3</v>
      </c>
      <c r="T1443" s="111" t="str">
        <f t="shared" si="6"/>
        <v>2024-07</v>
      </c>
      <c r="U1443" s="112" t="str">
        <f t="shared" si="7"/>
        <v>2024-H2</v>
      </c>
      <c r="V1443" s="1" t="str">
        <f>VLOOKUP(B1443,Bounties!A:E,2,FALSE)</f>
        <v>Moderation Team Bounty</v>
      </c>
    </row>
    <row r="1444" hidden="1">
      <c r="A1444" s="109">
        <f>HYPERLINK("https://polkadot.subsquare.io/treasury/child-bounties/1444", 1444)</f>
        <v>1444</v>
      </c>
      <c r="B1444" s="183">
        <v>24.0</v>
      </c>
      <c r="C1444" s="27" t="s">
        <v>3404</v>
      </c>
      <c r="D1444" s="27" t="s">
        <v>1971</v>
      </c>
      <c r="E1444" s="129">
        <v>241.84</v>
      </c>
      <c r="F1444" s="66">
        <v>1412.9489822387695</v>
      </c>
      <c r="G1444" s="27" t="s">
        <v>3406</v>
      </c>
      <c r="H1444" s="167">
        <v>45466.0</v>
      </c>
      <c r="I1444" s="167">
        <v>45488.0</v>
      </c>
      <c r="J1444" s="66">
        <v>1473.6697169113158</v>
      </c>
      <c r="M1444" s="1" t="str">
        <f>VLOOKUP(B1444,Bounties!A:D,3,FALSE)</f>
        <v>Outreach</v>
      </c>
      <c r="N1444" s="1" t="str">
        <f>VLOOKUP(B1444,Bounties!A:D,4,FALSE)</f>
        <v>Community Building</v>
      </c>
      <c r="O1444" s="1" t="str">
        <f t="shared" ref="O1444:P1444" si="1448">IF(ISBLANK(K1444),M1444,K1444)</f>
        <v>Outreach</v>
      </c>
      <c r="P1444" s="1" t="str">
        <f t="shared" si="1448"/>
        <v>Community Building</v>
      </c>
      <c r="Q1444" s="108" t="str">
        <f t="shared" si="3"/>
        <v>2024</v>
      </c>
      <c r="R1444" s="110">
        <f t="shared" si="4"/>
        <v>7</v>
      </c>
      <c r="S1444" s="108" t="str">
        <f t="shared" si="5"/>
        <v>2024-Q3</v>
      </c>
      <c r="T1444" s="111" t="str">
        <f t="shared" si="6"/>
        <v>2024-07</v>
      </c>
      <c r="U1444" s="112" t="str">
        <f t="shared" si="7"/>
        <v>2024-H2</v>
      </c>
      <c r="V1444" s="1" t="str">
        <f>VLOOKUP(B1444,Bounties!A:E,2,FALSE)</f>
        <v>Moderation Team Bounty</v>
      </c>
    </row>
    <row r="1445" hidden="1">
      <c r="A1445" s="109">
        <f>HYPERLINK("https://polkadot.subsquare.io/treasury/child-bounties/1445", 1445)</f>
        <v>1445</v>
      </c>
      <c r="B1445" s="183">
        <v>39.0</v>
      </c>
      <c r="C1445" s="27" t="s">
        <v>3404</v>
      </c>
      <c r="D1445" s="27" t="s">
        <v>1972</v>
      </c>
      <c r="E1445" s="129">
        <v>5000.0</v>
      </c>
      <c r="F1445" s="66">
        <v>28966.383934020996</v>
      </c>
      <c r="G1445" s="27" t="s">
        <v>3743</v>
      </c>
      <c r="H1445" s="167">
        <v>45466.0</v>
      </c>
      <c r="I1445" s="167">
        <v>45474.0</v>
      </c>
      <c r="J1445" s="66">
        <v>27795.31955718994</v>
      </c>
      <c r="M1445" s="1" t="str">
        <f>VLOOKUP(B1445,Bounties!A:D,3,FALSE)</f>
        <v>Outreach</v>
      </c>
      <c r="N1445" s="1" t="str">
        <f>VLOOKUP(B1445,Bounties!A:D,4,FALSE)</f>
        <v>Business Development</v>
      </c>
      <c r="O1445" s="1" t="str">
        <f t="shared" ref="O1445:P1445" si="1449">IF(ISBLANK(K1445),M1445,K1445)</f>
        <v>Outreach</v>
      </c>
      <c r="P1445" s="1" t="str">
        <f t="shared" si="1449"/>
        <v>Business Development</v>
      </c>
      <c r="Q1445" s="108" t="str">
        <f t="shared" si="3"/>
        <v>2024</v>
      </c>
      <c r="R1445" s="110">
        <f t="shared" si="4"/>
        <v>7</v>
      </c>
      <c r="S1445" s="108" t="str">
        <f t="shared" si="5"/>
        <v>2024-Q3</v>
      </c>
      <c r="T1445" s="111" t="str">
        <f t="shared" si="6"/>
        <v>2024-07</v>
      </c>
      <c r="U1445" s="112" t="str">
        <f t="shared" si="7"/>
        <v>2024-H2</v>
      </c>
      <c r="V1445" s="1" t="str">
        <f>VLOOKUP(B1445,Bounties!A:E,2,FALSE)</f>
        <v>BD Bounty</v>
      </c>
    </row>
    <row r="1446" hidden="1">
      <c r="A1446" s="109">
        <f>HYPERLINK("https://polkadot.subsquare.io/treasury/child-bounties/1446", 1446)</f>
        <v>1446</v>
      </c>
      <c r="B1446" s="183">
        <v>11.0</v>
      </c>
      <c r="C1446" s="27" t="s">
        <v>3404</v>
      </c>
      <c r="D1446" s="27" t="s">
        <v>1973</v>
      </c>
      <c r="E1446" s="129">
        <v>129.556</v>
      </c>
      <c r="F1446" s="66">
        <v>750.5537673912049</v>
      </c>
      <c r="G1446" s="27" t="s">
        <v>3644</v>
      </c>
      <c r="H1446" s="167">
        <v>45466.0</v>
      </c>
      <c r="I1446" s="167">
        <v>45476.0</v>
      </c>
      <c r="J1446" s="66">
        <v>808.6206722946167</v>
      </c>
      <c r="M1446" s="1" t="str">
        <f>VLOOKUP(B1446,Bounties!A:D,3,FALSE)</f>
        <v>Research</v>
      </c>
      <c r="N1446" s="1" t="str">
        <f>VLOOKUP(B1446,Bounties!A:D,4,FALSE)</f>
        <v>Anti-Scam</v>
      </c>
      <c r="O1446" s="1" t="str">
        <f t="shared" ref="O1446:P1446" si="1450">IF(ISBLANK(K1446),M1446,K1446)</f>
        <v>Research</v>
      </c>
      <c r="P1446" s="1" t="str">
        <f t="shared" si="1450"/>
        <v>Anti-Scam</v>
      </c>
      <c r="Q1446" s="108" t="str">
        <f t="shared" si="3"/>
        <v>2024</v>
      </c>
      <c r="R1446" s="110">
        <f t="shared" si="4"/>
        <v>7</v>
      </c>
      <c r="S1446" s="108" t="str">
        <f t="shared" si="5"/>
        <v>2024-Q3</v>
      </c>
      <c r="T1446" s="111" t="str">
        <f t="shared" si="6"/>
        <v>2024-07</v>
      </c>
      <c r="U1446" s="112" t="str">
        <f t="shared" si="7"/>
        <v>2024-H2</v>
      </c>
      <c r="V1446" s="1" t="str">
        <f>VLOOKUP(B1446,Bounties!A:E,2,FALSE)</f>
        <v>Anti-Scam Bounty</v>
      </c>
    </row>
    <row r="1447" hidden="1">
      <c r="A1447" s="109">
        <f>HYPERLINK("https://polkadot.subsquare.io/treasury/child-bounties/1447", 1447)</f>
        <v>1447</v>
      </c>
      <c r="B1447" s="183">
        <v>50.0</v>
      </c>
      <c r="C1447" s="27" t="s">
        <v>3404</v>
      </c>
      <c r="D1447" s="27" t="s">
        <v>1843</v>
      </c>
      <c r="E1447" s="129">
        <v>2232.79</v>
      </c>
      <c r="F1447" s="66">
        <v>12935.170476808547</v>
      </c>
      <c r="G1447" s="27" t="s">
        <v>3725</v>
      </c>
      <c r="H1447" s="167">
        <v>45467.0</v>
      </c>
      <c r="I1447" s="167">
        <v>45475.0</v>
      </c>
      <c r="J1447" s="66">
        <v>12412.222310819625</v>
      </c>
      <c r="M1447" s="1" t="str">
        <f>VLOOKUP(B1447,Bounties!A:D,3,FALSE)</f>
        <v>Operations</v>
      </c>
      <c r="N1447" s="1" t="str">
        <f>VLOOKUP(B1447,Bounties!A:D,4,FALSE)</f>
        <v>RPCs and Nodes</v>
      </c>
      <c r="O1447" s="1" t="str">
        <f t="shared" ref="O1447:P1447" si="1451">IF(ISBLANK(K1447),M1447,K1447)</f>
        <v>Operations</v>
      </c>
      <c r="P1447" s="1" t="str">
        <f t="shared" si="1451"/>
        <v>RPCs and Nodes</v>
      </c>
      <c r="Q1447" s="108" t="str">
        <f t="shared" si="3"/>
        <v>2024</v>
      </c>
      <c r="R1447" s="110">
        <f t="shared" si="4"/>
        <v>7</v>
      </c>
      <c r="S1447" s="108" t="str">
        <f t="shared" si="5"/>
        <v>2024-Q3</v>
      </c>
      <c r="T1447" s="111" t="str">
        <f t="shared" si="6"/>
        <v>2024-07</v>
      </c>
      <c r="U1447" s="112" t="str">
        <f t="shared" si="7"/>
        <v>2024-H2</v>
      </c>
      <c r="V1447" s="1" t="str">
        <f>VLOOKUP(B1447,Bounties!A:E,2,FALSE)</f>
        <v>Infrastructure Builders Program</v>
      </c>
    </row>
    <row r="1448" hidden="1">
      <c r="A1448" s="109">
        <f>HYPERLINK("https://polkadot.subsquare.io/treasury/child-bounties/1448", 1448)</f>
        <v>1448</v>
      </c>
      <c r="B1448" s="183">
        <v>50.0</v>
      </c>
      <c r="C1448" s="27" t="s">
        <v>3404</v>
      </c>
      <c r="D1448" s="27" t="s">
        <v>1844</v>
      </c>
      <c r="E1448" s="129">
        <v>2110.56</v>
      </c>
      <c r="F1448" s="66">
        <v>12227.05825515747</v>
      </c>
      <c r="G1448" s="27" t="s">
        <v>3650</v>
      </c>
      <c r="H1448" s="167">
        <v>45467.0</v>
      </c>
      <c r="I1448" s="167">
        <v>45476.0</v>
      </c>
      <c r="J1448" s="66">
        <v>13173.009710998535</v>
      </c>
      <c r="M1448" s="1" t="str">
        <f>VLOOKUP(B1448,Bounties!A:D,3,FALSE)</f>
        <v>Operations</v>
      </c>
      <c r="N1448" s="1" t="str">
        <f>VLOOKUP(B1448,Bounties!A:D,4,FALSE)</f>
        <v>RPCs and Nodes</v>
      </c>
      <c r="O1448" s="1" t="str">
        <f t="shared" ref="O1448:P1448" si="1452">IF(ISBLANK(K1448),M1448,K1448)</f>
        <v>Operations</v>
      </c>
      <c r="P1448" s="1" t="str">
        <f t="shared" si="1452"/>
        <v>RPCs and Nodes</v>
      </c>
      <c r="Q1448" s="108" t="str">
        <f t="shared" si="3"/>
        <v>2024</v>
      </c>
      <c r="R1448" s="110">
        <f t="shared" si="4"/>
        <v>7</v>
      </c>
      <c r="S1448" s="108" t="str">
        <f t="shared" si="5"/>
        <v>2024-Q3</v>
      </c>
      <c r="T1448" s="111" t="str">
        <f t="shared" si="6"/>
        <v>2024-07</v>
      </c>
      <c r="U1448" s="112" t="str">
        <f t="shared" si="7"/>
        <v>2024-H2</v>
      </c>
      <c r="V1448" s="1" t="str">
        <f>VLOOKUP(B1448,Bounties!A:E,2,FALSE)</f>
        <v>Infrastructure Builders Program</v>
      </c>
    </row>
    <row r="1449" hidden="1">
      <c r="A1449" s="109">
        <f>HYPERLINK("https://polkadot.subsquare.io/treasury/child-bounties/1449", 1449)</f>
        <v>1449</v>
      </c>
      <c r="B1449" s="183">
        <v>50.0</v>
      </c>
      <c r="C1449" s="27" t="s">
        <v>3404</v>
      </c>
      <c r="D1449" s="27" t="s">
        <v>1845</v>
      </c>
      <c r="E1449" s="129">
        <v>2301.04</v>
      </c>
      <c r="F1449" s="66">
        <v>13330.561617507934</v>
      </c>
      <c r="G1449" s="27" t="s">
        <v>3726</v>
      </c>
      <c r="H1449" s="167">
        <v>45467.0</v>
      </c>
      <c r="I1449" s="167">
        <v>45475.0</v>
      </c>
      <c r="J1449" s="66">
        <v>12791.628422775268</v>
      </c>
      <c r="M1449" s="1" t="str">
        <f>VLOOKUP(B1449,Bounties!A:D,3,FALSE)</f>
        <v>Operations</v>
      </c>
      <c r="N1449" s="1" t="str">
        <f>VLOOKUP(B1449,Bounties!A:D,4,FALSE)</f>
        <v>RPCs and Nodes</v>
      </c>
      <c r="O1449" s="1" t="str">
        <f t="shared" ref="O1449:P1449" si="1453">IF(ISBLANK(K1449),M1449,K1449)</f>
        <v>Operations</v>
      </c>
      <c r="P1449" s="1" t="str">
        <f t="shared" si="1453"/>
        <v>RPCs and Nodes</v>
      </c>
      <c r="Q1449" s="108" t="str">
        <f t="shared" si="3"/>
        <v>2024</v>
      </c>
      <c r="R1449" s="110">
        <f t="shared" si="4"/>
        <v>7</v>
      </c>
      <c r="S1449" s="108" t="str">
        <f t="shared" si="5"/>
        <v>2024-Q3</v>
      </c>
      <c r="T1449" s="111" t="str">
        <f t="shared" si="6"/>
        <v>2024-07</v>
      </c>
      <c r="U1449" s="112" t="str">
        <f t="shared" si="7"/>
        <v>2024-H2</v>
      </c>
      <c r="V1449" s="1" t="str">
        <f>VLOOKUP(B1449,Bounties!A:E,2,FALSE)</f>
        <v>Infrastructure Builders Program</v>
      </c>
    </row>
    <row r="1450" hidden="1">
      <c r="A1450" s="109">
        <f>HYPERLINK("https://polkadot.subsquare.io/treasury/child-bounties/1450", 1450)</f>
        <v>1450</v>
      </c>
      <c r="B1450" s="183">
        <v>50.0</v>
      </c>
      <c r="C1450" s="27" t="s">
        <v>3404</v>
      </c>
      <c r="D1450" s="27" t="s">
        <v>1846</v>
      </c>
      <c r="E1450" s="129">
        <v>2606.15</v>
      </c>
      <c r="F1450" s="66">
        <v>15098.148297929763</v>
      </c>
      <c r="G1450" s="27" t="s">
        <v>3727</v>
      </c>
      <c r="H1450" s="167">
        <v>45467.0</v>
      </c>
      <c r="I1450" s="167">
        <v>45475.0</v>
      </c>
      <c r="J1450" s="66">
        <v>14487.754412794113</v>
      </c>
      <c r="M1450" s="1" t="str">
        <f>VLOOKUP(B1450,Bounties!A:D,3,FALSE)</f>
        <v>Operations</v>
      </c>
      <c r="N1450" s="1" t="str">
        <f>VLOOKUP(B1450,Bounties!A:D,4,FALSE)</f>
        <v>RPCs and Nodes</v>
      </c>
      <c r="O1450" s="1" t="str">
        <f t="shared" ref="O1450:P1450" si="1454">IF(ISBLANK(K1450),M1450,K1450)</f>
        <v>Operations</v>
      </c>
      <c r="P1450" s="1" t="str">
        <f t="shared" si="1454"/>
        <v>RPCs and Nodes</v>
      </c>
      <c r="Q1450" s="108" t="str">
        <f t="shared" si="3"/>
        <v>2024</v>
      </c>
      <c r="R1450" s="110">
        <f t="shared" si="4"/>
        <v>7</v>
      </c>
      <c r="S1450" s="108" t="str">
        <f t="shared" si="5"/>
        <v>2024-Q3</v>
      </c>
      <c r="T1450" s="111" t="str">
        <f t="shared" si="6"/>
        <v>2024-07</v>
      </c>
      <c r="U1450" s="112" t="str">
        <f t="shared" si="7"/>
        <v>2024-H2</v>
      </c>
      <c r="V1450" s="1" t="str">
        <f>VLOOKUP(B1450,Bounties!A:E,2,FALSE)</f>
        <v>Infrastructure Builders Program</v>
      </c>
    </row>
    <row r="1451" hidden="1">
      <c r="A1451" s="109">
        <f>HYPERLINK("https://polkadot.subsquare.io/treasury/child-bounties/1451", 1451)</f>
        <v>1451</v>
      </c>
      <c r="B1451" s="183">
        <v>50.0</v>
      </c>
      <c r="C1451" s="27" t="s">
        <v>3404</v>
      </c>
      <c r="D1451" s="27" t="s">
        <v>1847</v>
      </c>
      <c r="E1451" s="129">
        <v>2132.7</v>
      </c>
      <c r="F1451" s="66">
        <v>12355.321403217315</v>
      </c>
      <c r="G1451" s="27" t="s">
        <v>3728</v>
      </c>
      <c r="H1451" s="167">
        <v>45467.0</v>
      </c>
      <c r="I1451" s="167">
        <v>45502.0</v>
      </c>
      <c r="J1451" s="66">
        <v>11394.907147979735</v>
      </c>
      <c r="M1451" s="1" t="str">
        <f>VLOOKUP(B1451,Bounties!A:D,3,FALSE)</f>
        <v>Operations</v>
      </c>
      <c r="N1451" s="1" t="str">
        <f>VLOOKUP(B1451,Bounties!A:D,4,FALSE)</f>
        <v>RPCs and Nodes</v>
      </c>
      <c r="O1451" s="1" t="str">
        <f t="shared" ref="O1451:P1451" si="1455">IF(ISBLANK(K1451),M1451,K1451)</f>
        <v>Operations</v>
      </c>
      <c r="P1451" s="1" t="str">
        <f t="shared" si="1455"/>
        <v>RPCs and Nodes</v>
      </c>
      <c r="Q1451" s="108" t="str">
        <f t="shared" si="3"/>
        <v>2024</v>
      </c>
      <c r="R1451" s="110">
        <f t="shared" si="4"/>
        <v>7</v>
      </c>
      <c r="S1451" s="108" t="str">
        <f t="shared" si="5"/>
        <v>2024-Q3</v>
      </c>
      <c r="T1451" s="111" t="str">
        <f t="shared" si="6"/>
        <v>2024-07</v>
      </c>
      <c r="U1451" s="112" t="str">
        <f t="shared" si="7"/>
        <v>2024-H2</v>
      </c>
      <c r="V1451" s="1" t="str">
        <f>VLOOKUP(B1451,Bounties!A:E,2,FALSE)</f>
        <v>Infrastructure Builders Program</v>
      </c>
    </row>
    <row r="1452" hidden="1">
      <c r="A1452" s="109">
        <f>HYPERLINK("https://polkadot.subsquare.io/treasury/child-bounties/1452", 1452)</f>
        <v>1452</v>
      </c>
      <c r="B1452" s="183">
        <v>50.0</v>
      </c>
      <c r="C1452" s="27" t="s">
        <v>3404</v>
      </c>
      <c r="D1452" s="27" t="s">
        <v>1848</v>
      </c>
      <c r="E1452" s="129">
        <v>923.41</v>
      </c>
      <c r="F1452" s="66">
        <v>5349.569717702865</v>
      </c>
      <c r="G1452" s="27" t="s">
        <v>3729</v>
      </c>
      <c r="H1452" s="167">
        <v>45467.0</v>
      </c>
      <c r="I1452" s="167">
        <v>45475.0</v>
      </c>
      <c r="J1452" s="66">
        <v>5133.295206460953</v>
      </c>
      <c r="M1452" s="1" t="str">
        <f>VLOOKUP(B1452,Bounties!A:D,3,FALSE)</f>
        <v>Operations</v>
      </c>
      <c r="N1452" s="1" t="str">
        <f>VLOOKUP(B1452,Bounties!A:D,4,FALSE)</f>
        <v>RPCs and Nodes</v>
      </c>
      <c r="O1452" s="1" t="str">
        <f t="shared" ref="O1452:P1452" si="1456">IF(ISBLANK(K1452),M1452,K1452)</f>
        <v>Operations</v>
      </c>
      <c r="P1452" s="1" t="str">
        <f t="shared" si="1456"/>
        <v>RPCs and Nodes</v>
      </c>
      <c r="Q1452" s="108" t="str">
        <f t="shared" si="3"/>
        <v>2024</v>
      </c>
      <c r="R1452" s="110">
        <f t="shared" si="4"/>
        <v>7</v>
      </c>
      <c r="S1452" s="108" t="str">
        <f t="shared" si="5"/>
        <v>2024-Q3</v>
      </c>
      <c r="T1452" s="111" t="str">
        <f t="shared" si="6"/>
        <v>2024-07</v>
      </c>
      <c r="U1452" s="112" t="str">
        <f t="shared" si="7"/>
        <v>2024-H2</v>
      </c>
      <c r="V1452" s="1" t="str">
        <f>VLOOKUP(B1452,Bounties!A:E,2,FALSE)</f>
        <v>Infrastructure Builders Program</v>
      </c>
    </row>
    <row r="1453" hidden="1">
      <c r="A1453" s="109">
        <f>HYPERLINK("https://polkadot.subsquare.io/treasury/child-bounties/1453", 1453)</f>
        <v>1453</v>
      </c>
      <c r="B1453" s="183">
        <v>50.0</v>
      </c>
      <c r="C1453" s="27" t="s">
        <v>3404</v>
      </c>
      <c r="D1453" s="27" t="s">
        <v>1849</v>
      </c>
      <c r="E1453" s="129">
        <v>2110.56</v>
      </c>
      <c r="F1453" s="66">
        <v>12227.05825515747</v>
      </c>
      <c r="G1453" s="27" t="s">
        <v>3730</v>
      </c>
      <c r="H1453" s="167">
        <v>45467.0</v>
      </c>
      <c r="I1453" s="167">
        <v>45491.0</v>
      </c>
      <c r="J1453" s="66">
        <v>13549.250902175903</v>
      </c>
      <c r="M1453" s="1" t="str">
        <f>VLOOKUP(B1453,Bounties!A:D,3,FALSE)</f>
        <v>Operations</v>
      </c>
      <c r="N1453" s="1" t="str">
        <f>VLOOKUP(B1453,Bounties!A:D,4,FALSE)</f>
        <v>RPCs and Nodes</v>
      </c>
      <c r="O1453" s="1" t="str">
        <f t="shared" ref="O1453:P1453" si="1457">IF(ISBLANK(K1453),M1453,K1453)</f>
        <v>Operations</v>
      </c>
      <c r="P1453" s="1" t="str">
        <f t="shared" si="1457"/>
        <v>RPCs and Nodes</v>
      </c>
      <c r="Q1453" s="108" t="str">
        <f t="shared" si="3"/>
        <v>2024</v>
      </c>
      <c r="R1453" s="110">
        <f t="shared" si="4"/>
        <v>7</v>
      </c>
      <c r="S1453" s="108" t="str">
        <f t="shared" si="5"/>
        <v>2024-Q3</v>
      </c>
      <c r="T1453" s="111" t="str">
        <f t="shared" si="6"/>
        <v>2024-07</v>
      </c>
      <c r="U1453" s="112" t="str">
        <f t="shared" si="7"/>
        <v>2024-H2</v>
      </c>
      <c r="V1453" s="1" t="str">
        <f>VLOOKUP(B1453,Bounties!A:E,2,FALSE)</f>
        <v>Infrastructure Builders Program</v>
      </c>
    </row>
    <row r="1454" hidden="1">
      <c r="A1454" s="109">
        <f>HYPERLINK("https://polkadot.subsquare.io/treasury/child-bounties/1454", 1454)</f>
        <v>1454</v>
      </c>
      <c r="B1454" s="183">
        <v>50.0</v>
      </c>
      <c r="C1454" s="27" t="s">
        <v>3404</v>
      </c>
      <c r="D1454" s="27" t="s">
        <v>1850</v>
      </c>
      <c r="E1454" s="129">
        <v>2605.82</v>
      </c>
      <c r="F1454" s="66">
        <v>15096.23651659012</v>
      </c>
      <c r="G1454" s="27" t="s">
        <v>3653</v>
      </c>
      <c r="H1454" s="167">
        <v>45467.0</v>
      </c>
      <c r="I1454" s="167">
        <v>45494.0</v>
      </c>
      <c r="J1454" s="66">
        <v>14979.256477041245</v>
      </c>
      <c r="M1454" s="1" t="str">
        <f>VLOOKUP(B1454,Bounties!A:D,3,FALSE)</f>
        <v>Operations</v>
      </c>
      <c r="N1454" s="1" t="str">
        <f>VLOOKUP(B1454,Bounties!A:D,4,FALSE)</f>
        <v>RPCs and Nodes</v>
      </c>
      <c r="O1454" s="1" t="str">
        <f t="shared" ref="O1454:P1454" si="1458">IF(ISBLANK(K1454),M1454,K1454)</f>
        <v>Operations</v>
      </c>
      <c r="P1454" s="1" t="str">
        <f t="shared" si="1458"/>
        <v>RPCs and Nodes</v>
      </c>
      <c r="Q1454" s="108" t="str">
        <f t="shared" si="3"/>
        <v>2024</v>
      </c>
      <c r="R1454" s="110">
        <f t="shared" si="4"/>
        <v>7</v>
      </c>
      <c r="S1454" s="108" t="str">
        <f t="shared" si="5"/>
        <v>2024-Q3</v>
      </c>
      <c r="T1454" s="111" t="str">
        <f t="shared" si="6"/>
        <v>2024-07</v>
      </c>
      <c r="U1454" s="112" t="str">
        <f t="shared" si="7"/>
        <v>2024-H2</v>
      </c>
      <c r="V1454" s="1" t="str">
        <f>VLOOKUP(B1454,Bounties!A:E,2,FALSE)</f>
        <v>Infrastructure Builders Program</v>
      </c>
    </row>
    <row r="1455" hidden="1">
      <c r="A1455" s="109">
        <f>HYPERLINK("https://polkadot.subsquare.io/treasury/child-bounties/1455", 1455)</f>
        <v>1455</v>
      </c>
      <c r="B1455" s="183">
        <v>50.0</v>
      </c>
      <c r="C1455" s="27" t="s">
        <v>3404</v>
      </c>
      <c r="D1455" s="27" t="s">
        <v>1851</v>
      </c>
      <c r="E1455" s="129">
        <v>2224.85</v>
      </c>
      <c r="F1455" s="66">
        <v>12889.171859121323</v>
      </c>
      <c r="G1455" s="27" t="s">
        <v>3721</v>
      </c>
      <c r="H1455" s="167">
        <v>45467.0</v>
      </c>
      <c r="I1455" s="167">
        <v>45475.0</v>
      </c>
      <c r="J1455" s="66">
        <v>12605.423789978027</v>
      </c>
      <c r="M1455" s="1" t="str">
        <f>VLOOKUP(B1455,Bounties!A:D,3,FALSE)</f>
        <v>Operations</v>
      </c>
      <c r="N1455" s="1" t="str">
        <f>VLOOKUP(B1455,Bounties!A:D,4,FALSE)</f>
        <v>RPCs and Nodes</v>
      </c>
      <c r="O1455" s="1" t="str">
        <f t="shared" ref="O1455:P1455" si="1459">IF(ISBLANK(K1455),M1455,K1455)</f>
        <v>Operations</v>
      </c>
      <c r="P1455" s="1" t="str">
        <f t="shared" si="1459"/>
        <v>RPCs and Nodes</v>
      </c>
      <c r="Q1455" s="108" t="str">
        <f t="shared" si="3"/>
        <v>2024</v>
      </c>
      <c r="R1455" s="110">
        <f t="shared" si="4"/>
        <v>7</v>
      </c>
      <c r="S1455" s="108" t="str">
        <f t="shared" si="5"/>
        <v>2024-Q3</v>
      </c>
      <c r="T1455" s="111" t="str">
        <f t="shared" si="6"/>
        <v>2024-07</v>
      </c>
      <c r="U1455" s="112" t="str">
        <f t="shared" si="7"/>
        <v>2024-H2</v>
      </c>
      <c r="V1455" s="1" t="str">
        <f>VLOOKUP(B1455,Bounties!A:E,2,FALSE)</f>
        <v>Infrastructure Builders Program</v>
      </c>
    </row>
    <row r="1456" hidden="1">
      <c r="A1456" s="109">
        <f>HYPERLINK("https://polkadot.subsquare.io/treasury/child-bounties/1456", 1456)</f>
        <v>1456</v>
      </c>
      <c r="B1456" s="183">
        <v>50.0</v>
      </c>
      <c r="C1456" s="27" t="s">
        <v>3404</v>
      </c>
      <c r="D1456" s="27" t="s">
        <v>1852</v>
      </c>
      <c r="E1456" s="129">
        <v>2224.85</v>
      </c>
      <c r="F1456" s="66">
        <v>12889.171859121323</v>
      </c>
      <c r="G1456" s="27" t="s">
        <v>3731</v>
      </c>
      <c r="H1456" s="167">
        <v>45467.0</v>
      </c>
      <c r="I1456" s="167">
        <v>45478.0</v>
      </c>
      <c r="J1456" s="66">
        <v>13140.548956561088</v>
      </c>
      <c r="M1456" s="1" t="str">
        <f>VLOOKUP(B1456,Bounties!A:D,3,FALSE)</f>
        <v>Operations</v>
      </c>
      <c r="N1456" s="1" t="str">
        <f>VLOOKUP(B1456,Bounties!A:D,4,FALSE)</f>
        <v>RPCs and Nodes</v>
      </c>
      <c r="O1456" s="1" t="str">
        <f t="shared" ref="O1456:P1456" si="1460">IF(ISBLANK(K1456),M1456,K1456)</f>
        <v>Operations</v>
      </c>
      <c r="P1456" s="1" t="str">
        <f t="shared" si="1460"/>
        <v>RPCs and Nodes</v>
      </c>
      <c r="Q1456" s="108" t="str">
        <f t="shared" si="3"/>
        <v>2024</v>
      </c>
      <c r="R1456" s="110">
        <f t="shared" si="4"/>
        <v>7</v>
      </c>
      <c r="S1456" s="108" t="str">
        <f t="shared" si="5"/>
        <v>2024-Q3</v>
      </c>
      <c r="T1456" s="111" t="str">
        <f t="shared" si="6"/>
        <v>2024-07</v>
      </c>
      <c r="U1456" s="112" t="str">
        <f t="shared" si="7"/>
        <v>2024-H2</v>
      </c>
      <c r="V1456" s="1" t="str">
        <f>VLOOKUP(B1456,Bounties!A:E,2,FALSE)</f>
        <v>Infrastructure Builders Program</v>
      </c>
    </row>
    <row r="1457" hidden="1">
      <c r="A1457" s="109">
        <f>HYPERLINK("https://polkadot.subsquare.io/treasury/child-bounties/1457", 1457)</f>
        <v>1457</v>
      </c>
      <c r="B1457" s="183">
        <v>50.0</v>
      </c>
      <c r="C1457" s="27" t="s">
        <v>3404</v>
      </c>
      <c r="D1457" s="27" t="s">
        <v>1853</v>
      </c>
      <c r="E1457" s="129">
        <v>2468.67</v>
      </c>
      <c r="F1457" s="66">
        <v>14301.688605279924</v>
      </c>
      <c r="G1457" s="27" t="s">
        <v>3594</v>
      </c>
      <c r="H1457" s="167">
        <v>45467.0</v>
      </c>
      <c r="I1457" s="167">
        <v>45491.0</v>
      </c>
      <c r="J1457" s="66">
        <v>15848.224748253822</v>
      </c>
      <c r="M1457" s="1" t="str">
        <f>VLOOKUP(B1457,Bounties!A:D,3,FALSE)</f>
        <v>Operations</v>
      </c>
      <c r="N1457" s="1" t="str">
        <f>VLOOKUP(B1457,Bounties!A:D,4,FALSE)</f>
        <v>RPCs and Nodes</v>
      </c>
      <c r="O1457" s="1" t="str">
        <f t="shared" ref="O1457:P1457" si="1461">IF(ISBLANK(K1457),M1457,K1457)</f>
        <v>Operations</v>
      </c>
      <c r="P1457" s="1" t="str">
        <f t="shared" si="1461"/>
        <v>RPCs and Nodes</v>
      </c>
      <c r="Q1457" s="108" t="str">
        <f t="shared" si="3"/>
        <v>2024</v>
      </c>
      <c r="R1457" s="110">
        <f t="shared" si="4"/>
        <v>7</v>
      </c>
      <c r="S1457" s="108" t="str">
        <f t="shared" si="5"/>
        <v>2024-Q3</v>
      </c>
      <c r="T1457" s="111" t="str">
        <f t="shared" si="6"/>
        <v>2024-07</v>
      </c>
      <c r="U1457" s="112" t="str">
        <f t="shared" si="7"/>
        <v>2024-H2</v>
      </c>
      <c r="V1457" s="1" t="str">
        <f>VLOOKUP(B1457,Bounties!A:E,2,FALSE)</f>
        <v>Infrastructure Builders Program</v>
      </c>
    </row>
    <row r="1458" hidden="1">
      <c r="A1458" s="109">
        <f>HYPERLINK("https://polkadot.subsquare.io/treasury/child-bounties/1458", 1458)</f>
        <v>1458</v>
      </c>
      <c r="B1458" s="183">
        <v>50.0</v>
      </c>
      <c r="C1458" s="27" t="s">
        <v>3404</v>
      </c>
      <c r="D1458" s="27" t="s">
        <v>1854</v>
      </c>
      <c r="E1458" s="129">
        <v>2110.56</v>
      </c>
      <c r="F1458" s="66">
        <v>12227.05825515747</v>
      </c>
      <c r="G1458" s="27" t="s">
        <v>3732</v>
      </c>
      <c r="H1458" s="167">
        <v>45467.0</v>
      </c>
      <c r="I1458" s="167">
        <v>45507.0</v>
      </c>
      <c r="J1458" s="66">
        <v>9512.149941329955</v>
      </c>
      <c r="M1458" s="1" t="str">
        <f>VLOOKUP(B1458,Bounties!A:D,3,FALSE)</f>
        <v>Operations</v>
      </c>
      <c r="N1458" s="1" t="str">
        <f>VLOOKUP(B1458,Bounties!A:D,4,FALSE)</f>
        <v>RPCs and Nodes</v>
      </c>
      <c r="O1458" s="1" t="str">
        <f t="shared" ref="O1458:P1458" si="1462">IF(ISBLANK(K1458),M1458,K1458)</f>
        <v>Operations</v>
      </c>
      <c r="P1458" s="1" t="str">
        <f t="shared" si="1462"/>
        <v>RPCs and Nodes</v>
      </c>
      <c r="Q1458" s="108" t="str">
        <f t="shared" si="3"/>
        <v>2024</v>
      </c>
      <c r="R1458" s="110">
        <f t="shared" si="4"/>
        <v>8</v>
      </c>
      <c r="S1458" s="108" t="str">
        <f t="shared" si="5"/>
        <v>2024-Q3</v>
      </c>
      <c r="T1458" s="111" t="str">
        <f t="shared" si="6"/>
        <v>2024-08</v>
      </c>
      <c r="U1458" s="112" t="str">
        <f t="shared" si="7"/>
        <v>2024-H2</v>
      </c>
      <c r="V1458" s="1" t="str">
        <f>VLOOKUP(B1458,Bounties!A:E,2,FALSE)</f>
        <v>Infrastructure Builders Program</v>
      </c>
    </row>
    <row r="1459" hidden="1">
      <c r="A1459" s="109">
        <f>HYPERLINK("https://polkadot.subsquare.io/treasury/child-bounties/1459", 1459)</f>
        <v>1459</v>
      </c>
      <c r="B1459" s="183">
        <v>42.0</v>
      </c>
      <c r="C1459" s="27" t="s">
        <v>3404</v>
      </c>
      <c r="D1459" s="27" t="s">
        <v>1974</v>
      </c>
      <c r="E1459" s="129">
        <v>240.92</v>
      </c>
      <c r="F1459" s="66">
        <v>1513.3255060005188</v>
      </c>
      <c r="G1459" s="27" t="s">
        <v>3693</v>
      </c>
      <c r="H1459" s="167">
        <v>45467.0</v>
      </c>
      <c r="I1459" s="167">
        <v>45475.0</v>
      </c>
      <c r="J1459" s="66">
        <v>1364.990313720703</v>
      </c>
      <c r="M1459" s="1" t="str">
        <f>VLOOKUP(B1459,Bounties!A:D,3,FALSE)</f>
        <v>Outreach</v>
      </c>
      <c r="N1459" s="1" t="str">
        <f>VLOOKUP(B1459,Bounties!A:D,4,FALSE)</f>
        <v>Media</v>
      </c>
      <c r="O1459" s="1" t="str">
        <f t="shared" ref="O1459:P1459" si="1463">IF(ISBLANK(K1459),M1459,K1459)</f>
        <v>Outreach</v>
      </c>
      <c r="P1459" s="1" t="str">
        <f t="shared" si="1463"/>
        <v>Media</v>
      </c>
      <c r="Q1459" s="108" t="str">
        <f t="shared" si="3"/>
        <v>2024</v>
      </c>
      <c r="R1459" s="110">
        <f t="shared" si="4"/>
        <v>7</v>
      </c>
      <c r="S1459" s="108" t="str">
        <f t="shared" si="5"/>
        <v>2024-Q3</v>
      </c>
      <c r="T1459" s="111" t="str">
        <f t="shared" si="6"/>
        <v>2024-07</v>
      </c>
      <c r="U1459" s="112" t="str">
        <f t="shared" si="7"/>
        <v>2024-H2</v>
      </c>
      <c r="V1459" s="1" t="str">
        <f>VLOOKUP(B1459,Bounties!A:E,2,FALSE)</f>
        <v>Spanish Bounty</v>
      </c>
    </row>
    <row r="1460" hidden="1">
      <c r="A1460" s="109">
        <f>HYPERLINK("https://polkadot.subsquare.io/treasury/child-bounties/1460", 1460)</f>
        <v>1460</v>
      </c>
      <c r="B1460" s="183">
        <v>42.0</v>
      </c>
      <c r="C1460" s="27" t="s">
        <v>3404</v>
      </c>
      <c r="D1460" s="27" t="s">
        <v>1975</v>
      </c>
      <c r="E1460" s="129">
        <v>240.92</v>
      </c>
      <c r="F1460" s="66">
        <v>1513.3255060005188</v>
      </c>
      <c r="G1460" s="27" t="s">
        <v>3694</v>
      </c>
      <c r="H1460" s="167">
        <v>45467.0</v>
      </c>
      <c r="I1460" s="167">
        <v>45475.0</v>
      </c>
      <c r="J1460" s="66">
        <v>1364.990313720703</v>
      </c>
      <c r="M1460" s="1" t="str">
        <f>VLOOKUP(B1460,Bounties!A:D,3,FALSE)</f>
        <v>Outreach</v>
      </c>
      <c r="N1460" s="1" t="str">
        <f>VLOOKUP(B1460,Bounties!A:D,4,FALSE)</f>
        <v>Media</v>
      </c>
      <c r="O1460" s="1" t="str">
        <f t="shared" ref="O1460:P1460" si="1464">IF(ISBLANK(K1460),M1460,K1460)</f>
        <v>Outreach</v>
      </c>
      <c r="P1460" s="1" t="str">
        <f t="shared" si="1464"/>
        <v>Media</v>
      </c>
      <c r="Q1460" s="108" t="str">
        <f t="shared" si="3"/>
        <v>2024</v>
      </c>
      <c r="R1460" s="110">
        <f t="shared" si="4"/>
        <v>7</v>
      </c>
      <c r="S1460" s="108" t="str">
        <f t="shared" si="5"/>
        <v>2024-Q3</v>
      </c>
      <c r="T1460" s="111" t="str">
        <f t="shared" si="6"/>
        <v>2024-07</v>
      </c>
      <c r="U1460" s="112" t="str">
        <f t="shared" si="7"/>
        <v>2024-H2</v>
      </c>
      <c r="V1460" s="1" t="str">
        <f>VLOOKUP(B1460,Bounties!A:E,2,FALSE)</f>
        <v>Spanish Bounty</v>
      </c>
    </row>
    <row r="1461" hidden="1">
      <c r="A1461" s="109">
        <f>HYPERLINK("https://polkadot.subsquare.io/treasury/child-bounties/1461", 1461)</f>
        <v>1461</v>
      </c>
      <c r="B1461" s="183">
        <v>42.0</v>
      </c>
      <c r="C1461" s="27" t="s">
        <v>3404</v>
      </c>
      <c r="D1461" s="27" t="s">
        <v>1976</v>
      </c>
      <c r="E1461" s="129">
        <v>240.92</v>
      </c>
      <c r="F1461" s="66">
        <v>1513.3255060005188</v>
      </c>
      <c r="G1461" s="27" t="s">
        <v>3677</v>
      </c>
      <c r="H1461" s="167">
        <v>45467.0</v>
      </c>
      <c r="I1461" s="167">
        <v>45475.0</v>
      </c>
      <c r="J1461" s="66">
        <v>1364.990313720703</v>
      </c>
      <c r="M1461" s="1" t="str">
        <f>VLOOKUP(B1461,Bounties!A:D,3,FALSE)</f>
        <v>Outreach</v>
      </c>
      <c r="N1461" s="1" t="str">
        <f>VLOOKUP(B1461,Bounties!A:D,4,FALSE)</f>
        <v>Media</v>
      </c>
      <c r="O1461" s="1" t="str">
        <f t="shared" ref="O1461:P1461" si="1465">IF(ISBLANK(K1461),M1461,K1461)</f>
        <v>Outreach</v>
      </c>
      <c r="P1461" s="1" t="str">
        <f t="shared" si="1465"/>
        <v>Media</v>
      </c>
      <c r="Q1461" s="108" t="str">
        <f t="shared" si="3"/>
        <v>2024</v>
      </c>
      <c r="R1461" s="110">
        <f t="shared" si="4"/>
        <v>7</v>
      </c>
      <c r="S1461" s="108" t="str">
        <f t="shared" si="5"/>
        <v>2024-Q3</v>
      </c>
      <c r="T1461" s="111" t="str">
        <f t="shared" si="6"/>
        <v>2024-07</v>
      </c>
      <c r="U1461" s="112" t="str">
        <f t="shared" si="7"/>
        <v>2024-H2</v>
      </c>
      <c r="V1461" s="1" t="str">
        <f>VLOOKUP(B1461,Bounties!A:E,2,FALSE)</f>
        <v>Spanish Bounty</v>
      </c>
    </row>
    <row r="1462" hidden="1">
      <c r="A1462" s="109">
        <f>HYPERLINK("https://polkadot.subsquare.io/treasury/child-bounties/1462", 1462)</f>
        <v>1462</v>
      </c>
      <c r="B1462" s="183">
        <v>42.0</v>
      </c>
      <c r="C1462" s="27" t="s">
        <v>3404</v>
      </c>
      <c r="D1462" s="27" t="s">
        <v>1977</v>
      </c>
      <c r="E1462" s="129">
        <v>240.92</v>
      </c>
      <c r="F1462" s="66">
        <v>1513.3255060005188</v>
      </c>
      <c r="G1462" s="27" t="s">
        <v>3690</v>
      </c>
      <c r="H1462" s="167">
        <v>45467.0</v>
      </c>
      <c r="I1462" s="167">
        <v>45475.0</v>
      </c>
      <c r="J1462" s="66">
        <v>1364.990313720703</v>
      </c>
      <c r="M1462" s="1" t="str">
        <f>VLOOKUP(B1462,Bounties!A:D,3,FALSE)</f>
        <v>Outreach</v>
      </c>
      <c r="N1462" s="1" t="str">
        <f>VLOOKUP(B1462,Bounties!A:D,4,FALSE)</f>
        <v>Media</v>
      </c>
      <c r="O1462" s="1" t="str">
        <f t="shared" ref="O1462:P1462" si="1466">IF(ISBLANK(K1462),M1462,K1462)</f>
        <v>Outreach</v>
      </c>
      <c r="P1462" s="1" t="str">
        <f t="shared" si="1466"/>
        <v>Media</v>
      </c>
      <c r="Q1462" s="108" t="str">
        <f t="shared" si="3"/>
        <v>2024</v>
      </c>
      <c r="R1462" s="110">
        <f t="shared" si="4"/>
        <v>7</v>
      </c>
      <c r="S1462" s="108" t="str">
        <f t="shared" si="5"/>
        <v>2024-Q3</v>
      </c>
      <c r="T1462" s="111" t="str">
        <f t="shared" si="6"/>
        <v>2024-07</v>
      </c>
      <c r="U1462" s="112" t="str">
        <f t="shared" si="7"/>
        <v>2024-H2</v>
      </c>
      <c r="V1462" s="1" t="str">
        <f>VLOOKUP(B1462,Bounties!A:E,2,FALSE)</f>
        <v>Spanish Bounty</v>
      </c>
    </row>
    <row r="1463" hidden="1">
      <c r="A1463" s="109">
        <f>HYPERLINK("https://polkadot.subsquare.io/treasury/child-bounties/1463", 1463)</f>
        <v>1463</v>
      </c>
      <c r="B1463" s="183">
        <v>42.0</v>
      </c>
      <c r="C1463" s="27" t="s">
        <v>3404</v>
      </c>
      <c r="D1463" s="27" t="s">
        <v>1978</v>
      </c>
      <c r="E1463" s="129">
        <v>240.92</v>
      </c>
      <c r="F1463" s="66">
        <v>1513.3255060005188</v>
      </c>
      <c r="G1463" s="27" t="s">
        <v>3692</v>
      </c>
      <c r="H1463" s="167">
        <v>45467.0</v>
      </c>
      <c r="I1463" s="167">
        <v>45475.0</v>
      </c>
      <c r="J1463" s="66">
        <v>1364.990313720703</v>
      </c>
      <c r="M1463" s="1" t="str">
        <f>VLOOKUP(B1463,Bounties!A:D,3,FALSE)</f>
        <v>Outreach</v>
      </c>
      <c r="N1463" s="1" t="str">
        <f>VLOOKUP(B1463,Bounties!A:D,4,FALSE)</f>
        <v>Media</v>
      </c>
      <c r="O1463" s="1" t="str">
        <f t="shared" ref="O1463:P1463" si="1467">IF(ISBLANK(K1463),M1463,K1463)</f>
        <v>Outreach</v>
      </c>
      <c r="P1463" s="1" t="str">
        <f t="shared" si="1467"/>
        <v>Media</v>
      </c>
      <c r="Q1463" s="108" t="str">
        <f t="shared" si="3"/>
        <v>2024</v>
      </c>
      <c r="R1463" s="110">
        <f t="shared" si="4"/>
        <v>7</v>
      </c>
      <c r="S1463" s="108" t="str">
        <f t="shared" si="5"/>
        <v>2024-Q3</v>
      </c>
      <c r="T1463" s="111" t="str">
        <f t="shared" si="6"/>
        <v>2024-07</v>
      </c>
      <c r="U1463" s="112" t="str">
        <f t="shared" si="7"/>
        <v>2024-H2</v>
      </c>
      <c r="V1463" s="1" t="str">
        <f>VLOOKUP(B1463,Bounties!A:E,2,FALSE)</f>
        <v>Spanish Bounty</v>
      </c>
    </row>
    <row r="1464" hidden="1">
      <c r="A1464" s="109">
        <f>HYPERLINK("https://polkadot.subsquare.io/treasury/child-bounties/1464", 1464)</f>
        <v>1464</v>
      </c>
      <c r="B1464" s="183">
        <v>42.0</v>
      </c>
      <c r="C1464" s="27" t="s">
        <v>3404</v>
      </c>
      <c r="D1464" s="27" t="s">
        <v>1979</v>
      </c>
      <c r="E1464" s="129">
        <v>240.92</v>
      </c>
      <c r="F1464" s="66">
        <v>1513.3255060005188</v>
      </c>
      <c r="G1464" s="27" t="s">
        <v>3695</v>
      </c>
      <c r="H1464" s="167">
        <v>45467.0</v>
      </c>
      <c r="I1464" s="167">
        <v>45475.0</v>
      </c>
      <c r="J1464" s="66">
        <v>1364.990313720703</v>
      </c>
      <c r="M1464" s="1" t="str">
        <f>VLOOKUP(B1464,Bounties!A:D,3,FALSE)</f>
        <v>Outreach</v>
      </c>
      <c r="N1464" s="1" t="str">
        <f>VLOOKUP(B1464,Bounties!A:D,4,FALSE)</f>
        <v>Media</v>
      </c>
      <c r="O1464" s="1" t="str">
        <f t="shared" ref="O1464:P1464" si="1468">IF(ISBLANK(K1464),M1464,K1464)</f>
        <v>Outreach</v>
      </c>
      <c r="P1464" s="1" t="str">
        <f t="shared" si="1468"/>
        <v>Media</v>
      </c>
      <c r="Q1464" s="108" t="str">
        <f t="shared" si="3"/>
        <v>2024</v>
      </c>
      <c r="R1464" s="110">
        <f t="shared" si="4"/>
        <v>7</v>
      </c>
      <c r="S1464" s="108" t="str">
        <f t="shared" si="5"/>
        <v>2024-Q3</v>
      </c>
      <c r="T1464" s="111" t="str">
        <f t="shared" si="6"/>
        <v>2024-07</v>
      </c>
      <c r="U1464" s="112" t="str">
        <f t="shared" si="7"/>
        <v>2024-H2</v>
      </c>
      <c r="V1464" s="1" t="str">
        <f>VLOOKUP(B1464,Bounties!A:E,2,FALSE)</f>
        <v>Spanish Bounty</v>
      </c>
    </row>
    <row r="1465" hidden="1">
      <c r="A1465" s="109">
        <f>HYPERLINK("https://polkadot.subsquare.io/treasury/child-bounties/1465", 1465)</f>
        <v>1465</v>
      </c>
      <c r="B1465" s="183">
        <v>42.0</v>
      </c>
      <c r="C1465" s="27" t="s">
        <v>3404</v>
      </c>
      <c r="D1465" s="27" t="s">
        <v>1980</v>
      </c>
      <c r="E1465" s="129">
        <v>86.03</v>
      </c>
      <c r="F1465" s="66">
        <v>540.3926335763931</v>
      </c>
      <c r="G1465" s="27" t="s">
        <v>3691</v>
      </c>
      <c r="H1465" s="167">
        <v>45467.0</v>
      </c>
      <c r="I1465" s="167">
        <v>45475.0</v>
      </c>
      <c r="J1465" s="66">
        <v>487.42369537353517</v>
      </c>
      <c r="M1465" s="1" t="str">
        <f>VLOOKUP(B1465,Bounties!A:D,3,FALSE)</f>
        <v>Outreach</v>
      </c>
      <c r="N1465" s="1" t="str">
        <f>VLOOKUP(B1465,Bounties!A:D,4,FALSE)</f>
        <v>Media</v>
      </c>
      <c r="O1465" s="1" t="str">
        <f t="shared" ref="O1465:P1465" si="1469">IF(ISBLANK(K1465),M1465,K1465)</f>
        <v>Outreach</v>
      </c>
      <c r="P1465" s="1" t="str">
        <f t="shared" si="1469"/>
        <v>Media</v>
      </c>
      <c r="Q1465" s="108" t="str">
        <f t="shared" si="3"/>
        <v>2024</v>
      </c>
      <c r="R1465" s="110">
        <f t="shared" si="4"/>
        <v>7</v>
      </c>
      <c r="S1465" s="108" t="str">
        <f t="shared" si="5"/>
        <v>2024-Q3</v>
      </c>
      <c r="T1465" s="111" t="str">
        <f t="shared" si="6"/>
        <v>2024-07</v>
      </c>
      <c r="U1465" s="112" t="str">
        <f t="shared" si="7"/>
        <v>2024-H2</v>
      </c>
      <c r="V1465" s="1" t="str">
        <f>VLOOKUP(B1465,Bounties!A:E,2,FALSE)</f>
        <v>Spanish Bounty</v>
      </c>
    </row>
    <row r="1466" hidden="1">
      <c r="A1466" s="109">
        <f>HYPERLINK("https://polkadot.subsquare.io/treasury/child-bounties/1466", 1466)</f>
        <v>1466</v>
      </c>
      <c r="B1466" s="183">
        <v>42.0</v>
      </c>
      <c r="C1466" s="27" t="s">
        <v>3404</v>
      </c>
      <c r="D1466" s="27" t="s">
        <v>1981</v>
      </c>
      <c r="E1466" s="129">
        <v>240.92</v>
      </c>
      <c r="F1466" s="66">
        <v>1513.3255060005188</v>
      </c>
      <c r="G1466" s="27" t="s">
        <v>3493</v>
      </c>
      <c r="H1466" s="167">
        <v>45467.0</v>
      </c>
      <c r="I1466" s="167">
        <v>45475.0</v>
      </c>
      <c r="J1466" s="66">
        <v>1364.990313720703</v>
      </c>
      <c r="M1466" s="1" t="str">
        <f>VLOOKUP(B1466,Bounties!A:D,3,FALSE)</f>
        <v>Outreach</v>
      </c>
      <c r="N1466" s="1" t="str">
        <f>VLOOKUP(B1466,Bounties!A:D,4,FALSE)</f>
        <v>Media</v>
      </c>
      <c r="O1466" s="1" t="str">
        <f t="shared" ref="O1466:P1466" si="1470">IF(ISBLANK(K1466),M1466,K1466)</f>
        <v>Outreach</v>
      </c>
      <c r="P1466" s="1" t="str">
        <f t="shared" si="1470"/>
        <v>Media</v>
      </c>
      <c r="Q1466" s="108" t="str">
        <f t="shared" si="3"/>
        <v>2024</v>
      </c>
      <c r="R1466" s="110">
        <f t="shared" si="4"/>
        <v>7</v>
      </c>
      <c r="S1466" s="108" t="str">
        <f t="shared" si="5"/>
        <v>2024-Q3</v>
      </c>
      <c r="T1466" s="111" t="str">
        <f t="shared" si="6"/>
        <v>2024-07</v>
      </c>
      <c r="U1466" s="112" t="str">
        <f t="shared" si="7"/>
        <v>2024-H2</v>
      </c>
      <c r="V1466" s="1" t="str">
        <f>VLOOKUP(B1466,Bounties!A:E,2,FALSE)</f>
        <v>Spanish Bounty</v>
      </c>
    </row>
    <row r="1467" hidden="1">
      <c r="A1467" s="109">
        <f>HYPERLINK("https://polkadot.subsquare.io/treasury/child-bounties/1467", 1467)</f>
        <v>1467</v>
      </c>
      <c r="B1467" s="183">
        <v>42.0</v>
      </c>
      <c r="C1467" s="27" t="s">
        <v>3404</v>
      </c>
      <c r="D1467" s="27" t="s">
        <v>1982</v>
      </c>
      <c r="E1467" s="129">
        <v>48.78</v>
      </c>
      <c r="F1467" s="66">
        <v>306.4088418674469</v>
      </c>
      <c r="G1467" s="27" t="s">
        <v>3676</v>
      </c>
      <c r="H1467" s="167">
        <v>45467.0</v>
      </c>
      <c r="I1467" s="167">
        <v>45475.0</v>
      </c>
      <c r="J1467" s="66">
        <v>276.3748443603516</v>
      </c>
      <c r="M1467" s="1" t="str">
        <f>VLOOKUP(B1467,Bounties!A:D,3,FALSE)</f>
        <v>Outreach</v>
      </c>
      <c r="N1467" s="1" t="str">
        <f>VLOOKUP(B1467,Bounties!A:D,4,FALSE)</f>
        <v>Media</v>
      </c>
      <c r="O1467" s="1" t="str">
        <f t="shared" ref="O1467:P1467" si="1471">IF(ISBLANK(K1467),M1467,K1467)</f>
        <v>Outreach</v>
      </c>
      <c r="P1467" s="1" t="str">
        <f t="shared" si="1471"/>
        <v>Media</v>
      </c>
      <c r="Q1467" s="108" t="str">
        <f t="shared" si="3"/>
        <v>2024</v>
      </c>
      <c r="R1467" s="110">
        <f t="shared" si="4"/>
        <v>7</v>
      </c>
      <c r="S1467" s="108" t="str">
        <f t="shared" si="5"/>
        <v>2024-Q3</v>
      </c>
      <c r="T1467" s="111" t="str">
        <f t="shared" si="6"/>
        <v>2024-07</v>
      </c>
      <c r="U1467" s="112" t="str">
        <f t="shared" si="7"/>
        <v>2024-H2</v>
      </c>
      <c r="V1467" s="1" t="str">
        <f>VLOOKUP(B1467,Bounties!A:E,2,FALSE)</f>
        <v>Spanish Bounty</v>
      </c>
    </row>
    <row r="1468" hidden="1">
      <c r="A1468" s="109">
        <f>HYPERLINK("https://polkadot.subsquare.io/treasury/child-bounties/1468", 1468)</f>
        <v>1468</v>
      </c>
      <c r="B1468" s="183">
        <v>42.0</v>
      </c>
      <c r="C1468" s="27" t="s">
        <v>3404</v>
      </c>
      <c r="D1468" s="27" t="s">
        <v>1983</v>
      </c>
      <c r="E1468" s="129">
        <v>4.9</v>
      </c>
      <c r="F1468" s="66">
        <v>30.779075956344606</v>
      </c>
      <c r="G1468" s="27" t="s">
        <v>3676</v>
      </c>
      <c r="H1468" s="167">
        <v>45467.0</v>
      </c>
      <c r="I1468" s="167">
        <v>45475.0</v>
      </c>
      <c r="J1468" s="66">
        <v>27.76213073730469</v>
      </c>
      <c r="M1468" s="1" t="str">
        <f>VLOOKUP(B1468,Bounties!A:D,3,FALSE)</f>
        <v>Outreach</v>
      </c>
      <c r="N1468" s="1" t="str">
        <f>VLOOKUP(B1468,Bounties!A:D,4,FALSE)</f>
        <v>Media</v>
      </c>
      <c r="O1468" s="1" t="str">
        <f t="shared" ref="O1468:P1468" si="1472">IF(ISBLANK(K1468),M1468,K1468)</f>
        <v>Outreach</v>
      </c>
      <c r="P1468" s="1" t="str">
        <f t="shared" si="1472"/>
        <v>Media</v>
      </c>
      <c r="Q1468" s="108" t="str">
        <f t="shared" si="3"/>
        <v>2024</v>
      </c>
      <c r="R1468" s="110">
        <f t="shared" si="4"/>
        <v>7</v>
      </c>
      <c r="S1468" s="108" t="str">
        <f t="shared" si="5"/>
        <v>2024-Q3</v>
      </c>
      <c r="T1468" s="111" t="str">
        <f t="shared" si="6"/>
        <v>2024-07</v>
      </c>
      <c r="U1468" s="112" t="str">
        <f t="shared" si="7"/>
        <v>2024-H2</v>
      </c>
      <c r="V1468" s="1" t="str">
        <f>VLOOKUP(B1468,Bounties!A:E,2,FALSE)</f>
        <v>Spanish Bounty</v>
      </c>
    </row>
    <row r="1469" hidden="1">
      <c r="A1469" s="109">
        <f>HYPERLINK("https://polkadot.subsquare.io/treasury/child-bounties/1469", 1469)</f>
        <v>1469</v>
      </c>
      <c r="B1469" s="183">
        <v>42.0</v>
      </c>
      <c r="C1469" s="27" t="s">
        <v>3404</v>
      </c>
      <c r="D1469" s="27" t="s">
        <v>1984</v>
      </c>
      <c r="E1469" s="129">
        <v>38.73</v>
      </c>
      <c r="F1469" s="66">
        <v>243.28032893657684</v>
      </c>
      <c r="G1469" s="27" t="s">
        <v>3644</v>
      </c>
      <c r="H1469" s="167">
        <v>45467.0</v>
      </c>
      <c r="I1469" s="167">
        <v>45475.0</v>
      </c>
      <c r="J1469" s="66">
        <v>219.43414764404295</v>
      </c>
      <c r="M1469" s="1" t="str">
        <f>VLOOKUP(B1469,Bounties!A:D,3,FALSE)</f>
        <v>Outreach</v>
      </c>
      <c r="N1469" s="1" t="str">
        <f>VLOOKUP(B1469,Bounties!A:D,4,FALSE)</f>
        <v>Media</v>
      </c>
      <c r="O1469" s="1" t="str">
        <f t="shared" ref="O1469:P1469" si="1473">IF(ISBLANK(K1469),M1469,K1469)</f>
        <v>Outreach</v>
      </c>
      <c r="P1469" s="1" t="str">
        <f t="shared" si="1473"/>
        <v>Media</v>
      </c>
      <c r="Q1469" s="108" t="str">
        <f t="shared" si="3"/>
        <v>2024</v>
      </c>
      <c r="R1469" s="110">
        <f t="shared" si="4"/>
        <v>7</v>
      </c>
      <c r="S1469" s="108" t="str">
        <f t="shared" si="5"/>
        <v>2024-Q3</v>
      </c>
      <c r="T1469" s="111" t="str">
        <f t="shared" si="6"/>
        <v>2024-07</v>
      </c>
      <c r="U1469" s="112" t="str">
        <f t="shared" si="7"/>
        <v>2024-H2</v>
      </c>
      <c r="V1469" s="1" t="str">
        <f>VLOOKUP(B1469,Bounties!A:E,2,FALSE)</f>
        <v>Spanish Bounty</v>
      </c>
    </row>
    <row r="1470" hidden="1">
      <c r="A1470" s="109">
        <f>HYPERLINK("https://polkadot.subsquare.io/treasury/child-bounties/1470", 1470)</f>
        <v>1470</v>
      </c>
      <c r="B1470" s="183">
        <v>42.0</v>
      </c>
      <c r="C1470" s="27" t="s">
        <v>3404</v>
      </c>
      <c r="D1470" s="27" t="s">
        <v>1985</v>
      </c>
      <c r="E1470" s="129">
        <v>40.8</v>
      </c>
      <c r="F1470" s="66">
        <v>256.28291816711425</v>
      </c>
      <c r="G1470" s="27" t="s">
        <v>3644</v>
      </c>
      <c r="H1470" s="167">
        <v>45467.0</v>
      </c>
      <c r="I1470" s="167">
        <v>45475.0</v>
      </c>
      <c r="J1470" s="66">
        <v>231.16223144531247</v>
      </c>
      <c r="M1470" s="1" t="str">
        <f>VLOOKUP(B1470,Bounties!A:D,3,FALSE)</f>
        <v>Outreach</v>
      </c>
      <c r="N1470" s="1" t="str">
        <f>VLOOKUP(B1470,Bounties!A:D,4,FALSE)</f>
        <v>Media</v>
      </c>
      <c r="O1470" s="1" t="str">
        <f t="shared" ref="O1470:P1470" si="1474">IF(ISBLANK(K1470),M1470,K1470)</f>
        <v>Outreach</v>
      </c>
      <c r="P1470" s="1" t="str">
        <f t="shared" si="1474"/>
        <v>Media</v>
      </c>
      <c r="Q1470" s="108" t="str">
        <f t="shared" si="3"/>
        <v>2024</v>
      </c>
      <c r="R1470" s="110">
        <f t="shared" si="4"/>
        <v>7</v>
      </c>
      <c r="S1470" s="108" t="str">
        <f t="shared" si="5"/>
        <v>2024-Q3</v>
      </c>
      <c r="T1470" s="111" t="str">
        <f t="shared" si="6"/>
        <v>2024-07</v>
      </c>
      <c r="U1470" s="112" t="str">
        <f t="shared" si="7"/>
        <v>2024-H2</v>
      </c>
      <c r="V1470" s="1" t="str">
        <f>VLOOKUP(B1470,Bounties!A:E,2,FALSE)</f>
        <v>Spanish Bounty</v>
      </c>
    </row>
    <row r="1471" hidden="1">
      <c r="A1471" s="109">
        <f>HYPERLINK("https://polkadot.subsquare.io/treasury/child-bounties/1471", 1471)</f>
        <v>1471</v>
      </c>
      <c r="B1471" s="183">
        <v>42.0</v>
      </c>
      <c r="C1471" s="27" t="s">
        <v>3404</v>
      </c>
      <c r="D1471" s="27" t="s">
        <v>1986</v>
      </c>
      <c r="E1471" s="129">
        <v>17.0</v>
      </c>
      <c r="F1471" s="66">
        <v>106.78454923629761</v>
      </c>
      <c r="G1471" s="27" t="s">
        <v>3677</v>
      </c>
      <c r="H1471" s="167">
        <v>45467.0</v>
      </c>
      <c r="I1471" s="167">
        <v>45475.0</v>
      </c>
      <c r="J1471" s="66">
        <v>96.31759643554688</v>
      </c>
      <c r="M1471" s="1" t="str">
        <f>VLOOKUP(B1471,Bounties!A:D,3,FALSE)</f>
        <v>Outreach</v>
      </c>
      <c r="N1471" s="1" t="str">
        <f>VLOOKUP(B1471,Bounties!A:D,4,FALSE)</f>
        <v>Media</v>
      </c>
      <c r="O1471" s="1" t="str">
        <f t="shared" ref="O1471:P1471" si="1475">IF(ISBLANK(K1471),M1471,K1471)</f>
        <v>Outreach</v>
      </c>
      <c r="P1471" s="1" t="str">
        <f t="shared" si="1475"/>
        <v>Media</v>
      </c>
      <c r="Q1471" s="108" t="str">
        <f t="shared" si="3"/>
        <v>2024</v>
      </c>
      <c r="R1471" s="110">
        <f t="shared" si="4"/>
        <v>7</v>
      </c>
      <c r="S1471" s="108" t="str">
        <f t="shared" si="5"/>
        <v>2024-Q3</v>
      </c>
      <c r="T1471" s="111" t="str">
        <f t="shared" si="6"/>
        <v>2024-07</v>
      </c>
      <c r="U1471" s="112" t="str">
        <f t="shared" si="7"/>
        <v>2024-H2</v>
      </c>
      <c r="V1471" s="1" t="str">
        <f>VLOOKUP(B1471,Bounties!A:E,2,FALSE)</f>
        <v>Spanish Bounty</v>
      </c>
    </row>
    <row r="1472" hidden="1">
      <c r="A1472" s="109">
        <f>HYPERLINK("https://polkadot.subsquare.io/treasury/child-bounties/1472", 1472)</f>
        <v>1472</v>
      </c>
      <c r="B1472" s="183">
        <v>42.0</v>
      </c>
      <c r="C1472" s="27" t="s">
        <v>3404</v>
      </c>
      <c r="D1472" s="27" t="s">
        <v>1987</v>
      </c>
      <c r="E1472" s="129">
        <v>8.26</v>
      </c>
      <c r="F1472" s="66">
        <v>51.88472804069519</v>
      </c>
      <c r="G1472" s="27" t="s">
        <v>3703</v>
      </c>
      <c r="H1472" s="167">
        <v>45467.0</v>
      </c>
      <c r="I1472" s="167">
        <v>45475.0</v>
      </c>
      <c r="J1472" s="66">
        <v>46.79902038574219</v>
      </c>
      <c r="M1472" s="1" t="str">
        <f>VLOOKUP(B1472,Bounties!A:D,3,FALSE)</f>
        <v>Outreach</v>
      </c>
      <c r="N1472" s="1" t="str">
        <f>VLOOKUP(B1472,Bounties!A:D,4,FALSE)</f>
        <v>Media</v>
      </c>
      <c r="O1472" s="1" t="str">
        <f t="shared" ref="O1472:P1472" si="1476">IF(ISBLANK(K1472),M1472,K1472)</f>
        <v>Outreach</v>
      </c>
      <c r="P1472" s="1" t="str">
        <f t="shared" si="1476"/>
        <v>Media</v>
      </c>
      <c r="Q1472" s="108" t="str">
        <f t="shared" si="3"/>
        <v>2024</v>
      </c>
      <c r="R1472" s="110">
        <f t="shared" si="4"/>
        <v>7</v>
      </c>
      <c r="S1472" s="108" t="str">
        <f t="shared" si="5"/>
        <v>2024-Q3</v>
      </c>
      <c r="T1472" s="111" t="str">
        <f t="shared" si="6"/>
        <v>2024-07</v>
      </c>
      <c r="U1472" s="112" t="str">
        <f t="shared" si="7"/>
        <v>2024-H2</v>
      </c>
      <c r="V1472" s="1" t="str">
        <f>VLOOKUP(B1472,Bounties!A:E,2,FALSE)</f>
        <v>Spanish Bounty</v>
      </c>
    </row>
    <row r="1473" hidden="1">
      <c r="A1473" s="109">
        <f>HYPERLINK("https://polkadot.subsquare.io/treasury/child-bounties/1473", 1473)</f>
        <v>1473</v>
      </c>
      <c r="B1473" s="183">
        <v>42.0</v>
      </c>
      <c r="C1473" s="27" t="s">
        <v>3404</v>
      </c>
      <c r="D1473" s="27" t="s">
        <v>1988</v>
      </c>
      <c r="E1473" s="129">
        <v>11.38</v>
      </c>
      <c r="F1473" s="66">
        <v>71.48283354759216</v>
      </c>
      <c r="G1473" s="27" t="s">
        <v>3689</v>
      </c>
      <c r="H1473" s="167">
        <v>45467.0</v>
      </c>
      <c r="I1473" s="167">
        <v>45475.0</v>
      </c>
      <c r="J1473" s="66">
        <v>64.47613220214845</v>
      </c>
      <c r="M1473" s="1" t="str">
        <f>VLOOKUP(B1473,Bounties!A:D,3,FALSE)</f>
        <v>Outreach</v>
      </c>
      <c r="N1473" s="1" t="str">
        <f>VLOOKUP(B1473,Bounties!A:D,4,FALSE)</f>
        <v>Media</v>
      </c>
      <c r="O1473" s="1" t="str">
        <f t="shared" ref="O1473:P1473" si="1477">IF(ISBLANK(K1473),M1473,K1473)</f>
        <v>Outreach</v>
      </c>
      <c r="P1473" s="1" t="str">
        <f t="shared" si="1477"/>
        <v>Media</v>
      </c>
      <c r="Q1473" s="108" t="str">
        <f t="shared" si="3"/>
        <v>2024</v>
      </c>
      <c r="R1473" s="110">
        <f t="shared" si="4"/>
        <v>7</v>
      </c>
      <c r="S1473" s="108" t="str">
        <f t="shared" si="5"/>
        <v>2024-Q3</v>
      </c>
      <c r="T1473" s="111" t="str">
        <f t="shared" si="6"/>
        <v>2024-07</v>
      </c>
      <c r="U1473" s="112" t="str">
        <f t="shared" si="7"/>
        <v>2024-H2</v>
      </c>
      <c r="V1473" s="1" t="str">
        <f>VLOOKUP(B1473,Bounties!A:E,2,FALSE)</f>
        <v>Spanish Bounty</v>
      </c>
    </row>
    <row r="1474" hidden="1">
      <c r="A1474" s="109">
        <f>HYPERLINK("https://polkadot.subsquare.io/treasury/child-bounties/1474", 1474)</f>
        <v>1474</v>
      </c>
      <c r="B1474" s="183">
        <v>42.0</v>
      </c>
      <c r="C1474" s="27" t="s">
        <v>3404</v>
      </c>
      <c r="D1474" s="27" t="s">
        <v>1989</v>
      </c>
      <c r="E1474" s="129">
        <v>19.57</v>
      </c>
      <c r="F1474" s="66">
        <v>122.92786050319671</v>
      </c>
      <c r="G1474" s="27" t="s">
        <v>3704</v>
      </c>
      <c r="H1474" s="167">
        <v>45467.0</v>
      </c>
      <c r="I1474" s="167">
        <v>45475.0</v>
      </c>
      <c r="J1474" s="66">
        <v>110.87855072021485</v>
      </c>
      <c r="M1474" s="1" t="str">
        <f>VLOOKUP(B1474,Bounties!A:D,3,FALSE)</f>
        <v>Outreach</v>
      </c>
      <c r="N1474" s="1" t="str">
        <f>VLOOKUP(B1474,Bounties!A:D,4,FALSE)</f>
        <v>Media</v>
      </c>
      <c r="O1474" s="1" t="str">
        <f t="shared" ref="O1474:P1474" si="1478">IF(ISBLANK(K1474),M1474,K1474)</f>
        <v>Outreach</v>
      </c>
      <c r="P1474" s="1" t="str">
        <f t="shared" si="1478"/>
        <v>Media</v>
      </c>
      <c r="Q1474" s="108" t="str">
        <f t="shared" si="3"/>
        <v>2024</v>
      </c>
      <c r="R1474" s="110">
        <f t="shared" si="4"/>
        <v>7</v>
      </c>
      <c r="S1474" s="108" t="str">
        <f t="shared" si="5"/>
        <v>2024-Q3</v>
      </c>
      <c r="T1474" s="111" t="str">
        <f t="shared" si="6"/>
        <v>2024-07</v>
      </c>
      <c r="U1474" s="112" t="str">
        <f t="shared" si="7"/>
        <v>2024-H2</v>
      </c>
      <c r="V1474" s="1" t="str">
        <f>VLOOKUP(B1474,Bounties!A:E,2,FALSE)</f>
        <v>Spanish Bounty</v>
      </c>
    </row>
    <row r="1475" hidden="1">
      <c r="A1475" s="109">
        <f>HYPERLINK("https://polkadot.subsquare.io/treasury/child-bounties/1475", 1475)</f>
        <v>1475</v>
      </c>
      <c r="B1475" s="183">
        <v>42.0</v>
      </c>
      <c r="C1475" s="27" t="s">
        <v>3404</v>
      </c>
      <c r="D1475" s="27" t="s">
        <v>1990</v>
      </c>
      <c r="E1475" s="129">
        <v>10.12</v>
      </c>
      <c r="F1475" s="66">
        <v>63.56821401596069</v>
      </c>
      <c r="G1475" s="27" t="s">
        <v>3702</v>
      </c>
      <c r="H1475" s="167">
        <v>45467.0</v>
      </c>
      <c r="I1475" s="167">
        <v>45475.0</v>
      </c>
      <c r="J1475" s="66">
        <v>57.33729858398437</v>
      </c>
      <c r="M1475" s="1" t="str">
        <f>VLOOKUP(B1475,Bounties!A:D,3,FALSE)</f>
        <v>Outreach</v>
      </c>
      <c r="N1475" s="1" t="str">
        <f>VLOOKUP(B1475,Bounties!A:D,4,FALSE)</f>
        <v>Media</v>
      </c>
      <c r="O1475" s="1" t="str">
        <f t="shared" ref="O1475:P1475" si="1479">IF(ISBLANK(K1475),M1475,K1475)</f>
        <v>Outreach</v>
      </c>
      <c r="P1475" s="1" t="str">
        <f t="shared" si="1479"/>
        <v>Media</v>
      </c>
      <c r="Q1475" s="108" t="str">
        <f t="shared" si="3"/>
        <v>2024</v>
      </c>
      <c r="R1475" s="110">
        <f t="shared" si="4"/>
        <v>7</v>
      </c>
      <c r="S1475" s="108" t="str">
        <f t="shared" si="5"/>
        <v>2024-Q3</v>
      </c>
      <c r="T1475" s="111" t="str">
        <f t="shared" si="6"/>
        <v>2024-07</v>
      </c>
      <c r="U1475" s="112" t="str">
        <f t="shared" si="7"/>
        <v>2024-H2</v>
      </c>
      <c r="V1475" s="1" t="str">
        <f>VLOOKUP(B1475,Bounties!A:E,2,FALSE)</f>
        <v>Spanish Bounty</v>
      </c>
    </row>
    <row r="1476" hidden="1">
      <c r="A1476" s="109">
        <f>HYPERLINK("https://polkadot.subsquare.io/treasury/child-bounties/1476", 1476)</f>
        <v>1476</v>
      </c>
      <c r="B1476" s="183">
        <v>42.0</v>
      </c>
      <c r="C1476" s="27" t="s">
        <v>3404</v>
      </c>
      <c r="D1476" s="27" t="s">
        <v>1991</v>
      </c>
      <c r="E1476" s="129">
        <v>37.79</v>
      </c>
      <c r="F1476" s="66">
        <v>237.37577150821684</v>
      </c>
      <c r="G1476" s="27" t="s">
        <v>3644</v>
      </c>
      <c r="H1476" s="167">
        <v>45467.0</v>
      </c>
      <c r="I1476" s="167">
        <v>45475.0</v>
      </c>
      <c r="J1476" s="66">
        <v>214.1083511352539</v>
      </c>
      <c r="M1476" s="1" t="str">
        <f>VLOOKUP(B1476,Bounties!A:D,3,FALSE)</f>
        <v>Outreach</v>
      </c>
      <c r="N1476" s="1" t="str">
        <f>VLOOKUP(B1476,Bounties!A:D,4,FALSE)</f>
        <v>Media</v>
      </c>
      <c r="O1476" s="1" t="str">
        <f t="shared" ref="O1476:P1476" si="1480">IF(ISBLANK(K1476),M1476,K1476)</f>
        <v>Outreach</v>
      </c>
      <c r="P1476" s="1" t="str">
        <f t="shared" si="1480"/>
        <v>Media</v>
      </c>
      <c r="Q1476" s="108" t="str">
        <f t="shared" si="3"/>
        <v>2024</v>
      </c>
      <c r="R1476" s="110">
        <f t="shared" si="4"/>
        <v>7</v>
      </c>
      <c r="S1476" s="108" t="str">
        <f t="shared" si="5"/>
        <v>2024-Q3</v>
      </c>
      <c r="T1476" s="111" t="str">
        <f t="shared" si="6"/>
        <v>2024-07</v>
      </c>
      <c r="U1476" s="112" t="str">
        <f t="shared" si="7"/>
        <v>2024-H2</v>
      </c>
      <c r="V1476" s="1" t="str">
        <f>VLOOKUP(B1476,Bounties!A:E,2,FALSE)</f>
        <v>Spanish Bounty</v>
      </c>
    </row>
    <row r="1477" hidden="1">
      <c r="A1477" s="109">
        <f>HYPERLINK("https://polkadot.subsquare.io/treasury/child-bounties/1477", 1477)</f>
        <v>1477</v>
      </c>
      <c r="B1477" s="183">
        <v>42.0</v>
      </c>
      <c r="C1477" s="27" t="s">
        <v>3404</v>
      </c>
      <c r="D1477" s="27" t="s">
        <v>1992</v>
      </c>
      <c r="E1477" s="129">
        <v>66.89</v>
      </c>
      <c r="F1477" s="66">
        <v>420.16579402446746</v>
      </c>
      <c r="G1477" s="27" t="s">
        <v>3674</v>
      </c>
      <c r="H1477" s="167">
        <v>45467.0</v>
      </c>
      <c r="I1477" s="167">
        <v>45475.0</v>
      </c>
      <c r="J1477" s="66">
        <v>378.98141326904295</v>
      </c>
      <c r="M1477" s="1" t="str">
        <f>VLOOKUP(B1477,Bounties!A:D,3,FALSE)</f>
        <v>Outreach</v>
      </c>
      <c r="N1477" s="1" t="str">
        <f>VLOOKUP(B1477,Bounties!A:D,4,FALSE)</f>
        <v>Media</v>
      </c>
      <c r="O1477" s="1" t="str">
        <f t="shared" ref="O1477:P1477" si="1481">IF(ISBLANK(K1477),M1477,K1477)</f>
        <v>Outreach</v>
      </c>
      <c r="P1477" s="1" t="str">
        <f t="shared" si="1481"/>
        <v>Media</v>
      </c>
      <c r="Q1477" s="108" t="str">
        <f t="shared" si="3"/>
        <v>2024</v>
      </c>
      <c r="R1477" s="110">
        <f t="shared" si="4"/>
        <v>7</v>
      </c>
      <c r="S1477" s="108" t="str">
        <f t="shared" si="5"/>
        <v>2024-Q3</v>
      </c>
      <c r="T1477" s="111" t="str">
        <f t="shared" si="6"/>
        <v>2024-07</v>
      </c>
      <c r="U1477" s="112" t="str">
        <f t="shared" si="7"/>
        <v>2024-H2</v>
      </c>
      <c r="V1477" s="1" t="str">
        <f>VLOOKUP(B1477,Bounties!A:E,2,FALSE)</f>
        <v>Spanish Bounty</v>
      </c>
    </row>
    <row r="1478" hidden="1">
      <c r="A1478" s="109">
        <f>HYPERLINK("https://polkadot.subsquare.io/treasury/child-bounties/1478", 1478)</f>
        <v>1478</v>
      </c>
      <c r="B1478" s="183">
        <v>42.0</v>
      </c>
      <c r="C1478" s="27" t="s">
        <v>3404</v>
      </c>
      <c r="D1478" s="27" t="s">
        <v>1993</v>
      </c>
      <c r="E1478" s="129">
        <v>2.72</v>
      </c>
      <c r="F1478" s="66">
        <v>17.085527877807618</v>
      </c>
      <c r="G1478" s="27" t="s">
        <v>3702</v>
      </c>
      <c r="H1478" s="167">
        <v>45467.0</v>
      </c>
      <c r="I1478" s="167">
        <v>45475.0</v>
      </c>
      <c r="J1478" s="66">
        <v>15.410815429687501</v>
      </c>
      <c r="M1478" s="1" t="str">
        <f>VLOOKUP(B1478,Bounties!A:D,3,FALSE)</f>
        <v>Outreach</v>
      </c>
      <c r="N1478" s="1" t="str">
        <f>VLOOKUP(B1478,Bounties!A:D,4,FALSE)</f>
        <v>Media</v>
      </c>
      <c r="O1478" s="1" t="str">
        <f t="shared" ref="O1478:P1478" si="1482">IF(ISBLANK(K1478),M1478,K1478)</f>
        <v>Outreach</v>
      </c>
      <c r="P1478" s="1" t="str">
        <f t="shared" si="1482"/>
        <v>Media</v>
      </c>
      <c r="Q1478" s="108" t="str">
        <f t="shared" si="3"/>
        <v>2024</v>
      </c>
      <c r="R1478" s="110">
        <f t="shared" si="4"/>
        <v>7</v>
      </c>
      <c r="S1478" s="108" t="str">
        <f t="shared" si="5"/>
        <v>2024-Q3</v>
      </c>
      <c r="T1478" s="111" t="str">
        <f t="shared" si="6"/>
        <v>2024-07</v>
      </c>
      <c r="U1478" s="112" t="str">
        <f t="shared" si="7"/>
        <v>2024-H2</v>
      </c>
      <c r="V1478" s="1" t="str">
        <f>VLOOKUP(B1478,Bounties!A:E,2,FALSE)</f>
        <v>Spanish Bounty</v>
      </c>
    </row>
    <row r="1479" hidden="1">
      <c r="A1479" s="109">
        <f>HYPERLINK("https://polkadot.subsquare.io/treasury/child-bounties/1479", 1479)</f>
        <v>1479</v>
      </c>
      <c r="B1479" s="183">
        <v>42.0</v>
      </c>
      <c r="C1479" s="27" t="s">
        <v>3404</v>
      </c>
      <c r="D1479" s="27" t="s">
        <v>1994</v>
      </c>
      <c r="E1479" s="129">
        <v>41.15</v>
      </c>
      <c r="F1479" s="66">
        <v>258.4814235925674</v>
      </c>
      <c r="G1479" s="27" t="s">
        <v>3676</v>
      </c>
      <c r="H1479" s="167">
        <v>45467.0</v>
      </c>
      <c r="I1479" s="167">
        <v>45475.0</v>
      </c>
      <c r="J1479" s="66">
        <v>233.1452407836914</v>
      </c>
      <c r="M1479" s="1" t="str">
        <f>VLOOKUP(B1479,Bounties!A:D,3,FALSE)</f>
        <v>Outreach</v>
      </c>
      <c r="N1479" s="1" t="str">
        <f>VLOOKUP(B1479,Bounties!A:D,4,FALSE)</f>
        <v>Media</v>
      </c>
      <c r="O1479" s="1" t="str">
        <f t="shared" ref="O1479:P1479" si="1483">IF(ISBLANK(K1479),M1479,K1479)</f>
        <v>Outreach</v>
      </c>
      <c r="P1479" s="1" t="str">
        <f t="shared" si="1483"/>
        <v>Media</v>
      </c>
      <c r="Q1479" s="108" t="str">
        <f t="shared" si="3"/>
        <v>2024</v>
      </c>
      <c r="R1479" s="110">
        <f t="shared" si="4"/>
        <v>7</v>
      </c>
      <c r="S1479" s="108" t="str">
        <f t="shared" si="5"/>
        <v>2024-Q3</v>
      </c>
      <c r="T1479" s="111" t="str">
        <f t="shared" si="6"/>
        <v>2024-07</v>
      </c>
      <c r="U1479" s="112" t="str">
        <f t="shared" si="7"/>
        <v>2024-H2</v>
      </c>
      <c r="V1479" s="1" t="str">
        <f>VLOOKUP(B1479,Bounties!A:E,2,FALSE)</f>
        <v>Spanish Bounty</v>
      </c>
    </row>
    <row r="1480" hidden="1">
      <c r="A1480" s="109">
        <f>HYPERLINK("https://polkadot.subsquare.io/treasury/child-bounties/1480", 1480)</f>
        <v>1480</v>
      </c>
      <c r="B1480" s="183">
        <v>33.0</v>
      </c>
      <c r="C1480" s="27" t="s">
        <v>3404</v>
      </c>
      <c r="D1480" s="27" t="s">
        <v>1995</v>
      </c>
      <c r="E1480" s="129">
        <v>2732.0</v>
      </c>
      <c r="F1480" s="66">
        <v>17160.905206680298</v>
      </c>
      <c r="G1480" s="27" t="s">
        <v>3638</v>
      </c>
      <c r="H1480" s="167">
        <v>45467.0</v>
      </c>
      <c r="I1480" s="167">
        <v>45487.0</v>
      </c>
      <c r="J1480" s="66">
        <v>17101.940231323242</v>
      </c>
      <c r="L1480" s="185" t="s">
        <v>277</v>
      </c>
      <c r="M1480" s="1" t="str">
        <f>VLOOKUP(B1480,Bounties!A:D,3,FALSE)</f>
        <v>Outreach</v>
      </c>
      <c r="N1480" s="1" t="str">
        <f>VLOOKUP(B1480,Bounties!A:D,4,FALSE)</f>
        <v>Advertising</v>
      </c>
      <c r="O1480" s="1" t="str">
        <f t="shared" ref="O1480:P1480" si="1484">IF(ISBLANK(K1480),M1480,K1480)</f>
        <v>Outreach</v>
      </c>
      <c r="P1480" s="1" t="str">
        <f t="shared" si="1484"/>
        <v>PR</v>
      </c>
      <c r="Q1480" s="108" t="str">
        <f t="shared" si="3"/>
        <v>2024</v>
      </c>
      <c r="R1480" s="110">
        <f t="shared" si="4"/>
        <v>7</v>
      </c>
      <c r="S1480" s="108" t="str">
        <f t="shared" si="5"/>
        <v>2024-Q3</v>
      </c>
      <c r="T1480" s="111" t="str">
        <f t="shared" si="6"/>
        <v>2024-07</v>
      </c>
      <c r="U1480" s="112" t="str">
        <f t="shared" si="7"/>
        <v>2024-H2</v>
      </c>
      <c r="V1480" s="1" t="str">
        <f>VLOOKUP(B1480,Bounties!A:E,2,FALSE)</f>
        <v>Marketing Bounty</v>
      </c>
    </row>
    <row r="1481" hidden="1">
      <c r="A1481" s="109">
        <f>HYPERLINK("https://polkadot.subsquare.io/treasury/child-bounties/1481", 1481)</f>
        <v>1481</v>
      </c>
      <c r="B1481" s="183">
        <v>33.0</v>
      </c>
      <c r="C1481" s="27" t="s">
        <v>3404</v>
      </c>
      <c r="D1481" s="27" t="s">
        <v>1996</v>
      </c>
      <c r="E1481" s="129">
        <v>114672.0</v>
      </c>
      <c r="F1481" s="66">
        <v>720305.7547073364</v>
      </c>
      <c r="G1481" s="27" t="s">
        <v>3611</v>
      </c>
      <c r="H1481" s="167">
        <v>45467.0</v>
      </c>
      <c r="I1481" s="167">
        <v>45476.0</v>
      </c>
      <c r="J1481" s="66">
        <v>649701.8481445312</v>
      </c>
      <c r="L1481" s="185" t="s">
        <v>296</v>
      </c>
      <c r="M1481" s="1" t="str">
        <f>VLOOKUP(B1481,Bounties!A:D,3,FALSE)</f>
        <v>Outreach</v>
      </c>
      <c r="N1481" s="1" t="str">
        <f>VLOOKUP(B1481,Bounties!A:D,4,FALSE)</f>
        <v>Advertising</v>
      </c>
      <c r="O1481" s="1" t="str">
        <f t="shared" ref="O1481:P1481" si="1485">IF(ISBLANK(K1481),M1481,K1481)</f>
        <v>Outreach</v>
      </c>
      <c r="P1481" s="1" t="str">
        <f t="shared" si="1485"/>
        <v>Advertising/Influencers</v>
      </c>
      <c r="Q1481" s="108" t="str">
        <f t="shared" si="3"/>
        <v>2024</v>
      </c>
      <c r="R1481" s="110">
        <f t="shared" si="4"/>
        <v>7</v>
      </c>
      <c r="S1481" s="108" t="str">
        <f t="shared" si="5"/>
        <v>2024-Q3</v>
      </c>
      <c r="T1481" s="111" t="str">
        <f t="shared" si="6"/>
        <v>2024-07</v>
      </c>
      <c r="U1481" s="112" t="str">
        <f t="shared" si="7"/>
        <v>2024-H2</v>
      </c>
      <c r="V1481" s="1" t="str">
        <f>VLOOKUP(B1481,Bounties!A:E,2,FALSE)</f>
        <v>Marketing Bounty</v>
      </c>
    </row>
    <row r="1482" hidden="1">
      <c r="A1482" s="109">
        <f>HYPERLINK("https://polkadot.subsquare.io/treasury/child-bounties/1482", 1482)</f>
        <v>1482</v>
      </c>
      <c r="B1482" s="183">
        <v>36.0</v>
      </c>
      <c r="C1482" s="27" t="s">
        <v>3404</v>
      </c>
      <c r="D1482" s="27" t="s">
        <v>1997</v>
      </c>
      <c r="E1482" s="129">
        <v>3441.75</v>
      </c>
      <c r="F1482" s="66">
        <v>21619.160137295723</v>
      </c>
      <c r="G1482" s="27" t="s">
        <v>3744</v>
      </c>
      <c r="H1482" s="167">
        <v>45468.0</v>
      </c>
      <c r="I1482" s="167">
        <v>45479.0</v>
      </c>
      <c r="J1482" s="66">
        <v>21043.134675621986</v>
      </c>
      <c r="M1482" s="1" t="str">
        <f>VLOOKUP(B1482,Bounties!A:D,3,FALSE)</f>
        <v>Development</v>
      </c>
      <c r="N1482" s="1" t="str">
        <f>VLOOKUP(B1482,Bounties!A:D,4,FALSE)</f>
        <v>Software Development</v>
      </c>
      <c r="O1482" s="1" t="str">
        <f t="shared" ref="O1482:P1482" si="1486">IF(ISBLANK(K1482),M1482,K1482)</f>
        <v>Development</v>
      </c>
      <c r="P1482" s="1" t="str">
        <f t="shared" si="1486"/>
        <v>Software Development</v>
      </c>
      <c r="Q1482" s="108" t="str">
        <f t="shared" si="3"/>
        <v>2024</v>
      </c>
      <c r="R1482" s="110">
        <f t="shared" si="4"/>
        <v>7</v>
      </c>
      <c r="S1482" s="108" t="str">
        <f t="shared" si="5"/>
        <v>2024-Q3</v>
      </c>
      <c r="T1482" s="111" t="str">
        <f t="shared" si="6"/>
        <v>2024-07</v>
      </c>
      <c r="U1482" s="112" t="str">
        <f t="shared" si="7"/>
        <v>2024-H2</v>
      </c>
      <c r="V1482" s="1" t="str">
        <f>VLOOKUP(B1482,Bounties!A:E,2,FALSE)</f>
        <v>DeFi Infrastructure and Tooling Bounty</v>
      </c>
    </row>
    <row r="1483" hidden="1">
      <c r="A1483" s="109">
        <f>HYPERLINK("https://polkadot.subsquare.io/treasury/child-bounties/1483", 1483)</f>
        <v>1483</v>
      </c>
      <c r="B1483" s="183">
        <v>19.0</v>
      </c>
      <c r="C1483" s="27" t="s">
        <v>3404</v>
      </c>
      <c r="D1483" s="27" t="s">
        <v>1767</v>
      </c>
      <c r="E1483" s="129">
        <v>5566.0</v>
      </c>
      <c r="F1483" s="66">
        <v>34367.82960033417</v>
      </c>
      <c r="G1483" s="27" t="s">
        <v>3699</v>
      </c>
      <c r="H1483" s="167">
        <v>45469.0</v>
      </c>
      <c r="I1483" s="167">
        <v>45480.0</v>
      </c>
      <c r="J1483" s="66">
        <v>34030.969014167786</v>
      </c>
      <c r="M1483" s="1" t="str">
        <f>VLOOKUP(B1483,Bounties!A:D,3,FALSE)</f>
        <v>Development</v>
      </c>
      <c r="N1483" s="1" t="str">
        <f>VLOOKUP(B1483,Bounties!A:D,4,FALSE)</f>
        <v>Smart Contracts</v>
      </c>
      <c r="O1483" s="1" t="str">
        <f t="shared" ref="O1483:P1483" si="1487">IF(ISBLANK(K1483),M1483,K1483)</f>
        <v>Development</v>
      </c>
      <c r="P1483" s="1" t="str">
        <f t="shared" si="1487"/>
        <v>Smart Contracts</v>
      </c>
      <c r="Q1483" s="108" t="str">
        <f t="shared" si="3"/>
        <v>2024</v>
      </c>
      <c r="R1483" s="110">
        <f t="shared" si="4"/>
        <v>7</v>
      </c>
      <c r="S1483" s="108" t="str">
        <f t="shared" si="5"/>
        <v>2024-Q3</v>
      </c>
      <c r="T1483" s="111" t="str">
        <f t="shared" si="6"/>
        <v>2024-07</v>
      </c>
      <c r="U1483" s="112" t="str">
        <f t="shared" si="7"/>
        <v>2024-H2</v>
      </c>
      <c r="V1483" s="1" t="str">
        <f>VLOOKUP(B1483,Bounties!A:E,2,FALSE)</f>
        <v>Wasm Smart Contracts Bounty</v>
      </c>
    </row>
    <row r="1484" hidden="1">
      <c r="A1484" s="109">
        <f>HYPERLINK("https://polkadot.subsquare.io/treasury/child-bounties/1484", 1484)</f>
        <v>1484</v>
      </c>
      <c r="B1484" s="183">
        <v>42.0</v>
      </c>
      <c r="C1484" s="27" t="s">
        <v>3404</v>
      </c>
      <c r="D1484" s="27" t="s">
        <v>1998</v>
      </c>
      <c r="E1484" s="129">
        <v>236.05</v>
      </c>
      <c r="F1484" s="66">
        <v>1433.3758597373962</v>
      </c>
      <c r="G1484" s="27" t="s">
        <v>3681</v>
      </c>
      <c r="H1484" s="167">
        <v>45469.0</v>
      </c>
      <c r="I1484" s="167">
        <v>45477.0</v>
      </c>
      <c r="J1484" s="66">
        <v>1394.1733515501023</v>
      </c>
      <c r="M1484" s="1" t="str">
        <f>VLOOKUP(B1484,Bounties!A:D,3,FALSE)</f>
        <v>Outreach</v>
      </c>
      <c r="N1484" s="1" t="str">
        <f>VLOOKUP(B1484,Bounties!A:D,4,FALSE)</f>
        <v>Media</v>
      </c>
      <c r="O1484" s="1" t="str">
        <f t="shared" ref="O1484:P1484" si="1488">IF(ISBLANK(K1484),M1484,K1484)</f>
        <v>Outreach</v>
      </c>
      <c r="P1484" s="1" t="str">
        <f t="shared" si="1488"/>
        <v>Media</v>
      </c>
      <c r="Q1484" s="108" t="str">
        <f t="shared" si="3"/>
        <v>2024</v>
      </c>
      <c r="R1484" s="110">
        <f t="shared" si="4"/>
        <v>7</v>
      </c>
      <c r="S1484" s="108" t="str">
        <f t="shared" si="5"/>
        <v>2024-Q3</v>
      </c>
      <c r="T1484" s="111" t="str">
        <f t="shared" si="6"/>
        <v>2024-07</v>
      </c>
      <c r="U1484" s="112" t="str">
        <f t="shared" si="7"/>
        <v>2024-H2</v>
      </c>
      <c r="V1484" s="1" t="str">
        <f>VLOOKUP(B1484,Bounties!A:E,2,FALSE)</f>
        <v>Spanish Bounty</v>
      </c>
    </row>
    <row r="1485" hidden="1">
      <c r="A1485" s="109">
        <f>HYPERLINK("https://polkadot.subsquare.io/treasury/child-bounties/1485", 1485)</f>
        <v>1485</v>
      </c>
      <c r="B1485" s="183">
        <v>46.0</v>
      </c>
      <c r="C1485" s="27" t="s">
        <v>3404</v>
      </c>
      <c r="D1485" s="27" t="s">
        <v>1999</v>
      </c>
      <c r="E1485" s="129">
        <v>337.0</v>
      </c>
      <c r="F1485" s="66">
        <v>2046.378583908081</v>
      </c>
      <c r="G1485" s="27" t="s">
        <v>3745</v>
      </c>
      <c r="H1485" s="167">
        <v>45469.0</v>
      </c>
      <c r="I1485" s="167">
        <v>45481.0</v>
      </c>
      <c r="J1485" s="66">
        <v>1989.948914527893</v>
      </c>
      <c r="M1485" s="1" t="str">
        <f>VLOOKUP(B1485,Bounties!A:D,3,FALSE)</f>
        <v>Outreach</v>
      </c>
      <c r="N1485" s="1" t="str">
        <f>VLOOKUP(B1485,Bounties!A:D,4,FALSE)</f>
        <v>Other</v>
      </c>
      <c r="O1485" s="1" t="str">
        <f t="shared" ref="O1485:P1485" si="1489">IF(ISBLANK(K1485),M1485,K1485)</f>
        <v>Outreach</v>
      </c>
      <c r="P1485" s="1" t="str">
        <f t="shared" si="1489"/>
        <v>Other</v>
      </c>
      <c r="Q1485" s="108" t="str">
        <f t="shared" si="3"/>
        <v>2024</v>
      </c>
      <c r="R1485" s="110">
        <f t="shared" si="4"/>
        <v>7</v>
      </c>
      <c r="S1485" s="108" t="str">
        <f t="shared" si="5"/>
        <v>2024-Q3</v>
      </c>
      <c r="T1485" s="111" t="str">
        <f t="shared" si="6"/>
        <v>2024-07</v>
      </c>
      <c r="U1485" s="112" t="str">
        <f t="shared" si="7"/>
        <v>2024-H2</v>
      </c>
      <c r="V1485" s="1" t="str">
        <f>VLOOKUP(B1485,Bounties!A:E,2,FALSE)</f>
        <v>AMI Bounty Program</v>
      </c>
    </row>
    <row r="1486" hidden="1">
      <c r="A1486" s="109">
        <f>HYPERLINK("https://polkadot.subsquare.io/treasury/child-bounties/1486", 1486)</f>
        <v>1486</v>
      </c>
      <c r="B1486" s="183">
        <v>46.0</v>
      </c>
      <c r="C1486" s="27" t="s">
        <v>3404</v>
      </c>
      <c r="D1486" s="27" t="s">
        <v>2000</v>
      </c>
      <c r="E1486" s="129">
        <v>209.0</v>
      </c>
      <c r="F1486" s="66">
        <v>1269.119062423706</v>
      </c>
      <c r="G1486" s="27" t="s">
        <v>3746</v>
      </c>
      <c r="H1486" s="167">
        <v>45469.0</v>
      </c>
      <c r="I1486" s="167">
        <v>45481.0</v>
      </c>
      <c r="J1486" s="66">
        <v>1234.1226205825806</v>
      </c>
      <c r="L1486" s="27" t="s">
        <v>138</v>
      </c>
      <c r="M1486" s="1" t="str">
        <f>VLOOKUP(B1486,Bounties!A:D,3,FALSE)</f>
        <v>Outreach</v>
      </c>
      <c r="N1486" s="1" t="str">
        <f>VLOOKUP(B1486,Bounties!A:D,4,FALSE)</f>
        <v>Other</v>
      </c>
      <c r="O1486" s="1" t="str">
        <f t="shared" ref="O1486:P1486" si="1490">IF(ISBLANK(K1486),M1486,K1486)</f>
        <v>Outreach</v>
      </c>
      <c r="P1486" s="1" t="str">
        <f t="shared" si="1490"/>
        <v>Media</v>
      </c>
      <c r="Q1486" s="108" t="str">
        <f t="shared" si="3"/>
        <v>2024</v>
      </c>
      <c r="R1486" s="110">
        <f t="shared" si="4"/>
        <v>7</v>
      </c>
      <c r="S1486" s="108" t="str">
        <f t="shared" si="5"/>
        <v>2024-Q3</v>
      </c>
      <c r="T1486" s="111" t="str">
        <f t="shared" si="6"/>
        <v>2024-07</v>
      </c>
      <c r="U1486" s="112" t="str">
        <f t="shared" si="7"/>
        <v>2024-H2</v>
      </c>
      <c r="V1486" s="1" t="str">
        <f>VLOOKUP(B1486,Bounties!A:E,2,FALSE)</f>
        <v>AMI Bounty Program</v>
      </c>
    </row>
    <row r="1487" hidden="1">
      <c r="A1487" s="109">
        <f>HYPERLINK("https://polkadot.subsquare.io/treasury/child-bounties/1487", 1487)</f>
        <v>1487</v>
      </c>
      <c r="B1487" s="183">
        <v>11.0</v>
      </c>
      <c r="C1487" s="27" t="s">
        <v>3404</v>
      </c>
      <c r="D1487" s="27" t="s">
        <v>2001</v>
      </c>
      <c r="E1487" s="129">
        <v>167.56</v>
      </c>
      <c r="F1487" s="66">
        <v>1060.6918602752685</v>
      </c>
      <c r="G1487" s="27" t="s">
        <v>3628</v>
      </c>
      <c r="H1487" s="167">
        <v>45471.0</v>
      </c>
      <c r="I1487" s="167">
        <v>45480.0</v>
      </c>
      <c r="J1487" s="66">
        <v>1021.9284614562988</v>
      </c>
      <c r="M1487" s="1" t="str">
        <f>VLOOKUP(B1487,Bounties!A:D,3,FALSE)</f>
        <v>Research</v>
      </c>
      <c r="N1487" s="1" t="str">
        <f>VLOOKUP(B1487,Bounties!A:D,4,FALSE)</f>
        <v>Anti-Scam</v>
      </c>
      <c r="O1487" s="1" t="str">
        <f t="shared" ref="O1487:P1487" si="1491">IF(ISBLANK(K1487),M1487,K1487)</f>
        <v>Research</v>
      </c>
      <c r="P1487" s="1" t="str">
        <f t="shared" si="1491"/>
        <v>Anti-Scam</v>
      </c>
      <c r="Q1487" s="108" t="str">
        <f t="shared" si="3"/>
        <v>2024</v>
      </c>
      <c r="R1487" s="110">
        <f t="shared" si="4"/>
        <v>7</v>
      </c>
      <c r="S1487" s="108" t="str">
        <f t="shared" si="5"/>
        <v>2024-Q3</v>
      </c>
      <c r="T1487" s="111" t="str">
        <f t="shared" si="6"/>
        <v>2024-07</v>
      </c>
      <c r="U1487" s="112" t="str">
        <f t="shared" si="7"/>
        <v>2024-H2</v>
      </c>
      <c r="V1487" s="1" t="str">
        <f>VLOOKUP(B1487,Bounties!A:E,2,FALSE)</f>
        <v>Anti-Scam Bounty</v>
      </c>
    </row>
    <row r="1488" hidden="1">
      <c r="A1488" s="109">
        <f>HYPERLINK("https://polkadot.subsquare.io/treasury/child-bounties/1488", 1488)</f>
        <v>1488</v>
      </c>
      <c r="B1488" s="183">
        <v>17.0</v>
      </c>
      <c r="C1488" s="27" t="s">
        <v>3404</v>
      </c>
      <c r="D1488" s="27" t="s">
        <v>2002</v>
      </c>
      <c r="E1488" s="129">
        <v>262.295</v>
      </c>
      <c r="F1488" s="66">
        <v>1708.8049879789353</v>
      </c>
      <c r="G1488" s="27" t="s">
        <v>3747</v>
      </c>
      <c r="H1488" s="167">
        <v>45472.0</v>
      </c>
      <c r="I1488" s="167">
        <v>45481.0</v>
      </c>
      <c r="J1488" s="66">
        <v>1599.7059309959413</v>
      </c>
      <c r="M1488" s="1" t="str">
        <f>VLOOKUP(B1488,Bounties!A:D,3,FALSE)</f>
        <v>Outreach</v>
      </c>
      <c r="N1488" s="1" t="str">
        <f>VLOOKUP(B1488,Bounties!A:D,4,FALSE)</f>
        <v>Events/Meetups</v>
      </c>
      <c r="O1488" s="1" t="str">
        <f t="shared" ref="O1488:P1488" si="1492">IF(ISBLANK(K1488),M1488,K1488)</f>
        <v>Outreach</v>
      </c>
      <c r="P1488" s="1" t="str">
        <f t="shared" si="1492"/>
        <v>Events/Meetups</v>
      </c>
      <c r="Q1488" s="108" t="str">
        <f t="shared" si="3"/>
        <v>2024</v>
      </c>
      <c r="R1488" s="110">
        <f t="shared" si="4"/>
        <v>7</v>
      </c>
      <c r="S1488" s="108" t="str">
        <f t="shared" si="5"/>
        <v>2024-Q3</v>
      </c>
      <c r="T1488" s="111" t="str">
        <f t="shared" si="6"/>
        <v>2024-07</v>
      </c>
      <c r="U1488" s="112" t="str">
        <f t="shared" si="7"/>
        <v>2024-H2</v>
      </c>
      <c r="V1488" s="1" t="str">
        <f>VLOOKUP(B1488,Bounties!A:E,2,FALSE)</f>
        <v>Events Bounty</v>
      </c>
    </row>
    <row r="1489" hidden="1">
      <c r="A1489" s="109">
        <f>HYPERLINK("https://polkadot.subsquare.io/treasury/child-bounties/1489", 1489)</f>
        <v>1489</v>
      </c>
      <c r="B1489" s="183">
        <v>17.0</v>
      </c>
      <c r="C1489" s="27" t="s">
        <v>3404</v>
      </c>
      <c r="D1489" s="27" t="s">
        <v>2003</v>
      </c>
      <c r="E1489" s="129">
        <v>25.0</v>
      </c>
      <c r="F1489" s="66">
        <v>162.87052631378174</v>
      </c>
      <c r="G1489" s="27" t="s">
        <v>3748</v>
      </c>
      <c r="H1489" s="167">
        <v>45472.0</v>
      </c>
      <c r="I1489" s="167">
        <v>45490.0</v>
      </c>
      <c r="J1489" s="66">
        <v>158.42825174331665</v>
      </c>
      <c r="M1489" s="1" t="str">
        <f>VLOOKUP(B1489,Bounties!A:D,3,FALSE)</f>
        <v>Outreach</v>
      </c>
      <c r="N1489" s="1" t="str">
        <f>VLOOKUP(B1489,Bounties!A:D,4,FALSE)</f>
        <v>Events/Meetups</v>
      </c>
      <c r="O1489" s="1" t="str">
        <f t="shared" ref="O1489:P1489" si="1493">IF(ISBLANK(K1489),M1489,K1489)</f>
        <v>Outreach</v>
      </c>
      <c r="P1489" s="1" t="str">
        <f t="shared" si="1493"/>
        <v>Events/Meetups</v>
      </c>
      <c r="Q1489" s="108" t="str">
        <f t="shared" si="3"/>
        <v>2024</v>
      </c>
      <c r="R1489" s="110">
        <f t="shared" si="4"/>
        <v>7</v>
      </c>
      <c r="S1489" s="108" t="str">
        <f t="shared" si="5"/>
        <v>2024-Q3</v>
      </c>
      <c r="T1489" s="111" t="str">
        <f t="shared" si="6"/>
        <v>2024-07</v>
      </c>
      <c r="U1489" s="112" t="str">
        <f t="shared" si="7"/>
        <v>2024-H2</v>
      </c>
      <c r="V1489" s="1" t="str">
        <f>VLOOKUP(B1489,Bounties!A:E,2,FALSE)</f>
        <v>Events Bounty</v>
      </c>
    </row>
    <row r="1490" hidden="1">
      <c r="A1490" s="109">
        <f>HYPERLINK("https://polkadot.subsquare.io/treasury/child-bounties/1490", 1490)</f>
        <v>1490</v>
      </c>
      <c r="B1490" s="183">
        <v>17.0</v>
      </c>
      <c r="C1490" s="27" t="s">
        <v>3404</v>
      </c>
      <c r="D1490" s="27" t="s">
        <v>2004</v>
      </c>
      <c r="E1490" s="129">
        <v>22.0</v>
      </c>
      <c r="F1490" s="66">
        <v>143.32606315612793</v>
      </c>
      <c r="G1490" s="27" t="s">
        <v>3749</v>
      </c>
      <c r="H1490" s="167">
        <v>45472.0</v>
      </c>
      <c r="I1490" s="167">
        <v>45480.0</v>
      </c>
      <c r="J1490" s="66">
        <v>134.17537689208984</v>
      </c>
      <c r="M1490" s="1" t="str">
        <f>VLOOKUP(B1490,Bounties!A:D,3,FALSE)</f>
        <v>Outreach</v>
      </c>
      <c r="N1490" s="1" t="str">
        <f>VLOOKUP(B1490,Bounties!A:D,4,FALSE)</f>
        <v>Events/Meetups</v>
      </c>
      <c r="O1490" s="1" t="str">
        <f t="shared" ref="O1490:P1490" si="1494">IF(ISBLANK(K1490),M1490,K1490)</f>
        <v>Outreach</v>
      </c>
      <c r="P1490" s="1" t="str">
        <f t="shared" si="1494"/>
        <v>Events/Meetups</v>
      </c>
      <c r="Q1490" s="108" t="str">
        <f t="shared" si="3"/>
        <v>2024</v>
      </c>
      <c r="R1490" s="110">
        <f t="shared" si="4"/>
        <v>7</v>
      </c>
      <c r="S1490" s="108" t="str">
        <f t="shared" si="5"/>
        <v>2024-Q3</v>
      </c>
      <c r="T1490" s="111" t="str">
        <f t="shared" si="6"/>
        <v>2024-07</v>
      </c>
      <c r="U1490" s="112" t="str">
        <f t="shared" si="7"/>
        <v>2024-H2</v>
      </c>
      <c r="V1490" s="1" t="str">
        <f>VLOOKUP(B1490,Bounties!A:E,2,FALSE)</f>
        <v>Events Bounty</v>
      </c>
    </row>
    <row r="1491" hidden="1">
      <c r="A1491" s="109">
        <f>HYPERLINK("https://polkadot.subsquare.io/treasury/child-bounties/1491", 1491)</f>
        <v>1491</v>
      </c>
      <c r="B1491" s="183">
        <v>43.0</v>
      </c>
      <c r="C1491" s="27" t="s">
        <v>3404</v>
      </c>
      <c r="D1491" s="27" t="s">
        <v>2005</v>
      </c>
      <c r="E1491" s="129">
        <v>182.6</v>
      </c>
      <c r="F1491" s="66">
        <v>1189.6063241958618</v>
      </c>
      <c r="G1491" s="27" t="s">
        <v>3698</v>
      </c>
      <c r="H1491" s="167">
        <v>45472.0</v>
      </c>
      <c r="I1491" s="167">
        <v>45528.0</v>
      </c>
      <c r="J1491" s="66">
        <v>833.1141543388367</v>
      </c>
      <c r="M1491" s="1" t="str">
        <f>VLOOKUP(B1491,Bounties!A:D,3,FALSE)</f>
        <v>Outreach</v>
      </c>
      <c r="N1491" s="1" t="str">
        <f>VLOOKUP(B1491,Bounties!A:D,4,FALSE)</f>
        <v>Events/Meetups</v>
      </c>
      <c r="O1491" s="1" t="str">
        <f t="shared" ref="O1491:P1491" si="1495">IF(ISBLANK(K1491),M1491,K1491)</f>
        <v>Outreach</v>
      </c>
      <c r="P1491" s="1" t="str">
        <f t="shared" si="1495"/>
        <v>Events/Meetups</v>
      </c>
      <c r="Q1491" s="108" t="str">
        <f t="shared" si="3"/>
        <v>2024</v>
      </c>
      <c r="R1491" s="110">
        <f t="shared" si="4"/>
        <v>8</v>
      </c>
      <c r="S1491" s="108" t="str">
        <f t="shared" si="5"/>
        <v>2024-Q3</v>
      </c>
      <c r="T1491" s="111" t="str">
        <f t="shared" si="6"/>
        <v>2024-08</v>
      </c>
      <c r="U1491" s="112" t="str">
        <f t="shared" si="7"/>
        <v>2024-H2</v>
      </c>
      <c r="V1491" s="1" t="str">
        <f>VLOOKUP(B1491,Bounties!A:E,2,FALSE)</f>
        <v>Meetups Bounty</v>
      </c>
    </row>
    <row r="1492" hidden="1">
      <c r="A1492" s="109">
        <f>HYPERLINK("https://polkadot.subsquare.io/treasury/child-bounties/1492", 1492)</f>
        <v>1492</v>
      </c>
      <c r="B1492" s="183">
        <v>11.0</v>
      </c>
      <c r="C1492" s="27" t="s">
        <v>3404</v>
      </c>
      <c r="D1492" s="27" t="s">
        <v>2006</v>
      </c>
      <c r="E1492" s="129">
        <v>441.5011037527</v>
      </c>
      <c r="F1492" s="66">
        <v>2876.300685452712</v>
      </c>
      <c r="G1492" s="27" t="s">
        <v>3526</v>
      </c>
      <c r="H1492" s="167">
        <v>45472.0</v>
      </c>
      <c r="I1492" s="167">
        <v>45483.0</v>
      </c>
      <c r="J1492" s="66">
        <v>2756.7364522159733</v>
      </c>
      <c r="M1492" s="1" t="str">
        <f>VLOOKUP(B1492,Bounties!A:D,3,FALSE)</f>
        <v>Research</v>
      </c>
      <c r="N1492" s="1" t="str">
        <f>VLOOKUP(B1492,Bounties!A:D,4,FALSE)</f>
        <v>Anti-Scam</v>
      </c>
      <c r="O1492" s="1" t="str">
        <f t="shared" ref="O1492:P1492" si="1496">IF(ISBLANK(K1492),M1492,K1492)</f>
        <v>Research</v>
      </c>
      <c r="P1492" s="1" t="str">
        <f t="shared" si="1496"/>
        <v>Anti-Scam</v>
      </c>
      <c r="Q1492" s="108" t="str">
        <f t="shared" si="3"/>
        <v>2024</v>
      </c>
      <c r="R1492" s="110">
        <f t="shared" si="4"/>
        <v>7</v>
      </c>
      <c r="S1492" s="108" t="str">
        <f t="shared" si="5"/>
        <v>2024-Q3</v>
      </c>
      <c r="T1492" s="111" t="str">
        <f t="shared" si="6"/>
        <v>2024-07</v>
      </c>
      <c r="U1492" s="112" t="str">
        <f t="shared" si="7"/>
        <v>2024-H2</v>
      </c>
      <c r="V1492" s="1" t="str">
        <f>VLOOKUP(B1492,Bounties!A:E,2,FALSE)</f>
        <v>Anti-Scam Bounty</v>
      </c>
    </row>
    <row r="1493" hidden="1">
      <c r="A1493" s="109">
        <f>HYPERLINK("https://polkadot.subsquare.io/treasury/child-bounties/1493", 1493)</f>
        <v>1493</v>
      </c>
      <c r="B1493" s="183">
        <v>11.0</v>
      </c>
      <c r="C1493" s="27" t="s">
        <v>3404</v>
      </c>
      <c r="D1493" s="27" t="s">
        <v>2007</v>
      </c>
      <c r="E1493" s="129">
        <v>441.5011037527</v>
      </c>
      <c r="F1493" s="66">
        <v>2876.300685452712</v>
      </c>
      <c r="G1493" s="27" t="s">
        <v>3577</v>
      </c>
      <c r="H1493" s="167">
        <v>45472.0</v>
      </c>
      <c r="I1493" s="167">
        <v>45483.0</v>
      </c>
      <c r="J1493" s="66">
        <v>2756.7364522159733</v>
      </c>
      <c r="M1493" s="1" t="str">
        <f>VLOOKUP(B1493,Bounties!A:D,3,FALSE)</f>
        <v>Research</v>
      </c>
      <c r="N1493" s="1" t="str">
        <f>VLOOKUP(B1493,Bounties!A:D,4,FALSE)</f>
        <v>Anti-Scam</v>
      </c>
      <c r="O1493" s="1" t="str">
        <f t="shared" ref="O1493:P1493" si="1497">IF(ISBLANK(K1493),M1493,K1493)</f>
        <v>Research</v>
      </c>
      <c r="P1493" s="1" t="str">
        <f t="shared" si="1497"/>
        <v>Anti-Scam</v>
      </c>
      <c r="Q1493" s="108" t="str">
        <f t="shared" si="3"/>
        <v>2024</v>
      </c>
      <c r="R1493" s="110">
        <f t="shared" si="4"/>
        <v>7</v>
      </c>
      <c r="S1493" s="108" t="str">
        <f t="shared" si="5"/>
        <v>2024-Q3</v>
      </c>
      <c r="T1493" s="111" t="str">
        <f t="shared" si="6"/>
        <v>2024-07</v>
      </c>
      <c r="U1493" s="112" t="str">
        <f t="shared" si="7"/>
        <v>2024-H2</v>
      </c>
      <c r="V1493" s="1" t="str">
        <f>VLOOKUP(B1493,Bounties!A:E,2,FALSE)</f>
        <v>Anti-Scam Bounty</v>
      </c>
    </row>
    <row r="1494" hidden="1">
      <c r="A1494" s="109">
        <f>HYPERLINK("https://polkadot.subsquare.io/treasury/child-bounties/1494", 1494)</f>
        <v>1494</v>
      </c>
      <c r="B1494" s="183">
        <v>11.0</v>
      </c>
      <c r="C1494" s="27" t="s">
        <v>3404</v>
      </c>
      <c r="D1494" s="27" t="s">
        <v>2008</v>
      </c>
      <c r="E1494" s="129">
        <v>441.5011037527</v>
      </c>
      <c r="F1494" s="66">
        <v>2876.300685452712</v>
      </c>
      <c r="G1494" s="27" t="s">
        <v>3578</v>
      </c>
      <c r="H1494" s="167">
        <v>45472.0</v>
      </c>
      <c r="I1494" s="167">
        <v>45483.0</v>
      </c>
      <c r="J1494" s="66">
        <v>2756.7364522159733</v>
      </c>
      <c r="M1494" s="1" t="str">
        <f>VLOOKUP(B1494,Bounties!A:D,3,FALSE)</f>
        <v>Research</v>
      </c>
      <c r="N1494" s="1" t="str">
        <f>VLOOKUP(B1494,Bounties!A:D,4,FALSE)</f>
        <v>Anti-Scam</v>
      </c>
      <c r="O1494" s="1" t="str">
        <f t="shared" ref="O1494:P1494" si="1498">IF(ISBLANK(K1494),M1494,K1494)</f>
        <v>Research</v>
      </c>
      <c r="P1494" s="1" t="str">
        <f t="shared" si="1498"/>
        <v>Anti-Scam</v>
      </c>
      <c r="Q1494" s="108" t="str">
        <f t="shared" si="3"/>
        <v>2024</v>
      </c>
      <c r="R1494" s="110">
        <f t="shared" si="4"/>
        <v>7</v>
      </c>
      <c r="S1494" s="108" t="str">
        <f t="shared" si="5"/>
        <v>2024-Q3</v>
      </c>
      <c r="T1494" s="111" t="str">
        <f t="shared" si="6"/>
        <v>2024-07</v>
      </c>
      <c r="U1494" s="112" t="str">
        <f t="shared" si="7"/>
        <v>2024-H2</v>
      </c>
      <c r="V1494" s="1" t="str">
        <f>VLOOKUP(B1494,Bounties!A:E,2,FALSE)</f>
        <v>Anti-Scam Bounty</v>
      </c>
    </row>
    <row r="1495" hidden="1">
      <c r="A1495" s="109">
        <f>HYPERLINK("https://polkadot.subsquare.io/treasury/child-bounties/1495", 1495)</f>
        <v>1495</v>
      </c>
      <c r="B1495" s="183">
        <v>11.0</v>
      </c>
      <c r="C1495" s="27" t="s">
        <v>3404</v>
      </c>
      <c r="D1495" s="27" t="s">
        <v>2009</v>
      </c>
      <c r="E1495" s="129">
        <v>66.225</v>
      </c>
      <c r="F1495" s="66">
        <v>431.44402420520777</v>
      </c>
      <c r="G1495" s="27" t="s">
        <v>3407</v>
      </c>
      <c r="H1495" s="167">
        <v>45473.0</v>
      </c>
      <c r="I1495" s="167">
        <v>45485.0</v>
      </c>
      <c r="J1495" s="66">
        <v>430.3669433355331</v>
      </c>
      <c r="M1495" s="1" t="str">
        <f>VLOOKUP(B1495,Bounties!A:D,3,FALSE)</f>
        <v>Research</v>
      </c>
      <c r="N1495" s="1" t="str">
        <f>VLOOKUP(B1495,Bounties!A:D,4,FALSE)</f>
        <v>Anti-Scam</v>
      </c>
      <c r="O1495" s="1" t="str">
        <f t="shared" ref="O1495:P1495" si="1499">IF(ISBLANK(K1495),M1495,K1495)</f>
        <v>Research</v>
      </c>
      <c r="P1495" s="1" t="str">
        <f t="shared" si="1499"/>
        <v>Anti-Scam</v>
      </c>
      <c r="Q1495" s="108" t="str">
        <f t="shared" si="3"/>
        <v>2024</v>
      </c>
      <c r="R1495" s="110">
        <f t="shared" si="4"/>
        <v>7</v>
      </c>
      <c r="S1495" s="108" t="str">
        <f t="shared" si="5"/>
        <v>2024-Q3</v>
      </c>
      <c r="T1495" s="111" t="str">
        <f t="shared" si="6"/>
        <v>2024-07</v>
      </c>
      <c r="U1495" s="112" t="str">
        <f t="shared" si="7"/>
        <v>2024-H2</v>
      </c>
      <c r="V1495" s="1" t="str">
        <f>VLOOKUP(B1495,Bounties!A:E,2,FALSE)</f>
        <v>Anti-Scam Bounty</v>
      </c>
    </row>
    <row r="1496" hidden="1">
      <c r="A1496" s="109">
        <f>HYPERLINK("https://polkadot.subsquare.io/treasury/child-bounties/1496", 1496)</f>
        <v>1496</v>
      </c>
      <c r="B1496" s="183">
        <v>11.0</v>
      </c>
      <c r="C1496" s="27" t="s">
        <v>3404</v>
      </c>
      <c r="D1496" s="27" t="s">
        <v>2010</v>
      </c>
      <c r="E1496" s="129">
        <v>66.225</v>
      </c>
      <c r="F1496" s="66">
        <v>431.44402420520777</v>
      </c>
      <c r="G1496" s="27" t="s">
        <v>3406</v>
      </c>
      <c r="H1496" s="167">
        <v>45473.0</v>
      </c>
      <c r="I1496" s="167">
        <v>45488.0</v>
      </c>
      <c r="J1496" s="66">
        <v>403.54687811136245</v>
      </c>
      <c r="M1496" s="1" t="str">
        <f>VLOOKUP(B1496,Bounties!A:D,3,FALSE)</f>
        <v>Research</v>
      </c>
      <c r="N1496" s="1" t="str">
        <f>VLOOKUP(B1496,Bounties!A:D,4,FALSE)</f>
        <v>Anti-Scam</v>
      </c>
      <c r="O1496" s="1" t="str">
        <f t="shared" ref="O1496:P1496" si="1500">IF(ISBLANK(K1496),M1496,K1496)</f>
        <v>Research</v>
      </c>
      <c r="P1496" s="1" t="str">
        <f t="shared" si="1500"/>
        <v>Anti-Scam</v>
      </c>
      <c r="Q1496" s="108" t="str">
        <f t="shared" si="3"/>
        <v>2024</v>
      </c>
      <c r="R1496" s="110">
        <f t="shared" si="4"/>
        <v>7</v>
      </c>
      <c r="S1496" s="108" t="str">
        <f t="shared" si="5"/>
        <v>2024-Q3</v>
      </c>
      <c r="T1496" s="111" t="str">
        <f t="shared" si="6"/>
        <v>2024-07</v>
      </c>
      <c r="U1496" s="112" t="str">
        <f t="shared" si="7"/>
        <v>2024-H2</v>
      </c>
      <c r="V1496" s="1" t="str">
        <f>VLOOKUP(B1496,Bounties!A:E,2,FALSE)</f>
        <v>Anti-Scam Bounty</v>
      </c>
    </row>
    <row r="1497" hidden="1">
      <c r="A1497" s="109">
        <f>HYPERLINK("https://polkadot.subsquare.io/treasury/child-bounties/1497", 1497)</f>
        <v>1497</v>
      </c>
      <c r="B1497" s="183">
        <v>11.0</v>
      </c>
      <c r="C1497" s="27" t="s">
        <v>3404</v>
      </c>
      <c r="D1497" s="27" t="s">
        <v>2011</v>
      </c>
      <c r="E1497" s="129">
        <v>66.225</v>
      </c>
      <c r="F1497" s="66">
        <v>431.44402420520777</v>
      </c>
      <c r="G1497" s="27" t="s">
        <v>3562</v>
      </c>
      <c r="H1497" s="167">
        <v>45473.0</v>
      </c>
      <c r="I1497" s="167">
        <v>45483.0</v>
      </c>
      <c r="J1497" s="66">
        <v>413.50943405628203</v>
      </c>
      <c r="M1497" s="1" t="str">
        <f>VLOOKUP(B1497,Bounties!A:D,3,FALSE)</f>
        <v>Research</v>
      </c>
      <c r="N1497" s="1" t="str">
        <f>VLOOKUP(B1497,Bounties!A:D,4,FALSE)</f>
        <v>Anti-Scam</v>
      </c>
      <c r="O1497" s="1" t="str">
        <f t="shared" ref="O1497:P1497" si="1501">IF(ISBLANK(K1497),M1497,K1497)</f>
        <v>Research</v>
      </c>
      <c r="P1497" s="1" t="str">
        <f t="shared" si="1501"/>
        <v>Anti-Scam</v>
      </c>
      <c r="Q1497" s="108" t="str">
        <f t="shared" si="3"/>
        <v>2024</v>
      </c>
      <c r="R1497" s="110">
        <f t="shared" si="4"/>
        <v>7</v>
      </c>
      <c r="S1497" s="108" t="str">
        <f t="shared" si="5"/>
        <v>2024-Q3</v>
      </c>
      <c r="T1497" s="111" t="str">
        <f t="shared" si="6"/>
        <v>2024-07</v>
      </c>
      <c r="U1497" s="112" t="str">
        <f t="shared" si="7"/>
        <v>2024-H2</v>
      </c>
      <c r="V1497" s="1" t="str">
        <f>VLOOKUP(B1497,Bounties!A:E,2,FALSE)</f>
        <v>Anti-Scam Bounty</v>
      </c>
    </row>
    <row r="1498" hidden="1">
      <c r="A1498" s="109">
        <f>HYPERLINK("https://polkadot.subsquare.io/treasury/child-bounties/1498", 1498)</f>
        <v>1498</v>
      </c>
      <c r="B1498" s="183">
        <v>11.0</v>
      </c>
      <c r="C1498" s="27" t="s">
        <v>3404</v>
      </c>
      <c r="D1498" s="27" t="s">
        <v>2012</v>
      </c>
      <c r="E1498" s="129">
        <v>67.23</v>
      </c>
      <c r="F1498" s="66">
        <v>408.04126273155214</v>
      </c>
      <c r="G1498" s="27" t="s">
        <v>3486</v>
      </c>
      <c r="H1498" s="167">
        <v>45473.0</v>
      </c>
      <c r="I1498" s="167">
        <v>45482.0</v>
      </c>
      <c r="J1498" s="66">
        <v>410.0497456455231</v>
      </c>
      <c r="M1498" s="1" t="str">
        <f>VLOOKUP(B1498,Bounties!A:D,3,FALSE)</f>
        <v>Research</v>
      </c>
      <c r="N1498" s="1" t="str">
        <f>VLOOKUP(B1498,Bounties!A:D,4,FALSE)</f>
        <v>Anti-Scam</v>
      </c>
      <c r="O1498" s="1" t="str">
        <f t="shared" ref="O1498:P1498" si="1502">IF(ISBLANK(K1498),M1498,K1498)</f>
        <v>Research</v>
      </c>
      <c r="P1498" s="1" t="str">
        <f t="shared" si="1502"/>
        <v>Anti-Scam</v>
      </c>
      <c r="Q1498" s="108" t="str">
        <f t="shared" si="3"/>
        <v>2024</v>
      </c>
      <c r="R1498" s="110">
        <f t="shared" si="4"/>
        <v>7</v>
      </c>
      <c r="S1498" s="108" t="str">
        <f t="shared" si="5"/>
        <v>2024-Q3</v>
      </c>
      <c r="T1498" s="111" t="str">
        <f t="shared" si="6"/>
        <v>2024-07</v>
      </c>
      <c r="U1498" s="112" t="str">
        <f t="shared" si="7"/>
        <v>2024-H2</v>
      </c>
      <c r="V1498" s="1" t="str">
        <f>VLOOKUP(B1498,Bounties!A:E,2,FALSE)</f>
        <v>Anti-Scam Bounty</v>
      </c>
    </row>
    <row r="1499" hidden="1">
      <c r="A1499" s="109">
        <f>HYPERLINK("https://polkadot.subsquare.io/treasury/child-bounties/1499", 1499)</f>
        <v>1499</v>
      </c>
      <c r="B1499" s="183">
        <v>43.0</v>
      </c>
      <c r="C1499" s="27" t="s">
        <v>3404</v>
      </c>
      <c r="D1499" s="27" t="s">
        <v>2013</v>
      </c>
      <c r="E1499" s="129">
        <v>154.68</v>
      </c>
      <c r="F1499" s="66">
        <v>938.8044402694702</v>
      </c>
      <c r="G1499" s="27" t="s">
        <v>3750</v>
      </c>
      <c r="H1499" s="167">
        <v>45473.0</v>
      </c>
      <c r="I1499" s="167">
        <v>45486.0</v>
      </c>
      <c r="J1499" s="66">
        <v>1005.1968107986451</v>
      </c>
      <c r="M1499" s="1" t="str">
        <f>VLOOKUP(B1499,Bounties!A:D,3,FALSE)</f>
        <v>Outreach</v>
      </c>
      <c r="N1499" s="1" t="str">
        <f>VLOOKUP(B1499,Bounties!A:D,4,FALSE)</f>
        <v>Events/Meetups</v>
      </c>
      <c r="O1499" s="1" t="str">
        <f t="shared" ref="O1499:P1499" si="1503">IF(ISBLANK(K1499),M1499,K1499)</f>
        <v>Outreach</v>
      </c>
      <c r="P1499" s="1" t="str">
        <f t="shared" si="1503"/>
        <v>Events/Meetups</v>
      </c>
      <c r="Q1499" s="108" t="str">
        <f t="shared" si="3"/>
        <v>2024</v>
      </c>
      <c r="R1499" s="110">
        <f t="shared" si="4"/>
        <v>7</v>
      </c>
      <c r="S1499" s="108" t="str">
        <f t="shared" si="5"/>
        <v>2024-Q3</v>
      </c>
      <c r="T1499" s="111" t="str">
        <f t="shared" si="6"/>
        <v>2024-07</v>
      </c>
      <c r="U1499" s="112" t="str">
        <f t="shared" si="7"/>
        <v>2024-H2</v>
      </c>
      <c r="V1499" s="1" t="str">
        <f>VLOOKUP(B1499,Bounties!A:E,2,FALSE)</f>
        <v>Meetups Bounty</v>
      </c>
    </row>
    <row r="1500" hidden="1">
      <c r="A1500" s="109">
        <f>HYPERLINK("https://polkadot.subsquare.io/treasury/child-bounties/1500", 1500)</f>
        <v>1500</v>
      </c>
      <c r="B1500" s="183">
        <v>42.0</v>
      </c>
      <c r="C1500" s="27" t="s">
        <v>3404</v>
      </c>
      <c r="D1500" s="27" t="s">
        <v>2014</v>
      </c>
      <c r="E1500" s="129">
        <v>28.28</v>
      </c>
      <c r="F1500" s="66">
        <v>157.2103274154663</v>
      </c>
      <c r="G1500" s="27" t="s">
        <v>3676</v>
      </c>
      <c r="H1500" s="167">
        <v>45474.0</v>
      </c>
      <c r="I1500" s="167">
        <v>45484.0</v>
      </c>
      <c r="J1500" s="66">
        <v>178.95803998947144</v>
      </c>
      <c r="M1500" s="1" t="str">
        <f>VLOOKUP(B1500,Bounties!A:D,3,FALSE)</f>
        <v>Outreach</v>
      </c>
      <c r="N1500" s="1" t="str">
        <f>VLOOKUP(B1500,Bounties!A:D,4,FALSE)</f>
        <v>Media</v>
      </c>
      <c r="O1500" s="1" t="str">
        <f t="shared" ref="O1500:P1500" si="1504">IF(ISBLANK(K1500),M1500,K1500)</f>
        <v>Outreach</v>
      </c>
      <c r="P1500" s="1" t="str">
        <f t="shared" si="1504"/>
        <v>Media</v>
      </c>
      <c r="Q1500" s="108" t="str">
        <f t="shared" si="3"/>
        <v>2024</v>
      </c>
      <c r="R1500" s="110">
        <f t="shared" si="4"/>
        <v>7</v>
      </c>
      <c r="S1500" s="108" t="str">
        <f t="shared" si="5"/>
        <v>2024-Q3</v>
      </c>
      <c r="T1500" s="111" t="str">
        <f t="shared" si="6"/>
        <v>2024-07</v>
      </c>
      <c r="U1500" s="112" t="str">
        <f t="shared" si="7"/>
        <v>2024-H2</v>
      </c>
      <c r="V1500" s="1" t="str">
        <f>VLOOKUP(B1500,Bounties!A:E,2,FALSE)</f>
        <v>Spanish Bounty</v>
      </c>
    </row>
    <row r="1501" hidden="1">
      <c r="A1501" s="109">
        <f>HYPERLINK("https://polkadot.subsquare.io/treasury/child-bounties/1501", 1501)</f>
        <v>1501</v>
      </c>
      <c r="B1501" s="183">
        <v>42.0</v>
      </c>
      <c r="C1501" s="27" t="s">
        <v>3404</v>
      </c>
      <c r="D1501" s="27" t="s">
        <v>2015</v>
      </c>
      <c r="E1501" s="129">
        <v>90.45</v>
      </c>
      <c r="F1501" s="66">
        <v>502.81733078956603</v>
      </c>
      <c r="G1501" s="27" t="s">
        <v>3644</v>
      </c>
      <c r="H1501" s="167">
        <v>45474.0</v>
      </c>
      <c r="I1501" s="167">
        <v>45487.0</v>
      </c>
      <c r="J1501" s="66">
        <v>573.8349723815918</v>
      </c>
      <c r="M1501" s="1" t="str">
        <f>VLOOKUP(B1501,Bounties!A:D,3,FALSE)</f>
        <v>Outreach</v>
      </c>
      <c r="N1501" s="1" t="str">
        <f>VLOOKUP(B1501,Bounties!A:D,4,FALSE)</f>
        <v>Media</v>
      </c>
      <c r="O1501" s="1" t="str">
        <f t="shared" ref="O1501:P1501" si="1505">IF(ISBLANK(K1501),M1501,K1501)</f>
        <v>Outreach</v>
      </c>
      <c r="P1501" s="1" t="str">
        <f t="shared" si="1505"/>
        <v>Media</v>
      </c>
      <c r="Q1501" s="108" t="str">
        <f t="shared" si="3"/>
        <v>2024</v>
      </c>
      <c r="R1501" s="110">
        <f t="shared" si="4"/>
        <v>7</v>
      </c>
      <c r="S1501" s="108" t="str">
        <f t="shared" si="5"/>
        <v>2024-Q3</v>
      </c>
      <c r="T1501" s="111" t="str">
        <f t="shared" si="6"/>
        <v>2024-07</v>
      </c>
      <c r="U1501" s="112" t="str">
        <f t="shared" si="7"/>
        <v>2024-H2</v>
      </c>
      <c r="V1501" s="1" t="str">
        <f>VLOOKUP(B1501,Bounties!A:E,2,FALSE)</f>
        <v>Spanish Bounty</v>
      </c>
    </row>
    <row r="1502" hidden="1">
      <c r="A1502" s="109">
        <f>HYPERLINK("https://polkadot.subsquare.io/treasury/child-bounties/1502", 1502)</f>
        <v>1502</v>
      </c>
      <c r="B1502" s="183">
        <v>42.0</v>
      </c>
      <c r="C1502" s="27" t="s">
        <v>3404</v>
      </c>
      <c r="D1502" s="27" t="s">
        <v>2016</v>
      </c>
      <c r="E1502" s="129">
        <v>16.32</v>
      </c>
      <c r="F1502" s="66">
        <v>90.72392303466798</v>
      </c>
      <c r="G1502" s="27" t="s">
        <v>3689</v>
      </c>
      <c r="H1502" s="167">
        <v>45474.0</v>
      </c>
      <c r="I1502" s="167">
        <v>45482.0</v>
      </c>
      <c r="J1502" s="66">
        <v>99.53907257080078</v>
      </c>
      <c r="M1502" s="1" t="str">
        <f>VLOOKUP(B1502,Bounties!A:D,3,FALSE)</f>
        <v>Outreach</v>
      </c>
      <c r="N1502" s="1" t="str">
        <f>VLOOKUP(B1502,Bounties!A:D,4,FALSE)</f>
        <v>Media</v>
      </c>
      <c r="O1502" s="1" t="str">
        <f t="shared" ref="O1502:P1502" si="1506">IF(ISBLANK(K1502),M1502,K1502)</f>
        <v>Outreach</v>
      </c>
      <c r="P1502" s="1" t="str">
        <f t="shared" si="1506"/>
        <v>Media</v>
      </c>
      <c r="Q1502" s="108" t="str">
        <f t="shared" si="3"/>
        <v>2024</v>
      </c>
      <c r="R1502" s="110">
        <f t="shared" si="4"/>
        <v>7</v>
      </c>
      <c r="S1502" s="108" t="str">
        <f t="shared" si="5"/>
        <v>2024-Q3</v>
      </c>
      <c r="T1502" s="111" t="str">
        <f t="shared" si="6"/>
        <v>2024-07</v>
      </c>
      <c r="U1502" s="112" t="str">
        <f t="shared" si="7"/>
        <v>2024-H2</v>
      </c>
      <c r="V1502" s="1" t="str">
        <f>VLOOKUP(B1502,Bounties!A:E,2,FALSE)</f>
        <v>Spanish Bounty</v>
      </c>
    </row>
    <row r="1503" hidden="1">
      <c r="A1503" s="109">
        <f>HYPERLINK("https://polkadot.subsquare.io/treasury/child-bounties/1503", 1503)</f>
        <v>1503</v>
      </c>
      <c r="B1503" s="183">
        <v>42.0</v>
      </c>
      <c r="C1503" s="27" t="s">
        <v>3404</v>
      </c>
      <c r="D1503" s="27" t="s">
        <v>2017</v>
      </c>
      <c r="E1503" s="129">
        <v>7.06</v>
      </c>
      <c r="F1503" s="66">
        <v>39.24699121475219</v>
      </c>
      <c r="G1503" s="27" t="s">
        <v>3734</v>
      </c>
      <c r="H1503" s="167">
        <v>45474.0</v>
      </c>
      <c r="I1503" s="167">
        <v>45482.0</v>
      </c>
      <c r="J1503" s="66">
        <v>43.060407619476315</v>
      </c>
      <c r="M1503" s="1" t="str">
        <f>VLOOKUP(B1503,Bounties!A:D,3,FALSE)</f>
        <v>Outreach</v>
      </c>
      <c r="N1503" s="1" t="str">
        <f>VLOOKUP(B1503,Bounties!A:D,4,FALSE)</f>
        <v>Media</v>
      </c>
      <c r="O1503" s="1" t="str">
        <f t="shared" ref="O1503:P1503" si="1507">IF(ISBLANK(K1503),M1503,K1503)</f>
        <v>Outreach</v>
      </c>
      <c r="P1503" s="1" t="str">
        <f t="shared" si="1507"/>
        <v>Media</v>
      </c>
      <c r="Q1503" s="108" t="str">
        <f t="shared" si="3"/>
        <v>2024</v>
      </c>
      <c r="R1503" s="110">
        <f t="shared" si="4"/>
        <v>7</v>
      </c>
      <c r="S1503" s="108" t="str">
        <f t="shared" si="5"/>
        <v>2024-Q3</v>
      </c>
      <c r="T1503" s="111" t="str">
        <f t="shared" si="6"/>
        <v>2024-07</v>
      </c>
      <c r="U1503" s="112" t="str">
        <f t="shared" si="7"/>
        <v>2024-H2</v>
      </c>
      <c r="V1503" s="1" t="str">
        <f>VLOOKUP(B1503,Bounties!A:E,2,FALSE)</f>
        <v>Spanish Bounty</v>
      </c>
    </row>
    <row r="1504" hidden="1">
      <c r="A1504" s="109">
        <f>HYPERLINK("https://polkadot.subsquare.io/treasury/child-bounties/1504", 1504)</f>
        <v>1504</v>
      </c>
      <c r="B1504" s="183">
        <v>42.0</v>
      </c>
      <c r="C1504" s="27" t="s">
        <v>3404</v>
      </c>
      <c r="D1504" s="27" t="s">
        <v>2018</v>
      </c>
      <c r="E1504" s="129">
        <v>18.66</v>
      </c>
      <c r="F1504" s="66">
        <v>103.73213258743286</v>
      </c>
      <c r="G1504" s="27" t="s">
        <v>3703</v>
      </c>
      <c r="H1504" s="167">
        <v>45474.0</v>
      </c>
      <c r="I1504" s="167">
        <v>45482.0</v>
      </c>
      <c r="J1504" s="66">
        <v>113.81121900558472</v>
      </c>
      <c r="M1504" s="1" t="str">
        <f>VLOOKUP(B1504,Bounties!A:D,3,FALSE)</f>
        <v>Outreach</v>
      </c>
      <c r="N1504" s="1" t="str">
        <f>VLOOKUP(B1504,Bounties!A:D,4,FALSE)</f>
        <v>Media</v>
      </c>
      <c r="O1504" s="1" t="str">
        <f t="shared" ref="O1504:P1504" si="1508">IF(ISBLANK(K1504),M1504,K1504)</f>
        <v>Outreach</v>
      </c>
      <c r="P1504" s="1" t="str">
        <f t="shared" si="1508"/>
        <v>Media</v>
      </c>
      <c r="Q1504" s="108" t="str">
        <f t="shared" si="3"/>
        <v>2024</v>
      </c>
      <c r="R1504" s="110">
        <f t="shared" si="4"/>
        <v>7</v>
      </c>
      <c r="S1504" s="108" t="str">
        <f t="shared" si="5"/>
        <v>2024-Q3</v>
      </c>
      <c r="T1504" s="111" t="str">
        <f t="shared" si="6"/>
        <v>2024-07</v>
      </c>
      <c r="U1504" s="112" t="str">
        <f t="shared" si="7"/>
        <v>2024-H2</v>
      </c>
      <c r="V1504" s="1" t="str">
        <f>VLOOKUP(B1504,Bounties!A:E,2,FALSE)</f>
        <v>Spanish Bounty</v>
      </c>
    </row>
    <row r="1505" hidden="1">
      <c r="A1505" s="109">
        <f>HYPERLINK("https://polkadot.subsquare.io/treasury/child-bounties/1505", 1505)</f>
        <v>1505</v>
      </c>
      <c r="B1505" s="183">
        <v>42.0</v>
      </c>
      <c r="C1505" s="27" t="s">
        <v>3404</v>
      </c>
      <c r="D1505" s="27" t="s">
        <v>2019</v>
      </c>
      <c r="E1505" s="129">
        <v>60.15</v>
      </c>
      <c r="F1505" s="66">
        <v>334.377694272995</v>
      </c>
      <c r="G1505" s="27" t="s">
        <v>3751</v>
      </c>
      <c r="H1505" s="167">
        <v>45474.0</v>
      </c>
      <c r="I1505" s="167">
        <v>45485.0</v>
      </c>
      <c r="J1505" s="66">
        <v>390.8882090091705</v>
      </c>
      <c r="M1505" s="1" t="str">
        <f>VLOOKUP(B1505,Bounties!A:D,3,FALSE)</f>
        <v>Outreach</v>
      </c>
      <c r="N1505" s="1" t="str">
        <f>VLOOKUP(B1505,Bounties!A:D,4,FALSE)</f>
        <v>Media</v>
      </c>
      <c r="O1505" s="1" t="str">
        <f t="shared" ref="O1505:P1505" si="1509">IF(ISBLANK(K1505),M1505,K1505)</f>
        <v>Outreach</v>
      </c>
      <c r="P1505" s="1" t="str">
        <f t="shared" si="1509"/>
        <v>Media</v>
      </c>
      <c r="Q1505" s="108" t="str">
        <f t="shared" si="3"/>
        <v>2024</v>
      </c>
      <c r="R1505" s="110">
        <f t="shared" si="4"/>
        <v>7</v>
      </c>
      <c r="S1505" s="108" t="str">
        <f t="shared" si="5"/>
        <v>2024-Q3</v>
      </c>
      <c r="T1505" s="111" t="str">
        <f t="shared" si="6"/>
        <v>2024-07</v>
      </c>
      <c r="U1505" s="112" t="str">
        <f t="shared" si="7"/>
        <v>2024-H2</v>
      </c>
      <c r="V1505" s="1" t="str">
        <f>VLOOKUP(B1505,Bounties!A:E,2,FALSE)</f>
        <v>Spanish Bounty</v>
      </c>
    </row>
    <row r="1506" hidden="1">
      <c r="A1506" s="109">
        <f>HYPERLINK("https://polkadot.subsquare.io/treasury/child-bounties/1506", 1506)</f>
        <v>1506</v>
      </c>
      <c r="B1506" s="183">
        <v>42.0</v>
      </c>
      <c r="C1506" s="27" t="s">
        <v>3404</v>
      </c>
      <c r="D1506" s="27" t="s">
        <v>2020</v>
      </c>
      <c r="E1506" s="129">
        <v>35.65</v>
      </c>
      <c r="F1506" s="66">
        <v>198.1806284427643</v>
      </c>
      <c r="G1506" s="27" t="s">
        <v>3676</v>
      </c>
      <c r="H1506" s="167">
        <v>45474.0</v>
      </c>
      <c r="I1506" s="167">
        <v>45484.0</v>
      </c>
      <c r="J1506" s="66">
        <v>225.59597332477568</v>
      </c>
      <c r="M1506" s="1" t="str">
        <f>VLOOKUP(B1506,Bounties!A:D,3,FALSE)</f>
        <v>Outreach</v>
      </c>
      <c r="N1506" s="1" t="str">
        <f>VLOOKUP(B1506,Bounties!A:D,4,FALSE)</f>
        <v>Media</v>
      </c>
      <c r="O1506" s="1" t="str">
        <f t="shared" ref="O1506:P1506" si="1510">IF(ISBLANK(K1506),M1506,K1506)</f>
        <v>Outreach</v>
      </c>
      <c r="P1506" s="1" t="str">
        <f t="shared" si="1510"/>
        <v>Media</v>
      </c>
      <c r="Q1506" s="108" t="str">
        <f t="shared" si="3"/>
        <v>2024</v>
      </c>
      <c r="R1506" s="110">
        <f t="shared" si="4"/>
        <v>7</v>
      </c>
      <c r="S1506" s="108" t="str">
        <f t="shared" si="5"/>
        <v>2024-Q3</v>
      </c>
      <c r="T1506" s="111" t="str">
        <f t="shared" si="6"/>
        <v>2024-07</v>
      </c>
      <c r="U1506" s="112" t="str">
        <f t="shared" si="7"/>
        <v>2024-H2</v>
      </c>
      <c r="V1506" s="1" t="str">
        <f>VLOOKUP(B1506,Bounties!A:E,2,FALSE)</f>
        <v>Spanish Bounty</v>
      </c>
    </row>
    <row r="1507" hidden="1">
      <c r="A1507" s="109">
        <f>HYPERLINK("https://polkadot.subsquare.io/treasury/child-bounties/1507", 1507)</f>
        <v>1507</v>
      </c>
      <c r="B1507" s="183">
        <v>17.0</v>
      </c>
      <c r="C1507" s="27" t="s">
        <v>3404</v>
      </c>
      <c r="D1507" s="27" t="s">
        <v>2021</v>
      </c>
      <c r="E1507" s="129">
        <v>181.01</v>
      </c>
      <c r="F1507" s="66">
        <v>1006.2461586093902</v>
      </c>
      <c r="G1507" s="27" t="s">
        <v>3578</v>
      </c>
      <c r="H1507" s="167">
        <v>45474.0</v>
      </c>
      <c r="I1507" s="167">
        <v>45483.0</v>
      </c>
      <c r="J1507" s="66">
        <v>1104.0176180171966</v>
      </c>
      <c r="M1507" s="1" t="str">
        <f>VLOOKUP(B1507,Bounties!A:D,3,FALSE)</f>
        <v>Outreach</v>
      </c>
      <c r="N1507" s="1" t="str">
        <f>VLOOKUP(B1507,Bounties!A:D,4,FALSE)</f>
        <v>Events/Meetups</v>
      </c>
      <c r="O1507" s="1" t="str">
        <f t="shared" ref="O1507:P1507" si="1511">IF(ISBLANK(K1507),M1507,K1507)</f>
        <v>Outreach</v>
      </c>
      <c r="P1507" s="1" t="str">
        <f t="shared" si="1511"/>
        <v>Events/Meetups</v>
      </c>
      <c r="Q1507" s="108" t="str">
        <f t="shared" si="3"/>
        <v>2024</v>
      </c>
      <c r="R1507" s="110">
        <f t="shared" si="4"/>
        <v>7</v>
      </c>
      <c r="S1507" s="108" t="str">
        <f t="shared" si="5"/>
        <v>2024-Q3</v>
      </c>
      <c r="T1507" s="111" t="str">
        <f t="shared" si="6"/>
        <v>2024-07</v>
      </c>
      <c r="U1507" s="112" t="str">
        <f t="shared" si="7"/>
        <v>2024-H2</v>
      </c>
      <c r="V1507" s="1" t="str">
        <f>VLOOKUP(B1507,Bounties!A:E,2,FALSE)</f>
        <v>Events Bounty</v>
      </c>
    </row>
    <row r="1508" hidden="1">
      <c r="A1508" s="109">
        <f>HYPERLINK("https://polkadot.subsquare.io/treasury/child-bounties/1508", 1508)</f>
        <v>1508</v>
      </c>
      <c r="B1508" s="183">
        <v>11.0</v>
      </c>
      <c r="C1508" s="27" t="s">
        <v>3404</v>
      </c>
      <c r="D1508" s="27" t="s">
        <v>2022</v>
      </c>
      <c r="E1508" s="129">
        <v>274.8691099476</v>
      </c>
      <c r="F1508" s="66">
        <v>1528.0149494787838</v>
      </c>
      <c r="G1508" s="27" t="s">
        <v>3562</v>
      </c>
      <c r="H1508" s="167">
        <v>45474.0</v>
      </c>
      <c r="I1508" s="167">
        <v>45483.0</v>
      </c>
      <c r="J1508" s="66">
        <v>1716.2849391315372</v>
      </c>
      <c r="M1508" s="1" t="str">
        <f>VLOOKUP(B1508,Bounties!A:D,3,FALSE)</f>
        <v>Research</v>
      </c>
      <c r="N1508" s="1" t="str">
        <f>VLOOKUP(B1508,Bounties!A:D,4,FALSE)</f>
        <v>Anti-Scam</v>
      </c>
      <c r="O1508" s="1" t="str">
        <f t="shared" ref="O1508:P1508" si="1512">IF(ISBLANK(K1508),M1508,K1508)</f>
        <v>Research</v>
      </c>
      <c r="P1508" s="1" t="str">
        <f t="shared" si="1512"/>
        <v>Anti-Scam</v>
      </c>
      <c r="Q1508" s="108" t="str">
        <f t="shared" si="3"/>
        <v>2024</v>
      </c>
      <c r="R1508" s="110">
        <f t="shared" si="4"/>
        <v>7</v>
      </c>
      <c r="S1508" s="108" t="str">
        <f t="shared" si="5"/>
        <v>2024-Q3</v>
      </c>
      <c r="T1508" s="111" t="str">
        <f t="shared" si="6"/>
        <v>2024-07</v>
      </c>
      <c r="U1508" s="112" t="str">
        <f t="shared" si="7"/>
        <v>2024-H2</v>
      </c>
      <c r="V1508" s="1" t="str">
        <f>VLOOKUP(B1508,Bounties!A:E,2,FALSE)</f>
        <v>Anti-Scam Bounty</v>
      </c>
    </row>
    <row r="1509" hidden="1">
      <c r="A1509" s="109">
        <f>HYPERLINK("https://polkadot.subsquare.io/treasury/child-bounties/1509", 1509)</f>
        <v>1509</v>
      </c>
      <c r="B1509" s="183">
        <v>11.0</v>
      </c>
      <c r="C1509" s="27" t="s">
        <v>3404</v>
      </c>
      <c r="D1509" s="27" t="s">
        <v>2023</v>
      </c>
      <c r="E1509" s="129">
        <v>117.8010471204</v>
      </c>
      <c r="F1509" s="66">
        <v>654.8635497766215</v>
      </c>
      <c r="G1509" s="27" t="s">
        <v>3469</v>
      </c>
      <c r="H1509" s="167">
        <v>45474.0</v>
      </c>
      <c r="I1509" s="167">
        <v>45486.0</v>
      </c>
      <c r="J1509" s="66">
        <v>747.3561152112474</v>
      </c>
      <c r="M1509" s="1" t="str">
        <f>VLOOKUP(B1509,Bounties!A:D,3,FALSE)</f>
        <v>Research</v>
      </c>
      <c r="N1509" s="1" t="str">
        <f>VLOOKUP(B1509,Bounties!A:D,4,FALSE)</f>
        <v>Anti-Scam</v>
      </c>
      <c r="O1509" s="1" t="str">
        <f t="shared" ref="O1509:P1509" si="1513">IF(ISBLANK(K1509),M1509,K1509)</f>
        <v>Research</v>
      </c>
      <c r="P1509" s="1" t="str">
        <f t="shared" si="1513"/>
        <v>Anti-Scam</v>
      </c>
      <c r="Q1509" s="108" t="str">
        <f t="shared" si="3"/>
        <v>2024</v>
      </c>
      <c r="R1509" s="110">
        <f t="shared" si="4"/>
        <v>7</v>
      </c>
      <c r="S1509" s="108" t="str">
        <f t="shared" si="5"/>
        <v>2024-Q3</v>
      </c>
      <c r="T1509" s="111" t="str">
        <f t="shared" si="6"/>
        <v>2024-07</v>
      </c>
      <c r="U1509" s="112" t="str">
        <f t="shared" si="7"/>
        <v>2024-H2</v>
      </c>
      <c r="V1509" s="1" t="str">
        <f>VLOOKUP(B1509,Bounties!A:E,2,FALSE)</f>
        <v>Anti-Scam Bounty</v>
      </c>
    </row>
    <row r="1510" hidden="1">
      <c r="A1510" s="109">
        <f>HYPERLINK("https://polkadot.subsquare.io/treasury/child-bounties/1510", 1510)</f>
        <v>1510</v>
      </c>
      <c r="B1510" s="183">
        <v>11.0</v>
      </c>
      <c r="C1510" s="27" t="s">
        <v>3404</v>
      </c>
      <c r="D1510" s="27" t="s">
        <v>2024</v>
      </c>
      <c r="E1510" s="129">
        <v>121.1827435773</v>
      </c>
      <c r="F1510" s="66">
        <v>673.6626165096121</v>
      </c>
      <c r="G1510" s="27" t="s">
        <v>3628</v>
      </c>
      <c r="H1510" s="167">
        <v>45474.0</v>
      </c>
      <c r="I1510" s="167">
        <v>45483.0</v>
      </c>
      <c r="J1510" s="66">
        <v>756.6660281470271</v>
      </c>
      <c r="M1510" s="1" t="str">
        <f>VLOOKUP(B1510,Bounties!A:D,3,FALSE)</f>
        <v>Research</v>
      </c>
      <c r="N1510" s="1" t="str">
        <f>VLOOKUP(B1510,Bounties!A:D,4,FALSE)</f>
        <v>Anti-Scam</v>
      </c>
      <c r="O1510" s="1" t="str">
        <f t="shared" ref="O1510:P1510" si="1514">IF(ISBLANK(K1510),M1510,K1510)</f>
        <v>Research</v>
      </c>
      <c r="P1510" s="1" t="str">
        <f t="shared" si="1514"/>
        <v>Anti-Scam</v>
      </c>
      <c r="Q1510" s="108" t="str">
        <f t="shared" si="3"/>
        <v>2024</v>
      </c>
      <c r="R1510" s="110">
        <f t="shared" si="4"/>
        <v>7</v>
      </c>
      <c r="S1510" s="108" t="str">
        <f t="shared" si="5"/>
        <v>2024-Q3</v>
      </c>
      <c r="T1510" s="111" t="str">
        <f t="shared" si="6"/>
        <v>2024-07</v>
      </c>
      <c r="U1510" s="112" t="str">
        <f t="shared" si="7"/>
        <v>2024-H2</v>
      </c>
      <c r="V1510" s="1" t="str">
        <f>VLOOKUP(B1510,Bounties!A:E,2,FALSE)</f>
        <v>Anti-Scam Bounty</v>
      </c>
    </row>
    <row r="1511" hidden="1">
      <c r="A1511" s="109">
        <f>HYPERLINK("https://polkadot.subsquare.io/treasury/child-bounties/1511", 1511)</f>
        <v>1511</v>
      </c>
      <c r="B1511" s="183">
        <v>11.0</v>
      </c>
      <c r="C1511" s="27" t="s">
        <v>3404</v>
      </c>
      <c r="D1511" s="27" t="s">
        <v>2025</v>
      </c>
      <c r="E1511" s="129">
        <v>121.1827435773</v>
      </c>
      <c r="F1511" s="66">
        <v>673.6626165096121</v>
      </c>
      <c r="G1511" s="27" t="s">
        <v>3424</v>
      </c>
      <c r="H1511" s="167">
        <v>45474.0</v>
      </c>
      <c r="I1511" s="167">
        <v>45483.0</v>
      </c>
      <c r="J1511" s="66">
        <v>756.6660281470271</v>
      </c>
      <c r="M1511" s="1" t="str">
        <f>VLOOKUP(B1511,Bounties!A:D,3,FALSE)</f>
        <v>Research</v>
      </c>
      <c r="N1511" s="1" t="str">
        <f>VLOOKUP(B1511,Bounties!A:D,4,FALSE)</f>
        <v>Anti-Scam</v>
      </c>
      <c r="O1511" s="1" t="str">
        <f t="shared" ref="O1511:P1511" si="1515">IF(ISBLANK(K1511),M1511,K1511)</f>
        <v>Research</v>
      </c>
      <c r="P1511" s="1" t="str">
        <f t="shared" si="1515"/>
        <v>Anti-Scam</v>
      </c>
      <c r="Q1511" s="108" t="str">
        <f t="shared" si="3"/>
        <v>2024</v>
      </c>
      <c r="R1511" s="110">
        <f t="shared" si="4"/>
        <v>7</v>
      </c>
      <c r="S1511" s="108" t="str">
        <f t="shared" si="5"/>
        <v>2024-Q3</v>
      </c>
      <c r="T1511" s="111" t="str">
        <f t="shared" si="6"/>
        <v>2024-07</v>
      </c>
      <c r="U1511" s="112" t="str">
        <f t="shared" si="7"/>
        <v>2024-H2</v>
      </c>
      <c r="V1511" s="1" t="str">
        <f>VLOOKUP(B1511,Bounties!A:E,2,FALSE)</f>
        <v>Anti-Scam Bounty</v>
      </c>
    </row>
    <row r="1512" hidden="1">
      <c r="A1512" s="109">
        <f>HYPERLINK("https://polkadot.subsquare.io/treasury/child-bounties/1512", 1512)</f>
        <v>1512</v>
      </c>
      <c r="B1512" s="183">
        <v>11.0</v>
      </c>
      <c r="C1512" s="27" t="s">
        <v>3404</v>
      </c>
      <c r="D1512" s="27" t="s">
        <v>2026</v>
      </c>
      <c r="E1512" s="129">
        <v>80.7884957182</v>
      </c>
      <c r="F1512" s="66">
        <v>449.10841100640806</v>
      </c>
      <c r="G1512" s="27" t="s">
        <v>3628</v>
      </c>
      <c r="H1512" s="167">
        <v>45474.0</v>
      </c>
      <c r="I1512" s="167">
        <v>45483.0</v>
      </c>
      <c r="J1512" s="66">
        <v>504.4440187646847</v>
      </c>
      <c r="M1512" s="1" t="str">
        <f>VLOOKUP(B1512,Bounties!A:D,3,FALSE)</f>
        <v>Research</v>
      </c>
      <c r="N1512" s="1" t="str">
        <f>VLOOKUP(B1512,Bounties!A:D,4,FALSE)</f>
        <v>Anti-Scam</v>
      </c>
      <c r="O1512" s="1" t="str">
        <f t="shared" ref="O1512:P1512" si="1516">IF(ISBLANK(K1512),M1512,K1512)</f>
        <v>Research</v>
      </c>
      <c r="P1512" s="1" t="str">
        <f t="shared" si="1516"/>
        <v>Anti-Scam</v>
      </c>
      <c r="Q1512" s="108" t="str">
        <f t="shared" si="3"/>
        <v>2024</v>
      </c>
      <c r="R1512" s="110">
        <f t="shared" si="4"/>
        <v>7</v>
      </c>
      <c r="S1512" s="108" t="str">
        <f t="shared" si="5"/>
        <v>2024-Q3</v>
      </c>
      <c r="T1512" s="111" t="str">
        <f t="shared" si="6"/>
        <v>2024-07</v>
      </c>
      <c r="U1512" s="112" t="str">
        <f t="shared" si="7"/>
        <v>2024-H2</v>
      </c>
      <c r="V1512" s="1" t="str">
        <f>VLOOKUP(B1512,Bounties!A:E,2,FALSE)</f>
        <v>Anti-Scam Bounty</v>
      </c>
    </row>
    <row r="1513" hidden="1">
      <c r="A1513" s="109">
        <f>HYPERLINK("https://polkadot.subsquare.io/treasury/child-bounties/1513", 1513)</f>
        <v>1513</v>
      </c>
      <c r="B1513" s="183">
        <v>11.0</v>
      </c>
      <c r="C1513" s="27" t="s">
        <v>3404</v>
      </c>
      <c r="D1513" s="27" t="s">
        <v>2027</v>
      </c>
      <c r="E1513" s="129">
        <v>80.7884957182</v>
      </c>
      <c r="F1513" s="66">
        <v>449.10841100640806</v>
      </c>
      <c r="G1513" s="27" t="s">
        <v>3457</v>
      </c>
      <c r="H1513" s="167">
        <v>45474.0</v>
      </c>
      <c r="I1513" s="167">
        <v>45484.0</v>
      </c>
      <c r="J1513" s="66">
        <v>504.4440187646847</v>
      </c>
      <c r="M1513" s="1" t="str">
        <f>VLOOKUP(B1513,Bounties!A:D,3,FALSE)</f>
        <v>Research</v>
      </c>
      <c r="N1513" s="1" t="str">
        <f>VLOOKUP(B1513,Bounties!A:D,4,FALSE)</f>
        <v>Anti-Scam</v>
      </c>
      <c r="O1513" s="1" t="str">
        <f t="shared" ref="O1513:P1513" si="1517">IF(ISBLANK(K1513),M1513,K1513)</f>
        <v>Research</v>
      </c>
      <c r="P1513" s="1" t="str">
        <f t="shared" si="1517"/>
        <v>Anti-Scam</v>
      </c>
      <c r="Q1513" s="108" t="str">
        <f t="shared" si="3"/>
        <v>2024</v>
      </c>
      <c r="R1513" s="110">
        <f t="shared" si="4"/>
        <v>7</v>
      </c>
      <c r="S1513" s="108" t="str">
        <f t="shared" si="5"/>
        <v>2024-Q3</v>
      </c>
      <c r="T1513" s="111" t="str">
        <f t="shared" si="6"/>
        <v>2024-07</v>
      </c>
      <c r="U1513" s="112" t="str">
        <f t="shared" si="7"/>
        <v>2024-H2</v>
      </c>
      <c r="V1513" s="1" t="str">
        <f>VLOOKUP(B1513,Bounties!A:E,2,FALSE)</f>
        <v>Anti-Scam Bounty</v>
      </c>
    </row>
    <row r="1514" hidden="1">
      <c r="A1514" s="109">
        <f>HYPERLINK("https://polkadot.subsquare.io/treasury/child-bounties/1514", 1514)</f>
        <v>1514</v>
      </c>
      <c r="B1514" s="183">
        <v>11.0</v>
      </c>
      <c r="C1514" s="27" t="s">
        <v>3404</v>
      </c>
      <c r="D1514" s="27" t="s">
        <v>2028</v>
      </c>
      <c r="E1514" s="129">
        <v>235.6</v>
      </c>
      <c r="F1514" s="66">
        <v>1309.71545753479</v>
      </c>
      <c r="G1514" s="27" t="s">
        <v>3407</v>
      </c>
      <c r="H1514" s="167">
        <v>45474.0</v>
      </c>
      <c r="I1514" s="167">
        <v>45485.0</v>
      </c>
      <c r="J1514" s="66">
        <v>1531.0600505828857</v>
      </c>
      <c r="M1514" s="1" t="str">
        <f>VLOOKUP(B1514,Bounties!A:D,3,FALSE)</f>
        <v>Research</v>
      </c>
      <c r="N1514" s="1" t="str">
        <f>VLOOKUP(B1514,Bounties!A:D,4,FALSE)</f>
        <v>Anti-Scam</v>
      </c>
      <c r="O1514" s="1" t="str">
        <f t="shared" ref="O1514:P1514" si="1518">IF(ISBLANK(K1514),M1514,K1514)</f>
        <v>Research</v>
      </c>
      <c r="P1514" s="1" t="str">
        <f t="shared" si="1518"/>
        <v>Anti-Scam</v>
      </c>
      <c r="Q1514" s="108" t="str">
        <f t="shared" si="3"/>
        <v>2024</v>
      </c>
      <c r="R1514" s="110">
        <f t="shared" si="4"/>
        <v>7</v>
      </c>
      <c r="S1514" s="108" t="str">
        <f t="shared" si="5"/>
        <v>2024-Q3</v>
      </c>
      <c r="T1514" s="111" t="str">
        <f t="shared" si="6"/>
        <v>2024-07</v>
      </c>
      <c r="U1514" s="112" t="str">
        <f t="shared" si="7"/>
        <v>2024-H2</v>
      </c>
      <c r="V1514" s="1" t="str">
        <f>VLOOKUP(B1514,Bounties!A:E,2,FALSE)</f>
        <v>Anti-Scam Bounty</v>
      </c>
    </row>
    <row r="1515" hidden="1">
      <c r="A1515" s="109">
        <f>HYPERLINK("https://polkadot.subsquare.io/treasury/child-bounties/1515", 1515)</f>
        <v>1515</v>
      </c>
      <c r="B1515" s="183">
        <v>11.0</v>
      </c>
      <c r="C1515" s="27" t="s">
        <v>3404</v>
      </c>
      <c r="D1515" s="27" t="s">
        <v>2029</v>
      </c>
      <c r="E1515" s="129">
        <v>196.335078534</v>
      </c>
      <c r="F1515" s="66">
        <v>1091.4392496277026</v>
      </c>
      <c r="G1515" s="27" t="s">
        <v>3424</v>
      </c>
      <c r="H1515" s="167">
        <v>45474.0</v>
      </c>
      <c r="I1515" s="167">
        <v>45483.0</v>
      </c>
      <c r="J1515" s="66">
        <v>1197.4884577444666</v>
      </c>
      <c r="M1515" s="1" t="str">
        <f>VLOOKUP(B1515,Bounties!A:D,3,FALSE)</f>
        <v>Research</v>
      </c>
      <c r="N1515" s="1" t="str">
        <f>VLOOKUP(B1515,Bounties!A:D,4,FALSE)</f>
        <v>Anti-Scam</v>
      </c>
      <c r="O1515" s="1" t="str">
        <f t="shared" ref="O1515:P1515" si="1519">IF(ISBLANK(K1515),M1515,K1515)</f>
        <v>Research</v>
      </c>
      <c r="P1515" s="1" t="str">
        <f t="shared" si="1519"/>
        <v>Anti-Scam</v>
      </c>
      <c r="Q1515" s="108" t="str">
        <f t="shared" si="3"/>
        <v>2024</v>
      </c>
      <c r="R1515" s="110">
        <f t="shared" si="4"/>
        <v>7</v>
      </c>
      <c r="S1515" s="108" t="str">
        <f t="shared" si="5"/>
        <v>2024-Q3</v>
      </c>
      <c r="T1515" s="111" t="str">
        <f t="shared" si="6"/>
        <v>2024-07</v>
      </c>
      <c r="U1515" s="112" t="str">
        <f t="shared" si="7"/>
        <v>2024-H2</v>
      </c>
      <c r="V1515" s="1" t="str">
        <f>VLOOKUP(B1515,Bounties!A:E,2,FALSE)</f>
        <v>Anti-Scam Bounty</v>
      </c>
    </row>
    <row r="1516" hidden="1">
      <c r="A1516" s="109">
        <f>HYPERLINK("https://polkadot.subsquare.io/treasury/child-bounties/1516", 1516)</f>
        <v>1516</v>
      </c>
      <c r="B1516" s="183">
        <v>11.0</v>
      </c>
      <c r="C1516" s="27" t="s">
        <v>3404</v>
      </c>
      <c r="D1516" s="27" t="s">
        <v>2030</v>
      </c>
      <c r="E1516" s="129">
        <v>429.795</v>
      </c>
      <c r="F1516" s="66">
        <v>2389.2578738164902</v>
      </c>
      <c r="G1516" s="27" t="s">
        <v>3576</v>
      </c>
      <c r="H1516" s="167">
        <v>45474.0</v>
      </c>
      <c r="I1516" s="167">
        <v>45486.0</v>
      </c>
      <c r="J1516" s="66">
        <v>2793.0473448228836</v>
      </c>
      <c r="M1516" s="1" t="str">
        <f>VLOOKUP(B1516,Bounties!A:D,3,FALSE)</f>
        <v>Research</v>
      </c>
      <c r="N1516" s="1" t="str">
        <f>VLOOKUP(B1516,Bounties!A:D,4,FALSE)</f>
        <v>Anti-Scam</v>
      </c>
      <c r="O1516" s="1" t="str">
        <f t="shared" ref="O1516:P1516" si="1520">IF(ISBLANK(K1516),M1516,K1516)</f>
        <v>Research</v>
      </c>
      <c r="P1516" s="1" t="str">
        <f t="shared" si="1520"/>
        <v>Anti-Scam</v>
      </c>
      <c r="Q1516" s="108" t="str">
        <f t="shared" si="3"/>
        <v>2024</v>
      </c>
      <c r="R1516" s="110">
        <f t="shared" si="4"/>
        <v>7</v>
      </c>
      <c r="S1516" s="108" t="str">
        <f t="shared" si="5"/>
        <v>2024-Q3</v>
      </c>
      <c r="T1516" s="111" t="str">
        <f t="shared" si="6"/>
        <v>2024-07</v>
      </c>
      <c r="U1516" s="112" t="str">
        <f t="shared" si="7"/>
        <v>2024-H2</v>
      </c>
      <c r="V1516" s="1" t="str">
        <f>VLOOKUP(B1516,Bounties!A:E,2,FALSE)</f>
        <v>Anti-Scam Bounty</v>
      </c>
    </row>
    <row r="1517" hidden="1">
      <c r="A1517" s="109">
        <f>HYPERLINK("https://polkadot.subsquare.io/treasury/child-bounties/1517", 1517)</f>
        <v>1517</v>
      </c>
      <c r="B1517" s="183">
        <v>11.0</v>
      </c>
      <c r="C1517" s="27" t="s">
        <v>3404</v>
      </c>
      <c r="D1517" s="27" t="s">
        <v>2031</v>
      </c>
      <c r="E1517" s="129">
        <v>266.602</v>
      </c>
      <c r="F1517" s="66">
        <v>1482.0575569171904</v>
      </c>
      <c r="G1517" s="27" t="s">
        <v>3576</v>
      </c>
      <c r="H1517" s="167">
        <v>45474.0</v>
      </c>
      <c r="I1517" s="167">
        <v>45486.0</v>
      </c>
      <c r="J1517" s="66">
        <v>1732.5283175106047</v>
      </c>
      <c r="M1517" s="1" t="str">
        <f>VLOOKUP(B1517,Bounties!A:D,3,FALSE)</f>
        <v>Research</v>
      </c>
      <c r="N1517" s="1" t="str">
        <f>VLOOKUP(B1517,Bounties!A:D,4,FALSE)</f>
        <v>Anti-Scam</v>
      </c>
      <c r="O1517" s="1" t="str">
        <f t="shared" ref="O1517:P1517" si="1521">IF(ISBLANK(K1517),M1517,K1517)</f>
        <v>Research</v>
      </c>
      <c r="P1517" s="1" t="str">
        <f t="shared" si="1521"/>
        <v>Anti-Scam</v>
      </c>
      <c r="Q1517" s="108" t="str">
        <f t="shared" si="3"/>
        <v>2024</v>
      </c>
      <c r="R1517" s="110">
        <f t="shared" si="4"/>
        <v>7</v>
      </c>
      <c r="S1517" s="108" t="str">
        <f t="shared" si="5"/>
        <v>2024-Q3</v>
      </c>
      <c r="T1517" s="111" t="str">
        <f t="shared" si="6"/>
        <v>2024-07</v>
      </c>
      <c r="U1517" s="112" t="str">
        <f t="shared" si="7"/>
        <v>2024-H2</v>
      </c>
      <c r="V1517" s="1" t="str">
        <f>VLOOKUP(B1517,Bounties!A:E,2,FALSE)</f>
        <v>Anti-Scam Bounty</v>
      </c>
    </row>
    <row r="1518" hidden="1">
      <c r="A1518" s="109">
        <f>HYPERLINK("https://polkadot.subsquare.io/treasury/child-bounties/1518", 1518)</f>
        <v>1518</v>
      </c>
      <c r="B1518" s="183">
        <v>11.0</v>
      </c>
      <c r="C1518" s="27" t="s">
        <v>3404</v>
      </c>
      <c r="D1518" s="27" t="s">
        <v>2032</v>
      </c>
      <c r="E1518" s="129">
        <v>40.3942478591</v>
      </c>
      <c r="F1518" s="66">
        <v>224.55420550320403</v>
      </c>
      <c r="G1518" s="27" t="s">
        <v>3526</v>
      </c>
      <c r="H1518" s="167">
        <v>45474.0</v>
      </c>
      <c r="I1518" s="167">
        <v>45484.0</v>
      </c>
      <c r="J1518" s="66">
        <v>255.61794284700986</v>
      </c>
      <c r="M1518" s="1" t="str">
        <f>VLOOKUP(B1518,Bounties!A:D,3,FALSE)</f>
        <v>Research</v>
      </c>
      <c r="N1518" s="1" t="str">
        <f>VLOOKUP(B1518,Bounties!A:D,4,FALSE)</f>
        <v>Anti-Scam</v>
      </c>
      <c r="O1518" s="1" t="str">
        <f t="shared" ref="O1518:P1518" si="1522">IF(ISBLANK(K1518),M1518,K1518)</f>
        <v>Research</v>
      </c>
      <c r="P1518" s="1" t="str">
        <f t="shared" si="1522"/>
        <v>Anti-Scam</v>
      </c>
      <c r="Q1518" s="108" t="str">
        <f t="shared" si="3"/>
        <v>2024</v>
      </c>
      <c r="R1518" s="110">
        <f t="shared" si="4"/>
        <v>7</v>
      </c>
      <c r="S1518" s="108" t="str">
        <f t="shared" si="5"/>
        <v>2024-Q3</v>
      </c>
      <c r="T1518" s="111" t="str">
        <f t="shared" si="6"/>
        <v>2024-07</v>
      </c>
      <c r="U1518" s="112" t="str">
        <f t="shared" si="7"/>
        <v>2024-H2</v>
      </c>
      <c r="V1518" s="1" t="str">
        <f>VLOOKUP(B1518,Bounties!A:E,2,FALSE)</f>
        <v>Anti-Scam Bounty</v>
      </c>
    </row>
    <row r="1519" hidden="1">
      <c r="A1519" s="109">
        <f>HYPERLINK("https://polkadot.subsquare.io/treasury/child-bounties/1519", 1519)</f>
        <v>1519</v>
      </c>
      <c r="B1519" s="183">
        <v>11.0</v>
      </c>
      <c r="C1519" s="27" t="s">
        <v>3404</v>
      </c>
      <c r="D1519" s="27" t="s">
        <v>2033</v>
      </c>
      <c r="E1519" s="129">
        <v>40.3942478591</v>
      </c>
      <c r="F1519" s="66">
        <v>224.55420550320403</v>
      </c>
      <c r="G1519" s="27" t="s">
        <v>3486</v>
      </c>
      <c r="H1519" s="167">
        <v>45474.0</v>
      </c>
      <c r="I1519" s="167">
        <v>45484.0</v>
      </c>
      <c r="J1519" s="66">
        <v>255.61794284700986</v>
      </c>
      <c r="M1519" s="1" t="str">
        <f>VLOOKUP(B1519,Bounties!A:D,3,FALSE)</f>
        <v>Research</v>
      </c>
      <c r="N1519" s="1" t="str">
        <f>VLOOKUP(B1519,Bounties!A:D,4,FALSE)</f>
        <v>Anti-Scam</v>
      </c>
      <c r="O1519" s="1" t="str">
        <f t="shared" ref="O1519:P1519" si="1523">IF(ISBLANK(K1519),M1519,K1519)</f>
        <v>Research</v>
      </c>
      <c r="P1519" s="1" t="str">
        <f t="shared" si="1523"/>
        <v>Anti-Scam</v>
      </c>
      <c r="Q1519" s="108" t="str">
        <f t="shared" si="3"/>
        <v>2024</v>
      </c>
      <c r="R1519" s="110">
        <f t="shared" si="4"/>
        <v>7</v>
      </c>
      <c r="S1519" s="108" t="str">
        <f t="shared" si="5"/>
        <v>2024-Q3</v>
      </c>
      <c r="T1519" s="111" t="str">
        <f t="shared" si="6"/>
        <v>2024-07</v>
      </c>
      <c r="U1519" s="112" t="str">
        <f t="shared" si="7"/>
        <v>2024-H2</v>
      </c>
      <c r="V1519" s="1" t="str">
        <f>VLOOKUP(B1519,Bounties!A:E,2,FALSE)</f>
        <v>Anti-Scam Bounty</v>
      </c>
    </row>
    <row r="1520" hidden="1">
      <c r="A1520" s="109">
        <f>HYPERLINK("https://polkadot.subsquare.io/treasury/child-bounties/1520", 1520)</f>
        <v>1520</v>
      </c>
      <c r="B1520" s="183">
        <v>11.0</v>
      </c>
      <c r="C1520" s="27" t="s">
        <v>3404</v>
      </c>
      <c r="D1520" s="27" t="s">
        <v>2034</v>
      </c>
      <c r="E1520" s="129">
        <v>80.7884957182</v>
      </c>
      <c r="F1520" s="66">
        <v>449.10841100640806</v>
      </c>
      <c r="G1520" s="27" t="s">
        <v>3486</v>
      </c>
      <c r="H1520" s="167">
        <v>45474.0</v>
      </c>
      <c r="I1520" s="167">
        <v>45484.0</v>
      </c>
      <c r="J1520" s="66">
        <v>511.2358856940197</v>
      </c>
      <c r="M1520" s="1" t="str">
        <f>VLOOKUP(B1520,Bounties!A:D,3,FALSE)</f>
        <v>Research</v>
      </c>
      <c r="N1520" s="1" t="str">
        <f>VLOOKUP(B1520,Bounties!A:D,4,FALSE)</f>
        <v>Anti-Scam</v>
      </c>
      <c r="O1520" s="1" t="str">
        <f t="shared" ref="O1520:P1520" si="1524">IF(ISBLANK(K1520),M1520,K1520)</f>
        <v>Research</v>
      </c>
      <c r="P1520" s="1" t="str">
        <f t="shared" si="1524"/>
        <v>Anti-Scam</v>
      </c>
      <c r="Q1520" s="108" t="str">
        <f t="shared" si="3"/>
        <v>2024</v>
      </c>
      <c r="R1520" s="110">
        <f t="shared" si="4"/>
        <v>7</v>
      </c>
      <c r="S1520" s="108" t="str">
        <f t="shared" si="5"/>
        <v>2024-Q3</v>
      </c>
      <c r="T1520" s="111" t="str">
        <f t="shared" si="6"/>
        <v>2024-07</v>
      </c>
      <c r="U1520" s="112" t="str">
        <f t="shared" si="7"/>
        <v>2024-H2</v>
      </c>
      <c r="V1520" s="1" t="str">
        <f>VLOOKUP(B1520,Bounties!A:E,2,FALSE)</f>
        <v>Anti-Scam Bounty</v>
      </c>
    </row>
    <row r="1521" hidden="1">
      <c r="A1521" s="109">
        <f>HYPERLINK("https://polkadot.subsquare.io/treasury/child-bounties/1521", 1521)</f>
        <v>1521</v>
      </c>
      <c r="B1521" s="183">
        <v>11.0</v>
      </c>
      <c r="C1521" s="27" t="s">
        <v>3404</v>
      </c>
      <c r="D1521" s="27" t="s">
        <v>2035</v>
      </c>
      <c r="E1521" s="129">
        <v>80.7884957182</v>
      </c>
      <c r="F1521" s="66">
        <v>449.10841100640806</v>
      </c>
      <c r="G1521" s="27" t="s">
        <v>3439</v>
      </c>
      <c r="H1521" s="167">
        <v>45474.0</v>
      </c>
      <c r="I1521" s="167">
        <v>45485.0</v>
      </c>
      <c r="J1521" s="66">
        <v>511.2358856940197</v>
      </c>
      <c r="M1521" s="1" t="str">
        <f>VLOOKUP(B1521,Bounties!A:D,3,FALSE)</f>
        <v>Research</v>
      </c>
      <c r="N1521" s="1" t="str">
        <f>VLOOKUP(B1521,Bounties!A:D,4,FALSE)</f>
        <v>Anti-Scam</v>
      </c>
      <c r="O1521" s="1" t="str">
        <f t="shared" ref="O1521:P1521" si="1525">IF(ISBLANK(K1521),M1521,K1521)</f>
        <v>Research</v>
      </c>
      <c r="P1521" s="1" t="str">
        <f t="shared" si="1525"/>
        <v>Anti-Scam</v>
      </c>
      <c r="Q1521" s="108" t="str">
        <f t="shared" si="3"/>
        <v>2024</v>
      </c>
      <c r="R1521" s="110">
        <f t="shared" si="4"/>
        <v>7</v>
      </c>
      <c r="S1521" s="108" t="str">
        <f t="shared" si="5"/>
        <v>2024-Q3</v>
      </c>
      <c r="T1521" s="111" t="str">
        <f t="shared" si="6"/>
        <v>2024-07</v>
      </c>
      <c r="U1521" s="112" t="str">
        <f t="shared" si="7"/>
        <v>2024-H2</v>
      </c>
      <c r="V1521" s="1" t="str">
        <f>VLOOKUP(B1521,Bounties!A:E,2,FALSE)</f>
        <v>Anti-Scam Bounty</v>
      </c>
    </row>
    <row r="1522" hidden="1">
      <c r="A1522" s="109">
        <f>HYPERLINK("https://polkadot.subsquare.io/treasury/child-bounties/1522", 1522)</f>
        <v>1522</v>
      </c>
      <c r="B1522" s="183">
        <v>42.0</v>
      </c>
      <c r="C1522" s="27" t="s">
        <v>3404</v>
      </c>
      <c r="D1522" s="27" t="s">
        <v>2036</v>
      </c>
      <c r="E1522" s="129">
        <v>457.0</v>
      </c>
      <c r="F1522" s="66">
        <v>2540.4922075271606</v>
      </c>
      <c r="G1522" s="27" t="s">
        <v>3674</v>
      </c>
      <c r="H1522" s="167">
        <v>45474.0</v>
      </c>
      <c r="I1522" s="167">
        <v>45482.0</v>
      </c>
      <c r="J1522" s="66">
        <v>2787.3380002975464</v>
      </c>
      <c r="M1522" s="1" t="str">
        <f>VLOOKUP(B1522,Bounties!A:D,3,FALSE)</f>
        <v>Outreach</v>
      </c>
      <c r="N1522" s="1" t="str">
        <f>VLOOKUP(B1522,Bounties!A:D,4,FALSE)</f>
        <v>Media</v>
      </c>
      <c r="O1522" s="1" t="str">
        <f t="shared" ref="O1522:P1522" si="1526">IF(ISBLANK(K1522),M1522,K1522)</f>
        <v>Outreach</v>
      </c>
      <c r="P1522" s="1" t="str">
        <f t="shared" si="1526"/>
        <v>Media</v>
      </c>
      <c r="Q1522" s="108" t="str">
        <f t="shared" si="3"/>
        <v>2024</v>
      </c>
      <c r="R1522" s="110">
        <f t="shared" si="4"/>
        <v>7</v>
      </c>
      <c r="S1522" s="108" t="str">
        <f t="shared" si="5"/>
        <v>2024-Q3</v>
      </c>
      <c r="T1522" s="111" t="str">
        <f t="shared" si="6"/>
        <v>2024-07</v>
      </c>
      <c r="U1522" s="112" t="str">
        <f t="shared" si="7"/>
        <v>2024-H2</v>
      </c>
      <c r="V1522" s="1" t="str">
        <f>VLOOKUP(B1522,Bounties!A:E,2,FALSE)</f>
        <v>Spanish Bounty</v>
      </c>
    </row>
    <row r="1523" hidden="1">
      <c r="A1523" s="109">
        <f>HYPERLINK("https://polkadot.subsquare.io/treasury/child-bounties/1523", 1523)</f>
        <v>1523</v>
      </c>
      <c r="B1523" s="183">
        <v>42.0</v>
      </c>
      <c r="C1523" s="27" t="s">
        <v>3404</v>
      </c>
      <c r="D1523" s="27" t="s">
        <v>2037</v>
      </c>
      <c r="E1523" s="129">
        <v>258.95</v>
      </c>
      <c r="F1523" s="66">
        <v>1439.519599866867</v>
      </c>
      <c r="G1523" s="27" t="s">
        <v>3481</v>
      </c>
      <c r="H1523" s="167">
        <v>45474.0</v>
      </c>
      <c r="I1523" s="167">
        <v>45482.0</v>
      </c>
      <c r="J1523" s="66">
        <v>1579.3898800373076</v>
      </c>
      <c r="M1523" s="1" t="str">
        <f>VLOOKUP(B1523,Bounties!A:D,3,FALSE)</f>
        <v>Outreach</v>
      </c>
      <c r="N1523" s="1" t="str">
        <f>VLOOKUP(B1523,Bounties!A:D,4,FALSE)</f>
        <v>Media</v>
      </c>
      <c r="O1523" s="1" t="str">
        <f t="shared" ref="O1523:P1523" si="1527">IF(ISBLANK(K1523),M1523,K1523)</f>
        <v>Outreach</v>
      </c>
      <c r="P1523" s="1" t="str">
        <f t="shared" si="1527"/>
        <v>Media</v>
      </c>
      <c r="Q1523" s="108" t="str">
        <f t="shared" si="3"/>
        <v>2024</v>
      </c>
      <c r="R1523" s="110">
        <f t="shared" si="4"/>
        <v>7</v>
      </c>
      <c r="S1523" s="108" t="str">
        <f t="shared" si="5"/>
        <v>2024-Q3</v>
      </c>
      <c r="T1523" s="111" t="str">
        <f t="shared" si="6"/>
        <v>2024-07</v>
      </c>
      <c r="U1523" s="112" t="str">
        <f t="shared" si="7"/>
        <v>2024-H2</v>
      </c>
      <c r="V1523" s="1" t="str">
        <f>VLOOKUP(B1523,Bounties!A:E,2,FALSE)</f>
        <v>Spanish Bounty</v>
      </c>
    </row>
    <row r="1524" hidden="1">
      <c r="A1524" s="109">
        <f>HYPERLINK("https://polkadot.subsquare.io/treasury/child-bounties/1524", 1524)</f>
        <v>1524</v>
      </c>
      <c r="B1524" s="183">
        <v>42.0</v>
      </c>
      <c r="C1524" s="27" t="s">
        <v>3404</v>
      </c>
      <c r="D1524" s="27" t="s">
        <v>2038</v>
      </c>
      <c r="E1524" s="129">
        <v>143.51</v>
      </c>
      <c r="F1524" s="66">
        <v>797.7812619304657</v>
      </c>
      <c r="G1524" s="27" t="s">
        <v>3689</v>
      </c>
      <c r="H1524" s="167">
        <v>45474.0</v>
      </c>
      <c r="I1524" s="167">
        <v>45482.0</v>
      </c>
      <c r="J1524" s="66">
        <v>875.2973225879668</v>
      </c>
      <c r="M1524" s="1" t="str">
        <f>VLOOKUP(B1524,Bounties!A:D,3,FALSE)</f>
        <v>Outreach</v>
      </c>
      <c r="N1524" s="1" t="str">
        <f>VLOOKUP(B1524,Bounties!A:D,4,FALSE)</f>
        <v>Media</v>
      </c>
      <c r="O1524" s="1" t="str">
        <f t="shared" ref="O1524:P1524" si="1528">IF(ISBLANK(K1524),M1524,K1524)</f>
        <v>Outreach</v>
      </c>
      <c r="P1524" s="1" t="str">
        <f t="shared" si="1528"/>
        <v>Media</v>
      </c>
      <c r="Q1524" s="108" t="str">
        <f t="shared" si="3"/>
        <v>2024</v>
      </c>
      <c r="R1524" s="110">
        <f t="shared" si="4"/>
        <v>7</v>
      </c>
      <c r="S1524" s="108" t="str">
        <f t="shared" si="5"/>
        <v>2024-Q3</v>
      </c>
      <c r="T1524" s="111" t="str">
        <f t="shared" si="6"/>
        <v>2024-07</v>
      </c>
      <c r="U1524" s="112" t="str">
        <f t="shared" si="7"/>
        <v>2024-H2</v>
      </c>
      <c r="V1524" s="1" t="str">
        <f>VLOOKUP(B1524,Bounties!A:E,2,FALSE)</f>
        <v>Spanish Bounty</v>
      </c>
    </row>
    <row r="1525" hidden="1">
      <c r="A1525" s="109">
        <f>HYPERLINK("https://polkadot.subsquare.io/treasury/child-bounties/1525", 1525)</f>
        <v>1525</v>
      </c>
      <c r="B1525" s="183">
        <v>42.0</v>
      </c>
      <c r="C1525" s="27" t="s">
        <v>3404</v>
      </c>
      <c r="D1525" s="27" t="s">
        <v>2039</v>
      </c>
      <c r="E1525" s="129">
        <v>281.03</v>
      </c>
      <c r="F1525" s="66">
        <v>1562.2637310314176</v>
      </c>
      <c r="G1525" s="27" t="s">
        <v>3752</v>
      </c>
      <c r="H1525" s="167">
        <v>45474.0</v>
      </c>
      <c r="I1525" s="167">
        <v>45485.0</v>
      </c>
      <c r="J1525" s="66">
        <v>1826.2894992160795</v>
      </c>
      <c r="M1525" s="1" t="str">
        <f>VLOOKUP(B1525,Bounties!A:D,3,FALSE)</f>
        <v>Outreach</v>
      </c>
      <c r="N1525" s="1" t="str">
        <f>VLOOKUP(B1525,Bounties!A:D,4,FALSE)</f>
        <v>Media</v>
      </c>
      <c r="O1525" s="1" t="str">
        <f t="shared" ref="O1525:P1525" si="1529">IF(ISBLANK(K1525),M1525,K1525)</f>
        <v>Outreach</v>
      </c>
      <c r="P1525" s="1" t="str">
        <f t="shared" si="1529"/>
        <v>Media</v>
      </c>
      <c r="Q1525" s="108" t="str">
        <f t="shared" si="3"/>
        <v>2024</v>
      </c>
      <c r="R1525" s="110">
        <f t="shared" si="4"/>
        <v>7</v>
      </c>
      <c r="S1525" s="108" t="str">
        <f t="shared" si="5"/>
        <v>2024-Q3</v>
      </c>
      <c r="T1525" s="111" t="str">
        <f t="shared" si="6"/>
        <v>2024-07</v>
      </c>
      <c r="U1525" s="112" t="str">
        <f t="shared" si="7"/>
        <v>2024-H2</v>
      </c>
      <c r="V1525" s="1" t="str">
        <f>VLOOKUP(B1525,Bounties!A:E,2,FALSE)</f>
        <v>Spanish Bounty</v>
      </c>
    </row>
    <row r="1526" hidden="1">
      <c r="A1526" s="109">
        <f>HYPERLINK("https://polkadot.subsquare.io/treasury/child-bounties/1526", 1526)</f>
        <v>1526</v>
      </c>
      <c r="B1526" s="183">
        <v>11.0</v>
      </c>
      <c r="C1526" s="27" t="s">
        <v>3404</v>
      </c>
      <c r="D1526" s="27" t="s">
        <v>2040</v>
      </c>
      <c r="E1526" s="129">
        <v>196.335078534</v>
      </c>
      <c r="F1526" s="66">
        <v>1091.4392496277026</v>
      </c>
      <c r="G1526" s="27" t="s">
        <v>3486</v>
      </c>
      <c r="H1526" s="167">
        <v>45474.0</v>
      </c>
      <c r="I1526" s="167">
        <v>45483.0</v>
      </c>
      <c r="J1526" s="66">
        <v>1225.9178136653836</v>
      </c>
      <c r="M1526" s="1" t="str">
        <f>VLOOKUP(B1526,Bounties!A:D,3,FALSE)</f>
        <v>Research</v>
      </c>
      <c r="N1526" s="1" t="str">
        <f>VLOOKUP(B1526,Bounties!A:D,4,FALSE)</f>
        <v>Anti-Scam</v>
      </c>
      <c r="O1526" s="1" t="str">
        <f t="shared" ref="O1526:P1526" si="1530">IF(ISBLANK(K1526),M1526,K1526)</f>
        <v>Research</v>
      </c>
      <c r="P1526" s="1" t="str">
        <f t="shared" si="1530"/>
        <v>Anti-Scam</v>
      </c>
      <c r="Q1526" s="108" t="str">
        <f t="shared" si="3"/>
        <v>2024</v>
      </c>
      <c r="R1526" s="110">
        <f t="shared" si="4"/>
        <v>7</v>
      </c>
      <c r="S1526" s="108" t="str">
        <f t="shared" si="5"/>
        <v>2024-Q3</v>
      </c>
      <c r="T1526" s="111" t="str">
        <f t="shared" si="6"/>
        <v>2024-07</v>
      </c>
      <c r="U1526" s="112" t="str">
        <f t="shared" si="7"/>
        <v>2024-H2</v>
      </c>
      <c r="V1526" s="1" t="str">
        <f>VLOOKUP(B1526,Bounties!A:E,2,FALSE)</f>
        <v>Anti-Scam Bounty</v>
      </c>
    </row>
    <row r="1527" hidden="1">
      <c r="A1527" s="109">
        <f>HYPERLINK("https://polkadot.subsquare.io/treasury/child-bounties/1527", 1527)</f>
        <v>1527</v>
      </c>
      <c r="B1527" s="183">
        <v>11.0</v>
      </c>
      <c r="C1527" s="27" t="s">
        <v>3404</v>
      </c>
      <c r="D1527" s="27" t="s">
        <v>2041</v>
      </c>
      <c r="E1527" s="129">
        <v>98.167539267</v>
      </c>
      <c r="F1527" s="66">
        <v>545.7196248138513</v>
      </c>
      <c r="G1527" s="27" t="s">
        <v>3470</v>
      </c>
      <c r="H1527" s="167">
        <v>45474.0</v>
      </c>
      <c r="I1527" s="167">
        <v>45484.0</v>
      </c>
      <c r="J1527" s="66">
        <v>612.9589068326918</v>
      </c>
      <c r="M1527" s="1" t="str">
        <f>VLOOKUP(B1527,Bounties!A:D,3,FALSE)</f>
        <v>Research</v>
      </c>
      <c r="N1527" s="1" t="str">
        <f>VLOOKUP(B1527,Bounties!A:D,4,FALSE)</f>
        <v>Anti-Scam</v>
      </c>
      <c r="O1527" s="1" t="str">
        <f t="shared" ref="O1527:P1527" si="1531">IF(ISBLANK(K1527),M1527,K1527)</f>
        <v>Research</v>
      </c>
      <c r="P1527" s="1" t="str">
        <f t="shared" si="1531"/>
        <v>Anti-Scam</v>
      </c>
      <c r="Q1527" s="108" t="str">
        <f t="shared" si="3"/>
        <v>2024</v>
      </c>
      <c r="R1527" s="110">
        <f t="shared" si="4"/>
        <v>7</v>
      </c>
      <c r="S1527" s="108" t="str">
        <f t="shared" si="5"/>
        <v>2024-Q3</v>
      </c>
      <c r="T1527" s="111" t="str">
        <f t="shared" si="6"/>
        <v>2024-07</v>
      </c>
      <c r="U1527" s="112" t="str">
        <f t="shared" si="7"/>
        <v>2024-H2</v>
      </c>
      <c r="V1527" s="1" t="str">
        <f>VLOOKUP(B1527,Bounties!A:E,2,FALSE)</f>
        <v>Anti-Scam Bounty</v>
      </c>
    </row>
    <row r="1528" hidden="1">
      <c r="A1528" s="109">
        <f>HYPERLINK("https://polkadot.subsquare.io/treasury/child-bounties/1528", 1528)</f>
        <v>1528</v>
      </c>
      <c r="B1528" s="183">
        <v>11.0</v>
      </c>
      <c r="C1528" s="27" t="s">
        <v>3404</v>
      </c>
      <c r="D1528" s="27" t="s">
        <v>2042</v>
      </c>
      <c r="E1528" s="129">
        <v>121.1827436</v>
      </c>
      <c r="F1528" s="66">
        <v>673.6626166358028</v>
      </c>
      <c r="G1528" s="27" t="s">
        <v>3644</v>
      </c>
      <c r="H1528" s="167">
        <v>45475.0</v>
      </c>
      <c r="I1528" s="167">
        <v>45485.0</v>
      </c>
      <c r="J1528" s="66">
        <v>787.5129776994434</v>
      </c>
      <c r="M1528" s="1" t="str">
        <f>VLOOKUP(B1528,Bounties!A:D,3,FALSE)</f>
        <v>Research</v>
      </c>
      <c r="N1528" s="1" t="str">
        <f>VLOOKUP(B1528,Bounties!A:D,4,FALSE)</f>
        <v>Anti-Scam</v>
      </c>
      <c r="O1528" s="1" t="str">
        <f t="shared" ref="O1528:P1528" si="1532">IF(ISBLANK(K1528),M1528,K1528)</f>
        <v>Research</v>
      </c>
      <c r="P1528" s="1" t="str">
        <f t="shared" si="1532"/>
        <v>Anti-Scam</v>
      </c>
      <c r="Q1528" s="108" t="str">
        <f t="shared" si="3"/>
        <v>2024</v>
      </c>
      <c r="R1528" s="110">
        <f t="shared" si="4"/>
        <v>7</v>
      </c>
      <c r="S1528" s="108" t="str">
        <f t="shared" si="5"/>
        <v>2024-Q3</v>
      </c>
      <c r="T1528" s="111" t="str">
        <f t="shared" si="6"/>
        <v>2024-07</v>
      </c>
      <c r="U1528" s="112" t="str">
        <f t="shared" si="7"/>
        <v>2024-H2</v>
      </c>
      <c r="V1528" s="1" t="str">
        <f>VLOOKUP(B1528,Bounties!A:E,2,FALSE)</f>
        <v>Anti-Scam Bounty</v>
      </c>
    </row>
    <row r="1529" hidden="1">
      <c r="A1529" s="109">
        <f>HYPERLINK("https://polkadot.subsquare.io/treasury/child-bounties/1529", 1529)</f>
        <v>1529</v>
      </c>
      <c r="B1529" s="183">
        <v>11.0</v>
      </c>
      <c r="C1529" s="27" t="s">
        <v>3404</v>
      </c>
      <c r="D1529" s="27" t="s">
        <v>2043</v>
      </c>
      <c r="E1529" s="129">
        <v>80.7884957</v>
      </c>
      <c r="F1529" s="66">
        <v>449.1084109052331</v>
      </c>
      <c r="G1529" s="27" t="s">
        <v>3409</v>
      </c>
      <c r="H1529" s="167">
        <v>45475.0</v>
      </c>
      <c r="I1529" s="167">
        <v>45497.0</v>
      </c>
      <c r="J1529" s="66">
        <v>474.2302325694988</v>
      </c>
      <c r="M1529" s="1" t="str">
        <f>VLOOKUP(B1529,Bounties!A:D,3,FALSE)</f>
        <v>Research</v>
      </c>
      <c r="N1529" s="1" t="str">
        <f>VLOOKUP(B1529,Bounties!A:D,4,FALSE)</f>
        <v>Anti-Scam</v>
      </c>
      <c r="O1529" s="1" t="str">
        <f t="shared" ref="O1529:P1529" si="1533">IF(ISBLANK(K1529),M1529,K1529)</f>
        <v>Research</v>
      </c>
      <c r="P1529" s="1" t="str">
        <f t="shared" si="1533"/>
        <v>Anti-Scam</v>
      </c>
      <c r="Q1529" s="108" t="str">
        <f t="shared" si="3"/>
        <v>2024</v>
      </c>
      <c r="R1529" s="110">
        <f t="shared" si="4"/>
        <v>7</v>
      </c>
      <c r="S1529" s="108" t="str">
        <f t="shared" si="5"/>
        <v>2024-Q3</v>
      </c>
      <c r="T1529" s="111" t="str">
        <f t="shared" si="6"/>
        <v>2024-07</v>
      </c>
      <c r="U1529" s="112" t="str">
        <f t="shared" si="7"/>
        <v>2024-H2</v>
      </c>
      <c r="V1529" s="1" t="str">
        <f>VLOOKUP(B1529,Bounties!A:E,2,FALSE)</f>
        <v>Anti-Scam Bounty</v>
      </c>
    </row>
    <row r="1530" hidden="1">
      <c r="A1530" s="109">
        <f>HYPERLINK("https://polkadot.subsquare.io/treasury/child-bounties/1530", 1530)</f>
        <v>1530</v>
      </c>
      <c r="B1530" s="183">
        <v>11.0</v>
      </c>
      <c r="C1530" s="27" t="s">
        <v>3404</v>
      </c>
      <c r="D1530" s="27" t="s">
        <v>2044</v>
      </c>
      <c r="E1530" s="129">
        <v>80.7884957</v>
      </c>
      <c r="F1530" s="66">
        <v>449.1084109052331</v>
      </c>
      <c r="G1530" s="27" t="s">
        <v>3439</v>
      </c>
      <c r="H1530" s="167">
        <v>45475.0</v>
      </c>
      <c r="I1530" s="167">
        <v>45490.0</v>
      </c>
      <c r="J1530" s="66">
        <v>511.96720538893817</v>
      </c>
      <c r="M1530" s="1" t="str">
        <f>VLOOKUP(B1530,Bounties!A:D,3,FALSE)</f>
        <v>Research</v>
      </c>
      <c r="N1530" s="1" t="str">
        <f>VLOOKUP(B1530,Bounties!A:D,4,FALSE)</f>
        <v>Anti-Scam</v>
      </c>
      <c r="O1530" s="1" t="str">
        <f t="shared" ref="O1530:P1530" si="1534">IF(ISBLANK(K1530),M1530,K1530)</f>
        <v>Research</v>
      </c>
      <c r="P1530" s="1" t="str">
        <f t="shared" si="1534"/>
        <v>Anti-Scam</v>
      </c>
      <c r="Q1530" s="108" t="str">
        <f t="shared" si="3"/>
        <v>2024</v>
      </c>
      <c r="R1530" s="110">
        <f t="shared" si="4"/>
        <v>7</v>
      </c>
      <c r="S1530" s="108" t="str">
        <f t="shared" si="5"/>
        <v>2024-Q3</v>
      </c>
      <c r="T1530" s="111" t="str">
        <f t="shared" si="6"/>
        <v>2024-07</v>
      </c>
      <c r="U1530" s="112" t="str">
        <f t="shared" si="7"/>
        <v>2024-H2</v>
      </c>
      <c r="V1530" s="1" t="str">
        <f>VLOOKUP(B1530,Bounties!A:E,2,FALSE)</f>
        <v>Anti-Scam Bounty</v>
      </c>
    </row>
    <row r="1531" hidden="1">
      <c r="A1531" s="109">
        <f>HYPERLINK("https://polkadot.subsquare.io/treasury/child-bounties/1531", 1531)</f>
        <v>1531</v>
      </c>
      <c r="B1531" s="183">
        <v>11.0</v>
      </c>
      <c r="C1531" s="27" t="s">
        <v>3404</v>
      </c>
      <c r="D1531" s="27" t="s">
        <v>2045</v>
      </c>
      <c r="E1531" s="129">
        <v>80.7884957</v>
      </c>
      <c r="F1531" s="66">
        <v>449.1084109052331</v>
      </c>
      <c r="G1531" s="27" t="s">
        <v>3457</v>
      </c>
      <c r="H1531" s="167">
        <v>45475.0</v>
      </c>
      <c r="I1531" s="167">
        <v>45486.0</v>
      </c>
      <c r="J1531" s="66">
        <v>512.5402343699265</v>
      </c>
      <c r="M1531" s="1" t="str">
        <f>VLOOKUP(B1531,Bounties!A:D,3,FALSE)</f>
        <v>Research</v>
      </c>
      <c r="N1531" s="1" t="str">
        <f>VLOOKUP(B1531,Bounties!A:D,4,FALSE)</f>
        <v>Anti-Scam</v>
      </c>
      <c r="O1531" s="1" t="str">
        <f t="shared" ref="O1531:P1531" si="1535">IF(ISBLANK(K1531),M1531,K1531)</f>
        <v>Research</v>
      </c>
      <c r="P1531" s="1" t="str">
        <f t="shared" si="1535"/>
        <v>Anti-Scam</v>
      </c>
      <c r="Q1531" s="108" t="str">
        <f t="shared" si="3"/>
        <v>2024</v>
      </c>
      <c r="R1531" s="110">
        <f t="shared" si="4"/>
        <v>7</v>
      </c>
      <c r="S1531" s="108" t="str">
        <f t="shared" si="5"/>
        <v>2024-Q3</v>
      </c>
      <c r="T1531" s="111" t="str">
        <f t="shared" si="6"/>
        <v>2024-07</v>
      </c>
      <c r="U1531" s="112" t="str">
        <f t="shared" si="7"/>
        <v>2024-H2</v>
      </c>
      <c r="V1531" s="1" t="str">
        <f>VLOOKUP(B1531,Bounties!A:E,2,FALSE)</f>
        <v>Anti-Scam Bounty</v>
      </c>
    </row>
    <row r="1532" hidden="1">
      <c r="A1532" s="109">
        <f>HYPERLINK("https://polkadot.subsquare.io/treasury/child-bounties/1532", 1532)</f>
        <v>1532</v>
      </c>
      <c r="B1532" s="183">
        <v>11.0</v>
      </c>
      <c r="C1532" s="27" t="s">
        <v>3404</v>
      </c>
      <c r="D1532" s="27" t="s">
        <v>2046</v>
      </c>
      <c r="E1532" s="129">
        <v>80.7884957</v>
      </c>
      <c r="F1532" s="66">
        <v>449.1084109052331</v>
      </c>
      <c r="G1532" s="27" t="s">
        <v>3486</v>
      </c>
      <c r="H1532" s="167">
        <v>45475.0</v>
      </c>
      <c r="I1532" s="167">
        <v>45486.0</v>
      </c>
      <c r="J1532" s="66">
        <v>512.5402343699265</v>
      </c>
      <c r="M1532" s="1" t="str">
        <f>VLOOKUP(B1532,Bounties!A:D,3,FALSE)</f>
        <v>Research</v>
      </c>
      <c r="N1532" s="1" t="str">
        <f>VLOOKUP(B1532,Bounties!A:D,4,FALSE)</f>
        <v>Anti-Scam</v>
      </c>
      <c r="O1532" s="1" t="str">
        <f t="shared" ref="O1532:P1532" si="1536">IF(ISBLANK(K1532),M1532,K1532)</f>
        <v>Research</v>
      </c>
      <c r="P1532" s="1" t="str">
        <f t="shared" si="1536"/>
        <v>Anti-Scam</v>
      </c>
      <c r="Q1532" s="108" t="str">
        <f t="shared" si="3"/>
        <v>2024</v>
      </c>
      <c r="R1532" s="110">
        <f t="shared" si="4"/>
        <v>7</v>
      </c>
      <c r="S1532" s="108" t="str">
        <f t="shared" si="5"/>
        <v>2024-Q3</v>
      </c>
      <c r="T1532" s="111" t="str">
        <f t="shared" si="6"/>
        <v>2024-07</v>
      </c>
      <c r="U1532" s="112" t="str">
        <f t="shared" si="7"/>
        <v>2024-H2</v>
      </c>
      <c r="V1532" s="1" t="str">
        <f>VLOOKUP(B1532,Bounties!A:E,2,FALSE)</f>
        <v>Anti-Scam Bounty</v>
      </c>
    </row>
    <row r="1533" hidden="1">
      <c r="A1533" s="109">
        <f>HYPERLINK("https://polkadot.subsquare.io/treasury/child-bounties/1533", 1533)</f>
        <v>1533</v>
      </c>
      <c r="B1533" s="183">
        <v>11.0</v>
      </c>
      <c r="C1533" s="27" t="s">
        <v>3404</v>
      </c>
      <c r="D1533" s="27" t="s">
        <v>2047</v>
      </c>
      <c r="E1533" s="129">
        <v>80.7884957</v>
      </c>
      <c r="F1533" s="66">
        <v>449.1084109052331</v>
      </c>
      <c r="G1533" s="27" t="s">
        <v>3407</v>
      </c>
      <c r="H1533" s="167">
        <v>45475.0</v>
      </c>
      <c r="I1533" s="167">
        <v>45495.0</v>
      </c>
      <c r="J1533" s="66">
        <v>464.40337302063983</v>
      </c>
      <c r="M1533" s="1" t="str">
        <f>VLOOKUP(B1533,Bounties!A:D,3,FALSE)</f>
        <v>Research</v>
      </c>
      <c r="N1533" s="1" t="str">
        <f>VLOOKUP(B1533,Bounties!A:D,4,FALSE)</f>
        <v>Anti-Scam</v>
      </c>
      <c r="O1533" s="1" t="str">
        <f t="shared" ref="O1533:P1533" si="1537">IF(ISBLANK(K1533),M1533,K1533)</f>
        <v>Research</v>
      </c>
      <c r="P1533" s="1" t="str">
        <f t="shared" si="1537"/>
        <v>Anti-Scam</v>
      </c>
      <c r="Q1533" s="108" t="str">
        <f t="shared" si="3"/>
        <v>2024</v>
      </c>
      <c r="R1533" s="110">
        <f t="shared" si="4"/>
        <v>7</v>
      </c>
      <c r="S1533" s="108" t="str">
        <f t="shared" si="5"/>
        <v>2024-Q3</v>
      </c>
      <c r="T1533" s="111" t="str">
        <f t="shared" si="6"/>
        <v>2024-07</v>
      </c>
      <c r="U1533" s="112" t="str">
        <f t="shared" si="7"/>
        <v>2024-H2</v>
      </c>
      <c r="V1533" s="1" t="str">
        <f>VLOOKUP(B1533,Bounties!A:E,2,FALSE)</f>
        <v>Anti-Scam Bounty</v>
      </c>
    </row>
    <row r="1534" hidden="1">
      <c r="A1534" s="109">
        <f>HYPERLINK("https://polkadot.subsquare.io/treasury/child-bounties/1534", 1534)</f>
        <v>1534</v>
      </c>
      <c r="B1534" s="183">
        <v>11.0</v>
      </c>
      <c r="C1534" s="27" t="s">
        <v>3404</v>
      </c>
      <c r="D1534" s="27" t="s">
        <v>2048</v>
      </c>
      <c r="E1534" s="129">
        <v>80.7884957</v>
      </c>
      <c r="F1534" s="66">
        <v>449.1084109052331</v>
      </c>
      <c r="G1534" s="27" t="s">
        <v>3469</v>
      </c>
      <c r="H1534" s="167">
        <v>45475.0</v>
      </c>
      <c r="I1534" s="167">
        <v>45486.0</v>
      </c>
      <c r="J1534" s="66">
        <v>512.5402343699265</v>
      </c>
      <c r="M1534" s="1" t="str">
        <f>VLOOKUP(B1534,Bounties!A:D,3,FALSE)</f>
        <v>Research</v>
      </c>
      <c r="N1534" s="1" t="str">
        <f>VLOOKUP(B1534,Bounties!A:D,4,FALSE)</f>
        <v>Anti-Scam</v>
      </c>
      <c r="O1534" s="1" t="str">
        <f t="shared" ref="O1534:P1534" si="1538">IF(ISBLANK(K1534),M1534,K1534)</f>
        <v>Research</v>
      </c>
      <c r="P1534" s="1" t="str">
        <f t="shared" si="1538"/>
        <v>Anti-Scam</v>
      </c>
      <c r="Q1534" s="108" t="str">
        <f t="shared" si="3"/>
        <v>2024</v>
      </c>
      <c r="R1534" s="110">
        <f t="shared" si="4"/>
        <v>7</v>
      </c>
      <c r="S1534" s="108" t="str">
        <f t="shared" si="5"/>
        <v>2024-Q3</v>
      </c>
      <c r="T1534" s="111" t="str">
        <f t="shared" si="6"/>
        <v>2024-07</v>
      </c>
      <c r="U1534" s="112" t="str">
        <f t="shared" si="7"/>
        <v>2024-H2</v>
      </c>
      <c r="V1534" s="1" t="str">
        <f>VLOOKUP(B1534,Bounties!A:E,2,FALSE)</f>
        <v>Anti-Scam Bounty</v>
      </c>
    </row>
    <row r="1535" hidden="1">
      <c r="A1535" s="109">
        <f>HYPERLINK("https://polkadot.subsquare.io/treasury/child-bounties/1535", 1535)</f>
        <v>1535</v>
      </c>
      <c r="B1535" s="183">
        <v>11.0</v>
      </c>
      <c r="C1535" s="27" t="s">
        <v>3404</v>
      </c>
      <c r="D1535" s="27" t="s">
        <v>2049</v>
      </c>
      <c r="E1535" s="129">
        <v>1112.996</v>
      </c>
      <c r="F1535" s="66">
        <v>6305.947033081055</v>
      </c>
      <c r="G1535" s="27" t="s">
        <v>3407</v>
      </c>
      <c r="H1535" s="167">
        <v>45475.0</v>
      </c>
      <c r="I1535" s="167">
        <v>45485.0</v>
      </c>
      <c r="J1535" s="66">
        <v>7232.868047786713</v>
      </c>
      <c r="M1535" s="1" t="str">
        <f>VLOOKUP(B1535,Bounties!A:D,3,FALSE)</f>
        <v>Research</v>
      </c>
      <c r="N1535" s="1" t="str">
        <f>VLOOKUP(B1535,Bounties!A:D,4,FALSE)</f>
        <v>Anti-Scam</v>
      </c>
      <c r="O1535" s="1" t="str">
        <f t="shared" ref="O1535:P1535" si="1539">IF(ISBLANK(K1535),M1535,K1535)</f>
        <v>Research</v>
      </c>
      <c r="P1535" s="1" t="str">
        <f t="shared" si="1539"/>
        <v>Anti-Scam</v>
      </c>
      <c r="Q1535" s="108" t="str">
        <f t="shared" si="3"/>
        <v>2024</v>
      </c>
      <c r="R1535" s="110">
        <f t="shared" si="4"/>
        <v>7</v>
      </c>
      <c r="S1535" s="108" t="str">
        <f t="shared" si="5"/>
        <v>2024-Q3</v>
      </c>
      <c r="T1535" s="111" t="str">
        <f t="shared" si="6"/>
        <v>2024-07</v>
      </c>
      <c r="U1535" s="112" t="str">
        <f t="shared" si="7"/>
        <v>2024-H2</v>
      </c>
      <c r="V1535" s="1" t="str">
        <f>VLOOKUP(B1535,Bounties!A:E,2,FALSE)</f>
        <v>Anti-Scam Bounty</v>
      </c>
    </row>
    <row r="1536" hidden="1">
      <c r="A1536" s="109">
        <f>HYPERLINK("https://polkadot.subsquare.io/treasury/child-bounties/1536", 1536)</f>
        <v>1536</v>
      </c>
      <c r="B1536" s="183">
        <v>11.0</v>
      </c>
      <c r="C1536" s="27" t="s">
        <v>3404</v>
      </c>
      <c r="D1536" s="27" t="s">
        <v>2050</v>
      </c>
      <c r="E1536" s="129">
        <v>554.133</v>
      </c>
      <c r="F1536" s="66">
        <v>3139.574039154053</v>
      </c>
      <c r="G1536" s="27" t="s">
        <v>3406</v>
      </c>
      <c r="H1536" s="167">
        <v>45475.0</v>
      </c>
      <c r="I1536" s="167">
        <v>45488.0</v>
      </c>
      <c r="J1536" s="66">
        <v>3376.64993897295</v>
      </c>
      <c r="M1536" s="1" t="str">
        <f>VLOOKUP(B1536,Bounties!A:D,3,FALSE)</f>
        <v>Research</v>
      </c>
      <c r="N1536" s="1" t="str">
        <f>VLOOKUP(B1536,Bounties!A:D,4,FALSE)</f>
        <v>Anti-Scam</v>
      </c>
      <c r="O1536" s="1" t="str">
        <f t="shared" ref="O1536:P1536" si="1540">IF(ISBLANK(K1536),M1536,K1536)</f>
        <v>Research</v>
      </c>
      <c r="P1536" s="1" t="str">
        <f t="shared" si="1540"/>
        <v>Anti-Scam</v>
      </c>
      <c r="Q1536" s="108" t="str">
        <f t="shared" si="3"/>
        <v>2024</v>
      </c>
      <c r="R1536" s="110">
        <f t="shared" si="4"/>
        <v>7</v>
      </c>
      <c r="S1536" s="108" t="str">
        <f t="shared" si="5"/>
        <v>2024-Q3</v>
      </c>
      <c r="T1536" s="111" t="str">
        <f t="shared" si="6"/>
        <v>2024-07</v>
      </c>
      <c r="U1536" s="112" t="str">
        <f t="shared" si="7"/>
        <v>2024-H2</v>
      </c>
      <c r="V1536" s="1" t="str">
        <f>VLOOKUP(B1536,Bounties!A:E,2,FALSE)</f>
        <v>Anti-Scam Bounty</v>
      </c>
    </row>
    <row r="1537" hidden="1">
      <c r="A1537" s="109">
        <f>HYPERLINK("https://polkadot.subsquare.io/treasury/child-bounties/1537", 1537)</f>
        <v>1537</v>
      </c>
      <c r="B1537" s="183">
        <v>11.0</v>
      </c>
      <c r="C1537" s="27" t="s">
        <v>3404</v>
      </c>
      <c r="D1537" s="27" t="s">
        <v>2051</v>
      </c>
      <c r="E1537" s="129">
        <v>337.588</v>
      </c>
      <c r="F1537" s="66">
        <v>1912.6861614990235</v>
      </c>
      <c r="G1537" s="27" t="s">
        <v>3562</v>
      </c>
      <c r="H1537" s="167">
        <v>45475.0</v>
      </c>
      <c r="I1537" s="167">
        <v>45485.0</v>
      </c>
      <c r="J1537" s="66">
        <v>2193.834891155243</v>
      </c>
      <c r="M1537" s="1" t="str">
        <f>VLOOKUP(B1537,Bounties!A:D,3,FALSE)</f>
        <v>Research</v>
      </c>
      <c r="N1537" s="1" t="str">
        <f>VLOOKUP(B1537,Bounties!A:D,4,FALSE)</f>
        <v>Anti-Scam</v>
      </c>
      <c r="O1537" s="1" t="str">
        <f t="shared" ref="O1537:P1537" si="1541">IF(ISBLANK(K1537),M1537,K1537)</f>
        <v>Research</v>
      </c>
      <c r="P1537" s="1" t="str">
        <f t="shared" si="1541"/>
        <v>Anti-Scam</v>
      </c>
      <c r="Q1537" s="108" t="str">
        <f t="shared" si="3"/>
        <v>2024</v>
      </c>
      <c r="R1537" s="110">
        <f t="shared" si="4"/>
        <v>7</v>
      </c>
      <c r="S1537" s="108" t="str">
        <f t="shared" si="5"/>
        <v>2024-Q3</v>
      </c>
      <c r="T1537" s="111" t="str">
        <f t="shared" si="6"/>
        <v>2024-07</v>
      </c>
      <c r="U1537" s="112" t="str">
        <f t="shared" si="7"/>
        <v>2024-H2</v>
      </c>
      <c r="V1537" s="1" t="str">
        <f>VLOOKUP(B1537,Bounties!A:E,2,FALSE)</f>
        <v>Anti-Scam Bounty</v>
      </c>
    </row>
    <row r="1538" hidden="1">
      <c r="A1538" s="109">
        <f>HYPERLINK("https://polkadot.subsquare.io/treasury/child-bounties/1538", 1538)</f>
        <v>1538</v>
      </c>
      <c r="B1538" s="183">
        <v>42.0</v>
      </c>
      <c r="C1538" s="27" t="s">
        <v>3404</v>
      </c>
      <c r="D1538" s="27" t="s">
        <v>2052</v>
      </c>
      <c r="E1538" s="129">
        <v>7.89</v>
      </c>
      <c r="F1538" s="66">
        <v>44.70269622802734</v>
      </c>
      <c r="G1538" s="27" t="s">
        <v>3702</v>
      </c>
      <c r="H1538" s="167">
        <v>45475.0</v>
      </c>
      <c r="I1538" s="167">
        <v>45483.0</v>
      </c>
      <c r="J1538" s="66">
        <v>49.26522362709045</v>
      </c>
      <c r="M1538" s="1" t="str">
        <f>VLOOKUP(B1538,Bounties!A:D,3,FALSE)</f>
        <v>Outreach</v>
      </c>
      <c r="N1538" s="1" t="str">
        <f>VLOOKUP(B1538,Bounties!A:D,4,FALSE)</f>
        <v>Media</v>
      </c>
      <c r="O1538" s="1" t="str">
        <f t="shared" ref="O1538:P1538" si="1542">IF(ISBLANK(K1538),M1538,K1538)</f>
        <v>Outreach</v>
      </c>
      <c r="P1538" s="1" t="str">
        <f t="shared" si="1542"/>
        <v>Media</v>
      </c>
      <c r="Q1538" s="108" t="str">
        <f t="shared" si="3"/>
        <v>2024</v>
      </c>
      <c r="R1538" s="110">
        <f t="shared" si="4"/>
        <v>7</v>
      </c>
      <c r="S1538" s="108" t="str">
        <f t="shared" si="5"/>
        <v>2024-Q3</v>
      </c>
      <c r="T1538" s="111" t="str">
        <f t="shared" si="6"/>
        <v>2024-07</v>
      </c>
      <c r="U1538" s="112" t="str">
        <f t="shared" si="7"/>
        <v>2024-H2</v>
      </c>
      <c r="V1538" s="1" t="str">
        <f>VLOOKUP(B1538,Bounties!A:E,2,FALSE)</f>
        <v>Spanish Bounty</v>
      </c>
    </row>
    <row r="1539" hidden="1">
      <c r="A1539" s="109">
        <f>HYPERLINK("https://polkadot.subsquare.io/treasury/child-bounties/1539", 1539)</f>
        <v>1539</v>
      </c>
      <c r="B1539" s="183">
        <v>42.0</v>
      </c>
      <c r="C1539" s="27" t="s">
        <v>3404</v>
      </c>
      <c r="D1539" s="27" t="s">
        <v>2053</v>
      </c>
      <c r="E1539" s="129">
        <v>18.84</v>
      </c>
      <c r="F1539" s="66">
        <v>106.74255981445313</v>
      </c>
      <c r="G1539" s="27" t="s">
        <v>3704</v>
      </c>
      <c r="H1539" s="167">
        <v>45475.0</v>
      </c>
      <c r="I1539" s="167">
        <v>45483.0</v>
      </c>
      <c r="J1539" s="66">
        <v>117.63711193084717</v>
      </c>
      <c r="M1539" s="1" t="str">
        <f>VLOOKUP(B1539,Bounties!A:D,3,FALSE)</f>
        <v>Outreach</v>
      </c>
      <c r="N1539" s="1" t="str">
        <f>VLOOKUP(B1539,Bounties!A:D,4,FALSE)</f>
        <v>Media</v>
      </c>
      <c r="O1539" s="1" t="str">
        <f t="shared" ref="O1539:P1539" si="1543">IF(ISBLANK(K1539),M1539,K1539)</f>
        <v>Outreach</v>
      </c>
      <c r="P1539" s="1" t="str">
        <f t="shared" si="1543"/>
        <v>Media</v>
      </c>
      <c r="Q1539" s="108" t="str">
        <f t="shared" si="3"/>
        <v>2024</v>
      </c>
      <c r="R1539" s="110">
        <f t="shared" si="4"/>
        <v>7</v>
      </c>
      <c r="S1539" s="108" t="str">
        <f t="shared" si="5"/>
        <v>2024-Q3</v>
      </c>
      <c r="T1539" s="111" t="str">
        <f t="shared" si="6"/>
        <v>2024-07</v>
      </c>
      <c r="U1539" s="112" t="str">
        <f t="shared" si="7"/>
        <v>2024-H2</v>
      </c>
      <c r="V1539" s="1" t="str">
        <f>VLOOKUP(B1539,Bounties!A:E,2,FALSE)</f>
        <v>Spanish Bounty</v>
      </c>
    </row>
    <row r="1540" hidden="1">
      <c r="A1540" s="109">
        <f>HYPERLINK("https://polkadot.subsquare.io/treasury/child-bounties/1540", 1540)</f>
        <v>1540</v>
      </c>
      <c r="B1540" s="183">
        <v>42.0</v>
      </c>
      <c r="C1540" s="27" t="s">
        <v>3404</v>
      </c>
      <c r="D1540" s="27" t="s">
        <v>2054</v>
      </c>
      <c r="E1540" s="129">
        <v>393.2</v>
      </c>
      <c r="F1540" s="66">
        <v>2227.7693481445312</v>
      </c>
      <c r="G1540" s="27" t="s">
        <v>3753</v>
      </c>
      <c r="H1540" s="167">
        <v>45475.0</v>
      </c>
      <c r="I1540" s="167">
        <v>45487.0</v>
      </c>
      <c r="J1540" s="66">
        <v>2494.5484924316406</v>
      </c>
      <c r="M1540" s="1" t="str">
        <f>VLOOKUP(B1540,Bounties!A:D,3,FALSE)</f>
        <v>Outreach</v>
      </c>
      <c r="N1540" s="1" t="str">
        <f>VLOOKUP(B1540,Bounties!A:D,4,FALSE)</f>
        <v>Media</v>
      </c>
      <c r="O1540" s="1" t="str">
        <f t="shared" ref="O1540:P1540" si="1544">IF(ISBLANK(K1540),M1540,K1540)</f>
        <v>Outreach</v>
      </c>
      <c r="P1540" s="1" t="str">
        <f t="shared" si="1544"/>
        <v>Media</v>
      </c>
      <c r="Q1540" s="108" t="str">
        <f t="shared" si="3"/>
        <v>2024</v>
      </c>
      <c r="R1540" s="110">
        <f t="shared" si="4"/>
        <v>7</v>
      </c>
      <c r="S1540" s="108" t="str">
        <f t="shared" si="5"/>
        <v>2024-Q3</v>
      </c>
      <c r="T1540" s="111" t="str">
        <f t="shared" si="6"/>
        <v>2024-07</v>
      </c>
      <c r="U1540" s="112" t="str">
        <f t="shared" si="7"/>
        <v>2024-H2</v>
      </c>
      <c r="V1540" s="1" t="str">
        <f>VLOOKUP(B1540,Bounties!A:E,2,FALSE)</f>
        <v>Spanish Bounty</v>
      </c>
    </row>
    <row r="1541" hidden="1">
      <c r="A1541" s="109">
        <f>HYPERLINK("https://polkadot.subsquare.io/treasury/child-bounties/1541", 1541)</f>
        <v>1541</v>
      </c>
      <c r="B1541" s="183">
        <v>11.0</v>
      </c>
      <c r="C1541" s="27" t="s">
        <v>3404</v>
      </c>
      <c r="D1541" s="27" t="s">
        <v>2055</v>
      </c>
      <c r="E1541" s="129">
        <v>117.8010471204</v>
      </c>
      <c r="F1541" s="66">
        <v>735.2524153223909</v>
      </c>
      <c r="G1541" s="27" t="s">
        <v>3406</v>
      </c>
      <c r="H1541" s="167">
        <v>45476.0</v>
      </c>
      <c r="I1541" s="167">
        <v>45488.0</v>
      </c>
      <c r="J1541" s="66">
        <v>717.8292911089003</v>
      </c>
      <c r="M1541" s="1" t="str">
        <f>VLOOKUP(B1541,Bounties!A:D,3,FALSE)</f>
        <v>Research</v>
      </c>
      <c r="N1541" s="1" t="str">
        <f>VLOOKUP(B1541,Bounties!A:D,4,FALSE)</f>
        <v>Anti-Scam</v>
      </c>
      <c r="O1541" s="1" t="str">
        <f t="shared" ref="O1541:P1541" si="1545">IF(ISBLANK(K1541),M1541,K1541)</f>
        <v>Research</v>
      </c>
      <c r="P1541" s="1" t="str">
        <f t="shared" si="1545"/>
        <v>Anti-Scam</v>
      </c>
      <c r="Q1541" s="108" t="str">
        <f t="shared" si="3"/>
        <v>2024</v>
      </c>
      <c r="R1541" s="110">
        <f t="shared" si="4"/>
        <v>7</v>
      </c>
      <c r="S1541" s="108" t="str">
        <f t="shared" si="5"/>
        <v>2024-Q3</v>
      </c>
      <c r="T1541" s="111" t="str">
        <f t="shared" si="6"/>
        <v>2024-07</v>
      </c>
      <c r="U1541" s="112" t="str">
        <f t="shared" si="7"/>
        <v>2024-H2</v>
      </c>
      <c r="V1541" s="1" t="str">
        <f>VLOOKUP(B1541,Bounties!A:E,2,FALSE)</f>
        <v>Anti-Scam Bounty</v>
      </c>
    </row>
    <row r="1542" hidden="1">
      <c r="A1542" s="109">
        <f>HYPERLINK("https://polkadot.subsquare.io/treasury/child-bounties/1542", 1542)</f>
        <v>1542</v>
      </c>
      <c r="B1542" s="183">
        <v>11.0</v>
      </c>
      <c r="C1542" s="27" t="s">
        <v>3404</v>
      </c>
      <c r="D1542" s="27" t="s">
        <v>2056</v>
      </c>
      <c r="E1542" s="129">
        <v>235.6020942408</v>
      </c>
      <c r="F1542" s="66">
        <v>1470.5048306447818</v>
      </c>
      <c r="G1542" s="27" t="s">
        <v>3409</v>
      </c>
      <c r="H1542" s="167">
        <v>45476.0</v>
      </c>
      <c r="I1542" s="167">
        <v>45485.0</v>
      </c>
      <c r="J1542" s="66">
        <v>1531.0736601262863</v>
      </c>
      <c r="M1542" s="1" t="str">
        <f>VLOOKUP(B1542,Bounties!A:D,3,FALSE)</f>
        <v>Research</v>
      </c>
      <c r="N1542" s="1" t="str">
        <f>VLOOKUP(B1542,Bounties!A:D,4,FALSE)</f>
        <v>Anti-Scam</v>
      </c>
      <c r="O1542" s="1" t="str">
        <f t="shared" ref="O1542:P1542" si="1546">IF(ISBLANK(K1542),M1542,K1542)</f>
        <v>Research</v>
      </c>
      <c r="P1542" s="1" t="str">
        <f t="shared" si="1546"/>
        <v>Anti-Scam</v>
      </c>
      <c r="Q1542" s="108" t="str">
        <f t="shared" si="3"/>
        <v>2024</v>
      </c>
      <c r="R1542" s="110">
        <f t="shared" si="4"/>
        <v>7</v>
      </c>
      <c r="S1542" s="108" t="str">
        <f t="shared" si="5"/>
        <v>2024-Q3</v>
      </c>
      <c r="T1542" s="111" t="str">
        <f t="shared" si="6"/>
        <v>2024-07</v>
      </c>
      <c r="U1542" s="112" t="str">
        <f t="shared" si="7"/>
        <v>2024-H2</v>
      </c>
      <c r="V1542" s="1" t="str">
        <f>VLOOKUP(B1542,Bounties!A:E,2,FALSE)</f>
        <v>Anti-Scam Bounty</v>
      </c>
    </row>
    <row r="1543" hidden="1">
      <c r="A1543" s="109">
        <f>HYPERLINK("https://polkadot.subsquare.io/treasury/child-bounties/1543", 1543)</f>
        <v>1543</v>
      </c>
      <c r="B1543" s="183">
        <v>33.0</v>
      </c>
      <c r="C1543" s="27" t="s">
        <v>3404</v>
      </c>
      <c r="D1543" s="27" t="s">
        <v>2057</v>
      </c>
      <c r="E1543" s="129">
        <v>185842.0</v>
      </c>
      <c r="F1543" s="66">
        <v>1159928.393749237</v>
      </c>
      <c r="G1543" s="27" t="s">
        <v>3611</v>
      </c>
      <c r="H1543" s="167">
        <v>45477.0</v>
      </c>
      <c r="I1543" s="167">
        <v>45486.0</v>
      </c>
      <c r="J1543" s="66">
        <v>1207704.8468608856</v>
      </c>
      <c r="L1543" s="185" t="s">
        <v>296</v>
      </c>
      <c r="M1543" s="1" t="str">
        <f>VLOOKUP(B1543,Bounties!A:D,3,FALSE)</f>
        <v>Outreach</v>
      </c>
      <c r="N1543" s="1" t="str">
        <f>VLOOKUP(B1543,Bounties!A:D,4,FALSE)</f>
        <v>Advertising</v>
      </c>
      <c r="O1543" s="1" t="str">
        <f t="shared" ref="O1543:P1543" si="1547">IF(ISBLANK(K1543),M1543,K1543)</f>
        <v>Outreach</v>
      </c>
      <c r="P1543" s="1" t="str">
        <f t="shared" si="1547"/>
        <v>Advertising/Influencers</v>
      </c>
      <c r="Q1543" s="108" t="str">
        <f t="shared" si="3"/>
        <v>2024</v>
      </c>
      <c r="R1543" s="110">
        <f t="shared" si="4"/>
        <v>7</v>
      </c>
      <c r="S1543" s="108" t="str">
        <f t="shared" si="5"/>
        <v>2024-Q3</v>
      </c>
      <c r="T1543" s="111" t="str">
        <f t="shared" si="6"/>
        <v>2024-07</v>
      </c>
      <c r="U1543" s="112" t="str">
        <f t="shared" si="7"/>
        <v>2024-H2</v>
      </c>
      <c r="V1543" s="1" t="str">
        <f>VLOOKUP(B1543,Bounties!A:E,2,FALSE)</f>
        <v>Marketing Bounty</v>
      </c>
    </row>
    <row r="1544" hidden="1">
      <c r="A1544" s="109">
        <f>HYPERLINK("https://polkadot.subsquare.io/treasury/child-bounties/1544", 1544)</f>
        <v>1544</v>
      </c>
      <c r="B1544" s="183">
        <v>33.0</v>
      </c>
      <c r="C1544" s="27" t="s">
        <v>3404</v>
      </c>
      <c r="D1544" s="27" t="s">
        <v>2058</v>
      </c>
      <c r="E1544" s="129">
        <v>507.0</v>
      </c>
      <c r="F1544" s="66">
        <v>3164.4283618927</v>
      </c>
      <c r="G1544" s="27" t="s">
        <v>3596</v>
      </c>
      <c r="H1544" s="167">
        <v>45477.0</v>
      </c>
      <c r="I1544" s="167">
        <v>45487.0</v>
      </c>
      <c r="J1544" s="66">
        <v>3173.749523162842</v>
      </c>
      <c r="L1544" s="3" t="s">
        <v>523</v>
      </c>
      <c r="M1544" s="1" t="str">
        <f>VLOOKUP(B1544,Bounties!A:D,3,FALSE)</f>
        <v>Outreach</v>
      </c>
      <c r="N1544" s="1" t="str">
        <f>VLOOKUP(B1544,Bounties!A:D,4,FALSE)</f>
        <v>Advertising</v>
      </c>
      <c r="O1544" s="1" t="str">
        <f t="shared" ref="O1544:P1544" si="1548">IF(ISBLANK(K1544),M1544,K1544)</f>
        <v>Outreach</v>
      </c>
      <c r="P1544" s="1" t="str">
        <f t="shared" si="1548"/>
        <v>Advertising</v>
      </c>
      <c r="Q1544" s="108" t="str">
        <f t="shared" si="3"/>
        <v>2024</v>
      </c>
      <c r="R1544" s="110">
        <f t="shared" si="4"/>
        <v>7</v>
      </c>
      <c r="S1544" s="108" t="str">
        <f t="shared" si="5"/>
        <v>2024-Q3</v>
      </c>
      <c r="T1544" s="111" t="str">
        <f t="shared" si="6"/>
        <v>2024-07</v>
      </c>
      <c r="U1544" s="112" t="str">
        <f t="shared" si="7"/>
        <v>2024-H2</v>
      </c>
      <c r="V1544" s="1" t="str">
        <f>VLOOKUP(B1544,Bounties!A:E,2,FALSE)</f>
        <v>Marketing Bounty</v>
      </c>
    </row>
    <row r="1545" hidden="1">
      <c r="A1545" s="109">
        <f>HYPERLINK("https://polkadot.subsquare.io/treasury/child-bounties/1545", 1545)</f>
        <v>1545</v>
      </c>
      <c r="B1545" s="183">
        <v>33.0</v>
      </c>
      <c r="C1545" s="27" t="s">
        <v>3404</v>
      </c>
      <c r="D1545" s="27" t="s">
        <v>2059</v>
      </c>
      <c r="E1545" s="129">
        <v>8057.0</v>
      </c>
      <c r="F1545" s="66">
        <v>50287.572607040405</v>
      </c>
      <c r="G1545" s="27" t="s">
        <v>3586</v>
      </c>
      <c r="H1545" s="167">
        <v>45477.0</v>
      </c>
      <c r="I1545" s="167">
        <v>45487.0</v>
      </c>
      <c r="J1545" s="66">
        <v>50435.70001602173</v>
      </c>
      <c r="L1545" s="185" t="s">
        <v>296</v>
      </c>
      <c r="M1545" s="1" t="str">
        <f>VLOOKUP(B1545,Bounties!A:D,3,FALSE)</f>
        <v>Outreach</v>
      </c>
      <c r="N1545" s="1" t="str">
        <f>VLOOKUP(B1545,Bounties!A:D,4,FALSE)</f>
        <v>Advertising</v>
      </c>
      <c r="O1545" s="1" t="str">
        <f t="shared" ref="O1545:P1545" si="1549">IF(ISBLANK(K1545),M1545,K1545)</f>
        <v>Outreach</v>
      </c>
      <c r="P1545" s="1" t="str">
        <f t="shared" si="1549"/>
        <v>Advertising/Influencers</v>
      </c>
      <c r="Q1545" s="108" t="str">
        <f t="shared" si="3"/>
        <v>2024</v>
      </c>
      <c r="R1545" s="110">
        <f t="shared" si="4"/>
        <v>7</v>
      </c>
      <c r="S1545" s="108" t="str">
        <f t="shared" si="5"/>
        <v>2024-Q3</v>
      </c>
      <c r="T1545" s="111" t="str">
        <f t="shared" si="6"/>
        <v>2024-07</v>
      </c>
      <c r="U1545" s="112" t="str">
        <f t="shared" si="7"/>
        <v>2024-H2</v>
      </c>
      <c r="V1545" s="1" t="str">
        <f>VLOOKUP(B1545,Bounties!A:E,2,FALSE)</f>
        <v>Marketing Bounty</v>
      </c>
    </row>
    <row r="1546" hidden="1">
      <c r="A1546" s="109">
        <f>HYPERLINK("https://polkadot.subsquare.io/treasury/child-bounties/1546", 1546)</f>
        <v>1546</v>
      </c>
      <c r="B1546" s="183">
        <v>33.0</v>
      </c>
      <c r="C1546" s="27" t="s">
        <v>3404</v>
      </c>
      <c r="D1546" s="27" t="s">
        <v>2060</v>
      </c>
      <c r="E1546" s="129">
        <v>45713.0</v>
      </c>
      <c r="F1546" s="66">
        <v>271752.5888514519</v>
      </c>
      <c r="G1546" s="27" t="s">
        <v>3611</v>
      </c>
      <c r="H1546" s="167">
        <v>45478.0</v>
      </c>
      <c r="I1546" s="167">
        <v>45488.0</v>
      </c>
      <c r="J1546" s="66">
        <v>278555.5068192482</v>
      </c>
      <c r="L1546" s="185" t="s">
        <v>296</v>
      </c>
      <c r="M1546" s="1" t="str">
        <f>VLOOKUP(B1546,Bounties!A:D,3,FALSE)</f>
        <v>Outreach</v>
      </c>
      <c r="N1546" s="1" t="str">
        <f>VLOOKUP(B1546,Bounties!A:D,4,FALSE)</f>
        <v>Advertising</v>
      </c>
      <c r="O1546" s="1" t="str">
        <f t="shared" ref="O1546:P1546" si="1550">IF(ISBLANK(K1546),M1546,K1546)</f>
        <v>Outreach</v>
      </c>
      <c r="P1546" s="1" t="str">
        <f t="shared" si="1550"/>
        <v>Advertising/Influencers</v>
      </c>
      <c r="Q1546" s="108" t="str">
        <f t="shared" si="3"/>
        <v>2024</v>
      </c>
      <c r="R1546" s="110">
        <f t="shared" si="4"/>
        <v>7</v>
      </c>
      <c r="S1546" s="108" t="str">
        <f t="shared" si="5"/>
        <v>2024-Q3</v>
      </c>
      <c r="T1546" s="111" t="str">
        <f t="shared" si="6"/>
        <v>2024-07</v>
      </c>
      <c r="U1546" s="112" t="str">
        <f t="shared" si="7"/>
        <v>2024-H2</v>
      </c>
      <c r="V1546" s="1" t="str">
        <f>VLOOKUP(B1546,Bounties!A:E,2,FALSE)</f>
        <v>Marketing Bounty</v>
      </c>
    </row>
    <row r="1547" hidden="1">
      <c r="A1547" s="109">
        <f>HYPERLINK("https://polkadot.subsquare.io/treasury/child-bounties/1547", 1547)</f>
        <v>1547</v>
      </c>
      <c r="B1547" s="183">
        <v>46.0</v>
      </c>
      <c r="C1547" s="27" t="s">
        <v>3404</v>
      </c>
      <c r="D1547" s="27" t="s">
        <v>2061</v>
      </c>
      <c r="E1547" s="129">
        <v>1283.42</v>
      </c>
      <c r="F1547" s="66">
        <v>7846.932492303848</v>
      </c>
      <c r="G1547" s="27" t="s">
        <v>3754</v>
      </c>
      <c r="H1547" s="167">
        <v>45479.0</v>
      </c>
      <c r="I1547" s="167">
        <v>45497.0</v>
      </c>
      <c r="J1547" s="66">
        <v>7483.729537954331</v>
      </c>
      <c r="L1547" s="185" t="s">
        <v>296</v>
      </c>
      <c r="M1547" s="1" t="str">
        <f>VLOOKUP(B1547,Bounties!A:D,3,FALSE)</f>
        <v>Outreach</v>
      </c>
      <c r="N1547" s="1" t="str">
        <f>VLOOKUP(B1547,Bounties!A:D,4,FALSE)</f>
        <v>Other</v>
      </c>
      <c r="O1547" s="1" t="str">
        <f t="shared" ref="O1547:P1547" si="1551">IF(ISBLANK(K1547),M1547,K1547)</f>
        <v>Outreach</v>
      </c>
      <c r="P1547" s="1" t="str">
        <f t="shared" si="1551"/>
        <v>Advertising/Influencers</v>
      </c>
      <c r="Q1547" s="108" t="str">
        <f t="shared" si="3"/>
        <v>2024</v>
      </c>
      <c r="R1547" s="110">
        <f t="shared" si="4"/>
        <v>7</v>
      </c>
      <c r="S1547" s="108" t="str">
        <f t="shared" si="5"/>
        <v>2024-Q3</v>
      </c>
      <c r="T1547" s="111" t="str">
        <f t="shared" si="6"/>
        <v>2024-07</v>
      </c>
      <c r="U1547" s="112" t="str">
        <f t="shared" si="7"/>
        <v>2024-H2</v>
      </c>
      <c r="V1547" s="1" t="str">
        <f>VLOOKUP(B1547,Bounties!A:E,2,FALSE)</f>
        <v>AMI Bounty Program</v>
      </c>
    </row>
    <row r="1548" hidden="1">
      <c r="A1548" s="109">
        <f>HYPERLINK("https://polkadot.subsquare.io/treasury/child-bounties/1548", 1548)</f>
        <v>1548</v>
      </c>
      <c r="B1548" s="183">
        <v>40.0</v>
      </c>
      <c r="C1548" s="27" t="s">
        <v>3404</v>
      </c>
      <c r="D1548" s="27" t="s">
        <v>2062</v>
      </c>
      <c r="E1548" s="129">
        <v>2300.0</v>
      </c>
      <c r="F1548" s="66">
        <v>14062.383890151978</v>
      </c>
      <c r="G1548" s="27" t="s">
        <v>3755</v>
      </c>
      <c r="H1548" s="167">
        <v>45480.0</v>
      </c>
      <c r="I1548" s="167">
        <v>45491.0</v>
      </c>
      <c r="J1548" s="66">
        <v>14575.399160385132</v>
      </c>
      <c r="M1548" s="1" t="str">
        <f>VLOOKUP(B1548,Bounties!A:D,3,FALSE)</f>
        <v>Outreach</v>
      </c>
      <c r="N1548" s="1" t="str">
        <f>VLOOKUP(B1548,Bounties!A:D,4,FALSE)</f>
        <v>Business Development</v>
      </c>
      <c r="O1548" s="1" t="str">
        <f t="shared" ref="O1548:P1548" si="1552">IF(ISBLANK(K1548),M1548,K1548)</f>
        <v>Outreach</v>
      </c>
      <c r="P1548" s="1" t="str">
        <f t="shared" si="1552"/>
        <v>Business Development</v>
      </c>
      <c r="Q1548" s="108" t="str">
        <f t="shared" si="3"/>
        <v>2024</v>
      </c>
      <c r="R1548" s="110">
        <f t="shared" si="4"/>
        <v>7</v>
      </c>
      <c r="S1548" s="108" t="str">
        <f t="shared" si="5"/>
        <v>2024-Q3</v>
      </c>
      <c r="T1548" s="111" t="str">
        <f t="shared" si="6"/>
        <v>2024-07</v>
      </c>
      <c r="U1548" s="112" t="str">
        <f t="shared" si="7"/>
        <v>2024-H2</v>
      </c>
      <c r="V1548" s="1" t="str">
        <f>VLOOKUP(B1548,Bounties!A:E,2,FALSE)</f>
        <v>BD Bounty in Spain &amp; Andorra</v>
      </c>
    </row>
    <row r="1549" hidden="1">
      <c r="A1549" s="109">
        <f>HYPERLINK("https://polkadot.subsquare.io/treasury/child-bounties/1549", 1549)</f>
        <v>1549</v>
      </c>
      <c r="B1549" s="183">
        <v>32.0</v>
      </c>
      <c r="C1549" s="27" t="s">
        <v>3427</v>
      </c>
      <c r="D1549" s="27" t="s">
        <v>1856</v>
      </c>
      <c r="E1549" s="129">
        <v>5.9231000904</v>
      </c>
      <c r="F1549" s="66">
        <v>36.12428122722688</v>
      </c>
      <c r="H1549" s="167">
        <v>45480.0</v>
      </c>
      <c r="I1549" s="167">
        <v>45480.0</v>
      </c>
      <c r="J1549" s="66">
        <v>36.12428122722688</v>
      </c>
      <c r="M1549" s="1" t="str">
        <f>VLOOKUP(B1549,Bounties!A:D,3,FALSE)</f>
        <v>Operations</v>
      </c>
      <c r="N1549" s="1" t="str">
        <f>VLOOKUP(B1549,Bounties!A:D,4,FALSE)</f>
        <v>RPCs and Nodes</v>
      </c>
      <c r="O1549" s="1" t="str">
        <f t="shared" ref="O1549:P1549" si="1553">IF(ISBLANK(K1549),M1549,K1549)</f>
        <v>Operations</v>
      </c>
      <c r="P1549" s="1" t="str">
        <f t="shared" si="1553"/>
        <v>RPCs and Nodes</v>
      </c>
      <c r="Q1549" s="108" t="str">
        <f t="shared" si="3"/>
        <v>2024</v>
      </c>
      <c r="R1549" s="110">
        <f t="shared" si="4"/>
        <v>7</v>
      </c>
      <c r="S1549" s="108" t="str">
        <f t="shared" si="5"/>
        <v>2024-Q3</v>
      </c>
      <c r="T1549" s="111" t="str">
        <f t="shared" si="6"/>
        <v>2024-07</v>
      </c>
      <c r="U1549" s="112" t="str">
        <f t="shared" si="7"/>
        <v>2024-H2</v>
      </c>
      <c r="V1549" s="1" t="str">
        <f>VLOOKUP(B1549,Bounties!A:E,2,FALSE)</f>
        <v>System Parachains Collator Bounty</v>
      </c>
    </row>
    <row r="1550" hidden="1">
      <c r="A1550" s="109">
        <f>HYPERLINK("https://polkadot.subsquare.io/treasury/child-bounties/1550", 1550)</f>
        <v>1550</v>
      </c>
      <c r="B1550" s="183">
        <v>32.0</v>
      </c>
      <c r="C1550" s="27" t="s">
        <v>3427</v>
      </c>
      <c r="D1550" s="27" t="s">
        <v>3756</v>
      </c>
      <c r="E1550" s="129">
        <v>57.0712420112</v>
      </c>
      <c r="F1550" s="66">
        <v>348.0707002978378</v>
      </c>
      <c r="H1550" s="167">
        <v>45480.0</v>
      </c>
      <c r="I1550" s="167">
        <v>45481.0</v>
      </c>
      <c r="J1550" s="66">
        <v>348.0707002978378</v>
      </c>
      <c r="M1550" s="1" t="str">
        <f>VLOOKUP(B1550,Bounties!A:D,3,FALSE)</f>
        <v>Operations</v>
      </c>
      <c r="N1550" s="1" t="str">
        <f>VLOOKUP(B1550,Bounties!A:D,4,FALSE)</f>
        <v>RPCs and Nodes</v>
      </c>
      <c r="O1550" s="1" t="str">
        <f t="shared" ref="O1550:P1550" si="1554">IF(ISBLANK(K1550),M1550,K1550)</f>
        <v>Operations</v>
      </c>
      <c r="P1550" s="1" t="str">
        <f t="shared" si="1554"/>
        <v>RPCs and Nodes</v>
      </c>
      <c r="Q1550" s="108" t="str">
        <f t="shared" si="3"/>
        <v>2024</v>
      </c>
      <c r="R1550" s="110">
        <f t="shared" si="4"/>
        <v>7</v>
      </c>
      <c r="S1550" s="108" t="str">
        <f t="shared" si="5"/>
        <v>2024-Q3</v>
      </c>
      <c r="T1550" s="111" t="str">
        <f t="shared" si="6"/>
        <v>2024-07</v>
      </c>
      <c r="U1550" s="112" t="str">
        <f t="shared" si="7"/>
        <v>2024-H2</v>
      </c>
      <c r="V1550" s="1" t="str">
        <f>VLOOKUP(B1550,Bounties!A:E,2,FALSE)</f>
        <v>System Parachains Collator Bounty</v>
      </c>
    </row>
    <row r="1551" hidden="1">
      <c r="A1551" s="109">
        <f>HYPERLINK("https://polkadot.subsquare.io/treasury/child-bounties/1551", 1551)</f>
        <v>1551</v>
      </c>
      <c r="B1551" s="183">
        <v>32.0</v>
      </c>
      <c r="C1551" s="27" t="s">
        <v>3427</v>
      </c>
      <c r="D1551" s="27" t="s">
        <v>3757</v>
      </c>
      <c r="E1551" s="129">
        <v>57.0429661745</v>
      </c>
      <c r="F1551" s="66">
        <v>347.8982493411941</v>
      </c>
      <c r="H1551" s="167">
        <v>45480.0</v>
      </c>
      <c r="I1551" s="167">
        <v>45481.0</v>
      </c>
      <c r="J1551" s="66">
        <v>347.8982493411941</v>
      </c>
      <c r="M1551" s="1" t="str">
        <f>VLOOKUP(B1551,Bounties!A:D,3,FALSE)</f>
        <v>Operations</v>
      </c>
      <c r="N1551" s="1" t="str">
        <f>VLOOKUP(B1551,Bounties!A:D,4,FALSE)</f>
        <v>RPCs and Nodes</v>
      </c>
      <c r="O1551" s="1" t="str">
        <f t="shared" ref="O1551:P1551" si="1555">IF(ISBLANK(K1551),M1551,K1551)</f>
        <v>Operations</v>
      </c>
      <c r="P1551" s="1" t="str">
        <f t="shared" si="1555"/>
        <v>RPCs and Nodes</v>
      </c>
      <c r="Q1551" s="108" t="str">
        <f t="shared" si="3"/>
        <v>2024</v>
      </c>
      <c r="R1551" s="110">
        <f t="shared" si="4"/>
        <v>7</v>
      </c>
      <c r="S1551" s="108" t="str">
        <f t="shared" si="5"/>
        <v>2024-Q3</v>
      </c>
      <c r="T1551" s="111" t="str">
        <f t="shared" si="6"/>
        <v>2024-07</v>
      </c>
      <c r="U1551" s="112" t="str">
        <f t="shared" si="7"/>
        <v>2024-H2</v>
      </c>
      <c r="V1551" s="1" t="str">
        <f>VLOOKUP(B1551,Bounties!A:E,2,FALSE)</f>
        <v>System Parachains Collator Bounty</v>
      </c>
    </row>
    <row r="1552" hidden="1">
      <c r="A1552" s="109">
        <f>HYPERLINK("https://polkadot.subsquare.io/treasury/child-bounties/1552", 1552)</f>
        <v>1552</v>
      </c>
      <c r="B1552" s="183">
        <v>32.0</v>
      </c>
      <c r="C1552" s="27" t="s">
        <v>3427</v>
      </c>
      <c r="D1552" s="27" t="s">
        <v>1859</v>
      </c>
      <c r="E1552" s="129">
        <v>50.232023996</v>
      </c>
      <c r="F1552" s="66">
        <v>306.35912507799094</v>
      </c>
      <c r="H1552" s="167">
        <v>45480.0</v>
      </c>
      <c r="I1552" s="167">
        <v>45481.0</v>
      </c>
      <c r="J1552" s="66">
        <v>306.35912507799094</v>
      </c>
      <c r="M1552" s="1" t="str">
        <f>VLOOKUP(B1552,Bounties!A:D,3,FALSE)</f>
        <v>Operations</v>
      </c>
      <c r="N1552" s="1" t="str">
        <f>VLOOKUP(B1552,Bounties!A:D,4,FALSE)</f>
        <v>RPCs and Nodes</v>
      </c>
      <c r="O1552" s="1" t="str">
        <f t="shared" ref="O1552:P1552" si="1556">IF(ISBLANK(K1552),M1552,K1552)</f>
        <v>Operations</v>
      </c>
      <c r="P1552" s="1" t="str">
        <f t="shared" si="1556"/>
        <v>RPCs and Nodes</v>
      </c>
      <c r="Q1552" s="108" t="str">
        <f t="shared" si="3"/>
        <v>2024</v>
      </c>
      <c r="R1552" s="110">
        <f t="shared" si="4"/>
        <v>7</v>
      </c>
      <c r="S1552" s="108" t="str">
        <f t="shared" si="5"/>
        <v>2024-Q3</v>
      </c>
      <c r="T1552" s="111" t="str">
        <f t="shared" si="6"/>
        <v>2024-07</v>
      </c>
      <c r="U1552" s="112" t="str">
        <f t="shared" si="7"/>
        <v>2024-H2</v>
      </c>
      <c r="V1552" s="1" t="str">
        <f>VLOOKUP(B1552,Bounties!A:E,2,FALSE)</f>
        <v>System Parachains Collator Bounty</v>
      </c>
    </row>
    <row r="1553" hidden="1">
      <c r="A1553" s="109">
        <f>HYPERLINK("https://polkadot.subsquare.io/treasury/child-bounties/1553", 1553)</f>
        <v>1553</v>
      </c>
      <c r="B1553" s="183">
        <v>32.0</v>
      </c>
      <c r="C1553" s="27" t="s">
        <v>3427</v>
      </c>
      <c r="D1553" s="27" t="s">
        <v>1860</v>
      </c>
      <c r="E1553" s="129">
        <v>57.1737419195</v>
      </c>
      <c r="F1553" s="66">
        <v>348.69583501727226</v>
      </c>
      <c r="H1553" s="167">
        <v>45480.0</v>
      </c>
      <c r="I1553" s="167">
        <v>45481.0</v>
      </c>
      <c r="J1553" s="66">
        <v>348.69583501727226</v>
      </c>
      <c r="M1553" s="1" t="str">
        <f>VLOOKUP(B1553,Bounties!A:D,3,FALSE)</f>
        <v>Operations</v>
      </c>
      <c r="N1553" s="1" t="str">
        <f>VLOOKUP(B1553,Bounties!A:D,4,FALSE)</f>
        <v>RPCs and Nodes</v>
      </c>
      <c r="O1553" s="1" t="str">
        <f t="shared" ref="O1553:P1553" si="1557">IF(ISBLANK(K1553),M1553,K1553)</f>
        <v>Operations</v>
      </c>
      <c r="P1553" s="1" t="str">
        <f t="shared" si="1557"/>
        <v>RPCs and Nodes</v>
      </c>
      <c r="Q1553" s="108" t="str">
        <f t="shared" si="3"/>
        <v>2024</v>
      </c>
      <c r="R1553" s="110">
        <f t="shared" si="4"/>
        <v>7</v>
      </c>
      <c r="S1553" s="108" t="str">
        <f t="shared" si="5"/>
        <v>2024-Q3</v>
      </c>
      <c r="T1553" s="111" t="str">
        <f t="shared" si="6"/>
        <v>2024-07</v>
      </c>
      <c r="U1553" s="112" t="str">
        <f t="shared" si="7"/>
        <v>2024-H2</v>
      </c>
      <c r="V1553" s="1" t="str">
        <f>VLOOKUP(B1553,Bounties!A:E,2,FALSE)</f>
        <v>System Parachains Collator Bounty</v>
      </c>
    </row>
    <row r="1554" hidden="1">
      <c r="A1554" s="109">
        <f>HYPERLINK("https://polkadot.subsquare.io/treasury/child-bounties/1554", 1554)</f>
        <v>1554</v>
      </c>
      <c r="B1554" s="183">
        <v>32.0</v>
      </c>
      <c r="C1554" s="27" t="s">
        <v>3427</v>
      </c>
      <c r="D1554" s="27" t="s">
        <v>1861</v>
      </c>
      <c r="E1554" s="129">
        <v>42.0445374944</v>
      </c>
      <c r="F1554" s="66">
        <v>256.4246211165783</v>
      </c>
      <c r="H1554" s="167">
        <v>45480.0</v>
      </c>
      <c r="I1554" s="167">
        <v>45481.0</v>
      </c>
      <c r="J1554" s="66">
        <v>256.4246211165783</v>
      </c>
      <c r="M1554" s="1" t="str">
        <f>VLOOKUP(B1554,Bounties!A:D,3,FALSE)</f>
        <v>Operations</v>
      </c>
      <c r="N1554" s="1" t="str">
        <f>VLOOKUP(B1554,Bounties!A:D,4,FALSE)</f>
        <v>RPCs and Nodes</v>
      </c>
      <c r="O1554" s="1" t="str">
        <f t="shared" ref="O1554:P1554" si="1558">IF(ISBLANK(K1554),M1554,K1554)</f>
        <v>Operations</v>
      </c>
      <c r="P1554" s="1" t="str">
        <f t="shared" si="1558"/>
        <v>RPCs and Nodes</v>
      </c>
      <c r="Q1554" s="108" t="str">
        <f t="shared" si="3"/>
        <v>2024</v>
      </c>
      <c r="R1554" s="110">
        <f t="shared" si="4"/>
        <v>7</v>
      </c>
      <c r="S1554" s="108" t="str">
        <f t="shared" si="5"/>
        <v>2024-Q3</v>
      </c>
      <c r="T1554" s="111" t="str">
        <f t="shared" si="6"/>
        <v>2024-07</v>
      </c>
      <c r="U1554" s="112" t="str">
        <f t="shared" si="7"/>
        <v>2024-H2</v>
      </c>
      <c r="V1554" s="1" t="str">
        <f>VLOOKUP(B1554,Bounties!A:E,2,FALSE)</f>
        <v>System Parachains Collator Bounty</v>
      </c>
    </row>
    <row r="1555" hidden="1">
      <c r="A1555" s="109">
        <f>HYPERLINK("https://polkadot.subsquare.io/treasury/child-bounties/1555", 1555)</f>
        <v>1555</v>
      </c>
      <c r="B1555" s="183">
        <v>32.0</v>
      </c>
      <c r="C1555" s="27" t="s">
        <v>3427</v>
      </c>
      <c r="D1555" s="27" t="s">
        <v>1862</v>
      </c>
      <c r="E1555" s="129">
        <v>38.56732652</v>
      </c>
      <c r="F1555" s="66">
        <v>235.21752597914963</v>
      </c>
      <c r="H1555" s="167">
        <v>45480.0</v>
      </c>
      <c r="I1555" s="167">
        <v>45481.0</v>
      </c>
      <c r="J1555" s="66">
        <v>235.21752597914963</v>
      </c>
      <c r="M1555" s="1" t="str">
        <f>VLOOKUP(B1555,Bounties!A:D,3,FALSE)</f>
        <v>Operations</v>
      </c>
      <c r="N1555" s="1" t="str">
        <f>VLOOKUP(B1555,Bounties!A:D,4,FALSE)</f>
        <v>RPCs and Nodes</v>
      </c>
      <c r="O1555" s="1" t="str">
        <f t="shared" ref="O1555:P1555" si="1559">IF(ISBLANK(K1555),M1555,K1555)</f>
        <v>Operations</v>
      </c>
      <c r="P1555" s="1" t="str">
        <f t="shared" si="1559"/>
        <v>RPCs and Nodes</v>
      </c>
      <c r="Q1555" s="108" t="str">
        <f t="shared" si="3"/>
        <v>2024</v>
      </c>
      <c r="R1555" s="110">
        <f t="shared" si="4"/>
        <v>7</v>
      </c>
      <c r="S1555" s="108" t="str">
        <f t="shared" si="5"/>
        <v>2024-Q3</v>
      </c>
      <c r="T1555" s="111" t="str">
        <f t="shared" si="6"/>
        <v>2024-07</v>
      </c>
      <c r="U1555" s="112" t="str">
        <f t="shared" si="7"/>
        <v>2024-H2</v>
      </c>
      <c r="V1555" s="1" t="str">
        <f>VLOOKUP(B1555,Bounties!A:E,2,FALSE)</f>
        <v>System Parachains Collator Bounty</v>
      </c>
    </row>
    <row r="1556" hidden="1">
      <c r="A1556" s="109">
        <f>HYPERLINK("https://polkadot.subsquare.io/treasury/child-bounties/1556", 1556)</f>
        <v>1556</v>
      </c>
      <c r="B1556" s="183">
        <v>32.0</v>
      </c>
      <c r="C1556" s="27" t="s">
        <v>3427</v>
      </c>
      <c r="D1556" s="27" t="s">
        <v>1863</v>
      </c>
      <c r="E1556" s="129">
        <v>41.2312767568</v>
      </c>
      <c r="F1556" s="66">
        <v>251.4646408448047</v>
      </c>
      <c r="H1556" s="167">
        <v>45480.0</v>
      </c>
      <c r="I1556" s="167">
        <v>45481.0</v>
      </c>
      <c r="J1556" s="66">
        <v>251.4646408448047</v>
      </c>
      <c r="M1556" s="1" t="str">
        <f>VLOOKUP(B1556,Bounties!A:D,3,FALSE)</f>
        <v>Operations</v>
      </c>
      <c r="N1556" s="1" t="str">
        <f>VLOOKUP(B1556,Bounties!A:D,4,FALSE)</f>
        <v>RPCs and Nodes</v>
      </c>
      <c r="O1556" s="1" t="str">
        <f t="shared" ref="O1556:P1556" si="1560">IF(ISBLANK(K1556),M1556,K1556)</f>
        <v>Operations</v>
      </c>
      <c r="P1556" s="1" t="str">
        <f t="shared" si="1560"/>
        <v>RPCs and Nodes</v>
      </c>
      <c r="Q1556" s="108" t="str">
        <f t="shared" si="3"/>
        <v>2024</v>
      </c>
      <c r="R1556" s="110">
        <f t="shared" si="4"/>
        <v>7</v>
      </c>
      <c r="S1556" s="108" t="str">
        <f t="shared" si="5"/>
        <v>2024-Q3</v>
      </c>
      <c r="T1556" s="111" t="str">
        <f t="shared" si="6"/>
        <v>2024-07</v>
      </c>
      <c r="U1556" s="112" t="str">
        <f t="shared" si="7"/>
        <v>2024-H2</v>
      </c>
      <c r="V1556" s="1" t="str">
        <f>VLOOKUP(B1556,Bounties!A:E,2,FALSE)</f>
        <v>System Parachains Collator Bounty</v>
      </c>
    </row>
    <row r="1557" hidden="1">
      <c r="A1557" s="109">
        <f>HYPERLINK("https://polkadot.subsquare.io/treasury/child-bounties/1557", 1557)</f>
        <v>1557</v>
      </c>
      <c r="B1557" s="183">
        <v>32.0</v>
      </c>
      <c r="C1557" s="27" t="s">
        <v>3427</v>
      </c>
      <c r="D1557" s="27" t="s">
        <v>1864</v>
      </c>
      <c r="E1557" s="129">
        <v>41.9976186057</v>
      </c>
      <c r="F1557" s="66">
        <v>256.1384684086383</v>
      </c>
      <c r="H1557" s="167">
        <v>45480.0</v>
      </c>
      <c r="I1557" s="167">
        <v>45481.0</v>
      </c>
      <c r="J1557" s="66">
        <v>256.1384684086383</v>
      </c>
      <c r="M1557" s="1" t="str">
        <f>VLOOKUP(B1557,Bounties!A:D,3,FALSE)</f>
        <v>Operations</v>
      </c>
      <c r="N1557" s="1" t="str">
        <f>VLOOKUP(B1557,Bounties!A:D,4,FALSE)</f>
        <v>RPCs and Nodes</v>
      </c>
      <c r="O1557" s="1" t="str">
        <f t="shared" ref="O1557:P1557" si="1561">IF(ISBLANK(K1557),M1557,K1557)</f>
        <v>Operations</v>
      </c>
      <c r="P1557" s="1" t="str">
        <f t="shared" si="1561"/>
        <v>RPCs and Nodes</v>
      </c>
      <c r="Q1557" s="108" t="str">
        <f t="shared" si="3"/>
        <v>2024</v>
      </c>
      <c r="R1557" s="110">
        <f t="shared" si="4"/>
        <v>7</v>
      </c>
      <c r="S1557" s="108" t="str">
        <f t="shared" si="5"/>
        <v>2024-Q3</v>
      </c>
      <c r="T1557" s="111" t="str">
        <f t="shared" si="6"/>
        <v>2024-07</v>
      </c>
      <c r="U1557" s="112" t="str">
        <f t="shared" si="7"/>
        <v>2024-H2</v>
      </c>
      <c r="V1557" s="1" t="str">
        <f>VLOOKUP(B1557,Bounties!A:E,2,FALSE)</f>
        <v>System Parachains Collator Bounty</v>
      </c>
    </row>
    <row r="1558" hidden="1">
      <c r="A1558" s="109">
        <f>HYPERLINK("https://polkadot.subsquare.io/treasury/child-bounties/1558", 1558)</f>
        <v>1558</v>
      </c>
      <c r="B1558" s="183">
        <v>32.0</v>
      </c>
      <c r="C1558" s="27" t="s">
        <v>3427</v>
      </c>
      <c r="D1558" s="27" t="s">
        <v>1865</v>
      </c>
      <c r="E1558" s="129">
        <v>41.8751081741</v>
      </c>
      <c r="F1558" s="66">
        <v>255.39129189349543</v>
      </c>
      <c r="H1558" s="167">
        <v>45480.0</v>
      </c>
      <c r="I1558" s="167">
        <v>45481.0</v>
      </c>
      <c r="J1558" s="66">
        <v>255.39129189349543</v>
      </c>
      <c r="M1558" s="1" t="str">
        <f>VLOOKUP(B1558,Bounties!A:D,3,FALSE)</f>
        <v>Operations</v>
      </c>
      <c r="N1558" s="1" t="str">
        <f>VLOOKUP(B1558,Bounties!A:D,4,FALSE)</f>
        <v>RPCs and Nodes</v>
      </c>
      <c r="O1558" s="1" t="str">
        <f t="shared" ref="O1558:P1558" si="1562">IF(ISBLANK(K1558),M1558,K1558)</f>
        <v>Operations</v>
      </c>
      <c r="P1558" s="1" t="str">
        <f t="shared" si="1562"/>
        <v>RPCs and Nodes</v>
      </c>
      <c r="Q1558" s="108" t="str">
        <f t="shared" si="3"/>
        <v>2024</v>
      </c>
      <c r="R1558" s="110">
        <f t="shared" si="4"/>
        <v>7</v>
      </c>
      <c r="S1558" s="108" t="str">
        <f t="shared" si="5"/>
        <v>2024-Q3</v>
      </c>
      <c r="T1558" s="111" t="str">
        <f t="shared" si="6"/>
        <v>2024-07</v>
      </c>
      <c r="U1558" s="112" t="str">
        <f t="shared" si="7"/>
        <v>2024-H2</v>
      </c>
      <c r="V1558" s="1" t="str">
        <f>VLOOKUP(B1558,Bounties!A:E,2,FALSE)</f>
        <v>System Parachains Collator Bounty</v>
      </c>
    </row>
    <row r="1559" hidden="1">
      <c r="A1559" s="109">
        <f>HYPERLINK("https://polkadot.subsquare.io/treasury/child-bounties/1559", 1559)</f>
        <v>1559</v>
      </c>
      <c r="B1559" s="183">
        <v>32.0</v>
      </c>
      <c r="C1559" s="27" t="s">
        <v>3427</v>
      </c>
      <c r="D1559" s="27" t="s">
        <v>3758</v>
      </c>
      <c r="E1559" s="129">
        <v>55.8730534287</v>
      </c>
      <c r="F1559" s="66">
        <v>340.7630909958043</v>
      </c>
      <c r="H1559" s="167">
        <v>45480.0</v>
      </c>
      <c r="I1559" s="167">
        <v>45481.0</v>
      </c>
      <c r="J1559" s="66">
        <v>340.7630909958043</v>
      </c>
      <c r="M1559" s="1" t="str">
        <f>VLOOKUP(B1559,Bounties!A:D,3,FALSE)</f>
        <v>Operations</v>
      </c>
      <c r="N1559" s="1" t="str">
        <f>VLOOKUP(B1559,Bounties!A:D,4,FALSE)</f>
        <v>RPCs and Nodes</v>
      </c>
      <c r="O1559" s="1" t="str">
        <f t="shared" ref="O1559:P1559" si="1563">IF(ISBLANK(K1559),M1559,K1559)</f>
        <v>Operations</v>
      </c>
      <c r="P1559" s="1" t="str">
        <f t="shared" si="1563"/>
        <v>RPCs and Nodes</v>
      </c>
      <c r="Q1559" s="108" t="str">
        <f t="shared" si="3"/>
        <v>2024</v>
      </c>
      <c r="R1559" s="110">
        <f t="shared" si="4"/>
        <v>7</v>
      </c>
      <c r="S1559" s="108" t="str">
        <f t="shared" si="5"/>
        <v>2024-Q3</v>
      </c>
      <c r="T1559" s="111" t="str">
        <f t="shared" si="6"/>
        <v>2024-07</v>
      </c>
      <c r="U1559" s="112" t="str">
        <f t="shared" si="7"/>
        <v>2024-H2</v>
      </c>
      <c r="V1559" s="1" t="str">
        <f>VLOOKUP(B1559,Bounties!A:E,2,FALSE)</f>
        <v>System Parachains Collator Bounty</v>
      </c>
    </row>
    <row r="1560" hidden="1">
      <c r="A1560" s="109">
        <f>HYPERLINK("https://polkadot.subsquare.io/treasury/child-bounties/1560", 1560)</f>
        <v>1560</v>
      </c>
      <c r="B1560" s="183">
        <v>32.0</v>
      </c>
      <c r="C1560" s="27" t="s">
        <v>3427</v>
      </c>
      <c r="D1560" s="27" t="s">
        <v>1867</v>
      </c>
      <c r="E1560" s="129">
        <v>56.8945180315</v>
      </c>
      <c r="F1560" s="66">
        <v>346.99288181683244</v>
      </c>
      <c r="H1560" s="167">
        <v>45480.0</v>
      </c>
      <c r="I1560" s="167">
        <v>45481.0</v>
      </c>
      <c r="J1560" s="66">
        <v>346.99288181683244</v>
      </c>
      <c r="M1560" s="1" t="str">
        <f>VLOOKUP(B1560,Bounties!A:D,3,FALSE)</f>
        <v>Operations</v>
      </c>
      <c r="N1560" s="1" t="str">
        <f>VLOOKUP(B1560,Bounties!A:D,4,FALSE)</f>
        <v>RPCs and Nodes</v>
      </c>
      <c r="O1560" s="1" t="str">
        <f t="shared" ref="O1560:P1560" si="1564">IF(ISBLANK(K1560),M1560,K1560)</f>
        <v>Operations</v>
      </c>
      <c r="P1560" s="1" t="str">
        <f t="shared" si="1564"/>
        <v>RPCs and Nodes</v>
      </c>
      <c r="Q1560" s="108" t="str">
        <f t="shared" si="3"/>
        <v>2024</v>
      </c>
      <c r="R1560" s="110">
        <f t="shared" si="4"/>
        <v>7</v>
      </c>
      <c r="S1560" s="108" t="str">
        <f t="shared" si="5"/>
        <v>2024-Q3</v>
      </c>
      <c r="T1560" s="111" t="str">
        <f t="shared" si="6"/>
        <v>2024-07</v>
      </c>
      <c r="U1560" s="112" t="str">
        <f t="shared" si="7"/>
        <v>2024-H2</v>
      </c>
      <c r="V1560" s="1" t="str">
        <f>VLOOKUP(B1560,Bounties!A:E,2,FALSE)</f>
        <v>System Parachains Collator Bounty</v>
      </c>
    </row>
    <row r="1561" hidden="1">
      <c r="A1561" s="109">
        <f>HYPERLINK("https://polkadot.subsquare.io/treasury/child-bounties/1561", 1561)</f>
        <v>1561</v>
      </c>
      <c r="B1561" s="183">
        <v>32.0</v>
      </c>
      <c r="C1561" s="27" t="s">
        <v>3427</v>
      </c>
      <c r="D1561" s="27" t="s">
        <v>3759</v>
      </c>
      <c r="E1561" s="129">
        <v>50.1259896082</v>
      </c>
      <c r="F1561" s="66">
        <v>305.71243398950975</v>
      </c>
      <c r="H1561" s="167">
        <v>45480.0</v>
      </c>
      <c r="I1561" s="167">
        <v>45481.0</v>
      </c>
      <c r="J1561" s="66">
        <v>305.71243398950975</v>
      </c>
      <c r="M1561" s="1" t="str">
        <f>VLOOKUP(B1561,Bounties!A:D,3,FALSE)</f>
        <v>Operations</v>
      </c>
      <c r="N1561" s="1" t="str">
        <f>VLOOKUP(B1561,Bounties!A:D,4,FALSE)</f>
        <v>RPCs and Nodes</v>
      </c>
      <c r="O1561" s="1" t="str">
        <f t="shared" ref="O1561:P1561" si="1565">IF(ISBLANK(K1561),M1561,K1561)</f>
        <v>Operations</v>
      </c>
      <c r="P1561" s="1" t="str">
        <f t="shared" si="1565"/>
        <v>RPCs and Nodes</v>
      </c>
      <c r="Q1561" s="108" t="str">
        <f t="shared" si="3"/>
        <v>2024</v>
      </c>
      <c r="R1561" s="110">
        <f t="shared" si="4"/>
        <v>7</v>
      </c>
      <c r="S1561" s="108" t="str">
        <f t="shared" si="5"/>
        <v>2024-Q3</v>
      </c>
      <c r="T1561" s="111" t="str">
        <f t="shared" si="6"/>
        <v>2024-07</v>
      </c>
      <c r="U1561" s="112" t="str">
        <f t="shared" si="7"/>
        <v>2024-H2</v>
      </c>
      <c r="V1561" s="1" t="str">
        <f>VLOOKUP(B1561,Bounties!A:E,2,FALSE)</f>
        <v>System Parachains Collator Bounty</v>
      </c>
    </row>
    <row r="1562" hidden="1">
      <c r="A1562" s="109">
        <f>HYPERLINK("https://polkadot.subsquare.io/treasury/child-bounties/1562", 1562)</f>
        <v>1562</v>
      </c>
      <c r="B1562" s="183">
        <v>32.0</v>
      </c>
      <c r="C1562" s="27" t="s">
        <v>3427</v>
      </c>
      <c r="D1562" s="27" t="s">
        <v>1869</v>
      </c>
      <c r="E1562" s="129">
        <v>9.9342083802</v>
      </c>
      <c r="F1562" s="66">
        <v>60.58755243354056</v>
      </c>
      <c r="H1562" s="167">
        <v>45480.0</v>
      </c>
      <c r="I1562" s="167">
        <v>45481.0</v>
      </c>
      <c r="J1562" s="66">
        <v>60.58755243354056</v>
      </c>
      <c r="M1562" s="1" t="str">
        <f>VLOOKUP(B1562,Bounties!A:D,3,FALSE)</f>
        <v>Operations</v>
      </c>
      <c r="N1562" s="1" t="str">
        <f>VLOOKUP(B1562,Bounties!A:D,4,FALSE)</f>
        <v>RPCs and Nodes</v>
      </c>
      <c r="O1562" s="1" t="str">
        <f t="shared" ref="O1562:P1562" si="1566">IF(ISBLANK(K1562),M1562,K1562)</f>
        <v>Operations</v>
      </c>
      <c r="P1562" s="1" t="str">
        <f t="shared" si="1566"/>
        <v>RPCs and Nodes</v>
      </c>
      <c r="Q1562" s="108" t="str">
        <f t="shared" si="3"/>
        <v>2024</v>
      </c>
      <c r="R1562" s="110">
        <f t="shared" si="4"/>
        <v>7</v>
      </c>
      <c r="S1562" s="108" t="str">
        <f t="shared" si="5"/>
        <v>2024-Q3</v>
      </c>
      <c r="T1562" s="111" t="str">
        <f t="shared" si="6"/>
        <v>2024-07</v>
      </c>
      <c r="U1562" s="112" t="str">
        <f t="shared" si="7"/>
        <v>2024-H2</v>
      </c>
      <c r="V1562" s="1" t="str">
        <f>VLOOKUP(B1562,Bounties!A:E,2,FALSE)</f>
        <v>System Parachains Collator Bounty</v>
      </c>
    </row>
    <row r="1563" hidden="1">
      <c r="A1563" s="109">
        <f>HYPERLINK("https://polkadot.subsquare.io/treasury/child-bounties/1563", 1563)</f>
        <v>1563</v>
      </c>
      <c r="B1563" s="183">
        <v>32.0</v>
      </c>
      <c r="C1563" s="27" t="s">
        <v>3427</v>
      </c>
      <c r="D1563" s="27" t="s">
        <v>1870</v>
      </c>
      <c r="E1563" s="129">
        <v>9.9342083802</v>
      </c>
      <c r="F1563" s="66">
        <v>60.58755243354056</v>
      </c>
      <c r="H1563" s="167">
        <v>45480.0</v>
      </c>
      <c r="I1563" s="167">
        <v>45481.0</v>
      </c>
      <c r="J1563" s="66">
        <v>60.58755243354056</v>
      </c>
      <c r="M1563" s="1" t="str">
        <f>VLOOKUP(B1563,Bounties!A:D,3,FALSE)</f>
        <v>Operations</v>
      </c>
      <c r="N1563" s="1" t="str">
        <f>VLOOKUP(B1563,Bounties!A:D,4,FALSE)</f>
        <v>RPCs and Nodes</v>
      </c>
      <c r="O1563" s="1" t="str">
        <f t="shared" ref="O1563:P1563" si="1567">IF(ISBLANK(K1563),M1563,K1563)</f>
        <v>Operations</v>
      </c>
      <c r="P1563" s="1" t="str">
        <f t="shared" si="1567"/>
        <v>RPCs and Nodes</v>
      </c>
      <c r="Q1563" s="108" t="str">
        <f t="shared" si="3"/>
        <v>2024</v>
      </c>
      <c r="R1563" s="110">
        <f t="shared" si="4"/>
        <v>7</v>
      </c>
      <c r="S1563" s="108" t="str">
        <f t="shared" si="5"/>
        <v>2024-Q3</v>
      </c>
      <c r="T1563" s="111" t="str">
        <f t="shared" si="6"/>
        <v>2024-07</v>
      </c>
      <c r="U1563" s="112" t="str">
        <f t="shared" si="7"/>
        <v>2024-H2</v>
      </c>
      <c r="V1563" s="1" t="str">
        <f>VLOOKUP(B1563,Bounties!A:E,2,FALSE)</f>
        <v>System Parachains Collator Bounty</v>
      </c>
    </row>
    <row r="1564" hidden="1">
      <c r="A1564" s="109">
        <f>HYPERLINK("https://polkadot.subsquare.io/treasury/child-bounties/1564", 1564)</f>
        <v>1564</v>
      </c>
      <c r="B1564" s="183">
        <v>32.0</v>
      </c>
      <c r="C1564" s="27" t="s">
        <v>3427</v>
      </c>
      <c r="D1564" s="27" t="s">
        <v>1871</v>
      </c>
      <c r="E1564" s="129">
        <v>9.9342083802</v>
      </c>
      <c r="F1564" s="66">
        <v>60.58755243354056</v>
      </c>
      <c r="H1564" s="167">
        <v>45480.0</v>
      </c>
      <c r="I1564" s="167">
        <v>45481.0</v>
      </c>
      <c r="J1564" s="66">
        <v>60.58755243354056</v>
      </c>
      <c r="M1564" s="1" t="str">
        <f>VLOOKUP(B1564,Bounties!A:D,3,FALSE)</f>
        <v>Operations</v>
      </c>
      <c r="N1564" s="1" t="str">
        <f>VLOOKUP(B1564,Bounties!A:D,4,FALSE)</f>
        <v>RPCs and Nodes</v>
      </c>
      <c r="O1564" s="1" t="str">
        <f t="shared" ref="O1564:P1564" si="1568">IF(ISBLANK(K1564),M1564,K1564)</f>
        <v>Operations</v>
      </c>
      <c r="P1564" s="1" t="str">
        <f t="shared" si="1568"/>
        <v>RPCs and Nodes</v>
      </c>
      <c r="Q1564" s="108" t="str">
        <f t="shared" si="3"/>
        <v>2024</v>
      </c>
      <c r="R1564" s="110">
        <f t="shared" si="4"/>
        <v>7</v>
      </c>
      <c r="S1564" s="108" t="str">
        <f t="shared" si="5"/>
        <v>2024-Q3</v>
      </c>
      <c r="T1564" s="111" t="str">
        <f t="shared" si="6"/>
        <v>2024-07</v>
      </c>
      <c r="U1564" s="112" t="str">
        <f t="shared" si="7"/>
        <v>2024-H2</v>
      </c>
      <c r="V1564" s="1" t="str">
        <f>VLOOKUP(B1564,Bounties!A:E,2,FALSE)</f>
        <v>System Parachains Collator Bounty</v>
      </c>
    </row>
    <row r="1565" hidden="1">
      <c r="A1565" s="109">
        <f>HYPERLINK("https://polkadot.subsquare.io/treasury/child-bounties/1565", 1565)</f>
        <v>1565</v>
      </c>
      <c r="B1565" s="183">
        <v>32.0</v>
      </c>
      <c r="C1565" s="27" t="s">
        <v>3427</v>
      </c>
      <c r="D1565" s="27" t="s">
        <v>1856</v>
      </c>
      <c r="E1565" s="129">
        <v>5.9231000904</v>
      </c>
      <c r="F1565" s="66">
        <v>36.12428122722688</v>
      </c>
      <c r="H1565" s="167">
        <v>45480.0</v>
      </c>
      <c r="I1565" s="167">
        <v>45481.0</v>
      </c>
      <c r="J1565" s="66">
        <v>36.12428122722688</v>
      </c>
      <c r="M1565" s="1" t="str">
        <f>VLOOKUP(B1565,Bounties!A:D,3,FALSE)</f>
        <v>Operations</v>
      </c>
      <c r="N1565" s="1" t="str">
        <f>VLOOKUP(B1565,Bounties!A:D,4,FALSE)</f>
        <v>RPCs and Nodes</v>
      </c>
      <c r="O1565" s="1" t="str">
        <f t="shared" ref="O1565:P1565" si="1569">IF(ISBLANK(K1565),M1565,K1565)</f>
        <v>Operations</v>
      </c>
      <c r="P1565" s="1" t="str">
        <f t="shared" si="1569"/>
        <v>RPCs and Nodes</v>
      </c>
      <c r="Q1565" s="108" t="str">
        <f t="shared" si="3"/>
        <v>2024</v>
      </c>
      <c r="R1565" s="110">
        <f t="shared" si="4"/>
        <v>7</v>
      </c>
      <c r="S1565" s="108" t="str">
        <f t="shared" si="5"/>
        <v>2024-Q3</v>
      </c>
      <c r="T1565" s="111" t="str">
        <f t="shared" si="6"/>
        <v>2024-07</v>
      </c>
      <c r="U1565" s="112" t="str">
        <f t="shared" si="7"/>
        <v>2024-H2</v>
      </c>
      <c r="V1565" s="1" t="str">
        <f>VLOOKUP(B1565,Bounties!A:E,2,FALSE)</f>
        <v>System Parachains Collator Bounty</v>
      </c>
    </row>
    <row r="1566" hidden="1">
      <c r="A1566" s="109">
        <f>HYPERLINK("https://polkadot.subsquare.io/treasury/child-bounties/1566", 1566)</f>
        <v>1566</v>
      </c>
      <c r="B1566" s="183">
        <v>32.0</v>
      </c>
      <c r="C1566" s="27" t="s">
        <v>3427</v>
      </c>
      <c r="D1566" s="27" t="s">
        <v>3760</v>
      </c>
      <c r="E1566" s="129">
        <v>57.0895442263</v>
      </c>
      <c r="F1566" s="66">
        <v>348.18232332551975</v>
      </c>
      <c r="H1566" s="167">
        <v>45480.0</v>
      </c>
      <c r="I1566" s="167">
        <v>45481.0</v>
      </c>
      <c r="J1566" s="66">
        <v>348.18232332551975</v>
      </c>
      <c r="M1566" s="1" t="str">
        <f>VLOOKUP(B1566,Bounties!A:D,3,FALSE)</f>
        <v>Operations</v>
      </c>
      <c r="N1566" s="1" t="str">
        <f>VLOOKUP(B1566,Bounties!A:D,4,FALSE)</f>
        <v>RPCs and Nodes</v>
      </c>
      <c r="O1566" s="1" t="str">
        <f t="shared" ref="O1566:P1566" si="1570">IF(ISBLANK(K1566),M1566,K1566)</f>
        <v>Operations</v>
      </c>
      <c r="P1566" s="1" t="str">
        <f t="shared" si="1570"/>
        <v>RPCs and Nodes</v>
      </c>
      <c r="Q1566" s="108" t="str">
        <f t="shared" si="3"/>
        <v>2024</v>
      </c>
      <c r="R1566" s="110">
        <f t="shared" si="4"/>
        <v>7</v>
      </c>
      <c r="S1566" s="108" t="str">
        <f t="shared" si="5"/>
        <v>2024-Q3</v>
      </c>
      <c r="T1566" s="111" t="str">
        <f t="shared" si="6"/>
        <v>2024-07</v>
      </c>
      <c r="U1566" s="112" t="str">
        <f t="shared" si="7"/>
        <v>2024-H2</v>
      </c>
      <c r="V1566" s="1" t="str">
        <f>VLOOKUP(B1566,Bounties!A:E,2,FALSE)</f>
        <v>System Parachains Collator Bounty</v>
      </c>
    </row>
    <row r="1567" hidden="1">
      <c r="A1567" s="109">
        <f>HYPERLINK("https://polkadot.subsquare.io/treasury/child-bounties/1567", 1567)</f>
        <v>1567</v>
      </c>
      <c r="B1567" s="183">
        <v>32.0</v>
      </c>
      <c r="C1567" s="27" t="s">
        <v>3427</v>
      </c>
      <c r="D1567" s="27" t="s">
        <v>1873</v>
      </c>
      <c r="E1567" s="129">
        <v>56.9913135842</v>
      </c>
      <c r="F1567" s="66">
        <v>347.5832263516052</v>
      </c>
      <c r="H1567" s="167">
        <v>45480.0</v>
      </c>
      <c r="I1567" s="167">
        <v>45481.0</v>
      </c>
      <c r="J1567" s="66">
        <v>347.5832263516052</v>
      </c>
      <c r="M1567" s="1" t="str">
        <f>VLOOKUP(B1567,Bounties!A:D,3,FALSE)</f>
        <v>Operations</v>
      </c>
      <c r="N1567" s="1" t="str">
        <f>VLOOKUP(B1567,Bounties!A:D,4,FALSE)</f>
        <v>RPCs and Nodes</v>
      </c>
      <c r="O1567" s="1" t="str">
        <f t="shared" ref="O1567:P1567" si="1571">IF(ISBLANK(K1567),M1567,K1567)</f>
        <v>Operations</v>
      </c>
      <c r="P1567" s="1" t="str">
        <f t="shared" si="1571"/>
        <v>RPCs and Nodes</v>
      </c>
      <c r="Q1567" s="108" t="str">
        <f t="shared" si="3"/>
        <v>2024</v>
      </c>
      <c r="R1567" s="110">
        <f t="shared" si="4"/>
        <v>7</v>
      </c>
      <c r="S1567" s="108" t="str">
        <f t="shared" si="5"/>
        <v>2024-Q3</v>
      </c>
      <c r="T1567" s="111" t="str">
        <f t="shared" si="6"/>
        <v>2024-07</v>
      </c>
      <c r="U1567" s="112" t="str">
        <f t="shared" si="7"/>
        <v>2024-H2</v>
      </c>
      <c r="V1567" s="1" t="str">
        <f>VLOOKUP(B1567,Bounties!A:E,2,FALSE)</f>
        <v>System Parachains Collator Bounty</v>
      </c>
    </row>
    <row r="1568" hidden="1">
      <c r="A1568" s="109">
        <f>HYPERLINK("https://polkadot.subsquare.io/treasury/child-bounties/1568", 1568)</f>
        <v>1568</v>
      </c>
      <c r="B1568" s="183">
        <v>32.0</v>
      </c>
      <c r="C1568" s="27" t="s">
        <v>3427</v>
      </c>
      <c r="D1568" s="27" t="s">
        <v>1874</v>
      </c>
      <c r="E1568" s="129">
        <v>56.9246570771</v>
      </c>
      <c r="F1568" s="66">
        <v>347.1766962624028</v>
      </c>
      <c r="H1568" s="167">
        <v>45480.0</v>
      </c>
      <c r="I1568" s="167">
        <v>45481.0</v>
      </c>
      <c r="J1568" s="66">
        <v>347.1766962624028</v>
      </c>
      <c r="M1568" s="1" t="str">
        <f>VLOOKUP(B1568,Bounties!A:D,3,FALSE)</f>
        <v>Operations</v>
      </c>
      <c r="N1568" s="1" t="str">
        <f>VLOOKUP(B1568,Bounties!A:D,4,FALSE)</f>
        <v>RPCs and Nodes</v>
      </c>
      <c r="O1568" s="1" t="str">
        <f t="shared" ref="O1568:P1568" si="1572">IF(ISBLANK(K1568),M1568,K1568)</f>
        <v>Operations</v>
      </c>
      <c r="P1568" s="1" t="str">
        <f t="shared" si="1572"/>
        <v>RPCs and Nodes</v>
      </c>
      <c r="Q1568" s="108" t="str">
        <f t="shared" si="3"/>
        <v>2024</v>
      </c>
      <c r="R1568" s="110">
        <f t="shared" si="4"/>
        <v>7</v>
      </c>
      <c r="S1568" s="108" t="str">
        <f t="shared" si="5"/>
        <v>2024-Q3</v>
      </c>
      <c r="T1568" s="111" t="str">
        <f t="shared" si="6"/>
        <v>2024-07</v>
      </c>
      <c r="U1568" s="112" t="str">
        <f t="shared" si="7"/>
        <v>2024-H2</v>
      </c>
      <c r="V1568" s="1" t="str">
        <f>VLOOKUP(B1568,Bounties!A:E,2,FALSE)</f>
        <v>System Parachains Collator Bounty</v>
      </c>
    </row>
    <row r="1569" hidden="1">
      <c r="A1569" s="109">
        <f>HYPERLINK("https://polkadot.subsquare.io/treasury/child-bounties/1569", 1569)</f>
        <v>1569</v>
      </c>
      <c r="B1569" s="183">
        <v>32.0</v>
      </c>
      <c r="C1569" s="27" t="s">
        <v>3427</v>
      </c>
      <c r="D1569" s="27" t="s">
        <v>1875</v>
      </c>
      <c r="E1569" s="129">
        <v>56.7667864023</v>
      </c>
      <c r="F1569" s="66">
        <v>346.21386184006195</v>
      </c>
      <c r="H1569" s="167">
        <v>45480.0</v>
      </c>
      <c r="I1569" s="167">
        <v>45481.0</v>
      </c>
      <c r="J1569" s="66">
        <v>346.21386184006195</v>
      </c>
      <c r="M1569" s="1" t="str">
        <f>VLOOKUP(B1569,Bounties!A:D,3,FALSE)</f>
        <v>Operations</v>
      </c>
      <c r="N1569" s="1" t="str">
        <f>VLOOKUP(B1569,Bounties!A:D,4,FALSE)</f>
        <v>RPCs and Nodes</v>
      </c>
      <c r="O1569" s="1" t="str">
        <f t="shared" ref="O1569:P1569" si="1573">IF(ISBLANK(K1569),M1569,K1569)</f>
        <v>Operations</v>
      </c>
      <c r="P1569" s="1" t="str">
        <f t="shared" si="1573"/>
        <v>RPCs and Nodes</v>
      </c>
      <c r="Q1569" s="108" t="str">
        <f t="shared" si="3"/>
        <v>2024</v>
      </c>
      <c r="R1569" s="110">
        <f t="shared" si="4"/>
        <v>7</v>
      </c>
      <c r="S1569" s="108" t="str">
        <f t="shared" si="5"/>
        <v>2024-Q3</v>
      </c>
      <c r="T1569" s="111" t="str">
        <f t="shared" si="6"/>
        <v>2024-07</v>
      </c>
      <c r="U1569" s="112" t="str">
        <f t="shared" si="7"/>
        <v>2024-H2</v>
      </c>
      <c r="V1569" s="1" t="str">
        <f>VLOOKUP(B1569,Bounties!A:E,2,FALSE)</f>
        <v>System Parachains Collator Bounty</v>
      </c>
    </row>
    <row r="1570" hidden="1">
      <c r="A1570" s="109">
        <f>HYPERLINK("https://polkadot.subsquare.io/treasury/child-bounties/1570", 1570)</f>
        <v>1570</v>
      </c>
      <c r="B1570" s="183">
        <v>32.0</v>
      </c>
      <c r="C1570" s="27" t="s">
        <v>3427</v>
      </c>
      <c r="D1570" s="27" t="s">
        <v>1876</v>
      </c>
      <c r="E1570" s="129">
        <v>57.1737419195</v>
      </c>
      <c r="F1570" s="66">
        <v>348.69583501727226</v>
      </c>
      <c r="H1570" s="167">
        <v>45480.0</v>
      </c>
      <c r="I1570" s="167">
        <v>45481.0</v>
      </c>
      <c r="J1570" s="66">
        <v>348.69583501727226</v>
      </c>
      <c r="M1570" s="1" t="str">
        <f>VLOOKUP(B1570,Bounties!A:D,3,FALSE)</f>
        <v>Operations</v>
      </c>
      <c r="N1570" s="1" t="str">
        <f>VLOOKUP(B1570,Bounties!A:D,4,FALSE)</f>
        <v>RPCs and Nodes</v>
      </c>
      <c r="O1570" s="1" t="str">
        <f t="shared" ref="O1570:P1570" si="1574">IF(ISBLANK(K1570),M1570,K1570)</f>
        <v>Operations</v>
      </c>
      <c r="P1570" s="1" t="str">
        <f t="shared" si="1574"/>
        <v>RPCs and Nodes</v>
      </c>
      <c r="Q1570" s="108" t="str">
        <f t="shared" si="3"/>
        <v>2024</v>
      </c>
      <c r="R1570" s="110">
        <f t="shared" si="4"/>
        <v>7</v>
      </c>
      <c r="S1570" s="108" t="str">
        <f t="shared" si="5"/>
        <v>2024-Q3</v>
      </c>
      <c r="T1570" s="111" t="str">
        <f t="shared" si="6"/>
        <v>2024-07</v>
      </c>
      <c r="U1570" s="112" t="str">
        <f t="shared" si="7"/>
        <v>2024-H2</v>
      </c>
      <c r="V1570" s="1" t="str">
        <f>VLOOKUP(B1570,Bounties!A:E,2,FALSE)</f>
        <v>System Parachains Collator Bounty</v>
      </c>
    </row>
    <row r="1571" hidden="1">
      <c r="A1571" s="109">
        <f>HYPERLINK("https://polkadot.subsquare.io/treasury/child-bounties/1571", 1571)</f>
        <v>1571</v>
      </c>
      <c r="B1571" s="183">
        <v>32.0</v>
      </c>
      <c r="C1571" s="27" t="s">
        <v>3427</v>
      </c>
      <c r="D1571" s="27" t="s">
        <v>1877</v>
      </c>
      <c r="E1571" s="129">
        <v>41.4736451113</v>
      </c>
      <c r="F1571" s="66">
        <v>252.9428165407935</v>
      </c>
      <c r="H1571" s="167">
        <v>45480.0</v>
      </c>
      <c r="I1571" s="167">
        <v>45481.0</v>
      </c>
      <c r="J1571" s="66">
        <v>252.9428165407935</v>
      </c>
      <c r="M1571" s="1" t="str">
        <f>VLOOKUP(B1571,Bounties!A:D,3,FALSE)</f>
        <v>Operations</v>
      </c>
      <c r="N1571" s="1" t="str">
        <f>VLOOKUP(B1571,Bounties!A:D,4,FALSE)</f>
        <v>RPCs and Nodes</v>
      </c>
      <c r="O1571" s="1" t="str">
        <f t="shared" ref="O1571:P1571" si="1575">IF(ISBLANK(K1571),M1571,K1571)</f>
        <v>Operations</v>
      </c>
      <c r="P1571" s="1" t="str">
        <f t="shared" si="1575"/>
        <v>RPCs and Nodes</v>
      </c>
      <c r="Q1571" s="108" t="str">
        <f t="shared" si="3"/>
        <v>2024</v>
      </c>
      <c r="R1571" s="110">
        <f t="shared" si="4"/>
        <v>7</v>
      </c>
      <c r="S1571" s="108" t="str">
        <f t="shared" si="5"/>
        <v>2024-Q3</v>
      </c>
      <c r="T1571" s="111" t="str">
        <f t="shared" si="6"/>
        <v>2024-07</v>
      </c>
      <c r="U1571" s="112" t="str">
        <f t="shared" si="7"/>
        <v>2024-H2</v>
      </c>
      <c r="V1571" s="1" t="str">
        <f>VLOOKUP(B1571,Bounties!A:E,2,FALSE)</f>
        <v>System Parachains Collator Bounty</v>
      </c>
    </row>
    <row r="1572" hidden="1">
      <c r="A1572" s="109">
        <f>HYPERLINK("https://polkadot.subsquare.io/treasury/child-bounties/1572", 1572)</f>
        <v>1572</v>
      </c>
      <c r="B1572" s="183">
        <v>32.0</v>
      </c>
      <c r="C1572" s="27" t="s">
        <v>3427</v>
      </c>
      <c r="D1572" s="27" t="s">
        <v>1878</v>
      </c>
      <c r="E1572" s="129">
        <v>42.0738875109</v>
      </c>
      <c r="F1572" s="66">
        <v>256.60362336774546</v>
      </c>
      <c r="H1572" s="167">
        <v>45480.0</v>
      </c>
      <c r="I1572" s="167">
        <v>45481.0</v>
      </c>
      <c r="J1572" s="66">
        <v>256.60362336774546</v>
      </c>
      <c r="M1572" s="1" t="str">
        <f>VLOOKUP(B1572,Bounties!A:D,3,FALSE)</f>
        <v>Operations</v>
      </c>
      <c r="N1572" s="1" t="str">
        <f>VLOOKUP(B1572,Bounties!A:D,4,FALSE)</f>
        <v>RPCs and Nodes</v>
      </c>
      <c r="O1572" s="1" t="str">
        <f t="shared" ref="O1572:P1572" si="1576">IF(ISBLANK(K1572),M1572,K1572)</f>
        <v>Operations</v>
      </c>
      <c r="P1572" s="1" t="str">
        <f t="shared" si="1576"/>
        <v>RPCs and Nodes</v>
      </c>
      <c r="Q1572" s="108" t="str">
        <f t="shared" si="3"/>
        <v>2024</v>
      </c>
      <c r="R1572" s="110">
        <f t="shared" si="4"/>
        <v>7</v>
      </c>
      <c r="S1572" s="108" t="str">
        <f t="shared" si="5"/>
        <v>2024-Q3</v>
      </c>
      <c r="T1572" s="111" t="str">
        <f t="shared" si="6"/>
        <v>2024-07</v>
      </c>
      <c r="U1572" s="112" t="str">
        <f t="shared" si="7"/>
        <v>2024-H2</v>
      </c>
      <c r="V1572" s="1" t="str">
        <f>VLOOKUP(B1572,Bounties!A:E,2,FALSE)</f>
        <v>System Parachains Collator Bounty</v>
      </c>
    </row>
    <row r="1573" hidden="1">
      <c r="A1573" s="109">
        <f>HYPERLINK("https://polkadot.subsquare.io/treasury/child-bounties/1573", 1573)</f>
        <v>1573</v>
      </c>
      <c r="B1573" s="183">
        <v>32.0</v>
      </c>
      <c r="C1573" s="27" t="s">
        <v>3427</v>
      </c>
      <c r="D1573" s="27" t="s">
        <v>1879</v>
      </c>
      <c r="E1573" s="129">
        <v>36.7131019419</v>
      </c>
      <c r="F1573" s="66">
        <v>223.90883136055217</v>
      </c>
      <c r="H1573" s="167">
        <v>45480.0</v>
      </c>
      <c r="I1573" s="167">
        <v>45481.0</v>
      </c>
      <c r="J1573" s="66">
        <v>223.90883136055217</v>
      </c>
      <c r="M1573" s="1" t="str">
        <f>VLOOKUP(B1573,Bounties!A:D,3,FALSE)</f>
        <v>Operations</v>
      </c>
      <c r="N1573" s="1" t="str">
        <f>VLOOKUP(B1573,Bounties!A:D,4,FALSE)</f>
        <v>RPCs and Nodes</v>
      </c>
      <c r="O1573" s="1" t="str">
        <f t="shared" ref="O1573:P1573" si="1577">IF(ISBLANK(K1573),M1573,K1573)</f>
        <v>Operations</v>
      </c>
      <c r="P1573" s="1" t="str">
        <f t="shared" si="1577"/>
        <v>RPCs and Nodes</v>
      </c>
      <c r="Q1573" s="108" t="str">
        <f t="shared" si="3"/>
        <v>2024</v>
      </c>
      <c r="R1573" s="110">
        <f t="shared" si="4"/>
        <v>7</v>
      </c>
      <c r="S1573" s="108" t="str">
        <f t="shared" si="5"/>
        <v>2024-Q3</v>
      </c>
      <c r="T1573" s="111" t="str">
        <f t="shared" si="6"/>
        <v>2024-07</v>
      </c>
      <c r="U1573" s="112" t="str">
        <f t="shared" si="7"/>
        <v>2024-H2</v>
      </c>
      <c r="V1573" s="1" t="str">
        <f>VLOOKUP(B1573,Bounties!A:E,2,FALSE)</f>
        <v>System Parachains Collator Bounty</v>
      </c>
    </row>
    <row r="1574" hidden="1">
      <c r="A1574" s="109">
        <f>HYPERLINK("https://polkadot.subsquare.io/treasury/child-bounties/1574", 1574)</f>
        <v>1574</v>
      </c>
      <c r="B1574" s="183">
        <v>32.0</v>
      </c>
      <c r="C1574" s="27" t="s">
        <v>3427</v>
      </c>
      <c r="D1574" s="27" t="s">
        <v>1880</v>
      </c>
      <c r="E1574" s="129">
        <v>37.3055825863</v>
      </c>
      <c r="F1574" s="66">
        <v>227.52230016799027</v>
      </c>
      <c r="H1574" s="167">
        <v>45480.0</v>
      </c>
      <c r="I1574" s="167">
        <v>45481.0</v>
      </c>
      <c r="J1574" s="66">
        <v>227.52230016799027</v>
      </c>
      <c r="M1574" s="1" t="str">
        <f>VLOOKUP(B1574,Bounties!A:D,3,FALSE)</f>
        <v>Operations</v>
      </c>
      <c r="N1574" s="1" t="str">
        <f>VLOOKUP(B1574,Bounties!A:D,4,FALSE)</f>
        <v>RPCs and Nodes</v>
      </c>
      <c r="O1574" s="1" t="str">
        <f t="shared" ref="O1574:P1574" si="1578">IF(ISBLANK(K1574),M1574,K1574)</f>
        <v>Operations</v>
      </c>
      <c r="P1574" s="1" t="str">
        <f t="shared" si="1578"/>
        <v>RPCs and Nodes</v>
      </c>
      <c r="Q1574" s="108" t="str">
        <f t="shared" si="3"/>
        <v>2024</v>
      </c>
      <c r="R1574" s="110">
        <f t="shared" si="4"/>
        <v>7</v>
      </c>
      <c r="S1574" s="108" t="str">
        <f t="shared" si="5"/>
        <v>2024-Q3</v>
      </c>
      <c r="T1574" s="111" t="str">
        <f t="shared" si="6"/>
        <v>2024-07</v>
      </c>
      <c r="U1574" s="112" t="str">
        <f t="shared" si="7"/>
        <v>2024-H2</v>
      </c>
      <c r="V1574" s="1" t="str">
        <f>VLOOKUP(B1574,Bounties!A:E,2,FALSE)</f>
        <v>System Parachains Collator Bounty</v>
      </c>
    </row>
    <row r="1575" hidden="1">
      <c r="A1575" s="109">
        <f>HYPERLINK("https://polkadot.subsquare.io/treasury/child-bounties/1575", 1575)</f>
        <v>1575</v>
      </c>
      <c r="B1575" s="183">
        <v>32.0</v>
      </c>
      <c r="C1575" s="27" t="s">
        <v>3427</v>
      </c>
      <c r="D1575" s="27" t="s">
        <v>1881</v>
      </c>
      <c r="E1575" s="129">
        <v>36.6820549212</v>
      </c>
      <c r="F1575" s="66">
        <v>223.71947928310678</v>
      </c>
      <c r="H1575" s="167">
        <v>45480.0</v>
      </c>
      <c r="I1575" s="167">
        <v>45481.0</v>
      </c>
      <c r="J1575" s="66">
        <v>223.71947928310678</v>
      </c>
      <c r="M1575" s="1" t="str">
        <f>VLOOKUP(B1575,Bounties!A:D,3,FALSE)</f>
        <v>Operations</v>
      </c>
      <c r="N1575" s="1" t="str">
        <f>VLOOKUP(B1575,Bounties!A:D,4,FALSE)</f>
        <v>RPCs and Nodes</v>
      </c>
      <c r="O1575" s="1" t="str">
        <f t="shared" ref="O1575:P1575" si="1579">IF(ISBLANK(K1575),M1575,K1575)</f>
        <v>Operations</v>
      </c>
      <c r="P1575" s="1" t="str">
        <f t="shared" si="1579"/>
        <v>RPCs and Nodes</v>
      </c>
      <c r="Q1575" s="108" t="str">
        <f t="shared" si="3"/>
        <v>2024</v>
      </c>
      <c r="R1575" s="110">
        <f t="shared" si="4"/>
        <v>7</v>
      </c>
      <c r="S1575" s="108" t="str">
        <f t="shared" si="5"/>
        <v>2024-Q3</v>
      </c>
      <c r="T1575" s="111" t="str">
        <f t="shared" si="6"/>
        <v>2024-07</v>
      </c>
      <c r="U1575" s="112" t="str">
        <f t="shared" si="7"/>
        <v>2024-H2</v>
      </c>
      <c r="V1575" s="1" t="str">
        <f>VLOOKUP(B1575,Bounties!A:E,2,FALSE)</f>
        <v>System Parachains Collator Bounty</v>
      </c>
    </row>
    <row r="1576" hidden="1">
      <c r="A1576" s="109">
        <f>HYPERLINK("https://polkadot.subsquare.io/treasury/child-bounties/1576", 1576)</f>
        <v>1576</v>
      </c>
      <c r="B1576" s="183">
        <v>32.0</v>
      </c>
      <c r="C1576" s="27" t="s">
        <v>3427</v>
      </c>
      <c r="D1576" s="27" t="s">
        <v>1882</v>
      </c>
      <c r="E1576" s="129">
        <v>52.3183416116</v>
      </c>
      <c r="F1576" s="66">
        <v>319.08332745934257</v>
      </c>
      <c r="H1576" s="167">
        <v>45480.0</v>
      </c>
      <c r="I1576" s="167">
        <v>45481.0</v>
      </c>
      <c r="J1576" s="66">
        <v>319.08332745934257</v>
      </c>
      <c r="M1576" s="1" t="str">
        <f>VLOOKUP(B1576,Bounties!A:D,3,FALSE)</f>
        <v>Operations</v>
      </c>
      <c r="N1576" s="1" t="str">
        <f>VLOOKUP(B1576,Bounties!A:D,4,FALSE)</f>
        <v>RPCs and Nodes</v>
      </c>
      <c r="O1576" s="1" t="str">
        <f t="shared" ref="O1576:P1576" si="1580">IF(ISBLANK(K1576),M1576,K1576)</f>
        <v>Operations</v>
      </c>
      <c r="P1576" s="1" t="str">
        <f t="shared" si="1580"/>
        <v>RPCs and Nodes</v>
      </c>
      <c r="Q1576" s="108" t="str">
        <f t="shared" si="3"/>
        <v>2024</v>
      </c>
      <c r="R1576" s="110">
        <f t="shared" si="4"/>
        <v>7</v>
      </c>
      <c r="S1576" s="108" t="str">
        <f t="shared" si="5"/>
        <v>2024-Q3</v>
      </c>
      <c r="T1576" s="111" t="str">
        <f t="shared" si="6"/>
        <v>2024-07</v>
      </c>
      <c r="U1576" s="112" t="str">
        <f t="shared" si="7"/>
        <v>2024-H2</v>
      </c>
      <c r="V1576" s="1" t="str">
        <f>VLOOKUP(B1576,Bounties!A:E,2,FALSE)</f>
        <v>System Parachains Collator Bounty</v>
      </c>
    </row>
    <row r="1577" hidden="1">
      <c r="A1577" s="109">
        <f>HYPERLINK("https://polkadot.subsquare.io/treasury/child-bounties/1577", 1577)</f>
        <v>1577</v>
      </c>
      <c r="B1577" s="183">
        <v>32.0</v>
      </c>
      <c r="C1577" s="27" t="s">
        <v>3427</v>
      </c>
      <c r="D1577" s="27" t="s">
        <v>1883</v>
      </c>
      <c r="E1577" s="129">
        <v>57.0720030402</v>
      </c>
      <c r="F1577" s="66">
        <v>348.07534172296965</v>
      </c>
      <c r="H1577" s="167">
        <v>45480.0</v>
      </c>
      <c r="I1577" s="167">
        <v>45481.0</v>
      </c>
      <c r="J1577" s="66">
        <v>348.07534172296965</v>
      </c>
      <c r="M1577" s="1" t="str">
        <f>VLOOKUP(B1577,Bounties!A:D,3,FALSE)</f>
        <v>Operations</v>
      </c>
      <c r="N1577" s="1" t="str">
        <f>VLOOKUP(B1577,Bounties!A:D,4,FALSE)</f>
        <v>RPCs and Nodes</v>
      </c>
      <c r="O1577" s="1" t="str">
        <f t="shared" ref="O1577:P1577" si="1581">IF(ISBLANK(K1577),M1577,K1577)</f>
        <v>Operations</v>
      </c>
      <c r="P1577" s="1" t="str">
        <f t="shared" si="1581"/>
        <v>RPCs and Nodes</v>
      </c>
      <c r="Q1577" s="108" t="str">
        <f t="shared" si="3"/>
        <v>2024</v>
      </c>
      <c r="R1577" s="110">
        <f t="shared" si="4"/>
        <v>7</v>
      </c>
      <c r="S1577" s="108" t="str">
        <f t="shared" si="5"/>
        <v>2024-Q3</v>
      </c>
      <c r="T1577" s="111" t="str">
        <f t="shared" si="6"/>
        <v>2024-07</v>
      </c>
      <c r="U1577" s="112" t="str">
        <f t="shared" si="7"/>
        <v>2024-H2</v>
      </c>
      <c r="V1577" s="1" t="str">
        <f>VLOOKUP(B1577,Bounties!A:E,2,FALSE)</f>
        <v>System Parachains Collator Bounty</v>
      </c>
    </row>
    <row r="1578" hidden="1">
      <c r="A1578" s="109">
        <f>HYPERLINK("https://polkadot.subsquare.io/treasury/child-bounties/1578", 1578)</f>
        <v>1578</v>
      </c>
      <c r="B1578" s="183">
        <v>32.0</v>
      </c>
      <c r="C1578" s="27" t="s">
        <v>3427</v>
      </c>
      <c r="D1578" s="27" t="s">
        <v>1884</v>
      </c>
      <c r="E1578" s="129">
        <v>9.9084626671</v>
      </c>
      <c r="F1578" s="66">
        <v>60.4305323990611</v>
      </c>
      <c r="H1578" s="167">
        <v>45480.0</v>
      </c>
      <c r="I1578" s="167">
        <v>45481.0</v>
      </c>
      <c r="J1578" s="66">
        <v>60.4305323990611</v>
      </c>
      <c r="M1578" s="1" t="str">
        <f>VLOOKUP(B1578,Bounties!A:D,3,FALSE)</f>
        <v>Operations</v>
      </c>
      <c r="N1578" s="1" t="str">
        <f>VLOOKUP(B1578,Bounties!A:D,4,FALSE)</f>
        <v>RPCs and Nodes</v>
      </c>
      <c r="O1578" s="1" t="str">
        <f t="shared" ref="O1578:P1578" si="1582">IF(ISBLANK(K1578),M1578,K1578)</f>
        <v>Operations</v>
      </c>
      <c r="P1578" s="1" t="str">
        <f t="shared" si="1582"/>
        <v>RPCs and Nodes</v>
      </c>
      <c r="Q1578" s="108" t="str">
        <f t="shared" si="3"/>
        <v>2024</v>
      </c>
      <c r="R1578" s="110">
        <f t="shared" si="4"/>
        <v>7</v>
      </c>
      <c r="S1578" s="108" t="str">
        <f t="shared" si="5"/>
        <v>2024-Q3</v>
      </c>
      <c r="T1578" s="111" t="str">
        <f t="shared" si="6"/>
        <v>2024-07</v>
      </c>
      <c r="U1578" s="112" t="str">
        <f t="shared" si="7"/>
        <v>2024-H2</v>
      </c>
      <c r="V1578" s="1" t="str">
        <f>VLOOKUP(B1578,Bounties!A:E,2,FALSE)</f>
        <v>System Parachains Collator Bounty</v>
      </c>
    </row>
    <row r="1579" hidden="1">
      <c r="A1579" s="109">
        <f>HYPERLINK("https://polkadot.subsquare.io/treasury/child-bounties/1579", 1579)</f>
        <v>1579</v>
      </c>
      <c r="B1579" s="183">
        <v>32.0</v>
      </c>
      <c r="C1579" s="27" t="s">
        <v>3427</v>
      </c>
      <c r="D1579" s="27" t="s">
        <v>1885</v>
      </c>
      <c r="E1579" s="129">
        <v>9.9084626671</v>
      </c>
      <c r="F1579" s="66">
        <v>60.4305323990611</v>
      </c>
      <c r="H1579" s="167">
        <v>45480.0</v>
      </c>
      <c r="I1579" s="167">
        <v>45481.0</v>
      </c>
      <c r="J1579" s="66">
        <v>60.4305323990611</v>
      </c>
      <c r="M1579" s="1" t="str">
        <f>VLOOKUP(B1579,Bounties!A:D,3,FALSE)</f>
        <v>Operations</v>
      </c>
      <c r="N1579" s="1" t="str">
        <f>VLOOKUP(B1579,Bounties!A:D,4,FALSE)</f>
        <v>RPCs and Nodes</v>
      </c>
      <c r="O1579" s="1" t="str">
        <f t="shared" ref="O1579:P1579" si="1583">IF(ISBLANK(K1579),M1579,K1579)</f>
        <v>Operations</v>
      </c>
      <c r="P1579" s="1" t="str">
        <f t="shared" si="1583"/>
        <v>RPCs and Nodes</v>
      </c>
      <c r="Q1579" s="108" t="str">
        <f t="shared" si="3"/>
        <v>2024</v>
      </c>
      <c r="R1579" s="110">
        <f t="shared" si="4"/>
        <v>7</v>
      </c>
      <c r="S1579" s="108" t="str">
        <f t="shared" si="5"/>
        <v>2024-Q3</v>
      </c>
      <c r="T1579" s="111" t="str">
        <f t="shared" si="6"/>
        <v>2024-07</v>
      </c>
      <c r="U1579" s="112" t="str">
        <f t="shared" si="7"/>
        <v>2024-H2</v>
      </c>
      <c r="V1579" s="1" t="str">
        <f>VLOOKUP(B1579,Bounties!A:E,2,FALSE)</f>
        <v>System Parachains Collator Bounty</v>
      </c>
    </row>
    <row r="1580" hidden="1">
      <c r="A1580" s="109">
        <f>HYPERLINK("https://polkadot.subsquare.io/treasury/child-bounties/1580", 1580)</f>
        <v>1580</v>
      </c>
      <c r="B1580" s="183">
        <v>32.0</v>
      </c>
      <c r="C1580" s="27" t="s">
        <v>3427</v>
      </c>
      <c r="D1580" s="27" t="s">
        <v>1886</v>
      </c>
      <c r="E1580" s="129">
        <v>9.9084626671</v>
      </c>
      <c r="F1580" s="66">
        <v>60.4305323990611</v>
      </c>
      <c r="H1580" s="167">
        <v>45480.0</v>
      </c>
      <c r="I1580" s="167">
        <v>45481.0</v>
      </c>
      <c r="J1580" s="66">
        <v>60.4305323990611</v>
      </c>
      <c r="M1580" s="1" t="str">
        <f>VLOOKUP(B1580,Bounties!A:D,3,FALSE)</f>
        <v>Operations</v>
      </c>
      <c r="N1580" s="1" t="str">
        <f>VLOOKUP(B1580,Bounties!A:D,4,FALSE)</f>
        <v>RPCs and Nodes</v>
      </c>
      <c r="O1580" s="1" t="str">
        <f t="shared" ref="O1580:P1580" si="1584">IF(ISBLANK(K1580),M1580,K1580)</f>
        <v>Operations</v>
      </c>
      <c r="P1580" s="1" t="str">
        <f t="shared" si="1584"/>
        <v>RPCs and Nodes</v>
      </c>
      <c r="Q1580" s="108" t="str">
        <f t="shared" si="3"/>
        <v>2024</v>
      </c>
      <c r="R1580" s="110">
        <f t="shared" si="4"/>
        <v>7</v>
      </c>
      <c r="S1580" s="108" t="str">
        <f t="shared" si="5"/>
        <v>2024-Q3</v>
      </c>
      <c r="T1580" s="111" t="str">
        <f t="shared" si="6"/>
        <v>2024-07</v>
      </c>
      <c r="U1580" s="112" t="str">
        <f t="shared" si="7"/>
        <v>2024-H2</v>
      </c>
      <c r="V1580" s="1" t="str">
        <f>VLOOKUP(B1580,Bounties!A:E,2,FALSE)</f>
        <v>System Parachains Collator Bounty</v>
      </c>
    </row>
    <row r="1581" hidden="1">
      <c r="A1581" s="109">
        <f>HYPERLINK("https://polkadot.subsquare.io/treasury/child-bounties/1581", 1581)</f>
        <v>1581</v>
      </c>
      <c r="B1581" s="183">
        <v>32.0</v>
      </c>
      <c r="C1581" s="27" t="s">
        <v>3427</v>
      </c>
      <c r="D1581" s="27" t="s">
        <v>1856</v>
      </c>
      <c r="E1581" s="129">
        <v>5.9231000904</v>
      </c>
      <c r="F1581" s="66">
        <v>36.12428122722688</v>
      </c>
      <c r="H1581" s="167">
        <v>45480.0</v>
      </c>
      <c r="I1581" s="167">
        <v>45481.0</v>
      </c>
      <c r="J1581" s="66">
        <v>36.12428122722688</v>
      </c>
      <c r="M1581" s="1" t="str">
        <f>VLOOKUP(B1581,Bounties!A:D,3,FALSE)</f>
        <v>Operations</v>
      </c>
      <c r="N1581" s="1" t="str">
        <f>VLOOKUP(B1581,Bounties!A:D,4,FALSE)</f>
        <v>RPCs and Nodes</v>
      </c>
      <c r="O1581" s="1" t="str">
        <f t="shared" ref="O1581:P1581" si="1585">IF(ISBLANK(K1581),M1581,K1581)</f>
        <v>Operations</v>
      </c>
      <c r="P1581" s="1" t="str">
        <f t="shared" si="1585"/>
        <v>RPCs and Nodes</v>
      </c>
      <c r="Q1581" s="108" t="str">
        <f t="shared" si="3"/>
        <v>2024</v>
      </c>
      <c r="R1581" s="110">
        <f t="shared" si="4"/>
        <v>7</v>
      </c>
      <c r="S1581" s="108" t="str">
        <f t="shared" si="5"/>
        <v>2024-Q3</v>
      </c>
      <c r="T1581" s="111" t="str">
        <f t="shared" si="6"/>
        <v>2024-07</v>
      </c>
      <c r="U1581" s="112" t="str">
        <f t="shared" si="7"/>
        <v>2024-H2</v>
      </c>
      <c r="V1581" s="1" t="str">
        <f>VLOOKUP(B1581,Bounties!A:E,2,FALSE)</f>
        <v>System Parachains Collator Bounty</v>
      </c>
    </row>
    <row r="1582" hidden="1">
      <c r="A1582" s="109">
        <f>HYPERLINK("https://polkadot.subsquare.io/treasury/child-bounties/1582", 1582)</f>
        <v>1582</v>
      </c>
      <c r="B1582" s="183">
        <v>32.0</v>
      </c>
      <c r="C1582" s="27" t="s">
        <v>3427</v>
      </c>
      <c r="D1582" s="27" t="s">
        <v>1907</v>
      </c>
      <c r="E1582" s="129">
        <v>36.9380843599</v>
      </c>
      <c r="F1582" s="66">
        <v>225.28097230279056</v>
      </c>
      <c r="H1582" s="167">
        <v>45480.0</v>
      </c>
      <c r="I1582" s="167">
        <v>45481.0</v>
      </c>
      <c r="J1582" s="66">
        <v>225.28097230279056</v>
      </c>
      <c r="M1582" s="1" t="str">
        <f>VLOOKUP(B1582,Bounties!A:D,3,FALSE)</f>
        <v>Operations</v>
      </c>
      <c r="N1582" s="1" t="str">
        <f>VLOOKUP(B1582,Bounties!A:D,4,FALSE)</f>
        <v>RPCs and Nodes</v>
      </c>
      <c r="O1582" s="1" t="str">
        <f t="shared" ref="O1582:P1582" si="1586">IF(ISBLANK(K1582),M1582,K1582)</f>
        <v>Operations</v>
      </c>
      <c r="P1582" s="1" t="str">
        <f t="shared" si="1586"/>
        <v>RPCs and Nodes</v>
      </c>
      <c r="Q1582" s="108" t="str">
        <f t="shared" si="3"/>
        <v>2024</v>
      </c>
      <c r="R1582" s="110">
        <f t="shared" si="4"/>
        <v>7</v>
      </c>
      <c r="S1582" s="108" t="str">
        <f t="shared" si="5"/>
        <v>2024-Q3</v>
      </c>
      <c r="T1582" s="111" t="str">
        <f t="shared" si="6"/>
        <v>2024-07</v>
      </c>
      <c r="U1582" s="112" t="str">
        <f t="shared" si="7"/>
        <v>2024-H2</v>
      </c>
      <c r="V1582" s="1" t="str">
        <f>VLOOKUP(B1582,Bounties!A:E,2,FALSE)</f>
        <v>System Parachains Collator Bounty</v>
      </c>
    </row>
    <row r="1583" hidden="1">
      <c r="A1583" s="109">
        <f>HYPERLINK("https://polkadot.subsquare.io/treasury/child-bounties/1583", 1583)</f>
        <v>1583</v>
      </c>
      <c r="B1583" s="183">
        <v>32.0</v>
      </c>
      <c r="C1583" s="27" t="s">
        <v>3427</v>
      </c>
      <c r="D1583" s="27" t="s">
        <v>1908</v>
      </c>
      <c r="E1583" s="129">
        <v>42.1024993127</v>
      </c>
      <c r="F1583" s="66">
        <v>256.77812333547615</v>
      </c>
      <c r="H1583" s="167">
        <v>45480.0</v>
      </c>
      <c r="I1583" s="167">
        <v>45481.0</v>
      </c>
      <c r="J1583" s="66">
        <v>256.77812333547615</v>
      </c>
      <c r="M1583" s="1" t="str">
        <f>VLOOKUP(B1583,Bounties!A:D,3,FALSE)</f>
        <v>Operations</v>
      </c>
      <c r="N1583" s="1" t="str">
        <f>VLOOKUP(B1583,Bounties!A:D,4,FALSE)</f>
        <v>RPCs and Nodes</v>
      </c>
      <c r="O1583" s="1" t="str">
        <f t="shared" ref="O1583:P1583" si="1587">IF(ISBLANK(K1583),M1583,K1583)</f>
        <v>Operations</v>
      </c>
      <c r="P1583" s="1" t="str">
        <f t="shared" si="1587"/>
        <v>RPCs and Nodes</v>
      </c>
      <c r="Q1583" s="108" t="str">
        <f t="shared" si="3"/>
        <v>2024</v>
      </c>
      <c r="R1583" s="110">
        <f t="shared" si="4"/>
        <v>7</v>
      </c>
      <c r="S1583" s="108" t="str">
        <f t="shared" si="5"/>
        <v>2024-Q3</v>
      </c>
      <c r="T1583" s="111" t="str">
        <f t="shared" si="6"/>
        <v>2024-07</v>
      </c>
      <c r="U1583" s="112" t="str">
        <f t="shared" si="7"/>
        <v>2024-H2</v>
      </c>
      <c r="V1583" s="1" t="str">
        <f>VLOOKUP(B1583,Bounties!A:E,2,FALSE)</f>
        <v>System Parachains Collator Bounty</v>
      </c>
    </row>
    <row r="1584" hidden="1">
      <c r="A1584" s="109">
        <f>HYPERLINK("https://polkadot.subsquare.io/treasury/child-bounties/1584", 1584)</f>
        <v>1584</v>
      </c>
      <c r="B1584" s="183">
        <v>32.0</v>
      </c>
      <c r="C1584" s="27" t="s">
        <v>3427</v>
      </c>
      <c r="D1584" s="27" t="s">
        <v>1909</v>
      </c>
      <c r="E1584" s="129">
        <v>42.0637855575</v>
      </c>
      <c r="F1584" s="66">
        <v>256.5420127584367</v>
      </c>
      <c r="H1584" s="167">
        <v>45480.0</v>
      </c>
      <c r="I1584" s="167">
        <v>45481.0</v>
      </c>
      <c r="J1584" s="66">
        <v>256.5420127584367</v>
      </c>
      <c r="M1584" s="1" t="str">
        <f>VLOOKUP(B1584,Bounties!A:D,3,FALSE)</f>
        <v>Operations</v>
      </c>
      <c r="N1584" s="1" t="str">
        <f>VLOOKUP(B1584,Bounties!A:D,4,FALSE)</f>
        <v>RPCs and Nodes</v>
      </c>
      <c r="O1584" s="1" t="str">
        <f t="shared" ref="O1584:P1584" si="1588">IF(ISBLANK(K1584),M1584,K1584)</f>
        <v>Operations</v>
      </c>
      <c r="P1584" s="1" t="str">
        <f t="shared" si="1588"/>
        <v>RPCs and Nodes</v>
      </c>
      <c r="Q1584" s="108" t="str">
        <f t="shared" si="3"/>
        <v>2024</v>
      </c>
      <c r="R1584" s="110">
        <f t="shared" si="4"/>
        <v>7</v>
      </c>
      <c r="S1584" s="108" t="str">
        <f t="shared" si="5"/>
        <v>2024-Q3</v>
      </c>
      <c r="T1584" s="111" t="str">
        <f t="shared" si="6"/>
        <v>2024-07</v>
      </c>
      <c r="U1584" s="112" t="str">
        <f t="shared" si="7"/>
        <v>2024-H2</v>
      </c>
      <c r="V1584" s="1" t="str">
        <f>VLOOKUP(B1584,Bounties!A:E,2,FALSE)</f>
        <v>System Parachains Collator Bounty</v>
      </c>
    </row>
    <row r="1585" hidden="1">
      <c r="A1585" s="109">
        <f>HYPERLINK("https://polkadot.subsquare.io/treasury/child-bounties/1585", 1585)</f>
        <v>1585</v>
      </c>
      <c r="B1585" s="183">
        <v>32.0</v>
      </c>
      <c r="C1585" s="27" t="s">
        <v>3427</v>
      </c>
      <c r="D1585" s="27" t="s">
        <v>1910</v>
      </c>
      <c r="E1585" s="129">
        <v>42.0792710596</v>
      </c>
      <c r="F1585" s="66">
        <v>256.6364569893745</v>
      </c>
      <c r="H1585" s="167">
        <v>45480.0</v>
      </c>
      <c r="I1585" s="167">
        <v>45481.0</v>
      </c>
      <c r="J1585" s="66">
        <v>256.6364569893745</v>
      </c>
      <c r="M1585" s="1" t="str">
        <f>VLOOKUP(B1585,Bounties!A:D,3,FALSE)</f>
        <v>Operations</v>
      </c>
      <c r="N1585" s="1" t="str">
        <f>VLOOKUP(B1585,Bounties!A:D,4,FALSE)</f>
        <v>RPCs and Nodes</v>
      </c>
      <c r="O1585" s="1" t="str">
        <f t="shared" ref="O1585:P1585" si="1589">IF(ISBLANK(K1585),M1585,K1585)</f>
        <v>Operations</v>
      </c>
      <c r="P1585" s="1" t="str">
        <f t="shared" si="1589"/>
        <v>RPCs and Nodes</v>
      </c>
      <c r="Q1585" s="108" t="str">
        <f t="shared" si="3"/>
        <v>2024</v>
      </c>
      <c r="R1585" s="110">
        <f t="shared" si="4"/>
        <v>7</v>
      </c>
      <c r="S1585" s="108" t="str">
        <f t="shared" si="5"/>
        <v>2024-Q3</v>
      </c>
      <c r="T1585" s="111" t="str">
        <f t="shared" si="6"/>
        <v>2024-07</v>
      </c>
      <c r="U1585" s="112" t="str">
        <f t="shared" si="7"/>
        <v>2024-H2</v>
      </c>
      <c r="V1585" s="1" t="str">
        <f>VLOOKUP(B1585,Bounties!A:E,2,FALSE)</f>
        <v>System Parachains Collator Bounty</v>
      </c>
    </row>
    <row r="1586" hidden="1">
      <c r="A1586" s="109">
        <f>HYPERLINK("https://polkadot.subsquare.io/treasury/child-bounties/1586", 1586)</f>
        <v>1586</v>
      </c>
      <c r="B1586" s="183">
        <v>32.0</v>
      </c>
      <c r="C1586" s="27" t="s">
        <v>3427</v>
      </c>
      <c r="D1586" s="27" t="s">
        <v>1911</v>
      </c>
      <c r="E1586" s="129">
        <v>57.1737419195</v>
      </c>
      <c r="F1586" s="66">
        <v>348.69583501727226</v>
      </c>
      <c r="H1586" s="167">
        <v>45480.0</v>
      </c>
      <c r="I1586" s="167">
        <v>45481.0</v>
      </c>
      <c r="J1586" s="66">
        <v>348.69583501727226</v>
      </c>
      <c r="M1586" s="1" t="str">
        <f>VLOOKUP(B1586,Bounties!A:D,3,FALSE)</f>
        <v>Operations</v>
      </c>
      <c r="N1586" s="1" t="str">
        <f>VLOOKUP(B1586,Bounties!A:D,4,FALSE)</f>
        <v>RPCs and Nodes</v>
      </c>
      <c r="O1586" s="1" t="str">
        <f t="shared" ref="O1586:P1586" si="1590">IF(ISBLANK(K1586),M1586,K1586)</f>
        <v>Operations</v>
      </c>
      <c r="P1586" s="1" t="str">
        <f t="shared" si="1590"/>
        <v>RPCs and Nodes</v>
      </c>
      <c r="Q1586" s="108" t="str">
        <f t="shared" si="3"/>
        <v>2024</v>
      </c>
      <c r="R1586" s="110">
        <f t="shared" si="4"/>
        <v>7</v>
      </c>
      <c r="S1586" s="108" t="str">
        <f t="shared" si="5"/>
        <v>2024-Q3</v>
      </c>
      <c r="T1586" s="111" t="str">
        <f t="shared" si="6"/>
        <v>2024-07</v>
      </c>
      <c r="U1586" s="112" t="str">
        <f t="shared" si="7"/>
        <v>2024-H2</v>
      </c>
      <c r="V1586" s="1" t="str">
        <f>VLOOKUP(B1586,Bounties!A:E,2,FALSE)</f>
        <v>System Parachains Collator Bounty</v>
      </c>
    </row>
    <row r="1587" hidden="1">
      <c r="A1587" s="109">
        <f>HYPERLINK("https://polkadot.subsquare.io/treasury/child-bounties/1587", 1587)</f>
        <v>1587</v>
      </c>
      <c r="B1587" s="183">
        <v>32.0</v>
      </c>
      <c r="C1587" s="27" t="s">
        <v>3427</v>
      </c>
      <c r="D1587" s="27" t="s">
        <v>1912</v>
      </c>
      <c r="E1587" s="129">
        <v>56.2533346155</v>
      </c>
      <c r="F1587" s="66">
        <v>343.08238061234346</v>
      </c>
      <c r="H1587" s="167">
        <v>45480.0</v>
      </c>
      <c r="I1587" s="167">
        <v>45481.0</v>
      </c>
      <c r="J1587" s="66">
        <v>343.08238061234346</v>
      </c>
      <c r="M1587" s="1" t="str">
        <f>VLOOKUP(B1587,Bounties!A:D,3,FALSE)</f>
        <v>Operations</v>
      </c>
      <c r="N1587" s="1" t="str">
        <f>VLOOKUP(B1587,Bounties!A:D,4,FALSE)</f>
        <v>RPCs and Nodes</v>
      </c>
      <c r="O1587" s="1" t="str">
        <f t="shared" ref="O1587:P1587" si="1591">IF(ISBLANK(K1587),M1587,K1587)</f>
        <v>Operations</v>
      </c>
      <c r="P1587" s="1" t="str">
        <f t="shared" si="1591"/>
        <v>RPCs and Nodes</v>
      </c>
      <c r="Q1587" s="108" t="str">
        <f t="shared" si="3"/>
        <v>2024</v>
      </c>
      <c r="R1587" s="110">
        <f t="shared" si="4"/>
        <v>7</v>
      </c>
      <c r="S1587" s="108" t="str">
        <f t="shared" si="5"/>
        <v>2024-Q3</v>
      </c>
      <c r="T1587" s="111" t="str">
        <f t="shared" si="6"/>
        <v>2024-07</v>
      </c>
      <c r="U1587" s="112" t="str">
        <f t="shared" si="7"/>
        <v>2024-H2</v>
      </c>
      <c r="V1587" s="1" t="str">
        <f>VLOOKUP(B1587,Bounties!A:E,2,FALSE)</f>
        <v>System Parachains Collator Bounty</v>
      </c>
    </row>
    <row r="1588" hidden="1">
      <c r="A1588" s="109">
        <f>HYPERLINK("https://polkadot.subsquare.io/treasury/child-bounties/1588", 1588)</f>
        <v>1588</v>
      </c>
      <c r="B1588" s="183">
        <v>32.0</v>
      </c>
      <c r="C1588" s="27" t="s">
        <v>3427</v>
      </c>
      <c r="D1588" s="27" t="s">
        <v>1913</v>
      </c>
      <c r="E1588" s="129">
        <v>56.9917602472</v>
      </c>
      <c r="F1588" s="66">
        <v>347.5859504959856</v>
      </c>
      <c r="H1588" s="167">
        <v>45480.0</v>
      </c>
      <c r="I1588" s="167">
        <v>45481.0</v>
      </c>
      <c r="J1588" s="66">
        <v>347.5859504959856</v>
      </c>
      <c r="M1588" s="1" t="str">
        <f>VLOOKUP(B1588,Bounties!A:D,3,FALSE)</f>
        <v>Operations</v>
      </c>
      <c r="N1588" s="1" t="str">
        <f>VLOOKUP(B1588,Bounties!A:D,4,FALSE)</f>
        <v>RPCs and Nodes</v>
      </c>
      <c r="O1588" s="1" t="str">
        <f t="shared" ref="O1588:P1588" si="1592">IF(ISBLANK(K1588),M1588,K1588)</f>
        <v>Operations</v>
      </c>
      <c r="P1588" s="1" t="str">
        <f t="shared" si="1592"/>
        <v>RPCs and Nodes</v>
      </c>
      <c r="Q1588" s="108" t="str">
        <f t="shared" si="3"/>
        <v>2024</v>
      </c>
      <c r="R1588" s="110">
        <f t="shared" si="4"/>
        <v>7</v>
      </c>
      <c r="S1588" s="108" t="str">
        <f t="shared" si="5"/>
        <v>2024-Q3</v>
      </c>
      <c r="T1588" s="111" t="str">
        <f t="shared" si="6"/>
        <v>2024-07</v>
      </c>
      <c r="U1588" s="112" t="str">
        <f t="shared" si="7"/>
        <v>2024-H2</v>
      </c>
      <c r="V1588" s="1" t="str">
        <f>VLOOKUP(B1588,Bounties!A:E,2,FALSE)</f>
        <v>System Parachains Collator Bounty</v>
      </c>
    </row>
    <row r="1589" hidden="1">
      <c r="A1589" s="109">
        <f>HYPERLINK("https://polkadot.subsquare.io/treasury/child-bounties/1589", 1589)</f>
        <v>1589</v>
      </c>
      <c r="B1589" s="183">
        <v>32.0</v>
      </c>
      <c r="C1589" s="27" t="s">
        <v>3427</v>
      </c>
      <c r="D1589" s="27" t="s">
        <v>1914</v>
      </c>
      <c r="E1589" s="129">
        <v>50.1884454225</v>
      </c>
      <c r="F1589" s="66">
        <v>306.0933445541827</v>
      </c>
      <c r="H1589" s="167">
        <v>45480.0</v>
      </c>
      <c r="I1589" s="167">
        <v>45481.0</v>
      </c>
      <c r="J1589" s="66">
        <v>306.0933445541827</v>
      </c>
      <c r="M1589" s="1" t="str">
        <f>VLOOKUP(B1589,Bounties!A:D,3,FALSE)</f>
        <v>Operations</v>
      </c>
      <c r="N1589" s="1" t="str">
        <f>VLOOKUP(B1589,Bounties!A:D,4,FALSE)</f>
        <v>RPCs and Nodes</v>
      </c>
      <c r="O1589" s="1" t="str">
        <f t="shared" ref="O1589:P1589" si="1593">IF(ISBLANK(K1589),M1589,K1589)</f>
        <v>Operations</v>
      </c>
      <c r="P1589" s="1" t="str">
        <f t="shared" si="1593"/>
        <v>RPCs and Nodes</v>
      </c>
      <c r="Q1589" s="108" t="str">
        <f t="shared" si="3"/>
        <v>2024</v>
      </c>
      <c r="R1589" s="110">
        <f t="shared" si="4"/>
        <v>7</v>
      </c>
      <c r="S1589" s="108" t="str">
        <f t="shared" si="5"/>
        <v>2024-Q3</v>
      </c>
      <c r="T1589" s="111" t="str">
        <f t="shared" si="6"/>
        <v>2024-07</v>
      </c>
      <c r="U1589" s="112" t="str">
        <f t="shared" si="7"/>
        <v>2024-H2</v>
      </c>
      <c r="V1589" s="1" t="str">
        <f>VLOOKUP(B1589,Bounties!A:E,2,FALSE)</f>
        <v>System Parachains Collator Bounty</v>
      </c>
    </row>
    <row r="1590" hidden="1">
      <c r="A1590" s="109">
        <f>HYPERLINK("https://polkadot.subsquare.io/treasury/child-bounties/1590", 1590)</f>
        <v>1590</v>
      </c>
      <c r="B1590" s="183">
        <v>32.0</v>
      </c>
      <c r="C1590" s="27" t="s">
        <v>3427</v>
      </c>
      <c r="D1590" s="27" t="s">
        <v>1915</v>
      </c>
      <c r="E1590" s="129">
        <v>57.1597433293</v>
      </c>
      <c r="F1590" s="66">
        <v>348.6104592847248</v>
      </c>
      <c r="H1590" s="167">
        <v>45480.0</v>
      </c>
      <c r="I1590" s="167">
        <v>45481.0</v>
      </c>
      <c r="J1590" s="66">
        <v>348.6104592847248</v>
      </c>
      <c r="M1590" s="1" t="str">
        <f>VLOOKUP(B1590,Bounties!A:D,3,FALSE)</f>
        <v>Operations</v>
      </c>
      <c r="N1590" s="1" t="str">
        <f>VLOOKUP(B1590,Bounties!A:D,4,FALSE)</f>
        <v>RPCs and Nodes</v>
      </c>
      <c r="O1590" s="1" t="str">
        <f t="shared" ref="O1590:P1590" si="1594">IF(ISBLANK(K1590),M1590,K1590)</f>
        <v>Operations</v>
      </c>
      <c r="P1590" s="1" t="str">
        <f t="shared" si="1594"/>
        <v>RPCs and Nodes</v>
      </c>
      <c r="Q1590" s="108" t="str">
        <f t="shared" si="3"/>
        <v>2024</v>
      </c>
      <c r="R1590" s="110">
        <f t="shared" si="4"/>
        <v>7</v>
      </c>
      <c r="S1590" s="108" t="str">
        <f t="shared" si="5"/>
        <v>2024-Q3</v>
      </c>
      <c r="T1590" s="111" t="str">
        <f t="shared" si="6"/>
        <v>2024-07</v>
      </c>
      <c r="U1590" s="112" t="str">
        <f t="shared" si="7"/>
        <v>2024-H2</v>
      </c>
      <c r="V1590" s="1" t="str">
        <f>VLOOKUP(B1590,Bounties!A:E,2,FALSE)</f>
        <v>System Parachains Collator Bounty</v>
      </c>
    </row>
    <row r="1591" hidden="1">
      <c r="A1591" s="109">
        <f>HYPERLINK("https://polkadot.subsquare.io/treasury/child-bounties/1591", 1591)</f>
        <v>1591</v>
      </c>
      <c r="B1591" s="183">
        <v>32.0</v>
      </c>
      <c r="C1591" s="27" t="s">
        <v>3427</v>
      </c>
      <c r="D1591" s="27" t="s">
        <v>1916</v>
      </c>
      <c r="E1591" s="129">
        <v>56.4388159353</v>
      </c>
      <c r="F1591" s="66">
        <v>344.21360906646197</v>
      </c>
      <c r="H1591" s="167">
        <v>45480.0</v>
      </c>
      <c r="I1591" s="167">
        <v>45481.0</v>
      </c>
      <c r="J1591" s="66">
        <v>344.21360906646197</v>
      </c>
      <c r="M1591" s="1" t="str">
        <f>VLOOKUP(B1591,Bounties!A:D,3,FALSE)</f>
        <v>Operations</v>
      </c>
      <c r="N1591" s="1" t="str">
        <f>VLOOKUP(B1591,Bounties!A:D,4,FALSE)</f>
        <v>RPCs and Nodes</v>
      </c>
      <c r="O1591" s="1" t="str">
        <f t="shared" ref="O1591:P1591" si="1595">IF(ISBLANK(K1591),M1591,K1591)</f>
        <v>Operations</v>
      </c>
      <c r="P1591" s="1" t="str">
        <f t="shared" si="1595"/>
        <v>RPCs and Nodes</v>
      </c>
      <c r="Q1591" s="108" t="str">
        <f t="shared" si="3"/>
        <v>2024</v>
      </c>
      <c r="R1591" s="110">
        <f t="shared" si="4"/>
        <v>7</v>
      </c>
      <c r="S1591" s="108" t="str">
        <f t="shared" si="5"/>
        <v>2024-Q3</v>
      </c>
      <c r="T1591" s="111" t="str">
        <f t="shared" si="6"/>
        <v>2024-07</v>
      </c>
      <c r="U1591" s="112" t="str">
        <f t="shared" si="7"/>
        <v>2024-H2</v>
      </c>
      <c r="V1591" s="1" t="str">
        <f>VLOOKUP(B1591,Bounties!A:E,2,FALSE)</f>
        <v>System Parachains Collator Bounty</v>
      </c>
    </row>
    <row r="1592" hidden="1">
      <c r="A1592" s="109">
        <f>HYPERLINK("https://polkadot.subsquare.io/treasury/child-bounties/1592", 1592)</f>
        <v>1592</v>
      </c>
      <c r="B1592" s="183">
        <v>32.0</v>
      </c>
      <c r="C1592" s="27" t="s">
        <v>3427</v>
      </c>
      <c r="D1592" s="27" t="s">
        <v>1917</v>
      </c>
      <c r="E1592" s="129">
        <v>41.7514945983</v>
      </c>
      <c r="F1592" s="66">
        <v>254.63738743340707</v>
      </c>
      <c r="H1592" s="167">
        <v>45480.0</v>
      </c>
      <c r="I1592" s="167">
        <v>45481.0</v>
      </c>
      <c r="J1592" s="66">
        <v>254.63738743340707</v>
      </c>
      <c r="M1592" s="1" t="str">
        <f>VLOOKUP(B1592,Bounties!A:D,3,FALSE)</f>
        <v>Operations</v>
      </c>
      <c r="N1592" s="1" t="str">
        <f>VLOOKUP(B1592,Bounties!A:D,4,FALSE)</f>
        <v>RPCs and Nodes</v>
      </c>
      <c r="O1592" s="1" t="str">
        <f t="shared" ref="O1592:P1592" si="1596">IF(ISBLANK(K1592),M1592,K1592)</f>
        <v>Operations</v>
      </c>
      <c r="P1592" s="1" t="str">
        <f t="shared" si="1596"/>
        <v>RPCs and Nodes</v>
      </c>
      <c r="Q1592" s="108" t="str">
        <f t="shared" si="3"/>
        <v>2024</v>
      </c>
      <c r="R1592" s="110">
        <f t="shared" si="4"/>
        <v>7</v>
      </c>
      <c r="S1592" s="108" t="str">
        <f t="shared" si="5"/>
        <v>2024-Q3</v>
      </c>
      <c r="T1592" s="111" t="str">
        <f t="shared" si="6"/>
        <v>2024-07</v>
      </c>
      <c r="U1592" s="112" t="str">
        <f t="shared" si="7"/>
        <v>2024-H2</v>
      </c>
      <c r="V1592" s="1" t="str">
        <f>VLOOKUP(B1592,Bounties!A:E,2,FALSE)</f>
        <v>System Parachains Collator Bounty</v>
      </c>
    </row>
    <row r="1593" hidden="1">
      <c r="A1593" s="109">
        <f>HYPERLINK("https://polkadot.subsquare.io/treasury/child-bounties/1593", 1593)</f>
        <v>1593</v>
      </c>
      <c r="B1593" s="183">
        <v>32.0</v>
      </c>
      <c r="C1593" s="27" t="s">
        <v>3427</v>
      </c>
      <c r="D1593" s="27" t="s">
        <v>1918</v>
      </c>
      <c r="E1593" s="129">
        <v>44.0780608114</v>
      </c>
      <c r="F1593" s="66">
        <v>268.82683736554776</v>
      </c>
      <c r="H1593" s="167">
        <v>45480.0</v>
      </c>
      <c r="I1593" s="167">
        <v>45481.0</v>
      </c>
      <c r="J1593" s="66">
        <v>268.82683736554776</v>
      </c>
      <c r="M1593" s="1" t="str">
        <f>VLOOKUP(B1593,Bounties!A:D,3,FALSE)</f>
        <v>Operations</v>
      </c>
      <c r="N1593" s="1" t="str">
        <f>VLOOKUP(B1593,Bounties!A:D,4,FALSE)</f>
        <v>RPCs and Nodes</v>
      </c>
      <c r="O1593" s="1" t="str">
        <f t="shared" ref="O1593:P1593" si="1597">IF(ISBLANK(K1593),M1593,K1593)</f>
        <v>Operations</v>
      </c>
      <c r="P1593" s="1" t="str">
        <f t="shared" si="1597"/>
        <v>RPCs and Nodes</v>
      </c>
      <c r="Q1593" s="108" t="str">
        <f t="shared" si="3"/>
        <v>2024</v>
      </c>
      <c r="R1593" s="110">
        <f t="shared" si="4"/>
        <v>7</v>
      </c>
      <c r="S1593" s="108" t="str">
        <f t="shared" si="5"/>
        <v>2024-Q3</v>
      </c>
      <c r="T1593" s="111" t="str">
        <f t="shared" si="6"/>
        <v>2024-07</v>
      </c>
      <c r="U1593" s="112" t="str">
        <f t="shared" si="7"/>
        <v>2024-H2</v>
      </c>
      <c r="V1593" s="1" t="str">
        <f>VLOOKUP(B1593,Bounties!A:E,2,FALSE)</f>
        <v>System Parachains Collator Bounty</v>
      </c>
    </row>
    <row r="1594" hidden="1">
      <c r="A1594" s="109">
        <f>HYPERLINK("https://polkadot.subsquare.io/treasury/child-bounties/1594", 1594)</f>
        <v>1594</v>
      </c>
      <c r="B1594" s="183">
        <v>32.0</v>
      </c>
      <c r="C1594" s="27" t="s">
        <v>3427</v>
      </c>
      <c r="D1594" s="27" t="s">
        <v>1919</v>
      </c>
      <c r="E1594" s="129">
        <v>9.819035621</v>
      </c>
      <c r="F1594" s="66">
        <v>59.88512750747865</v>
      </c>
      <c r="H1594" s="167">
        <v>45480.0</v>
      </c>
      <c r="I1594" s="167">
        <v>45481.0</v>
      </c>
      <c r="J1594" s="66">
        <v>59.88512750747865</v>
      </c>
      <c r="M1594" s="1" t="str">
        <f>VLOOKUP(B1594,Bounties!A:D,3,FALSE)</f>
        <v>Operations</v>
      </c>
      <c r="N1594" s="1" t="str">
        <f>VLOOKUP(B1594,Bounties!A:D,4,FALSE)</f>
        <v>RPCs and Nodes</v>
      </c>
      <c r="O1594" s="1" t="str">
        <f t="shared" ref="O1594:P1594" si="1598">IF(ISBLANK(K1594),M1594,K1594)</f>
        <v>Operations</v>
      </c>
      <c r="P1594" s="1" t="str">
        <f t="shared" si="1598"/>
        <v>RPCs and Nodes</v>
      </c>
      <c r="Q1594" s="108" t="str">
        <f t="shared" si="3"/>
        <v>2024</v>
      </c>
      <c r="R1594" s="110">
        <f t="shared" si="4"/>
        <v>7</v>
      </c>
      <c r="S1594" s="108" t="str">
        <f t="shared" si="5"/>
        <v>2024-Q3</v>
      </c>
      <c r="T1594" s="111" t="str">
        <f t="shared" si="6"/>
        <v>2024-07</v>
      </c>
      <c r="U1594" s="112" t="str">
        <f t="shared" si="7"/>
        <v>2024-H2</v>
      </c>
      <c r="V1594" s="1" t="str">
        <f>VLOOKUP(B1594,Bounties!A:E,2,FALSE)</f>
        <v>System Parachains Collator Bounty</v>
      </c>
    </row>
    <row r="1595" hidden="1">
      <c r="A1595" s="109">
        <f>HYPERLINK("https://polkadot.subsquare.io/treasury/child-bounties/1595", 1595)</f>
        <v>1595</v>
      </c>
      <c r="B1595" s="183">
        <v>32.0</v>
      </c>
      <c r="C1595" s="27" t="s">
        <v>3427</v>
      </c>
      <c r="D1595" s="27" t="s">
        <v>1920</v>
      </c>
      <c r="E1595" s="129">
        <v>9.819035621</v>
      </c>
      <c r="F1595" s="66">
        <v>59.88512750747865</v>
      </c>
      <c r="H1595" s="167">
        <v>45480.0</v>
      </c>
      <c r="I1595" s="167">
        <v>45481.0</v>
      </c>
      <c r="J1595" s="66">
        <v>59.88512750747865</v>
      </c>
      <c r="M1595" s="1" t="str">
        <f>VLOOKUP(B1595,Bounties!A:D,3,FALSE)</f>
        <v>Operations</v>
      </c>
      <c r="N1595" s="1" t="str">
        <f>VLOOKUP(B1595,Bounties!A:D,4,FALSE)</f>
        <v>RPCs and Nodes</v>
      </c>
      <c r="O1595" s="1" t="str">
        <f t="shared" ref="O1595:P1595" si="1599">IF(ISBLANK(K1595),M1595,K1595)</f>
        <v>Operations</v>
      </c>
      <c r="P1595" s="1" t="str">
        <f t="shared" si="1599"/>
        <v>RPCs and Nodes</v>
      </c>
      <c r="Q1595" s="108" t="str">
        <f t="shared" si="3"/>
        <v>2024</v>
      </c>
      <c r="R1595" s="110">
        <f t="shared" si="4"/>
        <v>7</v>
      </c>
      <c r="S1595" s="108" t="str">
        <f t="shared" si="5"/>
        <v>2024-Q3</v>
      </c>
      <c r="T1595" s="111" t="str">
        <f t="shared" si="6"/>
        <v>2024-07</v>
      </c>
      <c r="U1595" s="112" t="str">
        <f t="shared" si="7"/>
        <v>2024-H2</v>
      </c>
      <c r="V1595" s="1" t="str">
        <f>VLOOKUP(B1595,Bounties!A:E,2,FALSE)</f>
        <v>System Parachains Collator Bounty</v>
      </c>
    </row>
    <row r="1596" hidden="1">
      <c r="A1596" s="109">
        <f>HYPERLINK("https://polkadot.subsquare.io/treasury/child-bounties/1596", 1596)</f>
        <v>1596</v>
      </c>
      <c r="B1596" s="183">
        <v>32.0</v>
      </c>
      <c r="C1596" s="27" t="s">
        <v>3427</v>
      </c>
      <c r="D1596" s="27" t="s">
        <v>1921</v>
      </c>
      <c r="E1596" s="129">
        <v>9.819035621</v>
      </c>
      <c r="F1596" s="66">
        <v>59.88512750747865</v>
      </c>
      <c r="H1596" s="167">
        <v>45480.0</v>
      </c>
      <c r="I1596" s="167">
        <v>45481.0</v>
      </c>
      <c r="J1596" s="66">
        <v>59.88512750747865</v>
      </c>
      <c r="M1596" s="1" t="str">
        <f>VLOOKUP(B1596,Bounties!A:D,3,FALSE)</f>
        <v>Operations</v>
      </c>
      <c r="N1596" s="1" t="str">
        <f>VLOOKUP(B1596,Bounties!A:D,4,FALSE)</f>
        <v>RPCs and Nodes</v>
      </c>
      <c r="O1596" s="1" t="str">
        <f t="shared" ref="O1596:P1596" si="1600">IF(ISBLANK(K1596),M1596,K1596)</f>
        <v>Operations</v>
      </c>
      <c r="P1596" s="1" t="str">
        <f t="shared" si="1600"/>
        <v>RPCs and Nodes</v>
      </c>
      <c r="Q1596" s="108" t="str">
        <f t="shared" si="3"/>
        <v>2024</v>
      </c>
      <c r="R1596" s="110">
        <f t="shared" si="4"/>
        <v>7</v>
      </c>
      <c r="S1596" s="108" t="str">
        <f t="shared" si="5"/>
        <v>2024-Q3</v>
      </c>
      <c r="T1596" s="111" t="str">
        <f t="shared" si="6"/>
        <v>2024-07</v>
      </c>
      <c r="U1596" s="112" t="str">
        <f t="shared" si="7"/>
        <v>2024-H2</v>
      </c>
      <c r="V1596" s="1" t="str">
        <f>VLOOKUP(B1596,Bounties!A:E,2,FALSE)</f>
        <v>System Parachains Collator Bounty</v>
      </c>
    </row>
    <row r="1597" hidden="1">
      <c r="A1597" s="109">
        <f>HYPERLINK("https://polkadot.subsquare.io/treasury/child-bounties/1597", 1597)</f>
        <v>1597</v>
      </c>
      <c r="B1597" s="183">
        <v>32.0</v>
      </c>
      <c r="C1597" s="27" t="s">
        <v>3404</v>
      </c>
      <c r="D1597" s="27" t="s">
        <v>1856</v>
      </c>
      <c r="E1597" s="129">
        <v>6.9772942289</v>
      </c>
      <c r="F1597" s="66">
        <v>42.553685584075495</v>
      </c>
      <c r="G1597" s="27" t="s">
        <v>3587</v>
      </c>
      <c r="H1597" s="167">
        <v>45481.0</v>
      </c>
      <c r="I1597" s="167">
        <v>45489.0</v>
      </c>
      <c r="J1597" s="66">
        <v>44.27885208441096</v>
      </c>
      <c r="M1597" s="1" t="str">
        <f>VLOOKUP(B1597,Bounties!A:D,3,FALSE)</f>
        <v>Operations</v>
      </c>
      <c r="N1597" s="1" t="str">
        <f>VLOOKUP(B1597,Bounties!A:D,4,FALSE)</f>
        <v>RPCs and Nodes</v>
      </c>
      <c r="O1597" s="1" t="str">
        <f t="shared" ref="O1597:P1597" si="1601">IF(ISBLANK(K1597),M1597,K1597)</f>
        <v>Operations</v>
      </c>
      <c r="P1597" s="1" t="str">
        <f t="shared" si="1601"/>
        <v>RPCs and Nodes</v>
      </c>
      <c r="Q1597" s="108" t="str">
        <f t="shared" si="3"/>
        <v>2024</v>
      </c>
      <c r="R1597" s="110">
        <f t="shared" si="4"/>
        <v>7</v>
      </c>
      <c r="S1597" s="108" t="str">
        <f t="shared" si="5"/>
        <v>2024-Q3</v>
      </c>
      <c r="T1597" s="111" t="str">
        <f t="shared" si="6"/>
        <v>2024-07</v>
      </c>
      <c r="U1597" s="112" t="str">
        <f t="shared" si="7"/>
        <v>2024-H2</v>
      </c>
      <c r="V1597" s="1" t="str">
        <f>VLOOKUP(B1597,Bounties!A:E,2,FALSE)</f>
        <v>System Parachains Collator Bounty</v>
      </c>
    </row>
    <row r="1598" hidden="1">
      <c r="A1598" s="109">
        <f>HYPERLINK("https://polkadot.subsquare.io/treasury/child-bounties/1598", 1598)</f>
        <v>1598</v>
      </c>
      <c r="B1598" s="183">
        <v>32.0</v>
      </c>
      <c r="C1598" s="27" t="s">
        <v>3404</v>
      </c>
      <c r="D1598" s="27" t="s">
        <v>2063</v>
      </c>
      <c r="E1598" s="129">
        <v>63.927993553</v>
      </c>
      <c r="F1598" s="66">
        <v>389.8892104058575</v>
      </c>
      <c r="G1598" s="27" t="s">
        <v>3595</v>
      </c>
      <c r="H1598" s="167">
        <v>45481.0</v>
      </c>
      <c r="I1598" s="167">
        <v>45489.0</v>
      </c>
      <c r="J1598" s="66">
        <v>405.6956862822065</v>
      </c>
      <c r="M1598" s="1" t="str">
        <f>VLOOKUP(B1598,Bounties!A:D,3,FALSE)</f>
        <v>Operations</v>
      </c>
      <c r="N1598" s="1" t="str">
        <f>VLOOKUP(B1598,Bounties!A:D,4,FALSE)</f>
        <v>RPCs and Nodes</v>
      </c>
      <c r="O1598" s="1" t="str">
        <f t="shared" ref="O1598:P1598" si="1602">IF(ISBLANK(K1598),M1598,K1598)</f>
        <v>Operations</v>
      </c>
      <c r="P1598" s="1" t="str">
        <f t="shared" si="1602"/>
        <v>RPCs and Nodes</v>
      </c>
      <c r="Q1598" s="108" t="str">
        <f t="shared" si="3"/>
        <v>2024</v>
      </c>
      <c r="R1598" s="110">
        <f t="shared" si="4"/>
        <v>7</v>
      </c>
      <c r="S1598" s="108" t="str">
        <f t="shared" si="5"/>
        <v>2024-Q3</v>
      </c>
      <c r="T1598" s="111" t="str">
        <f t="shared" si="6"/>
        <v>2024-07</v>
      </c>
      <c r="U1598" s="112" t="str">
        <f t="shared" si="7"/>
        <v>2024-H2</v>
      </c>
      <c r="V1598" s="1" t="str">
        <f>VLOOKUP(B1598,Bounties!A:E,2,FALSE)</f>
        <v>System Parachains Collator Bounty</v>
      </c>
    </row>
    <row r="1599" hidden="1">
      <c r="A1599" s="109">
        <f>HYPERLINK("https://polkadot.subsquare.io/treasury/child-bounties/1599", 1599)</f>
        <v>1599</v>
      </c>
      <c r="B1599" s="183">
        <v>32.0</v>
      </c>
      <c r="C1599" s="27" t="s">
        <v>3404</v>
      </c>
      <c r="D1599" s="27" t="s">
        <v>2064</v>
      </c>
      <c r="E1599" s="129">
        <v>64.0563549632</v>
      </c>
      <c r="F1599" s="66">
        <v>390.6720713418568</v>
      </c>
      <c r="G1599" s="27" t="s">
        <v>3590</v>
      </c>
      <c r="H1599" s="167">
        <v>45481.0</v>
      </c>
      <c r="I1599" s="167">
        <v>45489.0</v>
      </c>
      <c r="J1599" s="66">
        <v>406.510285138028</v>
      </c>
      <c r="M1599" s="1" t="str">
        <f>VLOOKUP(B1599,Bounties!A:D,3,FALSE)</f>
        <v>Operations</v>
      </c>
      <c r="N1599" s="1" t="str">
        <f>VLOOKUP(B1599,Bounties!A:D,4,FALSE)</f>
        <v>RPCs and Nodes</v>
      </c>
      <c r="O1599" s="1" t="str">
        <f t="shared" ref="O1599:P1599" si="1603">IF(ISBLANK(K1599),M1599,K1599)</f>
        <v>Operations</v>
      </c>
      <c r="P1599" s="1" t="str">
        <f t="shared" si="1603"/>
        <v>RPCs and Nodes</v>
      </c>
      <c r="Q1599" s="108" t="str">
        <f t="shared" si="3"/>
        <v>2024</v>
      </c>
      <c r="R1599" s="110">
        <f t="shared" si="4"/>
        <v>7</v>
      </c>
      <c r="S1599" s="108" t="str">
        <f t="shared" si="5"/>
        <v>2024-Q3</v>
      </c>
      <c r="T1599" s="111" t="str">
        <f t="shared" si="6"/>
        <v>2024-07</v>
      </c>
      <c r="U1599" s="112" t="str">
        <f t="shared" si="7"/>
        <v>2024-H2</v>
      </c>
      <c r="V1599" s="1" t="str">
        <f>VLOOKUP(B1599,Bounties!A:E,2,FALSE)</f>
        <v>System Parachains Collator Bounty</v>
      </c>
    </row>
    <row r="1600" hidden="1">
      <c r="A1600" s="109">
        <f>HYPERLINK("https://polkadot.subsquare.io/treasury/child-bounties/1600", 1600)</f>
        <v>1600</v>
      </c>
      <c r="B1600" s="183">
        <v>32.0</v>
      </c>
      <c r="C1600" s="27" t="s">
        <v>3404</v>
      </c>
      <c r="D1600" s="27" t="s">
        <v>2065</v>
      </c>
      <c r="E1600" s="129">
        <v>62.4197469837</v>
      </c>
      <c r="F1600" s="66">
        <v>380.6905944112198</v>
      </c>
      <c r="G1600" s="27" t="s">
        <v>3591</v>
      </c>
      <c r="H1600" s="167">
        <v>45481.0</v>
      </c>
      <c r="I1600" s="167">
        <v>45489.0</v>
      </c>
      <c r="J1600" s="66">
        <v>396.12414972979377</v>
      </c>
      <c r="M1600" s="1" t="str">
        <f>VLOOKUP(B1600,Bounties!A:D,3,FALSE)</f>
        <v>Operations</v>
      </c>
      <c r="N1600" s="1" t="str">
        <f>VLOOKUP(B1600,Bounties!A:D,4,FALSE)</f>
        <v>RPCs and Nodes</v>
      </c>
      <c r="O1600" s="1" t="str">
        <f t="shared" ref="O1600:P1600" si="1604">IF(ISBLANK(K1600),M1600,K1600)</f>
        <v>Operations</v>
      </c>
      <c r="P1600" s="1" t="str">
        <f t="shared" si="1604"/>
        <v>RPCs and Nodes</v>
      </c>
      <c r="Q1600" s="108" t="str">
        <f t="shared" si="3"/>
        <v>2024</v>
      </c>
      <c r="R1600" s="110">
        <f t="shared" si="4"/>
        <v>7</v>
      </c>
      <c r="S1600" s="108" t="str">
        <f t="shared" si="5"/>
        <v>2024-Q3</v>
      </c>
      <c r="T1600" s="111" t="str">
        <f t="shared" si="6"/>
        <v>2024-07</v>
      </c>
      <c r="U1600" s="112" t="str">
        <f t="shared" si="7"/>
        <v>2024-H2</v>
      </c>
      <c r="V1600" s="1" t="str">
        <f>VLOOKUP(B1600,Bounties!A:E,2,FALSE)</f>
        <v>System Parachains Collator Bounty</v>
      </c>
    </row>
    <row r="1601" hidden="1">
      <c r="A1601" s="109">
        <f>HYPERLINK("https://polkadot.subsquare.io/treasury/child-bounties/1601", 1601)</f>
        <v>1601</v>
      </c>
      <c r="B1601" s="183">
        <v>32.0</v>
      </c>
      <c r="C1601" s="27" t="s">
        <v>3404</v>
      </c>
      <c r="D1601" s="27" t="s">
        <v>2066</v>
      </c>
      <c r="E1601" s="129">
        <v>54.4974412004</v>
      </c>
      <c r="F1601" s="66">
        <v>332.37339603264434</v>
      </c>
      <c r="G1601" s="27" t="s">
        <v>3599</v>
      </c>
      <c r="H1601" s="167">
        <v>45481.0</v>
      </c>
      <c r="I1601" s="167">
        <v>45489.0</v>
      </c>
      <c r="J1601" s="66">
        <v>345.84812661280415</v>
      </c>
      <c r="M1601" s="1" t="str">
        <f>VLOOKUP(B1601,Bounties!A:D,3,FALSE)</f>
        <v>Operations</v>
      </c>
      <c r="N1601" s="1" t="str">
        <f>VLOOKUP(B1601,Bounties!A:D,4,FALSE)</f>
        <v>RPCs and Nodes</v>
      </c>
      <c r="O1601" s="1" t="str">
        <f t="shared" ref="O1601:P1601" si="1605">IF(ISBLANK(K1601),M1601,K1601)</f>
        <v>Operations</v>
      </c>
      <c r="P1601" s="1" t="str">
        <f t="shared" si="1605"/>
        <v>RPCs and Nodes</v>
      </c>
      <c r="Q1601" s="108" t="str">
        <f t="shared" si="3"/>
        <v>2024</v>
      </c>
      <c r="R1601" s="110">
        <f t="shared" si="4"/>
        <v>7</v>
      </c>
      <c r="S1601" s="108" t="str">
        <f t="shared" si="5"/>
        <v>2024-Q3</v>
      </c>
      <c r="T1601" s="111" t="str">
        <f t="shared" si="6"/>
        <v>2024-07</v>
      </c>
      <c r="U1601" s="112" t="str">
        <f t="shared" si="7"/>
        <v>2024-H2</v>
      </c>
      <c r="V1601" s="1" t="str">
        <f>VLOOKUP(B1601,Bounties!A:E,2,FALSE)</f>
        <v>System Parachains Collator Bounty</v>
      </c>
    </row>
    <row r="1602" hidden="1">
      <c r="A1602" s="109">
        <f>HYPERLINK("https://polkadot.subsquare.io/treasury/child-bounties/1602", 1602)</f>
        <v>1602</v>
      </c>
      <c r="B1602" s="183">
        <v>32.0</v>
      </c>
      <c r="C1602" s="27" t="s">
        <v>3404</v>
      </c>
      <c r="D1602" s="27" t="s">
        <v>2067</v>
      </c>
      <c r="E1602" s="129">
        <v>61.3206524092</v>
      </c>
      <c r="F1602" s="66">
        <v>373.98734764878395</v>
      </c>
      <c r="G1602" s="27" t="s">
        <v>3593</v>
      </c>
      <c r="H1602" s="167">
        <v>45481.0</v>
      </c>
      <c r="I1602" s="167">
        <v>45489.0</v>
      </c>
      <c r="J1602" s="66">
        <v>389.14914702896357</v>
      </c>
      <c r="M1602" s="1" t="str">
        <f>VLOOKUP(B1602,Bounties!A:D,3,FALSE)</f>
        <v>Operations</v>
      </c>
      <c r="N1602" s="1" t="str">
        <f>VLOOKUP(B1602,Bounties!A:D,4,FALSE)</f>
        <v>RPCs and Nodes</v>
      </c>
      <c r="O1602" s="1" t="str">
        <f t="shared" ref="O1602:P1602" si="1606">IF(ISBLANK(K1602),M1602,K1602)</f>
        <v>Operations</v>
      </c>
      <c r="P1602" s="1" t="str">
        <f t="shared" si="1606"/>
        <v>RPCs and Nodes</v>
      </c>
      <c r="Q1602" s="108" t="str">
        <f t="shared" si="3"/>
        <v>2024</v>
      </c>
      <c r="R1602" s="110">
        <f t="shared" si="4"/>
        <v>7</v>
      </c>
      <c r="S1602" s="108" t="str">
        <f t="shared" si="5"/>
        <v>2024-Q3</v>
      </c>
      <c r="T1602" s="111" t="str">
        <f t="shared" si="6"/>
        <v>2024-07</v>
      </c>
      <c r="U1602" s="112" t="str">
        <f t="shared" si="7"/>
        <v>2024-H2</v>
      </c>
      <c r="V1602" s="1" t="str">
        <f>VLOOKUP(B1602,Bounties!A:E,2,FALSE)</f>
        <v>System Parachains Collator Bounty</v>
      </c>
    </row>
    <row r="1603" hidden="1">
      <c r="A1603" s="109">
        <f>HYPERLINK("https://polkadot.subsquare.io/treasury/child-bounties/1603", 1603)</f>
        <v>1603</v>
      </c>
      <c r="B1603" s="183">
        <v>32.0</v>
      </c>
      <c r="C1603" s="27" t="s">
        <v>3404</v>
      </c>
      <c r="D1603" s="27" t="s">
        <v>2068</v>
      </c>
      <c r="E1603" s="129">
        <v>52.2150148761</v>
      </c>
      <c r="F1603" s="66">
        <v>318.4531500193998</v>
      </c>
      <c r="G1603" s="27" t="s">
        <v>3596</v>
      </c>
      <c r="H1603" s="167">
        <v>45481.0</v>
      </c>
      <c r="I1603" s="167">
        <v>45489.0</v>
      </c>
      <c r="J1603" s="66">
        <v>331.3635407129233</v>
      </c>
      <c r="M1603" s="1" t="str">
        <f>VLOOKUP(B1603,Bounties!A:D,3,FALSE)</f>
        <v>Operations</v>
      </c>
      <c r="N1603" s="1" t="str">
        <f>VLOOKUP(B1603,Bounties!A:D,4,FALSE)</f>
        <v>RPCs and Nodes</v>
      </c>
      <c r="O1603" s="1" t="str">
        <f t="shared" ref="O1603:P1603" si="1607">IF(ISBLANK(K1603),M1603,K1603)</f>
        <v>Operations</v>
      </c>
      <c r="P1603" s="1" t="str">
        <f t="shared" si="1607"/>
        <v>RPCs and Nodes</v>
      </c>
      <c r="Q1603" s="108" t="str">
        <f t="shared" si="3"/>
        <v>2024</v>
      </c>
      <c r="R1603" s="110">
        <f t="shared" si="4"/>
        <v>7</v>
      </c>
      <c r="S1603" s="108" t="str">
        <f t="shared" si="5"/>
        <v>2024-Q3</v>
      </c>
      <c r="T1603" s="111" t="str">
        <f t="shared" si="6"/>
        <v>2024-07</v>
      </c>
      <c r="U1603" s="112" t="str">
        <f t="shared" si="7"/>
        <v>2024-H2</v>
      </c>
      <c r="V1603" s="1" t="str">
        <f>VLOOKUP(B1603,Bounties!A:E,2,FALSE)</f>
        <v>System Parachains Collator Bounty</v>
      </c>
    </row>
    <row r="1604" hidden="1">
      <c r="A1604" s="109">
        <f>HYPERLINK("https://polkadot.subsquare.io/treasury/child-bounties/1604", 1604)</f>
        <v>1604</v>
      </c>
      <c r="B1604" s="183">
        <v>32.0</v>
      </c>
      <c r="C1604" s="27" t="s">
        <v>3404</v>
      </c>
      <c r="D1604" s="27" t="s">
        <v>2069</v>
      </c>
      <c r="E1604" s="129">
        <v>49.6129127466</v>
      </c>
      <c r="F1604" s="66">
        <v>302.5832393858829</v>
      </c>
      <c r="G1604" s="27" t="s">
        <v>3587</v>
      </c>
      <c r="H1604" s="167">
        <v>45481.0</v>
      </c>
      <c r="I1604" s="167">
        <v>45489.0</v>
      </c>
      <c r="J1604" s="66">
        <v>314.8502489524258</v>
      </c>
      <c r="M1604" s="1" t="str">
        <f>VLOOKUP(B1604,Bounties!A:D,3,FALSE)</f>
        <v>Operations</v>
      </c>
      <c r="N1604" s="1" t="str">
        <f>VLOOKUP(B1604,Bounties!A:D,4,FALSE)</f>
        <v>RPCs and Nodes</v>
      </c>
      <c r="O1604" s="1" t="str">
        <f t="shared" ref="O1604:P1604" si="1608">IF(ISBLANK(K1604),M1604,K1604)</f>
        <v>Operations</v>
      </c>
      <c r="P1604" s="1" t="str">
        <f t="shared" si="1608"/>
        <v>RPCs and Nodes</v>
      </c>
      <c r="Q1604" s="108" t="str">
        <f t="shared" si="3"/>
        <v>2024</v>
      </c>
      <c r="R1604" s="110">
        <f t="shared" si="4"/>
        <v>7</v>
      </c>
      <c r="S1604" s="108" t="str">
        <f t="shared" si="5"/>
        <v>2024-Q3</v>
      </c>
      <c r="T1604" s="111" t="str">
        <f t="shared" si="6"/>
        <v>2024-07</v>
      </c>
      <c r="U1604" s="112" t="str">
        <f t="shared" si="7"/>
        <v>2024-H2</v>
      </c>
      <c r="V1604" s="1" t="str">
        <f>VLOOKUP(B1604,Bounties!A:E,2,FALSE)</f>
        <v>System Parachains Collator Bounty</v>
      </c>
    </row>
    <row r="1605" hidden="1">
      <c r="A1605" s="109">
        <f>HYPERLINK("https://polkadot.subsquare.io/treasury/child-bounties/1605", 1605)</f>
        <v>1605</v>
      </c>
      <c r="B1605" s="183">
        <v>32.0</v>
      </c>
      <c r="C1605" s="27" t="s">
        <v>3404</v>
      </c>
      <c r="D1605" s="27" t="s">
        <v>2070</v>
      </c>
      <c r="E1605" s="129">
        <v>49.6004768743</v>
      </c>
      <c r="F1605" s="66">
        <v>302.50739448348133</v>
      </c>
      <c r="G1605" s="27" t="s">
        <v>3601</v>
      </c>
      <c r="H1605" s="167">
        <v>45481.0</v>
      </c>
      <c r="I1605" s="167">
        <v>45489.0</v>
      </c>
      <c r="J1605" s="66">
        <v>314.7713292262328</v>
      </c>
      <c r="M1605" s="1" t="str">
        <f>VLOOKUP(B1605,Bounties!A:D,3,FALSE)</f>
        <v>Operations</v>
      </c>
      <c r="N1605" s="1" t="str">
        <f>VLOOKUP(B1605,Bounties!A:D,4,FALSE)</f>
        <v>RPCs and Nodes</v>
      </c>
      <c r="O1605" s="1" t="str">
        <f t="shared" ref="O1605:P1605" si="1609">IF(ISBLANK(K1605),M1605,K1605)</f>
        <v>Operations</v>
      </c>
      <c r="P1605" s="1" t="str">
        <f t="shared" si="1609"/>
        <v>RPCs and Nodes</v>
      </c>
      <c r="Q1605" s="108" t="str">
        <f t="shared" si="3"/>
        <v>2024</v>
      </c>
      <c r="R1605" s="110">
        <f t="shared" si="4"/>
        <v>7</v>
      </c>
      <c r="S1605" s="108" t="str">
        <f t="shared" si="5"/>
        <v>2024-Q3</v>
      </c>
      <c r="T1605" s="111" t="str">
        <f t="shared" si="6"/>
        <v>2024-07</v>
      </c>
      <c r="U1605" s="112" t="str">
        <f t="shared" si="7"/>
        <v>2024-H2</v>
      </c>
      <c r="V1605" s="1" t="str">
        <f>VLOOKUP(B1605,Bounties!A:E,2,FALSE)</f>
        <v>System Parachains Collator Bounty</v>
      </c>
    </row>
    <row r="1606" hidden="1">
      <c r="A1606" s="109">
        <f>HYPERLINK("https://polkadot.subsquare.io/treasury/child-bounties/1606", 1606)</f>
        <v>1606</v>
      </c>
      <c r="B1606" s="183">
        <v>32.0</v>
      </c>
      <c r="C1606" s="27" t="s">
        <v>3404</v>
      </c>
      <c r="D1606" s="27" t="s">
        <v>2071</v>
      </c>
      <c r="E1606" s="129">
        <v>49.6440024275</v>
      </c>
      <c r="F1606" s="66">
        <v>302.7728516428016</v>
      </c>
      <c r="G1606" s="27" t="s">
        <v>3602</v>
      </c>
      <c r="H1606" s="167">
        <v>45481.0</v>
      </c>
      <c r="I1606" s="167">
        <v>45489.0</v>
      </c>
      <c r="J1606" s="66">
        <v>315.04754826886</v>
      </c>
      <c r="M1606" s="1" t="str">
        <f>VLOOKUP(B1606,Bounties!A:D,3,FALSE)</f>
        <v>Operations</v>
      </c>
      <c r="N1606" s="1" t="str">
        <f>VLOOKUP(B1606,Bounties!A:D,4,FALSE)</f>
        <v>RPCs and Nodes</v>
      </c>
      <c r="O1606" s="1" t="str">
        <f t="shared" ref="O1606:P1606" si="1610">IF(ISBLANK(K1606),M1606,K1606)</f>
        <v>Operations</v>
      </c>
      <c r="P1606" s="1" t="str">
        <f t="shared" si="1610"/>
        <v>RPCs and Nodes</v>
      </c>
      <c r="Q1606" s="108" t="str">
        <f t="shared" si="3"/>
        <v>2024</v>
      </c>
      <c r="R1606" s="110">
        <f t="shared" si="4"/>
        <v>7</v>
      </c>
      <c r="S1606" s="108" t="str">
        <f t="shared" si="5"/>
        <v>2024-Q3</v>
      </c>
      <c r="T1606" s="111" t="str">
        <f t="shared" si="6"/>
        <v>2024-07</v>
      </c>
      <c r="U1606" s="112" t="str">
        <f t="shared" si="7"/>
        <v>2024-H2</v>
      </c>
      <c r="V1606" s="1" t="str">
        <f>VLOOKUP(B1606,Bounties!A:E,2,FALSE)</f>
        <v>System Parachains Collator Bounty</v>
      </c>
    </row>
    <row r="1607" hidden="1">
      <c r="A1607" s="109">
        <f>HYPERLINK("https://polkadot.subsquare.io/treasury/child-bounties/1607", 1607)</f>
        <v>1607</v>
      </c>
      <c r="B1607" s="183">
        <v>32.0</v>
      </c>
      <c r="C1607" s="27" t="s">
        <v>3404</v>
      </c>
      <c r="D1607" s="27" t="s">
        <v>2072</v>
      </c>
      <c r="E1607" s="129">
        <v>49.59114997</v>
      </c>
      <c r="F1607" s="66">
        <v>302.4505108062227</v>
      </c>
      <c r="G1607" s="27" t="s">
        <v>3589</v>
      </c>
      <c r="H1607" s="167">
        <v>45481.0</v>
      </c>
      <c r="I1607" s="167">
        <v>45489.0</v>
      </c>
      <c r="J1607" s="66">
        <v>314.7121394311121</v>
      </c>
      <c r="M1607" s="1" t="str">
        <f>VLOOKUP(B1607,Bounties!A:D,3,FALSE)</f>
        <v>Operations</v>
      </c>
      <c r="N1607" s="1" t="str">
        <f>VLOOKUP(B1607,Bounties!A:D,4,FALSE)</f>
        <v>RPCs and Nodes</v>
      </c>
      <c r="O1607" s="1" t="str">
        <f t="shared" ref="O1607:P1607" si="1611">IF(ISBLANK(K1607),M1607,K1607)</f>
        <v>Operations</v>
      </c>
      <c r="P1607" s="1" t="str">
        <f t="shared" si="1611"/>
        <v>RPCs and Nodes</v>
      </c>
      <c r="Q1607" s="108" t="str">
        <f t="shared" si="3"/>
        <v>2024</v>
      </c>
      <c r="R1607" s="110">
        <f t="shared" si="4"/>
        <v>7</v>
      </c>
      <c r="S1607" s="108" t="str">
        <f t="shared" si="5"/>
        <v>2024-Q3</v>
      </c>
      <c r="T1607" s="111" t="str">
        <f t="shared" si="6"/>
        <v>2024-07</v>
      </c>
      <c r="U1607" s="112" t="str">
        <f t="shared" si="7"/>
        <v>2024-H2</v>
      </c>
      <c r="V1607" s="1" t="str">
        <f>VLOOKUP(B1607,Bounties!A:E,2,FALSE)</f>
        <v>System Parachains Collator Bounty</v>
      </c>
    </row>
    <row r="1608" hidden="1">
      <c r="A1608" s="109">
        <f>HYPERLINK("https://polkadot.subsquare.io/treasury/child-bounties/1608", 1608)</f>
        <v>1608</v>
      </c>
      <c r="B1608" s="183">
        <v>32.0</v>
      </c>
      <c r="C1608" s="27" t="s">
        <v>3404</v>
      </c>
      <c r="D1608" s="27" t="s">
        <v>2073</v>
      </c>
      <c r="E1608" s="129">
        <v>49.6688741722</v>
      </c>
      <c r="F1608" s="66">
        <v>302.92454144821465</v>
      </c>
      <c r="G1608" s="27" t="s">
        <v>3592</v>
      </c>
      <c r="H1608" s="167">
        <v>45481.0</v>
      </c>
      <c r="I1608" s="167">
        <v>45489.0</v>
      </c>
      <c r="J1608" s="66">
        <v>315.20538772188047</v>
      </c>
      <c r="M1608" s="1" t="str">
        <f>VLOOKUP(B1608,Bounties!A:D,3,FALSE)</f>
        <v>Operations</v>
      </c>
      <c r="N1608" s="1" t="str">
        <f>VLOOKUP(B1608,Bounties!A:D,4,FALSE)</f>
        <v>RPCs and Nodes</v>
      </c>
      <c r="O1608" s="1" t="str">
        <f t="shared" ref="O1608:P1608" si="1612">IF(ISBLANK(K1608),M1608,K1608)</f>
        <v>Operations</v>
      </c>
      <c r="P1608" s="1" t="str">
        <f t="shared" si="1612"/>
        <v>RPCs and Nodes</v>
      </c>
      <c r="Q1608" s="108" t="str">
        <f t="shared" si="3"/>
        <v>2024</v>
      </c>
      <c r="R1608" s="110">
        <f t="shared" si="4"/>
        <v>7</v>
      </c>
      <c r="S1608" s="108" t="str">
        <f t="shared" si="5"/>
        <v>2024-Q3</v>
      </c>
      <c r="T1608" s="111" t="str">
        <f t="shared" si="6"/>
        <v>2024-07</v>
      </c>
      <c r="U1608" s="112" t="str">
        <f t="shared" si="7"/>
        <v>2024-H2</v>
      </c>
      <c r="V1608" s="1" t="str">
        <f>VLOOKUP(B1608,Bounties!A:E,2,FALSE)</f>
        <v>System Parachains Collator Bounty</v>
      </c>
    </row>
    <row r="1609" hidden="1">
      <c r="A1609" s="109">
        <f>HYPERLINK("https://polkadot.subsquare.io/treasury/child-bounties/1609", 1609)</f>
        <v>1609</v>
      </c>
      <c r="B1609" s="183">
        <v>32.0</v>
      </c>
      <c r="C1609" s="27" t="s">
        <v>3404</v>
      </c>
      <c r="D1609" s="27" t="s">
        <v>2074</v>
      </c>
      <c r="E1609" s="129">
        <v>63.9961855522</v>
      </c>
      <c r="F1609" s="66">
        <v>390.3051052782977</v>
      </c>
      <c r="G1609" s="27" t="s">
        <v>3594</v>
      </c>
      <c r="H1609" s="167">
        <v>45481.0</v>
      </c>
      <c r="I1609" s="167">
        <v>45489.0</v>
      </c>
      <c r="J1609" s="66">
        <v>406.12844192456</v>
      </c>
      <c r="M1609" s="1" t="str">
        <f>VLOOKUP(B1609,Bounties!A:D,3,FALSE)</f>
        <v>Operations</v>
      </c>
      <c r="N1609" s="1" t="str">
        <f>VLOOKUP(B1609,Bounties!A:D,4,FALSE)</f>
        <v>RPCs and Nodes</v>
      </c>
      <c r="O1609" s="1" t="str">
        <f t="shared" ref="O1609:P1609" si="1613">IF(ISBLANK(K1609),M1609,K1609)</f>
        <v>Operations</v>
      </c>
      <c r="P1609" s="1" t="str">
        <f t="shared" si="1613"/>
        <v>RPCs and Nodes</v>
      </c>
      <c r="Q1609" s="108" t="str">
        <f t="shared" si="3"/>
        <v>2024</v>
      </c>
      <c r="R1609" s="110">
        <f t="shared" si="4"/>
        <v>7</v>
      </c>
      <c r="S1609" s="108" t="str">
        <f t="shared" si="5"/>
        <v>2024-Q3</v>
      </c>
      <c r="T1609" s="111" t="str">
        <f t="shared" si="6"/>
        <v>2024-07</v>
      </c>
      <c r="U1609" s="112" t="str">
        <f t="shared" si="7"/>
        <v>2024-H2</v>
      </c>
      <c r="V1609" s="1" t="str">
        <f>VLOOKUP(B1609,Bounties!A:E,2,FALSE)</f>
        <v>System Parachains Collator Bounty</v>
      </c>
    </row>
    <row r="1610" hidden="1">
      <c r="A1610" s="109">
        <f>HYPERLINK("https://polkadot.subsquare.io/treasury/child-bounties/1610", 1610)</f>
        <v>1610</v>
      </c>
      <c r="B1610" s="183">
        <v>32.0</v>
      </c>
      <c r="C1610" s="27" t="s">
        <v>3404</v>
      </c>
      <c r="D1610" s="27" t="s">
        <v>2075</v>
      </c>
      <c r="E1610" s="129">
        <v>11.8373287931</v>
      </c>
      <c r="F1610" s="66">
        <v>72.19445691862634</v>
      </c>
      <c r="G1610" s="27" t="s">
        <v>3600</v>
      </c>
      <c r="H1610" s="167">
        <v>45481.0</v>
      </c>
      <c r="I1610" s="167">
        <v>45489.0</v>
      </c>
      <c r="J1610" s="66">
        <v>75.12128821129666</v>
      </c>
      <c r="M1610" s="1" t="str">
        <f>VLOOKUP(B1610,Bounties!A:D,3,FALSE)</f>
        <v>Operations</v>
      </c>
      <c r="N1610" s="1" t="str">
        <f>VLOOKUP(B1610,Bounties!A:D,4,FALSE)</f>
        <v>RPCs and Nodes</v>
      </c>
      <c r="O1610" s="1" t="str">
        <f t="shared" ref="O1610:P1610" si="1614">IF(ISBLANK(K1610),M1610,K1610)</f>
        <v>Operations</v>
      </c>
      <c r="P1610" s="1" t="str">
        <f t="shared" si="1614"/>
        <v>RPCs and Nodes</v>
      </c>
      <c r="Q1610" s="108" t="str">
        <f t="shared" si="3"/>
        <v>2024</v>
      </c>
      <c r="R1610" s="110">
        <f t="shared" si="4"/>
        <v>7</v>
      </c>
      <c r="S1610" s="108" t="str">
        <f t="shared" si="5"/>
        <v>2024-Q3</v>
      </c>
      <c r="T1610" s="111" t="str">
        <f t="shared" si="6"/>
        <v>2024-07</v>
      </c>
      <c r="U1610" s="112" t="str">
        <f t="shared" si="7"/>
        <v>2024-H2</v>
      </c>
      <c r="V1610" s="1" t="str">
        <f>VLOOKUP(B1610,Bounties!A:E,2,FALSE)</f>
        <v>System Parachains Collator Bounty</v>
      </c>
    </row>
    <row r="1611" hidden="1">
      <c r="A1611" s="109">
        <f>HYPERLINK("https://polkadot.subsquare.io/treasury/child-bounties/1611", 1611)</f>
        <v>1611</v>
      </c>
      <c r="B1611" s="183">
        <v>32.0</v>
      </c>
      <c r="C1611" s="27" t="s">
        <v>3404</v>
      </c>
      <c r="D1611" s="27" t="s">
        <v>2076</v>
      </c>
      <c r="E1611" s="129">
        <v>11.4894238125</v>
      </c>
      <c r="F1611" s="66">
        <v>70.07262592341543</v>
      </c>
      <c r="G1611" s="27" t="s">
        <v>3407</v>
      </c>
      <c r="H1611" s="167">
        <v>45481.0</v>
      </c>
      <c r="I1611" s="167">
        <v>45489.0</v>
      </c>
      <c r="J1611" s="66">
        <v>72.91343618871599</v>
      </c>
      <c r="M1611" s="1" t="str">
        <f>VLOOKUP(B1611,Bounties!A:D,3,FALSE)</f>
        <v>Operations</v>
      </c>
      <c r="N1611" s="1" t="str">
        <f>VLOOKUP(B1611,Bounties!A:D,4,FALSE)</f>
        <v>RPCs and Nodes</v>
      </c>
      <c r="O1611" s="1" t="str">
        <f t="shared" ref="O1611:P1611" si="1615">IF(ISBLANK(K1611),M1611,K1611)</f>
        <v>Operations</v>
      </c>
      <c r="P1611" s="1" t="str">
        <f t="shared" si="1615"/>
        <v>RPCs and Nodes</v>
      </c>
      <c r="Q1611" s="108" t="str">
        <f t="shared" si="3"/>
        <v>2024</v>
      </c>
      <c r="R1611" s="110">
        <f t="shared" si="4"/>
        <v>7</v>
      </c>
      <c r="S1611" s="108" t="str">
        <f t="shared" si="5"/>
        <v>2024-Q3</v>
      </c>
      <c r="T1611" s="111" t="str">
        <f t="shared" si="6"/>
        <v>2024-07</v>
      </c>
      <c r="U1611" s="112" t="str">
        <f t="shared" si="7"/>
        <v>2024-H2</v>
      </c>
      <c r="V1611" s="1" t="str">
        <f>VLOOKUP(B1611,Bounties!A:E,2,FALSE)</f>
        <v>System Parachains Collator Bounty</v>
      </c>
    </row>
    <row r="1612" hidden="1">
      <c r="A1612" s="109">
        <f>HYPERLINK("https://polkadot.subsquare.io/treasury/child-bounties/1612", 1612)</f>
        <v>1612</v>
      </c>
      <c r="B1612" s="183">
        <v>32.0</v>
      </c>
      <c r="C1612" s="27" t="s">
        <v>3404</v>
      </c>
      <c r="D1612" s="27" t="s">
        <v>2077</v>
      </c>
      <c r="E1612" s="129">
        <v>11.4894238125</v>
      </c>
      <c r="F1612" s="66">
        <v>70.07262592341543</v>
      </c>
      <c r="G1612" s="27" t="s">
        <v>3406</v>
      </c>
      <c r="H1612" s="167">
        <v>45481.0</v>
      </c>
      <c r="I1612" s="167">
        <v>45489.0</v>
      </c>
      <c r="J1612" s="66">
        <v>72.91343618871599</v>
      </c>
      <c r="M1612" s="1" t="str">
        <f>VLOOKUP(B1612,Bounties!A:D,3,FALSE)</f>
        <v>Operations</v>
      </c>
      <c r="N1612" s="1" t="str">
        <f>VLOOKUP(B1612,Bounties!A:D,4,FALSE)</f>
        <v>RPCs and Nodes</v>
      </c>
      <c r="O1612" s="1" t="str">
        <f t="shared" ref="O1612:P1612" si="1616">IF(ISBLANK(K1612),M1612,K1612)</f>
        <v>Operations</v>
      </c>
      <c r="P1612" s="1" t="str">
        <f t="shared" si="1616"/>
        <v>RPCs and Nodes</v>
      </c>
      <c r="Q1612" s="108" t="str">
        <f t="shared" si="3"/>
        <v>2024</v>
      </c>
      <c r="R1612" s="110">
        <f t="shared" si="4"/>
        <v>7</v>
      </c>
      <c r="S1612" s="108" t="str">
        <f t="shared" si="5"/>
        <v>2024-Q3</v>
      </c>
      <c r="T1612" s="111" t="str">
        <f t="shared" si="6"/>
        <v>2024-07</v>
      </c>
      <c r="U1612" s="112" t="str">
        <f t="shared" si="7"/>
        <v>2024-H2</v>
      </c>
      <c r="V1612" s="1" t="str">
        <f>VLOOKUP(B1612,Bounties!A:E,2,FALSE)</f>
        <v>System Parachains Collator Bounty</v>
      </c>
    </row>
    <row r="1613" hidden="1">
      <c r="A1613" s="109">
        <f>HYPERLINK("https://polkadot.subsquare.io/treasury/child-bounties/1613", 1613)</f>
        <v>1613</v>
      </c>
      <c r="B1613" s="183">
        <v>32.0</v>
      </c>
      <c r="C1613" s="27" t="s">
        <v>3404</v>
      </c>
      <c r="D1613" s="27" t="s">
        <v>2078</v>
      </c>
      <c r="E1613" s="129">
        <v>11.4894238125</v>
      </c>
      <c r="F1613" s="66">
        <v>70.07262592341543</v>
      </c>
      <c r="G1613" s="27" t="s">
        <v>3411</v>
      </c>
      <c r="H1613" s="167">
        <v>45481.0</v>
      </c>
      <c r="I1613" s="167">
        <v>45489.0</v>
      </c>
      <c r="J1613" s="66">
        <v>72.91343618871599</v>
      </c>
      <c r="M1613" s="1" t="str">
        <f>VLOOKUP(B1613,Bounties!A:D,3,FALSE)</f>
        <v>Operations</v>
      </c>
      <c r="N1613" s="1" t="str">
        <f>VLOOKUP(B1613,Bounties!A:D,4,FALSE)</f>
        <v>RPCs and Nodes</v>
      </c>
      <c r="O1613" s="1" t="str">
        <f t="shared" ref="O1613:P1613" si="1617">IF(ISBLANK(K1613),M1613,K1613)</f>
        <v>Operations</v>
      </c>
      <c r="P1613" s="1" t="str">
        <f t="shared" si="1617"/>
        <v>RPCs and Nodes</v>
      </c>
      <c r="Q1613" s="108" t="str">
        <f t="shared" si="3"/>
        <v>2024</v>
      </c>
      <c r="R1613" s="110">
        <f t="shared" si="4"/>
        <v>7</v>
      </c>
      <c r="S1613" s="108" t="str">
        <f t="shared" si="5"/>
        <v>2024-Q3</v>
      </c>
      <c r="T1613" s="111" t="str">
        <f t="shared" si="6"/>
        <v>2024-07</v>
      </c>
      <c r="U1613" s="112" t="str">
        <f t="shared" si="7"/>
        <v>2024-H2</v>
      </c>
      <c r="V1613" s="1" t="str">
        <f>VLOOKUP(B1613,Bounties!A:E,2,FALSE)</f>
        <v>System Parachains Collator Bounty</v>
      </c>
    </row>
    <row r="1614" hidden="1">
      <c r="A1614" s="109">
        <f>HYPERLINK("https://polkadot.subsquare.io/treasury/child-bounties/1614", 1614)</f>
        <v>1614</v>
      </c>
      <c r="B1614" s="183">
        <v>32.0</v>
      </c>
      <c r="C1614" s="27" t="s">
        <v>3404</v>
      </c>
      <c r="D1614" s="27" t="s">
        <v>1856</v>
      </c>
      <c r="E1614" s="129">
        <v>6.9772942289</v>
      </c>
      <c r="F1614" s="66">
        <v>42.553685584075495</v>
      </c>
      <c r="G1614" s="27" t="s">
        <v>3587</v>
      </c>
      <c r="H1614" s="167">
        <v>45481.0</v>
      </c>
      <c r="I1614" s="167">
        <v>45489.0</v>
      </c>
      <c r="J1614" s="66">
        <v>44.27885208441096</v>
      </c>
      <c r="M1614" s="1" t="str">
        <f>VLOOKUP(B1614,Bounties!A:D,3,FALSE)</f>
        <v>Operations</v>
      </c>
      <c r="N1614" s="1" t="str">
        <f>VLOOKUP(B1614,Bounties!A:D,4,FALSE)</f>
        <v>RPCs and Nodes</v>
      </c>
      <c r="O1614" s="1" t="str">
        <f t="shared" ref="O1614:P1614" si="1618">IF(ISBLANK(K1614),M1614,K1614)</f>
        <v>Operations</v>
      </c>
      <c r="P1614" s="1" t="str">
        <f t="shared" si="1618"/>
        <v>RPCs and Nodes</v>
      </c>
      <c r="Q1614" s="108" t="str">
        <f t="shared" si="3"/>
        <v>2024</v>
      </c>
      <c r="R1614" s="110">
        <f t="shared" si="4"/>
        <v>7</v>
      </c>
      <c r="S1614" s="108" t="str">
        <f t="shared" si="5"/>
        <v>2024-Q3</v>
      </c>
      <c r="T1614" s="111" t="str">
        <f t="shared" si="6"/>
        <v>2024-07</v>
      </c>
      <c r="U1614" s="112" t="str">
        <f t="shared" si="7"/>
        <v>2024-H2</v>
      </c>
      <c r="V1614" s="1" t="str">
        <f>VLOOKUP(B1614,Bounties!A:E,2,FALSE)</f>
        <v>System Parachains Collator Bounty</v>
      </c>
    </row>
    <row r="1615" hidden="1">
      <c r="A1615" s="109">
        <f>HYPERLINK("https://polkadot.subsquare.io/treasury/child-bounties/1615", 1615)</f>
        <v>1615</v>
      </c>
      <c r="B1615" s="183">
        <v>32.0</v>
      </c>
      <c r="C1615" s="27" t="s">
        <v>3404</v>
      </c>
      <c r="D1615" s="27" t="s">
        <v>2079</v>
      </c>
      <c r="E1615" s="129">
        <v>62.4650443232</v>
      </c>
      <c r="F1615" s="66">
        <v>380.96685748392986</v>
      </c>
      <c r="G1615" s="27" t="s">
        <v>3591</v>
      </c>
      <c r="H1615" s="167">
        <v>45481.0</v>
      </c>
      <c r="I1615" s="167">
        <v>45489.0</v>
      </c>
      <c r="J1615" s="66">
        <v>396.41161276771896</v>
      </c>
      <c r="M1615" s="1" t="str">
        <f>VLOOKUP(B1615,Bounties!A:D,3,FALSE)</f>
        <v>Operations</v>
      </c>
      <c r="N1615" s="1" t="str">
        <f>VLOOKUP(B1615,Bounties!A:D,4,FALSE)</f>
        <v>RPCs and Nodes</v>
      </c>
      <c r="O1615" s="1" t="str">
        <f t="shared" ref="O1615:P1615" si="1619">IF(ISBLANK(K1615),M1615,K1615)</f>
        <v>Operations</v>
      </c>
      <c r="P1615" s="1" t="str">
        <f t="shared" si="1619"/>
        <v>RPCs and Nodes</v>
      </c>
      <c r="Q1615" s="108" t="str">
        <f t="shared" si="3"/>
        <v>2024</v>
      </c>
      <c r="R1615" s="110">
        <f t="shared" si="4"/>
        <v>7</v>
      </c>
      <c r="S1615" s="108" t="str">
        <f t="shared" si="5"/>
        <v>2024-Q3</v>
      </c>
      <c r="T1615" s="111" t="str">
        <f t="shared" si="6"/>
        <v>2024-07</v>
      </c>
      <c r="U1615" s="112" t="str">
        <f t="shared" si="7"/>
        <v>2024-H2</v>
      </c>
      <c r="V1615" s="1" t="str">
        <f>VLOOKUP(B1615,Bounties!A:E,2,FALSE)</f>
        <v>System Parachains Collator Bounty</v>
      </c>
    </row>
    <row r="1616" hidden="1">
      <c r="A1616" s="109">
        <f>HYPERLINK("https://polkadot.subsquare.io/treasury/child-bounties/1616", 1616)</f>
        <v>1616</v>
      </c>
      <c r="B1616" s="183">
        <v>32.0</v>
      </c>
      <c r="C1616" s="27" t="s">
        <v>3404</v>
      </c>
      <c r="D1616" s="27" t="s">
        <v>2080</v>
      </c>
      <c r="E1616" s="129">
        <v>64.0603240013</v>
      </c>
      <c r="F1616" s="66">
        <v>390.69627803199165</v>
      </c>
      <c r="G1616" s="27" t="s">
        <v>3672</v>
      </c>
      <c r="H1616" s="167">
        <v>45481.0</v>
      </c>
      <c r="I1616" s="167">
        <v>45489.0</v>
      </c>
      <c r="J1616" s="66">
        <v>406.53547319018435</v>
      </c>
      <c r="M1616" s="1" t="str">
        <f>VLOOKUP(B1616,Bounties!A:D,3,FALSE)</f>
        <v>Operations</v>
      </c>
      <c r="N1616" s="1" t="str">
        <f>VLOOKUP(B1616,Bounties!A:D,4,FALSE)</f>
        <v>RPCs and Nodes</v>
      </c>
      <c r="O1616" s="1" t="str">
        <f t="shared" ref="O1616:P1616" si="1620">IF(ISBLANK(K1616),M1616,K1616)</f>
        <v>Operations</v>
      </c>
      <c r="P1616" s="1" t="str">
        <f t="shared" si="1620"/>
        <v>RPCs and Nodes</v>
      </c>
      <c r="Q1616" s="108" t="str">
        <f t="shared" si="3"/>
        <v>2024</v>
      </c>
      <c r="R1616" s="110">
        <f t="shared" si="4"/>
        <v>7</v>
      </c>
      <c r="S1616" s="108" t="str">
        <f t="shared" si="5"/>
        <v>2024-Q3</v>
      </c>
      <c r="T1616" s="111" t="str">
        <f t="shared" si="6"/>
        <v>2024-07</v>
      </c>
      <c r="U1616" s="112" t="str">
        <f t="shared" si="7"/>
        <v>2024-H2</v>
      </c>
      <c r="V1616" s="1" t="str">
        <f>VLOOKUP(B1616,Bounties!A:E,2,FALSE)</f>
        <v>System Parachains Collator Bounty</v>
      </c>
    </row>
    <row r="1617" hidden="1">
      <c r="A1617" s="109">
        <f>HYPERLINK("https://polkadot.subsquare.io/treasury/child-bounties/1617", 1617)</f>
        <v>1617</v>
      </c>
      <c r="B1617" s="183">
        <v>32.0</v>
      </c>
      <c r="C1617" s="27" t="s">
        <v>3404</v>
      </c>
      <c r="D1617" s="27" t="s">
        <v>2081</v>
      </c>
      <c r="E1617" s="129">
        <v>64.0040672873</v>
      </c>
      <c r="F1617" s="66">
        <v>390.3531750409162</v>
      </c>
      <c r="G1617" s="27" t="s">
        <v>3590</v>
      </c>
      <c r="H1617" s="167">
        <v>45481.0</v>
      </c>
      <c r="I1617" s="167">
        <v>45489.0</v>
      </c>
      <c r="J1617" s="66">
        <v>406.1784604806381</v>
      </c>
      <c r="M1617" s="1" t="str">
        <f>VLOOKUP(B1617,Bounties!A:D,3,FALSE)</f>
        <v>Operations</v>
      </c>
      <c r="N1617" s="1" t="str">
        <f>VLOOKUP(B1617,Bounties!A:D,4,FALSE)</f>
        <v>RPCs and Nodes</v>
      </c>
      <c r="O1617" s="1" t="str">
        <f t="shared" ref="O1617:P1617" si="1621">IF(ISBLANK(K1617),M1617,K1617)</f>
        <v>Operations</v>
      </c>
      <c r="P1617" s="1" t="str">
        <f t="shared" si="1621"/>
        <v>RPCs and Nodes</v>
      </c>
      <c r="Q1617" s="108" t="str">
        <f t="shared" si="3"/>
        <v>2024</v>
      </c>
      <c r="R1617" s="110">
        <f t="shared" si="4"/>
        <v>7</v>
      </c>
      <c r="S1617" s="108" t="str">
        <f t="shared" si="5"/>
        <v>2024-Q3</v>
      </c>
      <c r="T1617" s="111" t="str">
        <f t="shared" si="6"/>
        <v>2024-07</v>
      </c>
      <c r="U1617" s="112" t="str">
        <f t="shared" si="7"/>
        <v>2024-H2</v>
      </c>
      <c r="V1617" s="1" t="str">
        <f>VLOOKUP(B1617,Bounties!A:E,2,FALSE)</f>
        <v>System Parachains Collator Bounty</v>
      </c>
    </row>
    <row r="1618" hidden="1">
      <c r="A1618" s="109">
        <f>HYPERLINK("https://polkadot.subsquare.io/treasury/child-bounties/1618", 1618)</f>
        <v>1618</v>
      </c>
      <c r="B1618" s="183">
        <v>32.0</v>
      </c>
      <c r="C1618" s="27" t="s">
        <v>3404</v>
      </c>
      <c r="D1618" s="27" t="s">
        <v>2082</v>
      </c>
      <c r="E1618" s="129">
        <v>64.0844340217</v>
      </c>
      <c r="F1618" s="66">
        <v>390.84332217172107</v>
      </c>
      <c r="G1618" s="27" t="s">
        <v>3587</v>
      </c>
      <c r="H1618" s="167">
        <v>45481.0</v>
      </c>
      <c r="I1618" s="167">
        <v>45489.0</v>
      </c>
      <c r="J1618" s="66">
        <v>406.68847863785805</v>
      </c>
      <c r="M1618" s="1" t="str">
        <f>VLOOKUP(B1618,Bounties!A:D,3,FALSE)</f>
        <v>Operations</v>
      </c>
      <c r="N1618" s="1" t="str">
        <f>VLOOKUP(B1618,Bounties!A:D,4,FALSE)</f>
        <v>RPCs and Nodes</v>
      </c>
      <c r="O1618" s="1" t="str">
        <f t="shared" ref="O1618:P1618" si="1622">IF(ISBLANK(K1618),M1618,K1618)</f>
        <v>Operations</v>
      </c>
      <c r="P1618" s="1" t="str">
        <f t="shared" si="1622"/>
        <v>RPCs and Nodes</v>
      </c>
      <c r="Q1618" s="108" t="str">
        <f t="shared" si="3"/>
        <v>2024</v>
      </c>
      <c r="R1618" s="110">
        <f t="shared" si="4"/>
        <v>7</v>
      </c>
      <c r="S1618" s="108" t="str">
        <f t="shared" si="5"/>
        <v>2024-Q3</v>
      </c>
      <c r="T1618" s="111" t="str">
        <f t="shared" si="6"/>
        <v>2024-07</v>
      </c>
      <c r="U1618" s="112" t="str">
        <f t="shared" si="7"/>
        <v>2024-H2</v>
      </c>
      <c r="V1618" s="1" t="str">
        <f>VLOOKUP(B1618,Bounties!A:E,2,FALSE)</f>
        <v>System Parachains Collator Bounty</v>
      </c>
    </row>
    <row r="1619" hidden="1">
      <c r="A1619" s="109">
        <f>HYPERLINK("https://polkadot.subsquare.io/treasury/child-bounties/1619", 1619)</f>
        <v>1619</v>
      </c>
      <c r="B1619" s="183">
        <v>32.0</v>
      </c>
      <c r="C1619" s="27" t="s">
        <v>3404</v>
      </c>
      <c r="D1619" s="27" t="s">
        <v>2083</v>
      </c>
      <c r="E1619" s="129">
        <v>63.9679022568</v>
      </c>
      <c r="F1619" s="66">
        <v>390.13260883193203</v>
      </c>
      <c r="G1619" s="27" t="s">
        <v>3589</v>
      </c>
      <c r="H1619" s="167">
        <v>45481.0</v>
      </c>
      <c r="I1619" s="167">
        <v>45489.0</v>
      </c>
      <c r="J1619" s="66">
        <v>405.9489523097622</v>
      </c>
      <c r="M1619" s="1" t="str">
        <f>VLOOKUP(B1619,Bounties!A:D,3,FALSE)</f>
        <v>Operations</v>
      </c>
      <c r="N1619" s="1" t="str">
        <f>VLOOKUP(B1619,Bounties!A:D,4,FALSE)</f>
        <v>RPCs and Nodes</v>
      </c>
      <c r="O1619" s="1" t="str">
        <f t="shared" ref="O1619:P1619" si="1623">IF(ISBLANK(K1619),M1619,K1619)</f>
        <v>Operations</v>
      </c>
      <c r="P1619" s="1" t="str">
        <f t="shared" si="1623"/>
        <v>RPCs and Nodes</v>
      </c>
      <c r="Q1619" s="108" t="str">
        <f t="shared" si="3"/>
        <v>2024</v>
      </c>
      <c r="R1619" s="110">
        <f t="shared" si="4"/>
        <v>7</v>
      </c>
      <c r="S1619" s="108" t="str">
        <f t="shared" si="5"/>
        <v>2024-Q3</v>
      </c>
      <c r="T1619" s="111" t="str">
        <f t="shared" si="6"/>
        <v>2024-07</v>
      </c>
      <c r="U1619" s="112" t="str">
        <f t="shared" si="7"/>
        <v>2024-H2</v>
      </c>
      <c r="V1619" s="1" t="str">
        <f>VLOOKUP(B1619,Bounties!A:E,2,FALSE)</f>
        <v>System Parachains Collator Bounty</v>
      </c>
    </row>
    <row r="1620" hidden="1">
      <c r="A1620" s="109">
        <f>HYPERLINK("https://polkadot.subsquare.io/treasury/child-bounties/1620", 1620)</f>
        <v>1620</v>
      </c>
      <c r="B1620" s="183">
        <v>32.0</v>
      </c>
      <c r="C1620" s="27" t="s">
        <v>3404</v>
      </c>
      <c r="D1620" s="27" t="s">
        <v>2084</v>
      </c>
      <c r="E1620" s="129">
        <v>63.9558472466</v>
      </c>
      <c r="F1620" s="66">
        <v>390.05908676206735</v>
      </c>
      <c r="G1620" s="27" t="s">
        <v>3592</v>
      </c>
      <c r="H1620" s="167">
        <v>45481.0</v>
      </c>
      <c r="I1620" s="167">
        <v>45489.0</v>
      </c>
      <c r="J1620" s="66">
        <v>405.8724495859254</v>
      </c>
      <c r="M1620" s="1" t="str">
        <f>VLOOKUP(B1620,Bounties!A:D,3,FALSE)</f>
        <v>Operations</v>
      </c>
      <c r="N1620" s="1" t="str">
        <f>VLOOKUP(B1620,Bounties!A:D,4,FALSE)</f>
        <v>RPCs and Nodes</v>
      </c>
      <c r="O1620" s="1" t="str">
        <f t="shared" ref="O1620:P1620" si="1624">IF(ISBLANK(K1620),M1620,K1620)</f>
        <v>Operations</v>
      </c>
      <c r="P1620" s="1" t="str">
        <f t="shared" si="1624"/>
        <v>RPCs and Nodes</v>
      </c>
      <c r="Q1620" s="108" t="str">
        <f t="shared" si="3"/>
        <v>2024</v>
      </c>
      <c r="R1620" s="110">
        <f t="shared" si="4"/>
        <v>7</v>
      </c>
      <c r="S1620" s="108" t="str">
        <f t="shared" si="5"/>
        <v>2024-Q3</v>
      </c>
      <c r="T1620" s="111" t="str">
        <f t="shared" si="6"/>
        <v>2024-07</v>
      </c>
      <c r="U1620" s="112" t="str">
        <f t="shared" si="7"/>
        <v>2024-H2</v>
      </c>
      <c r="V1620" s="1" t="str">
        <f>VLOOKUP(B1620,Bounties!A:E,2,FALSE)</f>
        <v>System Parachains Collator Bounty</v>
      </c>
    </row>
    <row r="1621" hidden="1">
      <c r="A1621" s="109">
        <f>HYPERLINK("https://polkadot.subsquare.io/treasury/child-bounties/1621", 1621)</f>
        <v>1621</v>
      </c>
      <c r="B1621" s="183">
        <v>32.0</v>
      </c>
      <c r="C1621" s="27" t="s">
        <v>3404</v>
      </c>
      <c r="D1621" s="27" t="s">
        <v>2085</v>
      </c>
      <c r="E1621" s="129">
        <v>49.6252722009</v>
      </c>
      <c r="F1621" s="66">
        <v>302.65861822401394</v>
      </c>
      <c r="G1621" s="27" t="s">
        <v>3594</v>
      </c>
      <c r="H1621" s="167">
        <v>45481.0</v>
      </c>
      <c r="I1621" s="167">
        <v>45489.0</v>
      </c>
      <c r="J1621" s="66">
        <v>314.9286837196636</v>
      </c>
      <c r="M1621" s="1" t="str">
        <f>VLOOKUP(B1621,Bounties!A:D,3,FALSE)</f>
        <v>Operations</v>
      </c>
      <c r="N1621" s="1" t="str">
        <f>VLOOKUP(B1621,Bounties!A:D,4,FALSE)</f>
        <v>RPCs and Nodes</v>
      </c>
      <c r="O1621" s="1" t="str">
        <f t="shared" ref="O1621:P1621" si="1625">IF(ISBLANK(K1621),M1621,K1621)</f>
        <v>Operations</v>
      </c>
      <c r="P1621" s="1" t="str">
        <f t="shared" si="1625"/>
        <v>RPCs and Nodes</v>
      </c>
      <c r="Q1621" s="108" t="str">
        <f t="shared" si="3"/>
        <v>2024</v>
      </c>
      <c r="R1621" s="110">
        <f t="shared" si="4"/>
        <v>7</v>
      </c>
      <c r="S1621" s="108" t="str">
        <f t="shared" si="5"/>
        <v>2024-Q3</v>
      </c>
      <c r="T1621" s="111" t="str">
        <f t="shared" si="6"/>
        <v>2024-07</v>
      </c>
      <c r="U1621" s="112" t="str">
        <f t="shared" si="7"/>
        <v>2024-H2</v>
      </c>
      <c r="V1621" s="1" t="str">
        <f>VLOOKUP(B1621,Bounties!A:E,2,FALSE)</f>
        <v>System Parachains Collator Bounty</v>
      </c>
    </row>
    <row r="1622" hidden="1">
      <c r="A1622" s="109">
        <f>HYPERLINK("https://polkadot.subsquare.io/treasury/child-bounties/1622", 1622)</f>
        <v>1622</v>
      </c>
      <c r="B1622" s="183">
        <v>32.0</v>
      </c>
      <c r="C1622" s="27" t="s">
        <v>3404</v>
      </c>
      <c r="D1622" s="27" t="s">
        <v>2086</v>
      </c>
      <c r="E1622" s="129">
        <v>49.6065856417</v>
      </c>
      <c r="F1622" s="66">
        <v>302.5446511274923</v>
      </c>
      <c r="G1622" s="27" t="s">
        <v>3595</v>
      </c>
      <c r="H1622" s="167">
        <v>45481.0</v>
      </c>
      <c r="I1622" s="167">
        <v>45489.0</v>
      </c>
      <c r="J1622" s="66">
        <v>314.8100962896888</v>
      </c>
      <c r="M1622" s="1" t="str">
        <f>VLOOKUP(B1622,Bounties!A:D,3,FALSE)</f>
        <v>Operations</v>
      </c>
      <c r="N1622" s="1" t="str">
        <f>VLOOKUP(B1622,Bounties!A:D,4,FALSE)</f>
        <v>RPCs and Nodes</v>
      </c>
      <c r="O1622" s="1" t="str">
        <f t="shared" ref="O1622:P1622" si="1626">IF(ISBLANK(K1622),M1622,K1622)</f>
        <v>Operations</v>
      </c>
      <c r="P1622" s="1" t="str">
        <f t="shared" si="1626"/>
        <v>RPCs and Nodes</v>
      </c>
      <c r="Q1622" s="108" t="str">
        <f t="shared" si="3"/>
        <v>2024</v>
      </c>
      <c r="R1622" s="110">
        <f t="shared" si="4"/>
        <v>7</v>
      </c>
      <c r="S1622" s="108" t="str">
        <f t="shared" si="5"/>
        <v>2024-Q3</v>
      </c>
      <c r="T1622" s="111" t="str">
        <f t="shared" si="6"/>
        <v>2024-07</v>
      </c>
      <c r="U1622" s="112" t="str">
        <f t="shared" si="7"/>
        <v>2024-H2</v>
      </c>
      <c r="V1622" s="1" t="str">
        <f>VLOOKUP(B1622,Bounties!A:E,2,FALSE)</f>
        <v>System Parachains Collator Bounty</v>
      </c>
    </row>
    <row r="1623" hidden="1">
      <c r="A1623" s="109">
        <f>HYPERLINK("https://polkadot.subsquare.io/treasury/child-bounties/1623", 1623)</f>
        <v>1623</v>
      </c>
      <c r="B1623" s="183">
        <v>32.0</v>
      </c>
      <c r="C1623" s="27" t="s">
        <v>3404</v>
      </c>
      <c r="D1623" s="27" t="s">
        <v>2087</v>
      </c>
      <c r="E1623" s="129">
        <v>43.5863991748</v>
      </c>
      <c r="F1623" s="66">
        <v>265.828251665812</v>
      </c>
      <c r="G1623" s="27" t="s">
        <v>3596</v>
      </c>
      <c r="H1623" s="167">
        <v>45481.0</v>
      </c>
      <c r="I1623" s="167">
        <v>45489.0</v>
      </c>
      <c r="J1623" s="66">
        <v>276.60517940596105</v>
      </c>
      <c r="M1623" s="1" t="str">
        <f>VLOOKUP(B1623,Bounties!A:D,3,FALSE)</f>
        <v>Operations</v>
      </c>
      <c r="N1623" s="1" t="str">
        <f>VLOOKUP(B1623,Bounties!A:D,4,FALSE)</f>
        <v>RPCs and Nodes</v>
      </c>
      <c r="O1623" s="1" t="str">
        <f t="shared" ref="O1623:P1623" si="1627">IF(ISBLANK(K1623),M1623,K1623)</f>
        <v>Operations</v>
      </c>
      <c r="P1623" s="1" t="str">
        <f t="shared" si="1627"/>
        <v>RPCs and Nodes</v>
      </c>
      <c r="Q1623" s="108" t="str">
        <f t="shared" si="3"/>
        <v>2024</v>
      </c>
      <c r="R1623" s="110">
        <f t="shared" si="4"/>
        <v>7</v>
      </c>
      <c r="S1623" s="108" t="str">
        <f t="shared" si="5"/>
        <v>2024-Q3</v>
      </c>
      <c r="T1623" s="111" t="str">
        <f t="shared" si="6"/>
        <v>2024-07</v>
      </c>
      <c r="U1623" s="112" t="str">
        <f t="shared" si="7"/>
        <v>2024-H2</v>
      </c>
      <c r="V1623" s="1" t="str">
        <f>VLOOKUP(B1623,Bounties!A:E,2,FALSE)</f>
        <v>System Parachains Collator Bounty</v>
      </c>
    </row>
    <row r="1624" hidden="1">
      <c r="A1624" s="109">
        <f>HYPERLINK("https://polkadot.subsquare.io/treasury/child-bounties/1624", 1624)</f>
        <v>1624</v>
      </c>
      <c r="B1624" s="183">
        <v>32.0</v>
      </c>
      <c r="C1624" s="27" t="s">
        <v>3404</v>
      </c>
      <c r="D1624" s="27" t="s">
        <v>2088</v>
      </c>
      <c r="E1624" s="129">
        <v>49.6533020396</v>
      </c>
      <c r="F1624" s="66">
        <v>302.8295688681865</v>
      </c>
      <c r="G1624" s="27" t="s">
        <v>3597</v>
      </c>
      <c r="H1624" s="167">
        <v>45481.0</v>
      </c>
      <c r="I1624" s="167">
        <v>45489.0</v>
      </c>
      <c r="J1624" s="66">
        <v>315.1065648639912</v>
      </c>
      <c r="M1624" s="1" t="str">
        <f>VLOOKUP(B1624,Bounties!A:D,3,FALSE)</f>
        <v>Operations</v>
      </c>
      <c r="N1624" s="1" t="str">
        <f>VLOOKUP(B1624,Bounties!A:D,4,FALSE)</f>
        <v>RPCs and Nodes</v>
      </c>
      <c r="O1624" s="1" t="str">
        <f t="shared" ref="O1624:P1624" si="1628">IF(ISBLANK(K1624),M1624,K1624)</f>
        <v>Operations</v>
      </c>
      <c r="P1624" s="1" t="str">
        <f t="shared" si="1628"/>
        <v>RPCs and Nodes</v>
      </c>
      <c r="Q1624" s="108" t="str">
        <f t="shared" si="3"/>
        <v>2024</v>
      </c>
      <c r="R1624" s="110">
        <f t="shared" si="4"/>
        <v>7</v>
      </c>
      <c r="S1624" s="108" t="str">
        <f t="shared" si="5"/>
        <v>2024-Q3</v>
      </c>
      <c r="T1624" s="111" t="str">
        <f t="shared" si="6"/>
        <v>2024-07</v>
      </c>
      <c r="U1624" s="112" t="str">
        <f t="shared" si="7"/>
        <v>2024-H2</v>
      </c>
      <c r="V1624" s="1" t="str">
        <f>VLOOKUP(B1624,Bounties!A:E,2,FALSE)</f>
        <v>System Parachains Collator Bounty</v>
      </c>
    </row>
    <row r="1625" hidden="1">
      <c r="A1625" s="109">
        <f>HYPERLINK("https://polkadot.subsquare.io/treasury/child-bounties/1625", 1625)</f>
        <v>1625</v>
      </c>
      <c r="B1625" s="183">
        <v>32.0</v>
      </c>
      <c r="C1625" s="27" t="s">
        <v>3404</v>
      </c>
      <c r="D1625" s="27" t="s">
        <v>2089</v>
      </c>
      <c r="E1625" s="129">
        <v>47.3673129725</v>
      </c>
      <c r="F1625" s="66">
        <v>288.88759411139836</v>
      </c>
      <c r="G1625" s="27" t="s">
        <v>3599</v>
      </c>
      <c r="H1625" s="167">
        <v>45481.0</v>
      </c>
      <c r="I1625" s="167">
        <v>45489.0</v>
      </c>
      <c r="J1625" s="66">
        <v>300.5993693168343</v>
      </c>
      <c r="M1625" s="1" t="str">
        <f>VLOOKUP(B1625,Bounties!A:D,3,FALSE)</f>
        <v>Operations</v>
      </c>
      <c r="N1625" s="1" t="str">
        <f>VLOOKUP(B1625,Bounties!A:D,4,FALSE)</f>
        <v>RPCs and Nodes</v>
      </c>
      <c r="O1625" s="1" t="str">
        <f t="shared" ref="O1625:P1625" si="1629">IF(ISBLANK(K1625),M1625,K1625)</f>
        <v>Operations</v>
      </c>
      <c r="P1625" s="1" t="str">
        <f t="shared" si="1629"/>
        <v>RPCs and Nodes</v>
      </c>
      <c r="Q1625" s="108" t="str">
        <f t="shared" si="3"/>
        <v>2024</v>
      </c>
      <c r="R1625" s="110">
        <f t="shared" si="4"/>
        <v>7</v>
      </c>
      <c r="S1625" s="108" t="str">
        <f t="shared" si="5"/>
        <v>2024-Q3</v>
      </c>
      <c r="T1625" s="111" t="str">
        <f t="shared" si="6"/>
        <v>2024-07</v>
      </c>
      <c r="U1625" s="112" t="str">
        <f t="shared" si="7"/>
        <v>2024-H2</v>
      </c>
      <c r="V1625" s="1" t="str">
        <f>VLOOKUP(B1625,Bounties!A:E,2,FALSE)</f>
        <v>System Parachains Collator Bounty</v>
      </c>
    </row>
    <row r="1626" hidden="1">
      <c r="A1626" s="109">
        <f>HYPERLINK("https://polkadot.subsquare.io/treasury/child-bounties/1626", 1626)</f>
        <v>1626</v>
      </c>
      <c r="B1626" s="183">
        <v>32.0</v>
      </c>
      <c r="C1626" s="27" t="s">
        <v>3404</v>
      </c>
      <c r="D1626" s="27" t="s">
        <v>2090</v>
      </c>
      <c r="E1626" s="129">
        <v>64.0844340217</v>
      </c>
      <c r="F1626" s="66">
        <v>390.84332217172107</v>
      </c>
      <c r="G1626" s="27" t="s">
        <v>3588</v>
      </c>
      <c r="H1626" s="167">
        <v>45481.0</v>
      </c>
      <c r="I1626" s="167">
        <v>45489.0</v>
      </c>
      <c r="J1626" s="66">
        <v>406.68847863785805</v>
      </c>
      <c r="M1626" s="1" t="str">
        <f>VLOOKUP(B1626,Bounties!A:D,3,FALSE)</f>
        <v>Operations</v>
      </c>
      <c r="N1626" s="1" t="str">
        <f>VLOOKUP(B1626,Bounties!A:D,4,FALSE)</f>
        <v>RPCs and Nodes</v>
      </c>
      <c r="O1626" s="1" t="str">
        <f t="shared" ref="O1626:P1626" si="1630">IF(ISBLANK(K1626),M1626,K1626)</f>
        <v>Operations</v>
      </c>
      <c r="P1626" s="1" t="str">
        <f t="shared" si="1630"/>
        <v>RPCs and Nodes</v>
      </c>
      <c r="Q1626" s="108" t="str">
        <f t="shared" si="3"/>
        <v>2024</v>
      </c>
      <c r="R1626" s="110">
        <f t="shared" si="4"/>
        <v>7</v>
      </c>
      <c r="S1626" s="108" t="str">
        <f t="shared" si="5"/>
        <v>2024-Q3</v>
      </c>
      <c r="T1626" s="111" t="str">
        <f t="shared" si="6"/>
        <v>2024-07</v>
      </c>
      <c r="U1626" s="112" t="str">
        <f t="shared" si="7"/>
        <v>2024-H2</v>
      </c>
      <c r="V1626" s="1" t="str">
        <f>VLOOKUP(B1626,Bounties!A:E,2,FALSE)</f>
        <v>System Parachains Collator Bounty</v>
      </c>
    </row>
    <row r="1627" hidden="1">
      <c r="A1627" s="109">
        <f>HYPERLINK("https://polkadot.subsquare.io/treasury/child-bounties/1627", 1627)</f>
        <v>1627</v>
      </c>
      <c r="B1627" s="183">
        <v>32.0</v>
      </c>
      <c r="C1627" s="27" t="s">
        <v>3404</v>
      </c>
      <c r="D1627" s="27" t="s">
        <v>2091</v>
      </c>
      <c r="E1627" s="129">
        <v>11.5573036569</v>
      </c>
      <c r="F1627" s="66">
        <v>70.48661700094935</v>
      </c>
      <c r="G1627" s="27" t="s">
        <v>3407</v>
      </c>
      <c r="H1627" s="167">
        <v>45481.0</v>
      </c>
      <c r="I1627" s="167">
        <v>45489.0</v>
      </c>
      <c r="J1627" s="66">
        <v>73.34421085452428</v>
      </c>
      <c r="M1627" s="1" t="str">
        <f>VLOOKUP(B1627,Bounties!A:D,3,FALSE)</f>
        <v>Operations</v>
      </c>
      <c r="N1627" s="1" t="str">
        <f>VLOOKUP(B1627,Bounties!A:D,4,FALSE)</f>
        <v>RPCs and Nodes</v>
      </c>
      <c r="O1627" s="1" t="str">
        <f t="shared" ref="O1627:P1627" si="1631">IF(ISBLANK(K1627),M1627,K1627)</f>
        <v>Operations</v>
      </c>
      <c r="P1627" s="1" t="str">
        <f t="shared" si="1631"/>
        <v>RPCs and Nodes</v>
      </c>
      <c r="Q1627" s="108" t="str">
        <f t="shared" si="3"/>
        <v>2024</v>
      </c>
      <c r="R1627" s="110">
        <f t="shared" si="4"/>
        <v>7</v>
      </c>
      <c r="S1627" s="108" t="str">
        <f t="shared" si="5"/>
        <v>2024-Q3</v>
      </c>
      <c r="T1627" s="111" t="str">
        <f t="shared" si="6"/>
        <v>2024-07</v>
      </c>
      <c r="U1627" s="112" t="str">
        <f t="shared" si="7"/>
        <v>2024-H2</v>
      </c>
      <c r="V1627" s="1" t="str">
        <f>VLOOKUP(B1627,Bounties!A:E,2,FALSE)</f>
        <v>System Parachains Collator Bounty</v>
      </c>
    </row>
    <row r="1628" hidden="1">
      <c r="A1628" s="109">
        <f>HYPERLINK("https://polkadot.subsquare.io/treasury/child-bounties/1628", 1628)</f>
        <v>1628</v>
      </c>
      <c r="B1628" s="183">
        <v>32.0</v>
      </c>
      <c r="C1628" s="27" t="s">
        <v>3404</v>
      </c>
      <c r="D1628" s="27" t="s">
        <v>2092</v>
      </c>
      <c r="E1628" s="129">
        <v>11.5573036569</v>
      </c>
      <c r="F1628" s="66">
        <v>70.48661700094935</v>
      </c>
      <c r="G1628" s="27" t="s">
        <v>3406</v>
      </c>
      <c r="H1628" s="167">
        <v>45481.0</v>
      </c>
      <c r="I1628" s="167">
        <v>45489.0</v>
      </c>
      <c r="J1628" s="66">
        <v>73.34421085452428</v>
      </c>
      <c r="M1628" s="1" t="str">
        <f>VLOOKUP(B1628,Bounties!A:D,3,FALSE)</f>
        <v>Operations</v>
      </c>
      <c r="N1628" s="1" t="str">
        <f>VLOOKUP(B1628,Bounties!A:D,4,FALSE)</f>
        <v>RPCs and Nodes</v>
      </c>
      <c r="O1628" s="1" t="str">
        <f t="shared" ref="O1628:P1628" si="1632">IF(ISBLANK(K1628),M1628,K1628)</f>
        <v>Operations</v>
      </c>
      <c r="P1628" s="1" t="str">
        <f t="shared" si="1632"/>
        <v>RPCs and Nodes</v>
      </c>
      <c r="Q1628" s="108" t="str">
        <f t="shared" si="3"/>
        <v>2024</v>
      </c>
      <c r="R1628" s="110">
        <f t="shared" si="4"/>
        <v>7</v>
      </c>
      <c r="S1628" s="108" t="str">
        <f t="shared" si="5"/>
        <v>2024-Q3</v>
      </c>
      <c r="T1628" s="111" t="str">
        <f t="shared" si="6"/>
        <v>2024-07</v>
      </c>
      <c r="U1628" s="112" t="str">
        <f t="shared" si="7"/>
        <v>2024-H2</v>
      </c>
      <c r="V1628" s="1" t="str">
        <f>VLOOKUP(B1628,Bounties!A:E,2,FALSE)</f>
        <v>System Parachains Collator Bounty</v>
      </c>
    </row>
    <row r="1629" hidden="1">
      <c r="A1629" s="109">
        <f>HYPERLINK("https://polkadot.subsquare.io/treasury/child-bounties/1629", 1629)</f>
        <v>1629</v>
      </c>
      <c r="B1629" s="183">
        <v>32.0</v>
      </c>
      <c r="C1629" s="27" t="s">
        <v>3404</v>
      </c>
      <c r="D1629" s="27" t="s">
        <v>2093</v>
      </c>
      <c r="E1629" s="129">
        <v>11.5573036569</v>
      </c>
      <c r="F1629" s="66">
        <v>70.48661700094935</v>
      </c>
      <c r="G1629" s="27" t="s">
        <v>3411</v>
      </c>
      <c r="H1629" s="167">
        <v>45481.0</v>
      </c>
      <c r="I1629" s="167">
        <v>45489.0</v>
      </c>
      <c r="J1629" s="66">
        <v>73.34421085452428</v>
      </c>
      <c r="M1629" s="1" t="str">
        <f>VLOOKUP(B1629,Bounties!A:D,3,FALSE)</f>
        <v>Operations</v>
      </c>
      <c r="N1629" s="1" t="str">
        <f>VLOOKUP(B1629,Bounties!A:D,4,FALSE)</f>
        <v>RPCs and Nodes</v>
      </c>
      <c r="O1629" s="1" t="str">
        <f t="shared" ref="O1629:P1629" si="1633">IF(ISBLANK(K1629),M1629,K1629)</f>
        <v>Operations</v>
      </c>
      <c r="P1629" s="1" t="str">
        <f t="shared" si="1633"/>
        <v>RPCs and Nodes</v>
      </c>
      <c r="Q1629" s="108" t="str">
        <f t="shared" si="3"/>
        <v>2024</v>
      </c>
      <c r="R1629" s="110">
        <f t="shared" si="4"/>
        <v>7</v>
      </c>
      <c r="S1629" s="108" t="str">
        <f t="shared" si="5"/>
        <v>2024-Q3</v>
      </c>
      <c r="T1629" s="111" t="str">
        <f t="shared" si="6"/>
        <v>2024-07</v>
      </c>
      <c r="U1629" s="112" t="str">
        <f t="shared" si="7"/>
        <v>2024-H2</v>
      </c>
      <c r="V1629" s="1" t="str">
        <f>VLOOKUP(B1629,Bounties!A:E,2,FALSE)</f>
        <v>System Parachains Collator Bounty</v>
      </c>
    </row>
    <row r="1630" hidden="1">
      <c r="A1630" s="109">
        <f>HYPERLINK("https://polkadot.subsquare.io/treasury/child-bounties/1630", 1630)</f>
        <v>1630</v>
      </c>
      <c r="B1630" s="183">
        <v>32.0</v>
      </c>
      <c r="C1630" s="27" t="s">
        <v>3404</v>
      </c>
      <c r="D1630" s="27" t="s">
        <v>1856</v>
      </c>
      <c r="E1630" s="129">
        <v>6.9772942289</v>
      </c>
      <c r="F1630" s="66">
        <v>42.553685584075495</v>
      </c>
      <c r="G1630" s="27" t="s">
        <v>3587</v>
      </c>
      <c r="H1630" s="167">
        <v>45481.0</v>
      </c>
      <c r="I1630" s="167">
        <v>45489.0</v>
      </c>
      <c r="J1630" s="66">
        <v>44.27885208441096</v>
      </c>
      <c r="M1630" s="1" t="str">
        <f>VLOOKUP(B1630,Bounties!A:D,3,FALSE)</f>
        <v>Operations</v>
      </c>
      <c r="N1630" s="1" t="str">
        <f>VLOOKUP(B1630,Bounties!A:D,4,FALSE)</f>
        <v>RPCs and Nodes</v>
      </c>
      <c r="O1630" s="1" t="str">
        <f t="shared" ref="O1630:P1630" si="1634">IF(ISBLANK(K1630),M1630,K1630)</f>
        <v>Operations</v>
      </c>
      <c r="P1630" s="1" t="str">
        <f t="shared" si="1634"/>
        <v>RPCs and Nodes</v>
      </c>
      <c r="Q1630" s="108" t="str">
        <f t="shared" si="3"/>
        <v>2024</v>
      </c>
      <c r="R1630" s="110">
        <f t="shared" si="4"/>
        <v>7</v>
      </c>
      <c r="S1630" s="108" t="str">
        <f t="shared" si="5"/>
        <v>2024-Q3</v>
      </c>
      <c r="T1630" s="111" t="str">
        <f t="shared" si="6"/>
        <v>2024-07</v>
      </c>
      <c r="U1630" s="112" t="str">
        <f t="shared" si="7"/>
        <v>2024-H2</v>
      </c>
      <c r="V1630" s="1" t="str">
        <f>VLOOKUP(B1630,Bounties!A:E,2,FALSE)</f>
        <v>System Parachains Collator Bounty</v>
      </c>
    </row>
    <row r="1631" hidden="1">
      <c r="A1631" s="109">
        <f>HYPERLINK("https://polkadot.subsquare.io/treasury/child-bounties/1631", 1631)</f>
        <v>1631</v>
      </c>
      <c r="B1631" s="183">
        <v>32.0</v>
      </c>
      <c r="C1631" s="27" t="s">
        <v>3404</v>
      </c>
      <c r="D1631" s="27" t="s">
        <v>2094</v>
      </c>
      <c r="E1631" s="129">
        <v>64.0803375991</v>
      </c>
      <c r="F1631" s="66">
        <v>390.818338578709</v>
      </c>
      <c r="G1631" s="27" t="s">
        <v>3594</v>
      </c>
      <c r="H1631" s="167">
        <v>45481.0</v>
      </c>
      <c r="I1631" s="167">
        <v>45489.0</v>
      </c>
      <c r="J1631" s="66">
        <v>406.66248218645006</v>
      </c>
      <c r="M1631" s="1" t="str">
        <f>VLOOKUP(B1631,Bounties!A:D,3,FALSE)</f>
        <v>Operations</v>
      </c>
      <c r="N1631" s="1" t="str">
        <f>VLOOKUP(B1631,Bounties!A:D,4,FALSE)</f>
        <v>RPCs and Nodes</v>
      </c>
      <c r="O1631" s="1" t="str">
        <f t="shared" ref="O1631:P1631" si="1635">IF(ISBLANK(K1631),M1631,K1631)</f>
        <v>Operations</v>
      </c>
      <c r="P1631" s="1" t="str">
        <f t="shared" si="1635"/>
        <v>RPCs and Nodes</v>
      </c>
      <c r="Q1631" s="108" t="str">
        <f t="shared" si="3"/>
        <v>2024</v>
      </c>
      <c r="R1631" s="110">
        <f t="shared" si="4"/>
        <v>7</v>
      </c>
      <c r="S1631" s="108" t="str">
        <f t="shared" si="5"/>
        <v>2024-Q3</v>
      </c>
      <c r="T1631" s="111" t="str">
        <f t="shared" si="6"/>
        <v>2024-07</v>
      </c>
      <c r="U1631" s="112" t="str">
        <f t="shared" si="7"/>
        <v>2024-H2</v>
      </c>
      <c r="V1631" s="1" t="str">
        <f>VLOOKUP(B1631,Bounties!A:E,2,FALSE)</f>
        <v>System Parachains Collator Bounty</v>
      </c>
    </row>
    <row r="1632" hidden="1">
      <c r="A1632" s="109">
        <f>HYPERLINK("https://polkadot.subsquare.io/treasury/child-bounties/1632", 1632)</f>
        <v>1632</v>
      </c>
      <c r="B1632" s="183">
        <v>32.0</v>
      </c>
      <c r="C1632" s="27" t="s">
        <v>3404</v>
      </c>
      <c r="D1632" s="27" t="s">
        <v>2095</v>
      </c>
      <c r="E1632" s="129">
        <v>64.0844340217</v>
      </c>
      <c r="F1632" s="66">
        <v>390.84332217172107</v>
      </c>
      <c r="G1632" s="27" t="s">
        <v>3587</v>
      </c>
      <c r="H1632" s="167">
        <v>45481.0</v>
      </c>
      <c r="I1632" s="167">
        <v>45489.0</v>
      </c>
      <c r="J1632" s="66">
        <v>406.68847863785805</v>
      </c>
      <c r="M1632" s="1" t="str">
        <f>VLOOKUP(B1632,Bounties!A:D,3,FALSE)</f>
        <v>Operations</v>
      </c>
      <c r="N1632" s="1" t="str">
        <f>VLOOKUP(B1632,Bounties!A:D,4,FALSE)</f>
        <v>RPCs and Nodes</v>
      </c>
      <c r="O1632" s="1" t="str">
        <f t="shared" ref="O1632:P1632" si="1636">IF(ISBLANK(K1632),M1632,K1632)</f>
        <v>Operations</v>
      </c>
      <c r="P1632" s="1" t="str">
        <f t="shared" si="1636"/>
        <v>RPCs and Nodes</v>
      </c>
      <c r="Q1632" s="108" t="str">
        <f t="shared" si="3"/>
        <v>2024</v>
      </c>
      <c r="R1632" s="110">
        <f t="shared" si="4"/>
        <v>7</v>
      </c>
      <c r="S1632" s="108" t="str">
        <f t="shared" si="5"/>
        <v>2024-Q3</v>
      </c>
      <c r="T1632" s="111" t="str">
        <f t="shared" si="6"/>
        <v>2024-07</v>
      </c>
      <c r="U1632" s="112" t="str">
        <f t="shared" si="7"/>
        <v>2024-H2</v>
      </c>
      <c r="V1632" s="1" t="str">
        <f>VLOOKUP(B1632,Bounties!A:E,2,FALSE)</f>
        <v>System Parachains Collator Bounty</v>
      </c>
    </row>
    <row r="1633" hidden="1">
      <c r="A1633" s="109">
        <f>HYPERLINK("https://polkadot.subsquare.io/treasury/child-bounties/1633", 1633)</f>
        <v>1633</v>
      </c>
      <c r="B1633" s="183">
        <v>32.0</v>
      </c>
      <c r="C1633" s="27" t="s">
        <v>3404</v>
      </c>
      <c r="D1633" s="27" t="s">
        <v>2096</v>
      </c>
      <c r="E1633" s="129">
        <v>63.9492520783</v>
      </c>
      <c r="F1633" s="66">
        <v>390.01886361696194</v>
      </c>
      <c r="G1633" s="27" t="s">
        <v>3589</v>
      </c>
      <c r="H1633" s="167">
        <v>45481.0</v>
      </c>
      <c r="I1633" s="167">
        <v>45489.0</v>
      </c>
      <c r="J1633" s="66">
        <v>405.83059575662605</v>
      </c>
      <c r="M1633" s="1" t="str">
        <f>VLOOKUP(B1633,Bounties!A:D,3,FALSE)</f>
        <v>Operations</v>
      </c>
      <c r="N1633" s="1" t="str">
        <f>VLOOKUP(B1633,Bounties!A:D,4,FALSE)</f>
        <v>RPCs and Nodes</v>
      </c>
      <c r="O1633" s="1" t="str">
        <f t="shared" ref="O1633:P1633" si="1637">IF(ISBLANK(K1633),M1633,K1633)</f>
        <v>Operations</v>
      </c>
      <c r="P1633" s="1" t="str">
        <f t="shared" si="1637"/>
        <v>RPCs and Nodes</v>
      </c>
      <c r="Q1633" s="108" t="str">
        <f t="shared" si="3"/>
        <v>2024</v>
      </c>
      <c r="R1633" s="110">
        <f t="shared" si="4"/>
        <v>7</v>
      </c>
      <c r="S1633" s="108" t="str">
        <f t="shared" si="5"/>
        <v>2024-Q3</v>
      </c>
      <c r="T1633" s="111" t="str">
        <f t="shared" si="6"/>
        <v>2024-07</v>
      </c>
      <c r="U1633" s="112" t="str">
        <f t="shared" si="7"/>
        <v>2024-H2</v>
      </c>
      <c r="V1633" s="1" t="str">
        <f>VLOOKUP(B1633,Bounties!A:E,2,FALSE)</f>
        <v>System Parachains Collator Bounty</v>
      </c>
    </row>
    <row r="1634" hidden="1">
      <c r="A1634" s="109">
        <f>HYPERLINK("https://polkadot.subsquare.io/treasury/child-bounties/1634", 1634)</f>
        <v>1634</v>
      </c>
      <c r="B1634" s="183">
        <v>32.0</v>
      </c>
      <c r="C1634" s="27" t="s">
        <v>3404</v>
      </c>
      <c r="D1634" s="27" t="s">
        <v>2097</v>
      </c>
      <c r="E1634" s="129">
        <v>56.1291814731</v>
      </c>
      <c r="F1634" s="66">
        <v>342.3251853998954</v>
      </c>
      <c r="G1634" s="27" t="s">
        <v>3596</v>
      </c>
      <c r="H1634" s="167">
        <v>45481.0</v>
      </c>
      <c r="I1634" s="167">
        <v>45489.0</v>
      </c>
      <c r="J1634" s="66">
        <v>356.2033708958664</v>
      </c>
      <c r="M1634" s="1" t="str">
        <f>VLOOKUP(B1634,Bounties!A:D,3,FALSE)</f>
        <v>Operations</v>
      </c>
      <c r="N1634" s="1" t="str">
        <f>VLOOKUP(B1634,Bounties!A:D,4,FALSE)</f>
        <v>RPCs and Nodes</v>
      </c>
      <c r="O1634" s="1" t="str">
        <f t="shared" ref="O1634:P1634" si="1638">IF(ISBLANK(K1634),M1634,K1634)</f>
        <v>Operations</v>
      </c>
      <c r="P1634" s="1" t="str">
        <f t="shared" si="1638"/>
        <v>RPCs and Nodes</v>
      </c>
      <c r="Q1634" s="108" t="str">
        <f t="shared" si="3"/>
        <v>2024</v>
      </c>
      <c r="R1634" s="110">
        <f t="shared" si="4"/>
        <v>7</v>
      </c>
      <c r="S1634" s="108" t="str">
        <f t="shared" si="5"/>
        <v>2024-Q3</v>
      </c>
      <c r="T1634" s="111" t="str">
        <f t="shared" si="6"/>
        <v>2024-07</v>
      </c>
      <c r="U1634" s="112" t="str">
        <f t="shared" si="7"/>
        <v>2024-H2</v>
      </c>
      <c r="V1634" s="1" t="str">
        <f>VLOOKUP(B1634,Bounties!A:E,2,FALSE)</f>
        <v>System Parachains Collator Bounty</v>
      </c>
    </row>
    <row r="1635" hidden="1">
      <c r="A1635" s="109">
        <f>HYPERLINK("https://polkadot.subsquare.io/treasury/child-bounties/1635", 1635)</f>
        <v>1635</v>
      </c>
      <c r="B1635" s="183">
        <v>32.0</v>
      </c>
      <c r="C1635" s="27" t="s">
        <v>3404</v>
      </c>
      <c r="D1635" s="27" t="s">
        <v>2098</v>
      </c>
      <c r="E1635" s="129">
        <v>64.0762411766</v>
      </c>
      <c r="F1635" s="66">
        <v>390.79335498630695</v>
      </c>
      <c r="G1635" s="27" t="s">
        <v>3607</v>
      </c>
      <c r="H1635" s="167">
        <v>45481.0</v>
      </c>
      <c r="I1635" s="167">
        <v>45489.0</v>
      </c>
      <c r="J1635" s="66">
        <v>406.63648573567673</v>
      </c>
      <c r="M1635" s="1" t="str">
        <f>VLOOKUP(B1635,Bounties!A:D,3,FALSE)</f>
        <v>Operations</v>
      </c>
      <c r="N1635" s="1" t="str">
        <f>VLOOKUP(B1635,Bounties!A:D,4,FALSE)</f>
        <v>RPCs and Nodes</v>
      </c>
      <c r="O1635" s="1" t="str">
        <f t="shared" ref="O1635:P1635" si="1639">IF(ISBLANK(K1635),M1635,K1635)</f>
        <v>Operations</v>
      </c>
      <c r="P1635" s="1" t="str">
        <f t="shared" si="1639"/>
        <v>RPCs and Nodes</v>
      </c>
      <c r="Q1635" s="108" t="str">
        <f t="shared" si="3"/>
        <v>2024</v>
      </c>
      <c r="R1635" s="110">
        <f t="shared" si="4"/>
        <v>7</v>
      </c>
      <c r="S1635" s="108" t="str">
        <f t="shared" si="5"/>
        <v>2024-Q3</v>
      </c>
      <c r="T1635" s="111" t="str">
        <f t="shared" si="6"/>
        <v>2024-07</v>
      </c>
      <c r="U1635" s="112" t="str">
        <f t="shared" si="7"/>
        <v>2024-H2</v>
      </c>
      <c r="V1635" s="1" t="str">
        <f>VLOOKUP(B1635,Bounties!A:E,2,FALSE)</f>
        <v>System Parachains Collator Bounty</v>
      </c>
    </row>
    <row r="1636" hidden="1">
      <c r="A1636" s="109">
        <f>HYPERLINK("https://polkadot.subsquare.io/treasury/child-bounties/1636", 1636)</f>
        <v>1636</v>
      </c>
      <c r="B1636" s="183">
        <v>32.0</v>
      </c>
      <c r="C1636" s="27" t="s">
        <v>3404</v>
      </c>
      <c r="D1636" s="27" t="s">
        <v>2099</v>
      </c>
      <c r="E1636" s="129">
        <v>63.5805740508</v>
      </c>
      <c r="F1636" s="66">
        <v>387.77034028552356</v>
      </c>
      <c r="G1636" s="27" t="s">
        <v>3608</v>
      </c>
      <c r="H1636" s="167">
        <v>45481.0</v>
      </c>
      <c r="I1636" s="167">
        <v>45489.0</v>
      </c>
      <c r="J1636" s="66">
        <v>403.49091517115954</v>
      </c>
      <c r="M1636" s="1" t="str">
        <f>VLOOKUP(B1636,Bounties!A:D,3,FALSE)</f>
        <v>Operations</v>
      </c>
      <c r="N1636" s="1" t="str">
        <f>VLOOKUP(B1636,Bounties!A:D,4,FALSE)</f>
        <v>RPCs and Nodes</v>
      </c>
      <c r="O1636" s="1" t="str">
        <f t="shared" ref="O1636:P1636" si="1640">IF(ISBLANK(K1636),M1636,K1636)</f>
        <v>Operations</v>
      </c>
      <c r="P1636" s="1" t="str">
        <f t="shared" si="1640"/>
        <v>RPCs and Nodes</v>
      </c>
      <c r="Q1636" s="108" t="str">
        <f t="shared" si="3"/>
        <v>2024</v>
      </c>
      <c r="R1636" s="110">
        <f t="shared" si="4"/>
        <v>7</v>
      </c>
      <c r="S1636" s="108" t="str">
        <f t="shared" si="5"/>
        <v>2024-Q3</v>
      </c>
      <c r="T1636" s="111" t="str">
        <f t="shared" si="6"/>
        <v>2024-07</v>
      </c>
      <c r="U1636" s="112" t="str">
        <f t="shared" si="7"/>
        <v>2024-H2</v>
      </c>
      <c r="V1636" s="1" t="str">
        <f>VLOOKUP(B1636,Bounties!A:E,2,FALSE)</f>
        <v>System Parachains Collator Bounty</v>
      </c>
    </row>
    <row r="1637" hidden="1">
      <c r="A1637" s="109">
        <f>HYPERLINK("https://polkadot.subsquare.io/treasury/child-bounties/1637", 1637)</f>
        <v>1637</v>
      </c>
      <c r="B1637" s="183">
        <v>32.0</v>
      </c>
      <c r="C1637" s="27" t="s">
        <v>3404</v>
      </c>
      <c r="D1637" s="27" t="s">
        <v>2100</v>
      </c>
      <c r="E1637" s="129">
        <v>48.6655908534</v>
      </c>
      <c r="F1637" s="66">
        <v>296.80563611050843</v>
      </c>
      <c r="G1637" s="27" t="s">
        <v>3591</v>
      </c>
      <c r="H1637" s="167">
        <v>45481.0</v>
      </c>
      <c r="I1637" s="167">
        <v>45489.0</v>
      </c>
      <c r="J1637" s="66">
        <v>308.8384161976044</v>
      </c>
      <c r="M1637" s="1" t="str">
        <f>VLOOKUP(B1637,Bounties!A:D,3,FALSE)</f>
        <v>Operations</v>
      </c>
      <c r="N1637" s="1" t="str">
        <f>VLOOKUP(B1637,Bounties!A:D,4,FALSE)</f>
        <v>RPCs and Nodes</v>
      </c>
      <c r="O1637" s="1" t="str">
        <f t="shared" ref="O1637:P1637" si="1641">IF(ISBLANK(K1637),M1637,K1637)</f>
        <v>Operations</v>
      </c>
      <c r="P1637" s="1" t="str">
        <f t="shared" si="1641"/>
        <v>RPCs and Nodes</v>
      </c>
      <c r="Q1637" s="108" t="str">
        <f t="shared" si="3"/>
        <v>2024</v>
      </c>
      <c r="R1637" s="110">
        <f t="shared" si="4"/>
        <v>7</v>
      </c>
      <c r="S1637" s="108" t="str">
        <f t="shared" si="5"/>
        <v>2024-Q3</v>
      </c>
      <c r="T1637" s="111" t="str">
        <f t="shared" si="6"/>
        <v>2024-07</v>
      </c>
      <c r="U1637" s="112" t="str">
        <f t="shared" si="7"/>
        <v>2024-H2</v>
      </c>
      <c r="V1637" s="1" t="str">
        <f>VLOOKUP(B1637,Bounties!A:E,2,FALSE)</f>
        <v>System Parachains Collator Bounty</v>
      </c>
    </row>
    <row r="1638" hidden="1">
      <c r="A1638" s="109">
        <f>HYPERLINK("https://polkadot.subsquare.io/treasury/child-bounties/1638", 1638)</f>
        <v>1638</v>
      </c>
      <c r="B1638" s="183">
        <v>32.0</v>
      </c>
      <c r="C1638" s="27" t="s">
        <v>3404</v>
      </c>
      <c r="D1638" s="27" t="s">
        <v>2101</v>
      </c>
      <c r="E1638" s="129">
        <v>49.5577510198</v>
      </c>
      <c r="F1638" s="66">
        <v>302.2468145911825</v>
      </c>
      <c r="G1638" s="27" t="s">
        <v>3604</v>
      </c>
      <c r="H1638" s="167">
        <v>45481.0</v>
      </c>
      <c r="I1638" s="167">
        <v>45489.0</v>
      </c>
      <c r="J1638" s="66">
        <v>314.50018517962667</v>
      </c>
      <c r="M1638" s="1" t="str">
        <f>VLOOKUP(B1638,Bounties!A:D,3,FALSE)</f>
        <v>Operations</v>
      </c>
      <c r="N1638" s="1" t="str">
        <f>VLOOKUP(B1638,Bounties!A:D,4,FALSE)</f>
        <v>RPCs and Nodes</v>
      </c>
      <c r="O1638" s="1" t="str">
        <f t="shared" ref="O1638:P1638" si="1642">IF(ISBLANK(K1638),M1638,K1638)</f>
        <v>Operations</v>
      </c>
      <c r="P1638" s="1" t="str">
        <f t="shared" si="1642"/>
        <v>RPCs and Nodes</v>
      </c>
      <c r="Q1638" s="108" t="str">
        <f t="shared" si="3"/>
        <v>2024</v>
      </c>
      <c r="R1638" s="110">
        <f t="shared" si="4"/>
        <v>7</v>
      </c>
      <c r="S1638" s="108" t="str">
        <f t="shared" si="5"/>
        <v>2024-Q3</v>
      </c>
      <c r="T1638" s="111" t="str">
        <f t="shared" si="6"/>
        <v>2024-07</v>
      </c>
      <c r="U1638" s="112" t="str">
        <f t="shared" si="7"/>
        <v>2024-H2</v>
      </c>
      <c r="V1638" s="1" t="str">
        <f>VLOOKUP(B1638,Bounties!A:E,2,FALSE)</f>
        <v>System Parachains Collator Bounty</v>
      </c>
    </row>
    <row r="1639" hidden="1">
      <c r="A1639" s="109">
        <f>HYPERLINK("https://polkadot.subsquare.io/treasury/child-bounties/1639", 1639)</f>
        <v>1639</v>
      </c>
      <c r="B1639" s="183">
        <v>32.0</v>
      </c>
      <c r="C1639" s="27" t="s">
        <v>3404</v>
      </c>
      <c r="D1639" s="27" t="s">
        <v>2102</v>
      </c>
      <c r="E1639" s="129">
        <v>49.6244249112</v>
      </c>
      <c r="F1639" s="66">
        <v>302.6534507051578</v>
      </c>
      <c r="G1639" s="27" t="s">
        <v>3590</v>
      </c>
      <c r="H1639" s="167">
        <v>45481.0</v>
      </c>
      <c r="I1639" s="167">
        <v>45489.0</v>
      </c>
      <c r="J1639" s="66">
        <v>314.9233067047251</v>
      </c>
      <c r="M1639" s="1" t="str">
        <f>VLOOKUP(B1639,Bounties!A:D,3,FALSE)</f>
        <v>Operations</v>
      </c>
      <c r="N1639" s="1" t="str">
        <f>VLOOKUP(B1639,Bounties!A:D,4,FALSE)</f>
        <v>RPCs and Nodes</v>
      </c>
      <c r="O1639" s="1" t="str">
        <f t="shared" ref="O1639:P1639" si="1643">IF(ISBLANK(K1639),M1639,K1639)</f>
        <v>Operations</v>
      </c>
      <c r="P1639" s="1" t="str">
        <f t="shared" si="1643"/>
        <v>RPCs and Nodes</v>
      </c>
      <c r="Q1639" s="108" t="str">
        <f t="shared" si="3"/>
        <v>2024</v>
      </c>
      <c r="R1639" s="110">
        <f t="shared" si="4"/>
        <v>7</v>
      </c>
      <c r="S1639" s="108" t="str">
        <f t="shared" si="5"/>
        <v>2024-Q3</v>
      </c>
      <c r="T1639" s="111" t="str">
        <f t="shared" si="6"/>
        <v>2024-07</v>
      </c>
      <c r="U1639" s="112" t="str">
        <f t="shared" si="7"/>
        <v>2024-H2</v>
      </c>
      <c r="V1639" s="1" t="str">
        <f>VLOOKUP(B1639,Bounties!A:E,2,FALSE)</f>
        <v>System Parachains Collator Bounty</v>
      </c>
    </row>
    <row r="1640" hidden="1">
      <c r="A1640" s="109">
        <f>HYPERLINK("https://polkadot.subsquare.io/treasury/child-bounties/1640", 1640)</f>
        <v>1640</v>
      </c>
      <c r="B1640" s="183">
        <v>32.0</v>
      </c>
      <c r="C1640" s="27" t="s">
        <v>3404</v>
      </c>
      <c r="D1640" s="27" t="s">
        <v>2103</v>
      </c>
      <c r="E1640" s="129">
        <v>31.5780249627</v>
      </c>
      <c r="F1640" s="66">
        <v>192.59060913082243</v>
      </c>
      <c r="G1640" s="27" t="s">
        <v>3605</v>
      </c>
      <c r="H1640" s="167">
        <v>45481.0</v>
      </c>
      <c r="I1640" s="167">
        <v>45489.0</v>
      </c>
      <c r="J1640" s="66">
        <v>200.3984138507039</v>
      </c>
      <c r="M1640" s="1" t="str">
        <f>VLOOKUP(B1640,Bounties!A:D,3,FALSE)</f>
        <v>Operations</v>
      </c>
      <c r="N1640" s="1" t="str">
        <f>VLOOKUP(B1640,Bounties!A:D,4,FALSE)</f>
        <v>RPCs and Nodes</v>
      </c>
      <c r="O1640" s="1" t="str">
        <f t="shared" ref="O1640:P1640" si="1644">IF(ISBLANK(K1640),M1640,K1640)</f>
        <v>Operations</v>
      </c>
      <c r="P1640" s="1" t="str">
        <f t="shared" si="1644"/>
        <v>RPCs and Nodes</v>
      </c>
      <c r="Q1640" s="108" t="str">
        <f t="shared" si="3"/>
        <v>2024</v>
      </c>
      <c r="R1640" s="110">
        <f t="shared" si="4"/>
        <v>7</v>
      </c>
      <c r="S1640" s="108" t="str">
        <f t="shared" si="5"/>
        <v>2024-Q3</v>
      </c>
      <c r="T1640" s="111" t="str">
        <f t="shared" si="6"/>
        <v>2024-07</v>
      </c>
      <c r="U1640" s="112" t="str">
        <f t="shared" si="7"/>
        <v>2024-H2</v>
      </c>
      <c r="V1640" s="1" t="str">
        <f>VLOOKUP(B1640,Bounties!A:E,2,FALSE)</f>
        <v>System Parachains Collator Bounty</v>
      </c>
    </row>
    <row r="1641" hidden="1">
      <c r="A1641" s="109">
        <f>HYPERLINK("https://polkadot.subsquare.io/treasury/child-bounties/1641", 1641)</f>
        <v>1641</v>
      </c>
      <c r="B1641" s="183">
        <v>32.0</v>
      </c>
      <c r="C1641" s="27" t="s">
        <v>3404</v>
      </c>
      <c r="D1641" s="27" t="s">
        <v>2104</v>
      </c>
      <c r="E1641" s="129">
        <v>64.0680483316</v>
      </c>
      <c r="F1641" s="66">
        <v>390.7433878015026</v>
      </c>
      <c r="G1641" s="27" t="s">
        <v>3595</v>
      </c>
      <c r="H1641" s="167">
        <v>45481.0</v>
      </c>
      <c r="I1641" s="167">
        <v>45489.0</v>
      </c>
      <c r="J1641" s="66">
        <v>406.58449283413</v>
      </c>
      <c r="M1641" s="1" t="str">
        <f>VLOOKUP(B1641,Bounties!A:D,3,FALSE)</f>
        <v>Operations</v>
      </c>
      <c r="N1641" s="1" t="str">
        <f>VLOOKUP(B1641,Bounties!A:D,4,FALSE)</f>
        <v>RPCs and Nodes</v>
      </c>
      <c r="O1641" s="1" t="str">
        <f t="shared" ref="O1641:P1641" si="1645">IF(ISBLANK(K1641),M1641,K1641)</f>
        <v>Operations</v>
      </c>
      <c r="P1641" s="1" t="str">
        <f t="shared" si="1645"/>
        <v>RPCs and Nodes</v>
      </c>
      <c r="Q1641" s="108" t="str">
        <f t="shared" si="3"/>
        <v>2024</v>
      </c>
      <c r="R1641" s="110">
        <f t="shared" si="4"/>
        <v>7</v>
      </c>
      <c r="S1641" s="108" t="str">
        <f t="shared" si="5"/>
        <v>2024-Q3</v>
      </c>
      <c r="T1641" s="111" t="str">
        <f t="shared" si="6"/>
        <v>2024-07</v>
      </c>
      <c r="U1641" s="112" t="str">
        <f t="shared" si="7"/>
        <v>2024-H2</v>
      </c>
      <c r="V1641" s="1" t="str">
        <f>VLOOKUP(B1641,Bounties!A:E,2,FALSE)</f>
        <v>System Parachains Collator Bounty</v>
      </c>
    </row>
    <row r="1642" hidden="1">
      <c r="A1642" s="109">
        <f>HYPERLINK("https://polkadot.subsquare.io/treasury/child-bounties/1642", 1642)</f>
        <v>1642</v>
      </c>
      <c r="B1642" s="183">
        <v>32.0</v>
      </c>
      <c r="C1642" s="27" t="s">
        <v>3404</v>
      </c>
      <c r="D1642" s="27" t="s">
        <v>2105</v>
      </c>
      <c r="E1642" s="129">
        <v>47.2654391333</v>
      </c>
      <c r="F1642" s="66">
        <v>288.26627771275724</v>
      </c>
      <c r="G1642" s="27" t="s">
        <v>3603</v>
      </c>
      <c r="H1642" s="167">
        <v>45481.0</v>
      </c>
      <c r="I1642" s="167">
        <v>45489.0</v>
      </c>
      <c r="J1642" s="66">
        <v>299.95286416609497</v>
      </c>
      <c r="M1642" s="1" t="str">
        <f>VLOOKUP(B1642,Bounties!A:D,3,FALSE)</f>
        <v>Operations</v>
      </c>
      <c r="N1642" s="1" t="str">
        <f>VLOOKUP(B1642,Bounties!A:D,4,FALSE)</f>
        <v>RPCs and Nodes</v>
      </c>
      <c r="O1642" s="1" t="str">
        <f t="shared" ref="O1642:P1642" si="1646">IF(ISBLANK(K1642),M1642,K1642)</f>
        <v>Operations</v>
      </c>
      <c r="P1642" s="1" t="str">
        <f t="shared" si="1646"/>
        <v>RPCs and Nodes</v>
      </c>
      <c r="Q1642" s="108" t="str">
        <f t="shared" si="3"/>
        <v>2024</v>
      </c>
      <c r="R1642" s="110">
        <f t="shared" si="4"/>
        <v>7</v>
      </c>
      <c r="S1642" s="108" t="str">
        <f t="shared" si="5"/>
        <v>2024-Q3</v>
      </c>
      <c r="T1642" s="111" t="str">
        <f t="shared" si="6"/>
        <v>2024-07</v>
      </c>
      <c r="U1642" s="112" t="str">
        <f t="shared" si="7"/>
        <v>2024-H2</v>
      </c>
      <c r="V1642" s="1" t="str">
        <f>VLOOKUP(B1642,Bounties!A:E,2,FALSE)</f>
        <v>System Parachains Collator Bounty</v>
      </c>
    </row>
    <row r="1643" hidden="1">
      <c r="A1643" s="109">
        <f>HYPERLINK("https://polkadot.subsquare.io/treasury/child-bounties/1643", 1643)</f>
        <v>1643</v>
      </c>
      <c r="B1643" s="183">
        <v>32.0</v>
      </c>
      <c r="C1643" s="27" t="s">
        <v>3404</v>
      </c>
      <c r="D1643" s="27" t="s">
        <v>2106</v>
      </c>
      <c r="E1643" s="129">
        <v>11.227276564</v>
      </c>
      <c r="F1643" s="66">
        <v>68.47382111120125</v>
      </c>
      <c r="G1643" s="27" t="s">
        <v>3407</v>
      </c>
      <c r="H1643" s="167">
        <v>45481.0</v>
      </c>
      <c r="I1643" s="167">
        <v>45489.0</v>
      </c>
      <c r="J1643" s="66">
        <v>71.249814323296</v>
      </c>
      <c r="M1643" s="1" t="str">
        <f>VLOOKUP(B1643,Bounties!A:D,3,FALSE)</f>
        <v>Operations</v>
      </c>
      <c r="N1643" s="1" t="str">
        <f>VLOOKUP(B1643,Bounties!A:D,4,FALSE)</f>
        <v>RPCs and Nodes</v>
      </c>
      <c r="O1643" s="1" t="str">
        <f t="shared" ref="O1643:P1643" si="1647">IF(ISBLANK(K1643),M1643,K1643)</f>
        <v>Operations</v>
      </c>
      <c r="P1643" s="1" t="str">
        <f t="shared" si="1647"/>
        <v>RPCs and Nodes</v>
      </c>
      <c r="Q1643" s="108" t="str">
        <f t="shared" si="3"/>
        <v>2024</v>
      </c>
      <c r="R1643" s="110">
        <f t="shared" si="4"/>
        <v>7</v>
      </c>
      <c r="S1643" s="108" t="str">
        <f t="shared" si="5"/>
        <v>2024-Q3</v>
      </c>
      <c r="T1643" s="111" t="str">
        <f t="shared" si="6"/>
        <v>2024-07</v>
      </c>
      <c r="U1643" s="112" t="str">
        <f t="shared" si="7"/>
        <v>2024-H2</v>
      </c>
      <c r="V1643" s="1" t="str">
        <f>VLOOKUP(B1643,Bounties!A:E,2,FALSE)</f>
        <v>System Parachains Collator Bounty</v>
      </c>
    </row>
    <row r="1644" hidden="1">
      <c r="A1644" s="109">
        <f>HYPERLINK("https://polkadot.subsquare.io/treasury/child-bounties/1644", 1644)</f>
        <v>1644</v>
      </c>
      <c r="B1644" s="183">
        <v>32.0</v>
      </c>
      <c r="C1644" s="27" t="s">
        <v>3404</v>
      </c>
      <c r="D1644" s="27" t="s">
        <v>2107</v>
      </c>
      <c r="E1644" s="129">
        <v>11.227276564</v>
      </c>
      <c r="F1644" s="66">
        <v>68.47382111120125</v>
      </c>
      <c r="G1644" s="27" t="s">
        <v>3406</v>
      </c>
      <c r="H1644" s="167">
        <v>45481.0</v>
      </c>
      <c r="I1644" s="167">
        <v>45489.0</v>
      </c>
      <c r="J1644" s="66">
        <v>71.249814323296</v>
      </c>
      <c r="M1644" s="1" t="str">
        <f>VLOOKUP(B1644,Bounties!A:D,3,FALSE)</f>
        <v>Operations</v>
      </c>
      <c r="N1644" s="1" t="str">
        <f>VLOOKUP(B1644,Bounties!A:D,4,FALSE)</f>
        <v>RPCs and Nodes</v>
      </c>
      <c r="O1644" s="1" t="str">
        <f t="shared" ref="O1644:P1644" si="1648">IF(ISBLANK(K1644),M1644,K1644)</f>
        <v>Operations</v>
      </c>
      <c r="P1644" s="1" t="str">
        <f t="shared" si="1648"/>
        <v>RPCs and Nodes</v>
      </c>
      <c r="Q1644" s="108" t="str">
        <f t="shared" si="3"/>
        <v>2024</v>
      </c>
      <c r="R1644" s="110">
        <f t="shared" si="4"/>
        <v>7</v>
      </c>
      <c r="S1644" s="108" t="str">
        <f t="shared" si="5"/>
        <v>2024-Q3</v>
      </c>
      <c r="T1644" s="111" t="str">
        <f t="shared" si="6"/>
        <v>2024-07</v>
      </c>
      <c r="U1644" s="112" t="str">
        <f t="shared" si="7"/>
        <v>2024-H2</v>
      </c>
      <c r="V1644" s="1" t="str">
        <f>VLOOKUP(B1644,Bounties!A:E,2,FALSE)</f>
        <v>System Parachains Collator Bounty</v>
      </c>
    </row>
    <row r="1645" hidden="1">
      <c r="A1645" s="109">
        <f>HYPERLINK("https://polkadot.subsquare.io/treasury/child-bounties/1645", 1645)</f>
        <v>1645</v>
      </c>
      <c r="B1645" s="183">
        <v>32.0</v>
      </c>
      <c r="C1645" s="27" t="s">
        <v>3404</v>
      </c>
      <c r="D1645" s="27" t="s">
        <v>2108</v>
      </c>
      <c r="E1645" s="129">
        <v>11.227276564</v>
      </c>
      <c r="F1645" s="66">
        <v>68.47382111120125</v>
      </c>
      <c r="G1645" s="27" t="s">
        <v>3411</v>
      </c>
      <c r="H1645" s="167">
        <v>45481.0</v>
      </c>
      <c r="I1645" s="167">
        <v>45489.0</v>
      </c>
      <c r="J1645" s="66">
        <v>71.249814323296</v>
      </c>
      <c r="M1645" s="1" t="str">
        <f>VLOOKUP(B1645,Bounties!A:D,3,FALSE)</f>
        <v>Operations</v>
      </c>
      <c r="N1645" s="1" t="str">
        <f>VLOOKUP(B1645,Bounties!A:D,4,FALSE)</f>
        <v>RPCs and Nodes</v>
      </c>
      <c r="O1645" s="1" t="str">
        <f t="shared" ref="O1645:P1645" si="1649">IF(ISBLANK(K1645),M1645,K1645)</f>
        <v>Operations</v>
      </c>
      <c r="P1645" s="1" t="str">
        <f t="shared" si="1649"/>
        <v>RPCs and Nodes</v>
      </c>
      <c r="Q1645" s="108" t="str">
        <f t="shared" si="3"/>
        <v>2024</v>
      </c>
      <c r="R1645" s="110">
        <f t="shared" si="4"/>
        <v>7</v>
      </c>
      <c r="S1645" s="108" t="str">
        <f t="shared" si="5"/>
        <v>2024-Q3</v>
      </c>
      <c r="T1645" s="111" t="str">
        <f t="shared" si="6"/>
        <v>2024-07</v>
      </c>
      <c r="U1645" s="112" t="str">
        <f t="shared" si="7"/>
        <v>2024-H2</v>
      </c>
      <c r="V1645" s="1" t="str">
        <f>VLOOKUP(B1645,Bounties!A:E,2,FALSE)</f>
        <v>System Parachains Collator Bounty</v>
      </c>
    </row>
    <row r="1646" hidden="1">
      <c r="A1646" s="109">
        <f>HYPERLINK("https://polkadot.subsquare.io/treasury/child-bounties/1646", 1646)</f>
        <v>1646</v>
      </c>
      <c r="B1646" s="183">
        <v>11.0</v>
      </c>
      <c r="C1646" s="27" t="s">
        <v>3404</v>
      </c>
      <c r="D1646" s="27" t="s">
        <v>2109</v>
      </c>
      <c r="E1646" s="129">
        <v>379.115</v>
      </c>
      <c r="F1646" s="66">
        <v>2238.6334799146653</v>
      </c>
      <c r="G1646" s="27" t="s">
        <v>3423</v>
      </c>
      <c r="H1646" s="167">
        <v>45481.0</v>
      </c>
      <c r="I1646" s="167">
        <v>45491.0</v>
      </c>
      <c r="J1646" s="66">
        <v>2433.8205290436745</v>
      </c>
      <c r="M1646" s="1" t="str">
        <f>VLOOKUP(B1646,Bounties!A:D,3,FALSE)</f>
        <v>Research</v>
      </c>
      <c r="N1646" s="1" t="str">
        <f>VLOOKUP(B1646,Bounties!A:D,4,FALSE)</f>
        <v>Anti-Scam</v>
      </c>
      <c r="O1646" s="1" t="str">
        <f t="shared" ref="O1646:P1646" si="1650">IF(ISBLANK(K1646),M1646,K1646)</f>
        <v>Research</v>
      </c>
      <c r="P1646" s="1" t="str">
        <f t="shared" si="1650"/>
        <v>Anti-Scam</v>
      </c>
      <c r="Q1646" s="108" t="str">
        <f t="shared" si="3"/>
        <v>2024</v>
      </c>
      <c r="R1646" s="110">
        <f t="shared" si="4"/>
        <v>7</v>
      </c>
      <c r="S1646" s="108" t="str">
        <f t="shared" si="5"/>
        <v>2024-Q3</v>
      </c>
      <c r="T1646" s="111" t="str">
        <f t="shared" si="6"/>
        <v>2024-07</v>
      </c>
      <c r="U1646" s="112" t="str">
        <f t="shared" si="7"/>
        <v>2024-H2</v>
      </c>
      <c r="V1646" s="1" t="str">
        <f>VLOOKUP(B1646,Bounties!A:E,2,FALSE)</f>
        <v>Anti-Scam Bounty</v>
      </c>
    </row>
    <row r="1647" hidden="1">
      <c r="A1647" s="109">
        <f>HYPERLINK("https://polkadot.subsquare.io/treasury/child-bounties/1647", 1647)</f>
        <v>1647</v>
      </c>
      <c r="B1647" s="183">
        <v>11.0</v>
      </c>
      <c r="C1647" s="27" t="s">
        <v>3404</v>
      </c>
      <c r="D1647" s="27" t="s">
        <v>2110</v>
      </c>
      <c r="E1647" s="129">
        <v>26.605</v>
      </c>
      <c r="F1647" s="66">
        <v>157.0996761751175</v>
      </c>
      <c r="G1647" s="27" t="s">
        <v>3512</v>
      </c>
      <c r="H1647" s="167">
        <v>45481.0</v>
      </c>
      <c r="I1647" s="167">
        <v>45507.0</v>
      </c>
      <c r="J1647" s="66">
        <v>119.9069200539589</v>
      </c>
      <c r="M1647" s="1" t="str">
        <f>VLOOKUP(B1647,Bounties!A:D,3,FALSE)</f>
        <v>Research</v>
      </c>
      <c r="N1647" s="1" t="str">
        <f>VLOOKUP(B1647,Bounties!A:D,4,FALSE)</f>
        <v>Anti-Scam</v>
      </c>
      <c r="O1647" s="1" t="str">
        <f t="shared" ref="O1647:P1647" si="1651">IF(ISBLANK(K1647),M1647,K1647)</f>
        <v>Research</v>
      </c>
      <c r="P1647" s="1" t="str">
        <f t="shared" si="1651"/>
        <v>Anti-Scam</v>
      </c>
      <c r="Q1647" s="108" t="str">
        <f t="shared" si="3"/>
        <v>2024</v>
      </c>
      <c r="R1647" s="110">
        <f t="shared" si="4"/>
        <v>8</v>
      </c>
      <c r="S1647" s="108" t="str">
        <f t="shared" si="5"/>
        <v>2024-Q3</v>
      </c>
      <c r="T1647" s="111" t="str">
        <f t="shared" si="6"/>
        <v>2024-08</v>
      </c>
      <c r="U1647" s="112" t="str">
        <f t="shared" si="7"/>
        <v>2024-H2</v>
      </c>
      <c r="V1647" s="1" t="str">
        <f>VLOOKUP(B1647,Bounties!A:E,2,FALSE)</f>
        <v>Anti-Scam Bounty</v>
      </c>
    </row>
    <row r="1648" hidden="1">
      <c r="A1648" s="109">
        <f>HYPERLINK("https://polkadot.subsquare.io/treasury/child-bounties/1648", 1648)</f>
        <v>1648</v>
      </c>
      <c r="B1648" s="183">
        <v>11.0</v>
      </c>
      <c r="C1648" s="27" t="s">
        <v>3404</v>
      </c>
      <c r="D1648" s="27" t="s">
        <v>2111</v>
      </c>
      <c r="E1648" s="129">
        <v>26.605</v>
      </c>
      <c r="F1648" s="66">
        <v>157.0996761751175</v>
      </c>
      <c r="G1648" s="27" t="s">
        <v>3609</v>
      </c>
      <c r="H1648" s="167">
        <v>45481.0</v>
      </c>
      <c r="I1648" s="167">
        <v>45489.0</v>
      </c>
      <c r="J1648" s="66">
        <v>168.83892538547516</v>
      </c>
      <c r="M1648" s="1" t="str">
        <f>VLOOKUP(B1648,Bounties!A:D,3,FALSE)</f>
        <v>Research</v>
      </c>
      <c r="N1648" s="1" t="str">
        <f>VLOOKUP(B1648,Bounties!A:D,4,FALSE)</f>
        <v>Anti-Scam</v>
      </c>
      <c r="O1648" s="1" t="str">
        <f t="shared" ref="O1648:P1648" si="1652">IF(ISBLANK(K1648),M1648,K1648)</f>
        <v>Research</v>
      </c>
      <c r="P1648" s="1" t="str">
        <f t="shared" si="1652"/>
        <v>Anti-Scam</v>
      </c>
      <c r="Q1648" s="108" t="str">
        <f t="shared" si="3"/>
        <v>2024</v>
      </c>
      <c r="R1648" s="110">
        <f t="shared" si="4"/>
        <v>7</v>
      </c>
      <c r="S1648" s="108" t="str">
        <f t="shared" si="5"/>
        <v>2024-Q3</v>
      </c>
      <c r="T1648" s="111" t="str">
        <f t="shared" si="6"/>
        <v>2024-07</v>
      </c>
      <c r="U1648" s="112" t="str">
        <f t="shared" si="7"/>
        <v>2024-H2</v>
      </c>
      <c r="V1648" s="1" t="str">
        <f>VLOOKUP(B1648,Bounties!A:E,2,FALSE)</f>
        <v>Anti-Scam Bounty</v>
      </c>
    </row>
    <row r="1649" hidden="1">
      <c r="A1649" s="109">
        <f>HYPERLINK("https://polkadot.subsquare.io/treasury/child-bounties/1649", 1649)</f>
        <v>1649</v>
      </c>
      <c r="B1649" s="183">
        <v>11.0</v>
      </c>
      <c r="C1649" s="27" t="s">
        <v>3404</v>
      </c>
      <c r="D1649" s="27" t="s">
        <v>2112</v>
      </c>
      <c r="E1649" s="129">
        <v>239.441</v>
      </c>
      <c r="F1649" s="66">
        <v>1413.8734660043717</v>
      </c>
      <c r="G1649" s="27" t="s">
        <v>3610</v>
      </c>
      <c r="H1649" s="167">
        <v>45481.0</v>
      </c>
      <c r="I1649" s="167">
        <v>45489.0</v>
      </c>
      <c r="J1649" s="66">
        <v>1519.5249439287186</v>
      </c>
      <c r="M1649" s="1" t="str">
        <f>VLOOKUP(B1649,Bounties!A:D,3,FALSE)</f>
        <v>Research</v>
      </c>
      <c r="N1649" s="1" t="str">
        <f>VLOOKUP(B1649,Bounties!A:D,4,FALSE)</f>
        <v>Anti-Scam</v>
      </c>
      <c r="O1649" s="1" t="str">
        <f t="shared" ref="O1649:P1649" si="1653">IF(ISBLANK(K1649),M1649,K1649)</f>
        <v>Research</v>
      </c>
      <c r="P1649" s="1" t="str">
        <f t="shared" si="1653"/>
        <v>Anti-Scam</v>
      </c>
      <c r="Q1649" s="108" t="str">
        <f t="shared" si="3"/>
        <v>2024</v>
      </c>
      <c r="R1649" s="110">
        <f t="shared" si="4"/>
        <v>7</v>
      </c>
      <c r="S1649" s="108" t="str">
        <f t="shared" si="5"/>
        <v>2024-Q3</v>
      </c>
      <c r="T1649" s="111" t="str">
        <f t="shared" si="6"/>
        <v>2024-07</v>
      </c>
      <c r="U1649" s="112" t="str">
        <f t="shared" si="7"/>
        <v>2024-H2</v>
      </c>
      <c r="V1649" s="1" t="str">
        <f>VLOOKUP(B1649,Bounties!A:E,2,FALSE)</f>
        <v>Anti-Scam Bounty</v>
      </c>
    </row>
    <row r="1650" hidden="1">
      <c r="A1650" s="109">
        <f>HYPERLINK("https://polkadot.subsquare.io/treasury/child-bounties/1650", 1650)</f>
        <v>1650</v>
      </c>
      <c r="B1650" s="183">
        <v>43.0</v>
      </c>
      <c r="C1650" s="27" t="s">
        <v>3404</v>
      </c>
      <c r="D1650" s="27" t="s">
        <v>2113</v>
      </c>
      <c r="E1650" s="129">
        <v>115.22</v>
      </c>
      <c r="F1650" s="66">
        <v>730.9813766479492</v>
      </c>
      <c r="G1650" s="27" t="s">
        <v>3431</v>
      </c>
      <c r="H1650" s="167">
        <v>45487.0</v>
      </c>
      <c r="I1650" s="167">
        <v>45500.0</v>
      </c>
      <c r="J1650" s="66">
        <v>651.4616042900085</v>
      </c>
      <c r="M1650" s="1" t="str">
        <f>VLOOKUP(B1650,Bounties!A:D,3,FALSE)</f>
        <v>Outreach</v>
      </c>
      <c r="N1650" s="1" t="str">
        <f>VLOOKUP(B1650,Bounties!A:D,4,FALSE)</f>
        <v>Events/Meetups</v>
      </c>
      <c r="O1650" s="1" t="str">
        <f t="shared" ref="O1650:P1650" si="1654">IF(ISBLANK(K1650),M1650,K1650)</f>
        <v>Outreach</v>
      </c>
      <c r="P1650" s="1" t="str">
        <f t="shared" si="1654"/>
        <v>Events/Meetups</v>
      </c>
      <c r="Q1650" s="108" t="str">
        <f t="shared" si="3"/>
        <v>2024</v>
      </c>
      <c r="R1650" s="110">
        <f t="shared" si="4"/>
        <v>7</v>
      </c>
      <c r="S1650" s="108" t="str">
        <f t="shared" si="5"/>
        <v>2024-Q3</v>
      </c>
      <c r="T1650" s="111" t="str">
        <f t="shared" si="6"/>
        <v>2024-07</v>
      </c>
      <c r="U1650" s="112" t="str">
        <f t="shared" si="7"/>
        <v>2024-H2</v>
      </c>
      <c r="V1650" s="1" t="str">
        <f>VLOOKUP(B1650,Bounties!A:E,2,FALSE)</f>
        <v>Meetups Bounty</v>
      </c>
    </row>
    <row r="1651" hidden="1">
      <c r="A1651" s="109">
        <f>HYPERLINK("https://polkadot.subsquare.io/treasury/child-bounties/1651", 1651)</f>
        <v>1651</v>
      </c>
      <c r="B1651" s="183">
        <v>17.0</v>
      </c>
      <c r="C1651" s="27" t="s">
        <v>3404</v>
      </c>
      <c r="D1651" s="27" t="s">
        <v>2114</v>
      </c>
      <c r="E1651" s="129">
        <v>5165.22</v>
      </c>
      <c r="F1651" s="66">
        <v>32333.55919532776</v>
      </c>
      <c r="G1651" s="27" t="s">
        <v>3747</v>
      </c>
      <c r="H1651" s="167">
        <v>45487.0</v>
      </c>
      <c r="I1651" s="167">
        <v>45496.0</v>
      </c>
      <c r="J1651" s="66">
        <v>30319.954105453493</v>
      </c>
      <c r="M1651" s="1" t="str">
        <f>VLOOKUP(B1651,Bounties!A:D,3,FALSE)</f>
        <v>Outreach</v>
      </c>
      <c r="N1651" s="1" t="str">
        <f>VLOOKUP(B1651,Bounties!A:D,4,FALSE)</f>
        <v>Events/Meetups</v>
      </c>
      <c r="O1651" s="1" t="str">
        <f t="shared" ref="O1651:P1651" si="1655">IF(ISBLANK(K1651),M1651,K1651)</f>
        <v>Outreach</v>
      </c>
      <c r="P1651" s="1" t="str">
        <f t="shared" si="1655"/>
        <v>Events/Meetups</v>
      </c>
      <c r="Q1651" s="108" t="str">
        <f t="shared" si="3"/>
        <v>2024</v>
      </c>
      <c r="R1651" s="110">
        <f t="shared" si="4"/>
        <v>7</v>
      </c>
      <c r="S1651" s="108" t="str">
        <f t="shared" si="5"/>
        <v>2024-Q3</v>
      </c>
      <c r="T1651" s="111" t="str">
        <f t="shared" si="6"/>
        <v>2024-07</v>
      </c>
      <c r="U1651" s="112" t="str">
        <f t="shared" si="7"/>
        <v>2024-H2</v>
      </c>
      <c r="V1651" s="1" t="str">
        <f>VLOOKUP(B1651,Bounties!A:E,2,FALSE)</f>
        <v>Events Bounty</v>
      </c>
    </row>
    <row r="1652" hidden="1">
      <c r="A1652" s="109">
        <f>HYPERLINK("https://polkadot.subsquare.io/treasury/child-bounties/1652", 1652)</f>
        <v>1652</v>
      </c>
      <c r="B1652" s="183">
        <v>43.0</v>
      </c>
      <c r="C1652" s="27" t="s">
        <v>3427</v>
      </c>
      <c r="D1652" s="27" t="s">
        <v>3761</v>
      </c>
      <c r="E1652" s="129">
        <v>153.65</v>
      </c>
      <c r="F1652" s="66">
        <v>961.8276414871216</v>
      </c>
      <c r="H1652" s="167">
        <v>45487.0</v>
      </c>
      <c r="I1652" s="167">
        <v>45515.0</v>
      </c>
      <c r="J1652" s="66">
        <v>673.9593310594558</v>
      </c>
      <c r="M1652" s="1" t="str">
        <f>VLOOKUP(B1652,Bounties!A:D,3,FALSE)</f>
        <v>Outreach</v>
      </c>
      <c r="N1652" s="1" t="str">
        <f>VLOOKUP(B1652,Bounties!A:D,4,FALSE)</f>
        <v>Events/Meetups</v>
      </c>
      <c r="O1652" s="1" t="str">
        <f t="shared" ref="O1652:P1652" si="1656">IF(ISBLANK(K1652),M1652,K1652)</f>
        <v>Outreach</v>
      </c>
      <c r="P1652" s="1" t="str">
        <f t="shared" si="1656"/>
        <v>Events/Meetups</v>
      </c>
      <c r="Q1652" s="108" t="str">
        <f t="shared" si="3"/>
        <v>2024</v>
      </c>
      <c r="R1652" s="110">
        <f t="shared" si="4"/>
        <v>8</v>
      </c>
      <c r="S1652" s="108" t="str">
        <f t="shared" si="5"/>
        <v>2024-Q3</v>
      </c>
      <c r="T1652" s="111" t="str">
        <f t="shared" si="6"/>
        <v>2024-08</v>
      </c>
      <c r="U1652" s="112" t="str">
        <f t="shared" si="7"/>
        <v>2024-H2</v>
      </c>
      <c r="V1652" s="1" t="str">
        <f>VLOOKUP(B1652,Bounties!A:E,2,FALSE)</f>
        <v>Meetups Bounty</v>
      </c>
    </row>
    <row r="1653" hidden="1">
      <c r="A1653" s="109">
        <f>HYPERLINK("https://polkadot.subsquare.io/treasury/child-bounties/1653", 1653)</f>
        <v>1653</v>
      </c>
      <c r="B1653" s="183">
        <v>31.0</v>
      </c>
      <c r="C1653" s="27" t="s">
        <v>3404</v>
      </c>
      <c r="D1653" s="27" t="s">
        <v>2115</v>
      </c>
      <c r="E1653" s="129">
        <v>116.13</v>
      </c>
      <c r="F1653" s="66">
        <v>726.9576570510864</v>
      </c>
      <c r="G1653" s="27" t="s">
        <v>3652</v>
      </c>
      <c r="H1653" s="167">
        <v>45487.0</v>
      </c>
      <c r="I1653" s="167">
        <v>45524.0</v>
      </c>
      <c r="J1653" s="66">
        <v>545.0783099126816</v>
      </c>
      <c r="M1653" s="1" t="str">
        <f>VLOOKUP(B1653,Bounties!A:D,3,FALSE)</f>
        <v>Operations</v>
      </c>
      <c r="N1653" s="1" t="str">
        <f>VLOOKUP(B1653,Bounties!A:D,4,FALSE)</f>
        <v>RPCs and Nodes</v>
      </c>
      <c r="O1653" s="1" t="str">
        <f t="shared" ref="O1653:P1653" si="1657">IF(ISBLANK(K1653),M1653,K1653)</f>
        <v>Operations</v>
      </c>
      <c r="P1653" s="1" t="str">
        <f t="shared" si="1657"/>
        <v>RPCs and Nodes</v>
      </c>
      <c r="Q1653" s="108" t="str">
        <f t="shared" si="3"/>
        <v>2024</v>
      </c>
      <c r="R1653" s="110">
        <f t="shared" si="4"/>
        <v>8</v>
      </c>
      <c r="S1653" s="108" t="str">
        <f t="shared" si="5"/>
        <v>2024-Q3</v>
      </c>
      <c r="T1653" s="111" t="str">
        <f t="shared" si="6"/>
        <v>2024-08</v>
      </c>
      <c r="U1653" s="112" t="str">
        <f t="shared" si="7"/>
        <v>2024-H2</v>
      </c>
      <c r="V1653" s="1" t="str">
        <f>VLOOKUP(B1653,Bounties!A:E,2,FALSE)</f>
        <v>Public RPCs for Relay and System Chains</v>
      </c>
    </row>
    <row r="1654" hidden="1">
      <c r="A1654" s="109">
        <f>HYPERLINK("https://polkadot.subsquare.io/treasury/child-bounties/1654", 1654)</f>
        <v>1654</v>
      </c>
      <c r="B1654" s="183">
        <v>31.0</v>
      </c>
      <c r="C1654" s="27" t="s">
        <v>3404</v>
      </c>
      <c r="D1654" s="27" t="s">
        <v>2116</v>
      </c>
      <c r="E1654" s="129">
        <v>366.8</v>
      </c>
      <c r="F1654" s="66">
        <v>2296.117012023926</v>
      </c>
      <c r="G1654" s="27" t="s">
        <v>3653</v>
      </c>
      <c r="H1654" s="167">
        <v>45487.0</v>
      </c>
      <c r="I1654" s="167">
        <v>45523.0</v>
      </c>
      <c r="J1654" s="66">
        <v>1712.888165283203</v>
      </c>
      <c r="M1654" s="1" t="str">
        <f>VLOOKUP(B1654,Bounties!A:D,3,FALSE)</f>
        <v>Operations</v>
      </c>
      <c r="N1654" s="1" t="str">
        <f>VLOOKUP(B1654,Bounties!A:D,4,FALSE)</f>
        <v>RPCs and Nodes</v>
      </c>
      <c r="O1654" s="1" t="str">
        <f t="shared" ref="O1654:P1654" si="1658">IF(ISBLANK(K1654),M1654,K1654)</f>
        <v>Operations</v>
      </c>
      <c r="P1654" s="1" t="str">
        <f t="shared" si="1658"/>
        <v>RPCs and Nodes</v>
      </c>
      <c r="Q1654" s="108" t="str">
        <f t="shared" si="3"/>
        <v>2024</v>
      </c>
      <c r="R1654" s="110">
        <f t="shared" si="4"/>
        <v>8</v>
      </c>
      <c r="S1654" s="108" t="str">
        <f t="shared" si="5"/>
        <v>2024-Q3</v>
      </c>
      <c r="T1654" s="111" t="str">
        <f t="shared" si="6"/>
        <v>2024-08</v>
      </c>
      <c r="U1654" s="112" t="str">
        <f t="shared" si="7"/>
        <v>2024-H2</v>
      </c>
      <c r="V1654" s="1" t="str">
        <f>VLOOKUP(B1654,Bounties!A:E,2,FALSE)</f>
        <v>Public RPCs for Relay and System Chains</v>
      </c>
    </row>
    <row r="1655" hidden="1">
      <c r="A1655" s="109">
        <f>HYPERLINK("https://polkadot.subsquare.io/treasury/child-bounties/1655", 1655)</f>
        <v>1655</v>
      </c>
      <c r="B1655" s="183">
        <v>31.0</v>
      </c>
      <c r="C1655" s="27" t="s">
        <v>3404</v>
      </c>
      <c r="D1655" s="27" t="s">
        <v>2117</v>
      </c>
      <c r="E1655" s="129">
        <v>633.33</v>
      </c>
      <c r="F1655" s="66">
        <v>3964.5577623367312</v>
      </c>
      <c r="G1655" s="27" t="s">
        <v>3654</v>
      </c>
      <c r="H1655" s="167">
        <v>45487.0</v>
      </c>
      <c r="I1655" s="167">
        <v>45535.0</v>
      </c>
      <c r="J1655" s="66">
        <v>2665.4384039354327</v>
      </c>
      <c r="M1655" s="1" t="str">
        <f>VLOOKUP(B1655,Bounties!A:D,3,FALSE)</f>
        <v>Operations</v>
      </c>
      <c r="N1655" s="1" t="str">
        <f>VLOOKUP(B1655,Bounties!A:D,4,FALSE)</f>
        <v>RPCs and Nodes</v>
      </c>
      <c r="O1655" s="1" t="str">
        <f t="shared" ref="O1655:P1655" si="1659">IF(ISBLANK(K1655),M1655,K1655)</f>
        <v>Operations</v>
      </c>
      <c r="P1655" s="1" t="str">
        <f t="shared" si="1659"/>
        <v>RPCs and Nodes</v>
      </c>
      <c r="Q1655" s="108" t="str">
        <f t="shared" si="3"/>
        <v>2024</v>
      </c>
      <c r="R1655" s="110">
        <f t="shared" si="4"/>
        <v>8</v>
      </c>
      <c r="S1655" s="108" t="str">
        <f t="shared" si="5"/>
        <v>2024-Q3</v>
      </c>
      <c r="T1655" s="111" t="str">
        <f t="shared" si="6"/>
        <v>2024-08</v>
      </c>
      <c r="U1655" s="112" t="str">
        <f t="shared" si="7"/>
        <v>2024-H2</v>
      </c>
      <c r="V1655" s="1" t="str">
        <f>VLOOKUP(B1655,Bounties!A:E,2,FALSE)</f>
        <v>Public RPCs for Relay and System Chains</v>
      </c>
    </row>
    <row r="1656" hidden="1">
      <c r="A1656" s="109">
        <f>HYPERLINK("https://polkadot.subsquare.io/treasury/child-bounties/1656", 1656)</f>
        <v>1656</v>
      </c>
      <c r="B1656" s="183">
        <v>31.0</v>
      </c>
      <c r="C1656" s="27" t="s">
        <v>3404</v>
      </c>
      <c r="D1656" s="27" t="s">
        <v>2118</v>
      </c>
      <c r="E1656" s="129">
        <v>833.33</v>
      </c>
      <c r="F1656" s="66">
        <v>5216.529960823059</v>
      </c>
      <c r="G1656" s="27" t="s">
        <v>3589</v>
      </c>
      <c r="H1656" s="167">
        <v>45487.0</v>
      </c>
      <c r="I1656" s="167">
        <v>45507.0</v>
      </c>
      <c r="J1656" s="66">
        <v>3755.7614617013933</v>
      </c>
      <c r="M1656" s="1" t="str">
        <f>VLOOKUP(B1656,Bounties!A:D,3,FALSE)</f>
        <v>Operations</v>
      </c>
      <c r="N1656" s="1" t="str">
        <f>VLOOKUP(B1656,Bounties!A:D,4,FALSE)</f>
        <v>RPCs and Nodes</v>
      </c>
      <c r="O1656" s="1" t="str">
        <f t="shared" ref="O1656:P1656" si="1660">IF(ISBLANK(K1656),M1656,K1656)</f>
        <v>Operations</v>
      </c>
      <c r="P1656" s="1" t="str">
        <f t="shared" si="1660"/>
        <v>RPCs and Nodes</v>
      </c>
      <c r="Q1656" s="108" t="str">
        <f t="shared" si="3"/>
        <v>2024</v>
      </c>
      <c r="R1656" s="110">
        <f t="shared" si="4"/>
        <v>8</v>
      </c>
      <c r="S1656" s="108" t="str">
        <f t="shared" si="5"/>
        <v>2024-Q3</v>
      </c>
      <c r="T1656" s="111" t="str">
        <f t="shared" si="6"/>
        <v>2024-08</v>
      </c>
      <c r="U1656" s="112" t="str">
        <f t="shared" si="7"/>
        <v>2024-H2</v>
      </c>
      <c r="V1656" s="1" t="str">
        <f>VLOOKUP(B1656,Bounties!A:E,2,FALSE)</f>
        <v>Public RPCs for Relay and System Chains</v>
      </c>
    </row>
    <row r="1657" hidden="1">
      <c r="A1657" s="109">
        <f>HYPERLINK("https://polkadot.subsquare.io/treasury/child-bounties/1658", 1658)</f>
        <v>1658</v>
      </c>
      <c r="B1657" s="183">
        <v>31.0</v>
      </c>
      <c r="C1657" s="27" t="s">
        <v>3404</v>
      </c>
      <c r="D1657" s="27" t="s">
        <v>2119</v>
      </c>
      <c r="E1657" s="129">
        <v>583.33</v>
      </c>
      <c r="F1657" s="66">
        <v>3651.564712715149</v>
      </c>
      <c r="G1657" s="27" t="s">
        <v>3658</v>
      </c>
      <c r="H1657" s="167">
        <v>45487.0</v>
      </c>
      <c r="I1657" s="167">
        <v>45499.0</v>
      </c>
      <c r="J1657" s="66">
        <v>3337.4794344902043</v>
      </c>
      <c r="M1657" s="1" t="str">
        <f>VLOOKUP(B1657,Bounties!A:D,3,FALSE)</f>
        <v>Operations</v>
      </c>
      <c r="N1657" s="1" t="str">
        <f>VLOOKUP(B1657,Bounties!A:D,4,FALSE)</f>
        <v>RPCs and Nodes</v>
      </c>
      <c r="O1657" s="1" t="str">
        <f t="shared" ref="O1657:P1657" si="1661">IF(ISBLANK(K1657),M1657,K1657)</f>
        <v>Operations</v>
      </c>
      <c r="P1657" s="1" t="str">
        <f t="shared" si="1661"/>
        <v>RPCs and Nodes</v>
      </c>
      <c r="Q1657" s="108" t="str">
        <f t="shared" si="3"/>
        <v>2024</v>
      </c>
      <c r="R1657" s="110">
        <f t="shared" si="4"/>
        <v>7</v>
      </c>
      <c r="S1657" s="108" t="str">
        <f t="shared" si="5"/>
        <v>2024-Q3</v>
      </c>
      <c r="T1657" s="111" t="str">
        <f t="shared" si="6"/>
        <v>2024-07</v>
      </c>
      <c r="U1657" s="112" t="str">
        <f t="shared" si="7"/>
        <v>2024-H2</v>
      </c>
      <c r="V1657" s="1" t="str">
        <f>VLOOKUP(B1657,Bounties!A:E,2,FALSE)</f>
        <v>Public RPCs for Relay and System Chains</v>
      </c>
    </row>
    <row r="1658" hidden="1">
      <c r="A1658" s="109">
        <f>HYPERLINK("https://polkadot.subsquare.io/treasury/child-bounties/1659", 1659)</f>
        <v>1659</v>
      </c>
      <c r="B1658" s="183">
        <v>31.0</v>
      </c>
      <c r="C1658" s="27" t="s">
        <v>3404</v>
      </c>
      <c r="D1658" s="27" t="s">
        <v>2120</v>
      </c>
      <c r="E1658" s="129">
        <v>658.33</v>
      </c>
      <c r="F1658" s="66">
        <v>4121.054287147522</v>
      </c>
      <c r="G1658" s="27" t="s">
        <v>3659</v>
      </c>
      <c r="H1658" s="167">
        <v>45487.0</v>
      </c>
      <c r="I1658" s="167">
        <v>45504.0</v>
      </c>
      <c r="J1658" s="66">
        <v>3372.097934036255</v>
      </c>
      <c r="M1658" s="1" t="str">
        <f>VLOOKUP(B1658,Bounties!A:D,3,FALSE)</f>
        <v>Operations</v>
      </c>
      <c r="N1658" s="1" t="str">
        <f>VLOOKUP(B1658,Bounties!A:D,4,FALSE)</f>
        <v>RPCs and Nodes</v>
      </c>
      <c r="O1658" s="1" t="str">
        <f t="shared" ref="O1658:P1658" si="1662">IF(ISBLANK(K1658),M1658,K1658)</f>
        <v>Operations</v>
      </c>
      <c r="P1658" s="1" t="str">
        <f t="shared" si="1662"/>
        <v>RPCs and Nodes</v>
      </c>
      <c r="Q1658" s="108" t="str">
        <f t="shared" si="3"/>
        <v>2024</v>
      </c>
      <c r="R1658" s="110">
        <f t="shared" si="4"/>
        <v>7</v>
      </c>
      <c r="S1658" s="108" t="str">
        <f t="shared" si="5"/>
        <v>2024-Q3</v>
      </c>
      <c r="T1658" s="111" t="str">
        <f t="shared" si="6"/>
        <v>2024-07</v>
      </c>
      <c r="U1658" s="112" t="str">
        <f t="shared" si="7"/>
        <v>2024-H2</v>
      </c>
      <c r="V1658" s="1" t="str">
        <f>VLOOKUP(B1658,Bounties!A:E,2,FALSE)</f>
        <v>Public RPCs for Relay and System Chains</v>
      </c>
    </row>
    <row r="1659" hidden="1">
      <c r="A1659" s="109">
        <f>HYPERLINK("https://polkadot.subsquare.io/treasury/child-bounties/1660", 1660)</f>
        <v>1660</v>
      </c>
      <c r="B1659" s="183">
        <v>31.0</v>
      </c>
      <c r="C1659" s="27" t="s">
        <v>3404</v>
      </c>
      <c r="D1659" s="27" t="s">
        <v>2121</v>
      </c>
      <c r="E1659" s="129">
        <v>233.33</v>
      </c>
      <c r="F1659" s="66">
        <v>1460.6133653640748</v>
      </c>
      <c r="G1659" s="27" t="s">
        <v>3748</v>
      </c>
      <c r="H1659" s="167">
        <v>45487.0</v>
      </c>
      <c r="I1659" s="167">
        <v>45505.0</v>
      </c>
      <c r="J1659" s="66">
        <v>1176.8385611629487</v>
      </c>
      <c r="M1659" s="1" t="str">
        <f>VLOOKUP(B1659,Bounties!A:D,3,FALSE)</f>
        <v>Operations</v>
      </c>
      <c r="N1659" s="1" t="str">
        <f>VLOOKUP(B1659,Bounties!A:D,4,FALSE)</f>
        <v>RPCs and Nodes</v>
      </c>
      <c r="O1659" s="1" t="str">
        <f t="shared" ref="O1659:P1659" si="1663">IF(ISBLANK(K1659),M1659,K1659)</f>
        <v>Operations</v>
      </c>
      <c r="P1659" s="1" t="str">
        <f t="shared" si="1663"/>
        <v>RPCs and Nodes</v>
      </c>
      <c r="Q1659" s="108" t="str">
        <f t="shared" si="3"/>
        <v>2024</v>
      </c>
      <c r="R1659" s="110">
        <f t="shared" si="4"/>
        <v>8</v>
      </c>
      <c r="S1659" s="108" t="str">
        <f t="shared" si="5"/>
        <v>2024-Q3</v>
      </c>
      <c r="T1659" s="111" t="str">
        <f t="shared" si="6"/>
        <v>2024-08</v>
      </c>
      <c r="U1659" s="112" t="str">
        <f t="shared" si="7"/>
        <v>2024-H2</v>
      </c>
      <c r="V1659" s="1" t="str">
        <f>VLOOKUP(B1659,Bounties!A:E,2,FALSE)</f>
        <v>Public RPCs for Relay and System Chains</v>
      </c>
    </row>
    <row r="1660" hidden="1">
      <c r="A1660" s="109">
        <f>HYPERLINK("https://polkadot.subsquare.io/treasury/child-bounties/1661", 1661)</f>
        <v>1661</v>
      </c>
      <c r="B1660" s="183">
        <v>31.0</v>
      </c>
      <c r="C1660" s="27" t="s">
        <v>3404</v>
      </c>
      <c r="D1660" s="27" t="s">
        <v>2122</v>
      </c>
      <c r="E1660" s="129">
        <v>233.33</v>
      </c>
      <c r="F1660" s="66">
        <v>1460.6133653640748</v>
      </c>
      <c r="G1660" s="27" t="s">
        <v>3749</v>
      </c>
      <c r="H1660" s="167">
        <v>45487.0</v>
      </c>
      <c r="I1660" s="167">
        <v>45503.0</v>
      </c>
      <c r="J1660" s="66">
        <v>1195.1629288482666</v>
      </c>
      <c r="M1660" s="1" t="str">
        <f>VLOOKUP(B1660,Bounties!A:D,3,FALSE)</f>
        <v>Operations</v>
      </c>
      <c r="N1660" s="1" t="str">
        <f>VLOOKUP(B1660,Bounties!A:D,4,FALSE)</f>
        <v>RPCs and Nodes</v>
      </c>
      <c r="O1660" s="1" t="str">
        <f t="shared" ref="O1660:P1660" si="1664">IF(ISBLANK(K1660),M1660,K1660)</f>
        <v>Operations</v>
      </c>
      <c r="P1660" s="1" t="str">
        <f t="shared" si="1664"/>
        <v>RPCs and Nodes</v>
      </c>
      <c r="Q1660" s="108" t="str">
        <f t="shared" si="3"/>
        <v>2024</v>
      </c>
      <c r="R1660" s="110">
        <f t="shared" si="4"/>
        <v>7</v>
      </c>
      <c r="S1660" s="108" t="str">
        <f t="shared" si="5"/>
        <v>2024-Q3</v>
      </c>
      <c r="T1660" s="111" t="str">
        <f t="shared" si="6"/>
        <v>2024-07</v>
      </c>
      <c r="U1660" s="112" t="str">
        <f t="shared" si="7"/>
        <v>2024-H2</v>
      </c>
      <c r="V1660" s="1" t="str">
        <f>VLOOKUP(B1660,Bounties!A:E,2,FALSE)</f>
        <v>Public RPCs for Relay and System Chains</v>
      </c>
    </row>
    <row r="1661" hidden="1">
      <c r="A1661" s="109">
        <f>HYPERLINK("https://polkadot.subsquare.io/treasury/child-bounties/1663", 1663)</f>
        <v>1663</v>
      </c>
      <c r="B1661" s="183">
        <v>33.0</v>
      </c>
      <c r="C1661" s="27" t="s">
        <v>3404</v>
      </c>
      <c r="D1661" s="27" t="s">
        <v>2123</v>
      </c>
      <c r="E1661" s="129">
        <v>52000.0</v>
      </c>
      <c r="F1661" s="66">
        <v>325512.7716064453</v>
      </c>
      <c r="G1661" s="27" t="s">
        <v>3762</v>
      </c>
      <c r="H1661" s="167">
        <v>45488.0</v>
      </c>
      <c r="I1661" s="167">
        <v>45497.0</v>
      </c>
      <c r="J1661" s="66">
        <v>303216.3562774658</v>
      </c>
      <c r="L1661" s="185" t="s">
        <v>296</v>
      </c>
      <c r="M1661" s="1" t="str">
        <f>VLOOKUP(B1661,Bounties!A:D,3,FALSE)</f>
        <v>Outreach</v>
      </c>
      <c r="N1661" s="1" t="str">
        <f>VLOOKUP(B1661,Bounties!A:D,4,FALSE)</f>
        <v>Advertising</v>
      </c>
      <c r="O1661" s="1" t="str">
        <f t="shared" ref="O1661:P1661" si="1665">IF(ISBLANK(K1661),M1661,K1661)</f>
        <v>Outreach</v>
      </c>
      <c r="P1661" s="1" t="str">
        <f t="shared" si="1665"/>
        <v>Advertising/Influencers</v>
      </c>
      <c r="Q1661" s="108" t="str">
        <f t="shared" si="3"/>
        <v>2024</v>
      </c>
      <c r="R1661" s="110">
        <f t="shared" si="4"/>
        <v>7</v>
      </c>
      <c r="S1661" s="108" t="str">
        <f t="shared" si="5"/>
        <v>2024-Q3</v>
      </c>
      <c r="T1661" s="111" t="str">
        <f t="shared" si="6"/>
        <v>2024-07</v>
      </c>
      <c r="U1661" s="112" t="str">
        <f t="shared" si="7"/>
        <v>2024-H2</v>
      </c>
      <c r="V1661" s="1" t="str">
        <f>VLOOKUP(B1661,Bounties!A:E,2,FALSE)</f>
        <v>Marketing Bounty</v>
      </c>
    </row>
    <row r="1662" hidden="1">
      <c r="A1662" s="109">
        <f>HYPERLINK("https://polkadot.subsquare.io/treasury/child-bounties/1664", 1664)</f>
        <v>1664</v>
      </c>
      <c r="B1662" s="183">
        <v>42.0</v>
      </c>
      <c r="C1662" s="27" t="s">
        <v>3404</v>
      </c>
      <c r="D1662" s="27" t="s">
        <v>2124</v>
      </c>
      <c r="E1662" s="129">
        <v>10.28</v>
      </c>
      <c r="F1662" s="66">
        <v>62.64193140029907</v>
      </c>
      <c r="G1662" s="27" t="s">
        <v>3687</v>
      </c>
      <c r="H1662" s="167">
        <v>45488.0</v>
      </c>
      <c r="I1662" s="167">
        <v>45496.0</v>
      </c>
      <c r="J1662" s="66">
        <v>60.34382431030273</v>
      </c>
      <c r="M1662" s="1" t="str">
        <f>VLOOKUP(B1662,Bounties!A:D,3,FALSE)</f>
        <v>Outreach</v>
      </c>
      <c r="N1662" s="1" t="str">
        <f>VLOOKUP(B1662,Bounties!A:D,4,FALSE)</f>
        <v>Media</v>
      </c>
      <c r="O1662" s="1" t="str">
        <f t="shared" ref="O1662:P1662" si="1666">IF(ISBLANK(K1662),M1662,K1662)</f>
        <v>Outreach</v>
      </c>
      <c r="P1662" s="1" t="str">
        <f t="shared" si="1666"/>
        <v>Media</v>
      </c>
      <c r="Q1662" s="108" t="str">
        <f t="shared" si="3"/>
        <v>2024</v>
      </c>
      <c r="R1662" s="110">
        <f t="shared" si="4"/>
        <v>7</v>
      </c>
      <c r="S1662" s="108" t="str">
        <f t="shared" si="5"/>
        <v>2024-Q3</v>
      </c>
      <c r="T1662" s="111" t="str">
        <f t="shared" si="6"/>
        <v>2024-07</v>
      </c>
      <c r="U1662" s="112" t="str">
        <f t="shared" si="7"/>
        <v>2024-H2</v>
      </c>
      <c r="V1662" s="1" t="str">
        <f>VLOOKUP(B1662,Bounties!A:E,2,FALSE)</f>
        <v>Spanish Bounty</v>
      </c>
    </row>
    <row r="1663" hidden="1">
      <c r="A1663" s="109">
        <f>HYPERLINK("https://polkadot.subsquare.io/treasury/child-bounties/1665", 1665)</f>
        <v>1665</v>
      </c>
      <c r="B1663" s="183">
        <v>42.0</v>
      </c>
      <c r="C1663" s="27" t="s">
        <v>3404</v>
      </c>
      <c r="D1663" s="27" t="s">
        <v>2125</v>
      </c>
      <c r="E1663" s="129">
        <v>6.42</v>
      </c>
      <c r="F1663" s="66">
        <v>39.12073925971985</v>
      </c>
      <c r="G1663" s="27" t="s">
        <v>3734</v>
      </c>
      <c r="H1663" s="167">
        <v>45488.0</v>
      </c>
      <c r="I1663" s="167">
        <v>45496.0</v>
      </c>
      <c r="J1663" s="66">
        <v>37.68554008483887</v>
      </c>
      <c r="M1663" s="1" t="str">
        <f>VLOOKUP(B1663,Bounties!A:D,3,FALSE)</f>
        <v>Outreach</v>
      </c>
      <c r="N1663" s="1" t="str">
        <f>VLOOKUP(B1663,Bounties!A:D,4,FALSE)</f>
        <v>Media</v>
      </c>
      <c r="O1663" s="1" t="str">
        <f t="shared" ref="O1663:P1663" si="1667">IF(ISBLANK(K1663),M1663,K1663)</f>
        <v>Outreach</v>
      </c>
      <c r="P1663" s="1" t="str">
        <f t="shared" si="1667"/>
        <v>Media</v>
      </c>
      <c r="Q1663" s="108" t="str">
        <f t="shared" si="3"/>
        <v>2024</v>
      </c>
      <c r="R1663" s="110">
        <f t="shared" si="4"/>
        <v>7</v>
      </c>
      <c r="S1663" s="108" t="str">
        <f t="shared" si="5"/>
        <v>2024-Q3</v>
      </c>
      <c r="T1663" s="111" t="str">
        <f t="shared" si="6"/>
        <v>2024-07</v>
      </c>
      <c r="U1663" s="112" t="str">
        <f t="shared" si="7"/>
        <v>2024-H2</v>
      </c>
      <c r="V1663" s="1" t="str">
        <f>VLOOKUP(B1663,Bounties!A:E,2,FALSE)</f>
        <v>Spanish Bounty</v>
      </c>
    </row>
    <row r="1664" hidden="1">
      <c r="A1664" s="109">
        <f>HYPERLINK("https://polkadot.subsquare.io/treasury/child-bounties/1666", 1666)</f>
        <v>1666</v>
      </c>
      <c r="B1664" s="183">
        <v>42.0</v>
      </c>
      <c r="C1664" s="27" t="s">
        <v>3404</v>
      </c>
      <c r="D1664" s="27" t="s">
        <v>2126</v>
      </c>
      <c r="E1664" s="129">
        <v>41.81</v>
      </c>
      <c r="F1664" s="66">
        <v>254.7722910356522</v>
      </c>
      <c r="G1664" s="27" t="s">
        <v>3704</v>
      </c>
      <c r="H1664" s="167">
        <v>45488.0</v>
      </c>
      <c r="I1664" s="167">
        <v>45499.0</v>
      </c>
      <c r="J1664" s="66">
        <v>236.3965429210663</v>
      </c>
      <c r="M1664" s="1" t="str">
        <f>VLOOKUP(B1664,Bounties!A:D,3,FALSE)</f>
        <v>Outreach</v>
      </c>
      <c r="N1664" s="1" t="str">
        <f>VLOOKUP(B1664,Bounties!A:D,4,FALSE)</f>
        <v>Media</v>
      </c>
      <c r="O1664" s="1" t="str">
        <f t="shared" ref="O1664:P1664" si="1668">IF(ISBLANK(K1664),M1664,K1664)</f>
        <v>Outreach</v>
      </c>
      <c r="P1664" s="1" t="str">
        <f t="shared" si="1668"/>
        <v>Media</v>
      </c>
      <c r="Q1664" s="108" t="str">
        <f t="shared" si="3"/>
        <v>2024</v>
      </c>
      <c r="R1664" s="110">
        <f t="shared" si="4"/>
        <v>7</v>
      </c>
      <c r="S1664" s="108" t="str">
        <f t="shared" si="5"/>
        <v>2024-Q3</v>
      </c>
      <c r="T1664" s="111" t="str">
        <f t="shared" si="6"/>
        <v>2024-07</v>
      </c>
      <c r="U1664" s="112" t="str">
        <f t="shared" si="7"/>
        <v>2024-H2</v>
      </c>
      <c r="V1664" s="1" t="str">
        <f>VLOOKUP(B1664,Bounties!A:E,2,FALSE)</f>
        <v>Spanish Bounty</v>
      </c>
    </row>
    <row r="1665" hidden="1">
      <c r="A1665" s="109">
        <f>HYPERLINK("https://polkadot.subsquare.io/treasury/child-bounties/1667", 1667)</f>
        <v>1667</v>
      </c>
      <c r="B1665" s="183">
        <v>42.0</v>
      </c>
      <c r="C1665" s="27" t="s">
        <v>3404</v>
      </c>
      <c r="D1665" s="27" t="s">
        <v>2127</v>
      </c>
      <c r="E1665" s="129">
        <v>43.14</v>
      </c>
      <c r="F1665" s="66">
        <v>262.8767432498932</v>
      </c>
      <c r="G1665" s="27" t="s">
        <v>3703</v>
      </c>
      <c r="H1665" s="167">
        <v>45488.0</v>
      </c>
      <c r="I1665" s="167">
        <v>45496.0</v>
      </c>
      <c r="J1665" s="66">
        <v>253.23274131774903</v>
      </c>
      <c r="M1665" s="1" t="str">
        <f>VLOOKUP(B1665,Bounties!A:D,3,FALSE)</f>
        <v>Outreach</v>
      </c>
      <c r="N1665" s="1" t="str">
        <f>VLOOKUP(B1665,Bounties!A:D,4,FALSE)</f>
        <v>Media</v>
      </c>
      <c r="O1665" s="1" t="str">
        <f t="shared" ref="O1665:P1665" si="1669">IF(ISBLANK(K1665),M1665,K1665)</f>
        <v>Outreach</v>
      </c>
      <c r="P1665" s="1" t="str">
        <f t="shared" si="1669"/>
        <v>Media</v>
      </c>
      <c r="Q1665" s="108" t="str">
        <f t="shared" si="3"/>
        <v>2024</v>
      </c>
      <c r="R1665" s="110">
        <f t="shared" si="4"/>
        <v>7</v>
      </c>
      <c r="S1665" s="108" t="str">
        <f t="shared" si="5"/>
        <v>2024-Q3</v>
      </c>
      <c r="T1665" s="111" t="str">
        <f t="shared" si="6"/>
        <v>2024-07</v>
      </c>
      <c r="U1665" s="112" t="str">
        <f t="shared" si="7"/>
        <v>2024-H2</v>
      </c>
      <c r="V1665" s="1" t="str">
        <f>VLOOKUP(B1665,Bounties!A:E,2,FALSE)</f>
        <v>Spanish Bounty</v>
      </c>
    </row>
    <row r="1666" hidden="1">
      <c r="A1666" s="109">
        <f>HYPERLINK("https://polkadot.subsquare.io/treasury/child-bounties/1668", 1668)</f>
        <v>1668</v>
      </c>
      <c r="B1666" s="183">
        <v>42.0</v>
      </c>
      <c r="C1666" s="27" t="s">
        <v>3404</v>
      </c>
      <c r="D1666" s="27" t="s">
        <v>2128</v>
      </c>
      <c r="E1666" s="129">
        <v>11.47</v>
      </c>
      <c r="F1666" s="66">
        <v>69.8932833814621</v>
      </c>
      <c r="G1666" s="27" t="s">
        <v>3702</v>
      </c>
      <c r="H1666" s="167">
        <v>45488.0</v>
      </c>
      <c r="I1666" s="167">
        <v>45496.0</v>
      </c>
      <c r="J1666" s="66">
        <v>67.32915027618408</v>
      </c>
      <c r="M1666" s="1" t="str">
        <f>VLOOKUP(B1666,Bounties!A:D,3,FALSE)</f>
        <v>Outreach</v>
      </c>
      <c r="N1666" s="1" t="str">
        <f>VLOOKUP(B1666,Bounties!A:D,4,FALSE)</f>
        <v>Media</v>
      </c>
      <c r="O1666" s="1" t="str">
        <f t="shared" ref="O1666:P1666" si="1670">IF(ISBLANK(K1666),M1666,K1666)</f>
        <v>Outreach</v>
      </c>
      <c r="P1666" s="1" t="str">
        <f t="shared" si="1670"/>
        <v>Media</v>
      </c>
      <c r="Q1666" s="108" t="str">
        <f t="shared" si="3"/>
        <v>2024</v>
      </c>
      <c r="R1666" s="110">
        <f t="shared" si="4"/>
        <v>7</v>
      </c>
      <c r="S1666" s="108" t="str">
        <f t="shared" si="5"/>
        <v>2024-Q3</v>
      </c>
      <c r="T1666" s="111" t="str">
        <f t="shared" si="6"/>
        <v>2024-07</v>
      </c>
      <c r="U1666" s="112" t="str">
        <f t="shared" si="7"/>
        <v>2024-H2</v>
      </c>
      <c r="V1666" s="1" t="str">
        <f>VLOOKUP(B1666,Bounties!A:E,2,FALSE)</f>
        <v>Spanish Bounty</v>
      </c>
    </row>
    <row r="1667" hidden="1">
      <c r="A1667" s="109">
        <f>HYPERLINK("https://polkadot.subsquare.io/treasury/child-bounties/1669", 1669)</f>
        <v>1669</v>
      </c>
      <c r="B1667" s="183">
        <v>42.0</v>
      </c>
      <c r="C1667" s="27" t="s">
        <v>3404</v>
      </c>
      <c r="D1667" s="27" t="s">
        <v>2129</v>
      </c>
      <c r="E1667" s="129">
        <v>21.29</v>
      </c>
      <c r="F1667" s="66">
        <v>129.73217115879058</v>
      </c>
      <c r="G1667" s="27" t="s">
        <v>3674</v>
      </c>
      <c r="H1667" s="167">
        <v>45488.0</v>
      </c>
      <c r="I1667" s="167">
        <v>45496.0</v>
      </c>
      <c r="J1667" s="66">
        <v>124.97276454925536</v>
      </c>
      <c r="M1667" s="1" t="str">
        <f>VLOOKUP(B1667,Bounties!A:D,3,FALSE)</f>
        <v>Outreach</v>
      </c>
      <c r="N1667" s="1" t="str">
        <f>VLOOKUP(B1667,Bounties!A:D,4,FALSE)</f>
        <v>Media</v>
      </c>
      <c r="O1667" s="1" t="str">
        <f t="shared" ref="O1667:P1667" si="1671">IF(ISBLANK(K1667),M1667,K1667)</f>
        <v>Outreach</v>
      </c>
      <c r="P1667" s="1" t="str">
        <f t="shared" si="1671"/>
        <v>Media</v>
      </c>
      <c r="Q1667" s="108" t="str">
        <f t="shared" si="3"/>
        <v>2024</v>
      </c>
      <c r="R1667" s="110">
        <f t="shared" si="4"/>
        <v>7</v>
      </c>
      <c r="S1667" s="108" t="str">
        <f t="shared" si="5"/>
        <v>2024-Q3</v>
      </c>
      <c r="T1667" s="111" t="str">
        <f t="shared" si="6"/>
        <v>2024-07</v>
      </c>
      <c r="U1667" s="112" t="str">
        <f t="shared" si="7"/>
        <v>2024-H2</v>
      </c>
      <c r="V1667" s="1" t="str">
        <f>VLOOKUP(B1667,Bounties!A:E,2,FALSE)</f>
        <v>Spanish Bounty</v>
      </c>
    </row>
    <row r="1668" hidden="1">
      <c r="A1668" s="109">
        <f>HYPERLINK("https://polkadot.subsquare.io/treasury/child-bounties/1670", 1670)</f>
        <v>1670</v>
      </c>
      <c r="B1668" s="183">
        <v>42.0</v>
      </c>
      <c r="C1668" s="27" t="s">
        <v>3404</v>
      </c>
      <c r="D1668" s="27" t="s">
        <v>2130</v>
      </c>
      <c r="E1668" s="129">
        <v>27.42</v>
      </c>
      <c r="F1668" s="66">
        <v>167.0857742214203</v>
      </c>
      <c r="G1668" s="27" t="s">
        <v>3722</v>
      </c>
      <c r="H1668" s="167">
        <v>45488.0</v>
      </c>
      <c r="I1668" s="167">
        <v>45496.0</v>
      </c>
      <c r="J1668" s="66">
        <v>160.95599830627444</v>
      </c>
      <c r="M1668" s="1" t="str">
        <f>VLOOKUP(B1668,Bounties!A:D,3,FALSE)</f>
        <v>Outreach</v>
      </c>
      <c r="N1668" s="1" t="str">
        <f>VLOOKUP(B1668,Bounties!A:D,4,FALSE)</f>
        <v>Media</v>
      </c>
      <c r="O1668" s="1" t="str">
        <f t="shared" ref="O1668:P1668" si="1672">IF(ISBLANK(K1668),M1668,K1668)</f>
        <v>Outreach</v>
      </c>
      <c r="P1668" s="1" t="str">
        <f t="shared" si="1672"/>
        <v>Media</v>
      </c>
      <c r="Q1668" s="108" t="str">
        <f t="shared" si="3"/>
        <v>2024</v>
      </c>
      <c r="R1668" s="110">
        <f t="shared" si="4"/>
        <v>7</v>
      </c>
      <c r="S1668" s="108" t="str">
        <f t="shared" si="5"/>
        <v>2024-Q3</v>
      </c>
      <c r="T1668" s="111" t="str">
        <f t="shared" si="6"/>
        <v>2024-07</v>
      </c>
      <c r="U1668" s="112" t="str">
        <f t="shared" si="7"/>
        <v>2024-H2</v>
      </c>
      <c r="V1668" s="1" t="str">
        <f>VLOOKUP(B1668,Bounties!A:E,2,FALSE)</f>
        <v>Spanish Bounty</v>
      </c>
    </row>
    <row r="1669" hidden="1">
      <c r="A1669" s="109">
        <f>HYPERLINK("https://polkadot.subsquare.io/treasury/child-bounties/1671", 1671)</f>
        <v>1671</v>
      </c>
      <c r="B1669" s="183">
        <v>42.0</v>
      </c>
      <c r="C1669" s="27" t="s">
        <v>3404</v>
      </c>
      <c r="D1669" s="27" t="s">
        <v>2131</v>
      </c>
      <c r="E1669" s="129">
        <v>83.35</v>
      </c>
      <c r="F1669" s="66">
        <v>507.89931733608245</v>
      </c>
      <c r="G1669" s="27" t="s">
        <v>3751</v>
      </c>
      <c r="H1669" s="167">
        <v>45488.0</v>
      </c>
      <c r="I1669" s="167">
        <v>45496.0</v>
      </c>
      <c r="J1669" s="66">
        <v>489.26631870269773</v>
      </c>
      <c r="M1669" s="1" t="str">
        <f>VLOOKUP(B1669,Bounties!A:D,3,FALSE)</f>
        <v>Outreach</v>
      </c>
      <c r="N1669" s="1" t="str">
        <f>VLOOKUP(B1669,Bounties!A:D,4,FALSE)</f>
        <v>Media</v>
      </c>
      <c r="O1669" s="1" t="str">
        <f t="shared" ref="O1669:P1669" si="1673">IF(ISBLANK(K1669),M1669,K1669)</f>
        <v>Outreach</v>
      </c>
      <c r="P1669" s="1" t="str">
        <f t="shared" si="1673"/>
        <v>Media</v>
      </c>
      <c r="Q1669" s="108" t="str">
        <f t="shared" si="3"/>
        <v>2024</v>
      </c>
      <c r="R1669" s="110">
        <f t="shared" si="4"/>
        <v>7</v>
      </c>
      <c r="S1669" s="108" t="str">
        <f t="shared" si="5"/>
        <v>2024-Q3</v>
      </c>
      <c r="T1669" s="111" t="str">
        <f t="shared" si="6"/>
        <v>2024-07</v>
      </c>
      <c r="U1669" s="112" t="str">
        <f t="shared" si="7"/>
        <v>2024-H2</v>
      </c>
      <c r="V1669" s="1" t="str">
        <f>VLOOKUP(B1669,Bounties!A:E,2,FALSE)</f>
        <v>Spanish Bounty</v>
      </c>
    </row>
    <row r="1670" hidden="1">
      <c r="A1670" s="109">
        <f>HYPERLINK("https://polkadot.subsquare.io/treasury/child-bounties/1672", 1672)</f>
        <v>1672</v>
      </c>
      <c r="B1670" s="183">
        <v>42.0</v>
      </c>
      <c r="C1670" s="27" t="s">
        <v>3404</v>
      </c>
      <c r="D1670" s="27" t="s">
        <v>2132</v>
      </c>
      <c r="E1670" s="129">
        <v>123.62</v>
      </c>
      <c r="F1670" s="66">
        <v>753.2875058078766</v>
      </c>
      <c r="G1670" s="27" t="s">
        <v>3676</v>
      </c>
      <c r="H1670" s="167">
        <v>45488.0</v>
      </c>
      <c r="I1670" s="167">
        <v>45496.0</v>
      </c>
      <c r="J1670" s="66">
        <v>725.6520973968506</v>
      </c>
      <c r="M1670" s="1" t="str">
        <f>VLOOKUP(B1670,Bounties!A:D,3,FALSE)</f>
        <v>Outreach</v>
      </c>
      <c r="N1670" s="1" t="str">
        <f>VLOOKUP(B1670,Bounties!A:D,4,FALSE)</f>
        <v>Media</v>
      </c>
      <c r="O1670" s="1" t="str">
        <f t="shared" ref="O1670:P1670" si="1674">IF(ISBLANK(K1670),M1670,K1670)</f>
        <v>Outreach</v>
      </c>
      <c r="P1670" s="1" t="str">
        <f t="shared" si="1674"/>
        <v>Media</v>
      </c>
      <c r="Q1670" s="108" t="str">
        <f t="shared" si="3"/>
        <v>2024</v>
      </c>
      <c r="R1670" s="110">
        <f t="shared" si="4"/>
        <v>7</v>
      </c>
      <c r="S1670" s="108" t="str">
        <f t="shared" si="5"/>
        <v>2024-Q3</v>
      </c>
      <c r="T1670" s="111" t="str">
        <f t="shared" si="6"/>
        <v>2024-07</v>
      </c>
      <c r="U1670" s="112" t="str">
        <f t="shared" si="7"/>
        <v>2024-H2</v>
      </c>
      <c r="V1670" s="1" t="str">
        <f>VLOOKUP(B1670,Bounties!A:E,2,FALSE)</f>
        <v>Spanish Bounty</v>
      </c>
    </row>
    <row r="1671" hidden="1">
      <c r="A1671" s="109">
        <f>HYPERLINK("https://polkadot.subsquare.io/treasury/child-bounties/1673", 1673)</f>
        <v>1673</v>
      </c>
      <c r="B1671" s="183">
        <v>42.0</v>
      </c>
      <c r="C1671" s="27" t="s">
        <v>3404</v>
      </c>
      <c r="D1671" s="27" t="s">
        <v>2133</v>
      </c>
      <c r="E1671" s="129">
        <v>28.72</v>
      </c>
      <c r="F1671" s="66">
        <v>175.00741924285887</v>
      </c>
      <c r="G1671" s="27" t="s">
        <v>3702</v>
      </c>
      <c r="H1671" s="167">
        <v>45488.0</v>
      </c>
      <c r="I1671" s="167">
        <v>45496.0</v>
      </c>
      <c r="J1671" s="66">
        <v>168.58702667236327</v>
      </c>
      <c r="M1671" s="1" t="str">
        <f>VLOOKUP(B1671,Bounties!A:D,3,FALSE)</f>
        <v>Outreach</v>
      </c>
      <c r="N1671" s="1" t="str">
        <f>VLOOKUP(B1671,Bounties!A:D,4,FALSE)</f>
        <v>Media</v>
      </c>
      <c r="O1671" s="1" t="str">
        <f t="shared" ref="O1671:P1671" si="1675">IF(ISBLANK(K1671),M1671,K1671)</f>
        <v>Outreach</v>
      </c>
      <c r="P1671" s="1" t="str">
        <f t="shared" si="1675"/>
        <v>Media</v>
      </c>
      <c r="Q1671" s="108" t="str">
        <f t="shared" si="3"/>
        <v>2024</v>
      </c>
      <c r="R1671" s="110">
        <f t="shared" si="4"/>
        <v>7</v>
      </c>
      <c r="S1671" s="108" t="str">
        <f t="shared" si="5"/>
        <v>2024-Q3</v>
      </c>
      <c r="T1671" s="111" t="str">
        <f t="shared" si="6"/>
        <v>2024-07</v>
      </c>
      <c r="U1671" s="112" t="str">
        <f t="shared" si="7"/>
        <v>2024-H2</v>
      </c>
      <c r="V1671" s="1" t="str">
        <f>VLOOKUP(B1671,Bounties!A:E,2,FALSE)</f>
        <v>Spanish Bounty</v>
      </c>
    </row>
    <row r="1672" hidden="1">
      <c r="A1672" s="109">
        <f>HYPERLINK("https://polkadot.subsquare.io/treasury/child-bounties/1674", 1674)</f>
        <v>1674</v>
      </c>
      <c r="B1672" s="183">
        <v>42.0</v>
      </c>
      <c r="C1672" s="27" t="s">
        <v>3404</v>
      </c>
      <c r="D1672" s="27" t="s">
        <v>2134</v>
      </c>
      <c r="E1672" s="129">
        <v>44.8</v>
      </c>
      <c r="F1672" s="66">
        <v>272.9920745849609</v>
      </c>
      <c r="G1672" s="27" t="s">
        <v>3644</v>
      </c>
      <c r="H1672" s="167">
        <v>45488.0</v>
      </c>
      <c r="I1672" s="167">
        <v>45496.0</v>
      </c>
      <c r="J1672" s="66">
        <v>262.9769775390625</v>
      </c>
      <c r="M1672" s="1" t="str">
        <f>VLOOKUP(B1672,Bounties!A:D,3,FALSE)</f>
        <v>Outreach</v>
      </c>
      <c r="N1672" s="1" t="str">
        <f>VLOOKUP(B1672,Bounties!A:D,4,FALSE)</f>
        <v>Media</v>
      </c>
      <c r="O1672" s="1" t="str">
        <f t="shared" ref="O1672:P1672" si="1676">IF(ISBLANK(K1672),M1672,K1672)</f>
        <v>Outreach</v>
      </c>
      <c r="P1672" s="1" t="str">
        <f t="shared" si="1676"/>
        <v>Media</v>
      </c>
      <c r="Q1672" s="108" t="str">
        <f t="shared" si="3"/>
        <v>2024</v>
      </c>
      <c r="R1672" s="110">
        <f t="shared" si="4"/>
        <v>7</v>
      </c>
      <c r="S1672" s="108" t="str">
        <f t="shared" si="5"/>
        <v>2024-Q3</v>
      </c>
      <c r="T1672" s="111" t="str">
        <f t="shared" si="6"/>
        <v>2024-07</v>
      </c>
      <c r="U1672" s="112" t="str">
        <f t="shared" si="7"/>
        <v>2024-H2</v>
      </c>
      <c r="V1672" s="1" t="str">
        <f>VLOOKUP(B1672,Bounties!A:E,2,FALSE)</f>
        <v>Spanish Bounty</v>
      </c>
    </row>
    <row r="1673" hidden="1">
      <c r="A1673" s="109">
        <f>HYPERLINK("https://polkadot.subsquare.io/treasury/child-bounties/1675", 1675)</f>
        <v>1675</v>
      </c>
      <c r="B1673" s="183">
        <v>42.0</v>
      </c>
      <c r="C1673" s="27" t="s">
        <v>3404</v>
      </c>
      <c r="D1673" s="27" t="s">
        <v>2135</v>
      </c>
      <c r="E1673" s="129">
        <v>3.17</v>
      </c>
      <c r="F1673" s="66">
        <v>19.31662670612335</v>
      </c>
      <c r="G1673" s="27" t="s">
        <v>3763</v>
      </c>
      <c r="H1673" s="167">
        <v>45488.0</v>
      </c>
      <c r="I1673" s="167">
        <v>45496.0</v>
      </c>
      <c r="J1673" s="66">
        <v>18.6079691696167</v>
      </c>
      <c r="M1673" s="1" t="str">
        <f>VLOOKUP(B1673,Bounties!A:D,3,FALSE)</f>
        <v>Outreach</v>
      </c>
      <c r="N1673" s="1" t="str">
        <f>VLOOKUP(B1673,Bounties!A:D,4,FALSE)</f>
        <v>Media</v>
      </c>
      <c r="O1673" s="1" t="str">
        <f t="shared" ref="O1673:P1673" si="1677">IF(ISBLANK(K1673),M1673,K1673)</f>
        <v>Outreach</v>
      </c>
      <c r="P1673" s="1" t="str">
        <f t="shared" si="1677"/>
        <v>Media</v>
      </c>
      <c r="Q1673" s="108" t="str">
        <f t="shared" si="3"/>
        <v>2024</v>
      </c>
      <c r="R1673" s="110">
        <f t="shared" si="4"/>
        <v>7</v>
      </c>
      <c r="S1673" s="108" t="str">
        <f t="shared" si="5"/>
        <v>2024-Q3</v>
      </c>
      <c r="T1673" s="111" t="str">
        <f t="shared" si="6"/>
        <v>2024-07</v>
      </c>
      <c r="U1673" s="112" t="str">
        <f t="shared" si="7"/>
        <v>2024-H2</v>
      </c>
      <c r="V1673" s="1" t="str">
        <f>VLOOKUP(B1673,Bounties!A:E,2,FALSE)</f>
        <v>Spanish Bounty</v>
      </c>
    </row>
    <row r="1674" hidden="1">
      <c r="A1674" s="109">
        <f>HYPERLINK("https://polkadot.subsquare.io/treasury/child-bounties/1676", 1676)</f>
        <v>1676</v>
      </c>
      <c r="B1674" s="183">
        <v>42.0</v>
      </c>
      <c r="C1674" s="27" t="s">
        <v>3404</v>
      </c>
      <c r="D1674" s="27" t="s">
        <v>2136</v>
      </c>
      <c r="E1674" s="129">
        <v>11.75</v>
      </c>
      <c r="F1674" s="66">
        <v>71.5994838476181</v>
      </c>
      <c r="G1674" s="27" t="s">
        <v>3687</v>
      </c>
      <c r="H1674" s="167">
        <v>45488.0</v>
      </c>
      <c r="I1674" s="167">
        <v>45497.0</v>
      </c>
      <c r="J1674" s="66">
        <v>68.51523435115814</v>
      </c>
      <c r="M1674" s="1" t="str">
        <f>VLOOKUP(B1674,Bounties!A:D,3,FALSE)</f>
        <v>Outreach</v>
      </c>
      <c r="N1674" s="1" t="str">
        <f>VLOOKUP(B1674,Bounties!A:D,4,FALSE)</f>
        <v>Media</v>
      </c>
      <c r="O1674" s="1" t="str">
        <f t="shared" ref="O1674:P1674" si="1678">IF(ISBLANK(K1674),M1674,K1674)</f>
        <v>Outreach</v>
      </c>
      <c r="P1674" s="1" t="str">
        <f t="shared" si="1678"/>
        <v>Media</v>
      </c>
      <c r="Q1674" s="108" t="str">
        <f t="shared" si="3"/>
        <v>2024</v>
      </c>
      <c r="R1674" s="110">
        <f t="shared" si="4"/>
        <v>7</v>
      </c>
      <c r="S1674" s="108" t="str">
        <f t="shared" si="5"/>
        <v>2024-Q3</v>
      </c>
      <c r="T1674" s="111" t="str">
        <f t="shared" si="6"/>
        <v>2024-07</v>
      </c>
      <c r="U1674" s="112" t="str">
        <f t="shared" si="7"/>
        <v>2024-H2</v>
      </c>
      <c r="V1674" s="1" t="str">
        <f>VLOOKUP(B1674,Bounties!A:E,2,FALSE)</f>
        <v>Spanish Bounty</v>
      </c>
    </row>
    <row r="1675" hidden="1">
      <c r="A1675" s="109">
        <f>HYPERLINK("https://polkadot.subsquare.io/treasury/child-bounties/1677", 1677)</f>
        <v>1677</v>
      </c>
      <c r="B1675" s="183">
        <v>42.0</v>
      </c>
      <c r="C1675" s="27" t="s">
        <v>3427</v>
      </c>
      <c r="D1675" s="27" t="s">
        <v>2136</v>
      </c>
      <c r="E1675" s="129">
        <v>11.75</v>
      </c>
      <c r="F1675" s="66">
        <v>71.5994838476181</v>
      </c>
      <c r="H1675" s="167">
        <v>45488.0</v>
      </c>
      <c r="I1675" s="167">
        <v>45489.0</v>
      </c>
      <c r="J1675" s="66">
        <v>74.56708788871765</v>
      </c>
      <c r="M1675" s="1" t="str">
        <f>VLOOKUP(B1675,Bounties!A:D,3,FALSE)</f>
        <v>Outreach</v>
      </c>
      <c r="N1675" s="1" t="str">
        <f>VLOOKUP(B1675,Bounties!A:D,4,FALSE)</f>
        <v>Media</v>
      </c>
      <c r="O1675" s="1" t="str">
        <f t="shared" ref="O1675:P1675" si="1679">IF(ISBLANK(K1675),M1675,K1675)</f>
        <v>Outreach</v>
      </c>
      <c r="P1675" s="1" t="str">
        <f t="shared" si="1679"/>
        <v>Media</v>
      </c>
      <c r="Q1675" s="108" t="str">
        <f t="shared" si="3"/>
        <v>2024</v>
      </c>
      <c r="R1675" s="110">
        <f t="shared" si="4"/>
        <v>7</v>
      </c>
      <c r="S1675" s="108" t="str">
        <f t="shared" si="5"/>
        <v>2024-Q3</v>
      </c>
      <c r="T1675" s="111" t="str">
        <f t="shared" si="6"/>
        <v>2024-07</v>
      </c>
      <c r="U1675" s="112" t="str">
        <f t="shared" si="7"/>
        <v>2024-H2</v>
      </c>
      <c r="V1675" s="1" t="str">
        <f>VLOOKUP(B1675,Bounties!A:E,2,FALSE)</f>
        <v>Spanish Bounty</v>
      </c>
    </row>
    <row r="1676" hidden="1">
      <c r="A1676" s="109">
        <f>HYPERLINK("https://polkadot.subsquare.io/treasury/child-bounties/1678", 1678)</f>
        <v>1678</v>
      </c>
      <c r="B1676" s="183">
        <v>42.0</v>
      </c>
      <c r="C1676" s="27" t="s">
        <v>3404</v>
      </c>
      <c r="D1676" s="27" t="s">
        <v>2137</v>
      </c>
      <c r="E1676" s="129">
        <v>114.14</v>
      </c>
      <c r="F1676" s="66">
        <v>724.347864818573</v>
      </c>
      <c r="G1676" s="27" t="s">
        <v>3751</v>
      </c>
      <c r="H1676" s="167">
        <v>45489.0</v>
      </c>
      <c r="I1676" s="167">
        <v>45497.0</v>
      </c>
      <c r="J1676" s="66">
        <v>665.5599020290375</v>
      </c>
      <c r="M1676" s="1" t="str">
        <f>VLOOKUP(B1676,Bounties!A:D,3,FALSE)</f>
        <v>Outreach</v>
      </c>
      <c r="N1676" s="1" t="str">
        <f>VLOOKUP(B1676,Bounties!A:D,4,FALSE)</f>
        <v>Media</v>
      </c>
      <c r="O1676" s="1" t="str">
        <f t="shared" ref="O1676:P1676" si="1680">IF(ISBLANK(K1676),M1676,K1676)</f>
        <v>Outreach</v>
      </c>
      <c r="P1676" s="1" t="str">
        <f t="shared" si="1680"/>
        <v>Media</v>
      </c>
      <c r="Q1676" s="108" t="str">
        <f t="shared" si="3"/>
        <v>2024</v>
      </c>
      <c r="R1676" s="110">
        <f t="shared" si="4"/>
        <v>7</v>
      </c>
      <c r="S1676" s="108" t="str">
        <f t="shared" si="5"/>
        <v>2024-Q3</v>
      </c>
      <c r="T1676" s="111" t="str">
        <f t="shared" si="6"/>
        <v>2024-07</v>
      </c>
      <c r="U1676" s="112" t="str">
        <f t="shared" si="7"/>
        <v>2024-H2</v>
      </c>
      <c r="V1676" s="1" t="str">
        <f>VLOOKUP(B1676,Bounties!A:E,2,FALSE)</f>
        <v>Spanish Bounty</v>
      </c>
    </row>
    <row r="1677" hidden="1">
      <c r="A1677" s="109">
        <f>HYPERLINK("https://polkadot.subsquare.io/treasury/child-bounties/1679", 1679)</f>
        <v>1679</v>
      </c>
      <c r="B1677" s="183">
        <v>42.0</v>
      </c>
      <c r="C1677" s="27" t="s">
        <v>3404</v>
      </c>
      <c r="D1677" s="27" t="s">
        <v>2138</v>
      </c>
      <c r="E1677" s="129">
        <v>46.07</v>
      </c>
      <c r="F1677" s="66">
        <v>292.36644587516787</v>
      </c>
      <c r="G1677" s="27" t="s">
        <v>3676</v>
      </c>
      <c r="H1677" s="167">
        <v>45489.0</v>
      </c>
      <c r="I1677" s="167">
        <v>45499.0</v>
      </c>
      <c r="J1677" s="66">
        <v>260.4828685092926</v>
      </c>
      <c r="M1677" s="1" t="str">
        <f>VLOOKUP(B1677,Bounties!A:D,3,FALSE)</f>
        <v>Outreach</v>
      </c>
      <c r="N1677" s="1" t="str">
        <f>VLOOKUP(B1677,Bounties!A:D,4,FALSE)</f>
        <v>Media</v>
      </c>
      <c r="O1677" s="1" t="str">
        <f t="shared" ref="O1677:P1677" si="1681">IF(ISBLANK(K1677),M1677,K1677)</f>
        <v>Outreach</v>
      </c>
      <c r="P1677" s="1" t="str">
        <f t="shared" si="1681"/>
        <v>Media</v>
      </c>
      <c r="Q1677" s="108" t="str">
        <f t="shared" si="3"/>
        <v>2024</v>
      </c>
      <c r="R1677" s="110">
        <f t="shared" si="4"/>
        <v>7</v>
      </c>
      <c r="S1677" s="108" t="str">
        <f t="shared" si="5"/>
        <v>2024-Q3</v>
      </c>
      <c r="T1677" s="111" t="str">
        <f t="shared" si="6"/>
        <v>2024-07</v>
      </c>
      <c r="U1677" s="112" t="str">
        <f t="shared" si="7"/>
        <v>2024-H2</v>
      </c>
      <c r="V1677" s="1" t="str">
        <f>VLOOKUP(B1677,Bounties!A:E,2,FALSE)</f>
        <v>Spanish Bounty</v>
      </c>
    </row>
    <row r="1678" hidden="1">
      <c r="A1678" s="109">
        <f>HYPERLINK("https://polkadot.subsquare.io/treasury/child-bounties/1680", 1680)</f>
        <v>1680</v>
      </c>
      <c r="B1678" s="183">
        <v>42.0</v>
      </c>
      <c r="C1678" s="27" t="s">
        <v>3404</v>
      </c>
      <c r="D1678" s="27" t="s">
        <v>2139</v>
      </c>
      <c r="E1678" s="129">
        <v>70.65</v>
      </c>
      <c r="F1678" s="66">
        <v>448.35444760322576</v>
      </c>
      <c r="G1678" s="27" t="s">
        <v>3644</v>
      </c>
      <c r="H1678" s="167">
        <v>45489.0</v>
      </c>
      <c r="I1678" s="167">
        <v>45497.0</v>
      </c>
      <c r="J1678" s="66">
        <v>411.96606867313386</v>
      </c>
      <c r="M1678" s="1" t="str">
        <f>VLOOKUP(B1678,Bounties!A:D,3,FALSE)</f>
        <v>Outreach</v>
      </c>
      <c r="N1678" s="1" t="str">
        <f>VLOOKUP(B1678,Bounties!A:D,4,FALSE)</f>
        <v>Media</v>
      </c>
      <c r="O1678" s="1" t="str">
        <f t="shared" ref="O1678:P1678" si="1682">IF(ISBLANK(K1678),M1678,K1678)</f>
        <v>Outreach</v>
      </c>
      <c r="P1678" s="1" t="str">
        <f t="shared" si="1682"/>
        <v>Media</v>
      </c>
      <c r="Q1678" s="108" t="str">
        <f t="shared" si="3"/>
        <v>2024</v>
      </c>
      <c r="R1678" s="110">
        <f t="shared" si="4"/>
        <v>7</v>
      </c>
      <c r="S1678" s="108" t="str">
        <f t="shared" si="5"/>
        <v>2024-Q3</v>
      </c>
      <c r="T1678" s="111" t="str">
        <f t="shared" si="6"/>
        <v>2024-07</v>
      </c>
      <c r="U1678" s="112" t="str">
        <f t="shared" si="7"/>
        <v>2024-H2</v>
      </c>
      <c r="V1678" s="1" t="str">
        <f>VLOOKUP(B1678,Bounties!A:E,2,FALSE)</f>
        <v>Spanish Bounty</v>
      </c>
    </row>
    <row r="1679" hidden="1">
      <c r="A1679" s="109">
        <f>HYPERLINK("https://polkadot.subsquare.io/treasury/child-bounties/1681", 1681)</f>
        <v>1681</v>
      </c>
      <c r="B1679" s="183">
        <v>42.0</v>
      </c>
      <c r="C1679" s="27" t="s">
        <v>3404</v>
      </c>
      <c r="D1679" s="27" t="s">
        <v>2140</v>
      </c>
      <c r="E1679" s="129">
        <v>48.52</v>
      </c>
      <c r="F1679" s="66">
        <v>307.91447696685793</v>
      </c>
      <c r="G1679" s="27" t="s">
        <v>3722</v>
      </c>
      <c r="H1679" s="167">
        <v>45489.0</v>
      </c>
      <c r="I1679" s="167">
        <v>45497.0</v>
      </c>
      <c r="J1679" s="66">
        <v>282.9241847419739</v>
      </c>
      <c r="M1679" s="1" t="str">
        <f>VLOOKUP(B1679,Bounties!A:D,3,FALSE)</f>
        <v>Outreach</v>
      </c>
      <c r="N1679" s="1" t="str">
        <f>VLOOKUP(B1679,Bounties!A:D,4,FALSE)</f>
        <v>Media</v>
      </c>
      <c r="O1679" s="1" t="str">
        <f t="shared" ref="O1679:P1679" si="1683">IF(ISBLANK(K1679),M1679,K1679)</f>
        <v>Outreach</v>
      </c>
      <c r="P1679" s="1" t="str">
        <f t="shared" si="1683"/>
        <v>Media</v>
      </c>
      <c r="Q1679" s="108" t="str">
        <f t="shared" si="3"/>
        <v>2024</v>
      </c>
      <c r="R1679" s="110">
        <f t="shared" si="4"/>
        <v>7</v>
      </c>
      <c r="S1679" s="108" t="str">
        <f t="shared" si="5"/>
        <v>2024-Q3</v>
      </c>
      <c r="T1679" s="111" t="str">
        <f t="shared" si="6"/>
        <v>2024-07</v>
      </c>
      <c r="U1679" s="112" t="str">
        <f t="shared" si="7"/>
        <v>2024-H2</v>
      </c>
      <c r="V1679" s="1" t="str">
        <f>VLOOKUP(B1679,Bounties!A:E,2,FALSE)</f>
        <v>Spanish Bounty</v>
      </c>
    </row>
    <row r="1680" hidden="1">
      <c r="A1680" s="109">
        <f>HYPERLINK("https://polkadot.subsquare.io/treasury/child-bounties/1682", 1682)</f>
        <v>1682</v>
      </c>
      <c r="B1680" s="183">
        <v>42.0</v>
      </c>
      <c r="C1680" s="27" t="s">
        <v>3404</v>
      </c>
      <c r="D1680" s="27" t="s">
        <v>2141</v>
      </c>
      <c r="E1680" s="129">
        <v>41.16</v>
      </c>
      <c r="F1680" s="66">
        <v>261.206922340393</v>
      </c>
      <c r="G1680" s="27" t="s">
        <v>3763</v>
      </c>
      <c r="H1680" s="167">
        <v>45489.0</v>
      </c>
      <c r="I1680" s="167">
        <v>45497.0</v>
      </c>
      <c r="J1680" s="66">
        <v>240.0074081611633</v>
      </c>
      <c r="M1680" s="1" t="str">
        <f>VLOOKUP(B1680,Bounties!A:D,3,FALSE)</f>
        <v>Outreach</v>
      </c>
      <c r="N1680" s="1" t="str">
        <f>VLOOKUP(B1680,Bounties!A:D,4,FALSE)</f>
        <v>Media</v>
      </c>
      <c r="O1680" s="1" t="str">
        <f t="shared" ref="O1680:P1680" si="1684">IF(ISBLANK(K1680),M1680,K1680)</f>
        <v>Outreach</v>
      </c>
      <c r="P1680" s="1" t="str">
        <f t="shared" si="1684"/>
        <v>Media</v>
      </c>
      <c r="Q1680" s="108" t="str">
        <f t="shared" si="3"/>
        <v>2024</v>
      </c>
      <c r="R1680" s="110">
        <f t="shared" si="4"/>
        <v>7</v>
      </c>
      <c r="S1680" s="108" t="str">
        <f t="shared" si="5"/>
        <v>2024-Q3</v>
      </c>
      <c r="T1680" s="111" t="str">
        <f t="shared" si="6"/>
        <v>2024-07</v>
      </c>
      <c r="U1680" s="112" t="str">
        <f t="shared" si="7"/>
        <v>2024-H2</v>
      </c>
      <c r="V1680" s="1" t="str">
        <f>VLOOKUP(B1680,Bounties!A:E,2,FALSE)</f>
        <v>Spanish Bounty</v>
      </c>
    </row>
    <row r="1681" hidden="1">
      <c r="A1681" s="109">
        <f>HYPERLINK("https://polkadot.subsquare.io/treasury/child-bounties/1683", 1683)</f>
        <v>1683</v>
      </c>
      <c r="B1681" s="183">
        <v>42.0</v>
      </c>
      <c r="C1681" s="27" t="s">
        <v>3404</v>
      </c>
      <c r="D1681" s="27" t="s">
        <v>2142</v>
      </c>
      <c r="E1681" s="129">
        <v>4.46</v>
      </c>
      <c r="F1681" s="66">
        <v>28.30376272201538</v>
      </c>
      <c r="G1681" s="27" t="s">
        <v>3764</v>
      </c>
      <c r="H1681" s="167">
        <v>45489.0</v>
      </c>
      <c r="I1681" s="167">
        <v>45498.0</v>
      </c>
      <c r="J1681" s="66">
        <v>26.00663363456726</v>
      </c>
      <c r="M1681" s="1" t="str">
        <f>VLOOKUP(B1681,Bounties!A:D,3,FALSE)</f>
        <v>Outreach</v>
      </c>
      <c r="N1681" s="1" t="str">
        <f>VLOOKUP(B1681,Bounties!A:D,4,FALSE)</f>
        <v>Media</v>
      </c>
      <c r="O1681" s="1" t="str">
        <f t="shared" ref="O1681:P1681" si="1685">IF(ISBLANK(K1681),M1681,K1681)</f>
        <v>Outreach</v>
      </c>
      <c r="P1681" s="1" t="str">
        <f t="shared" si="1685"/>
        <v>Media</v>
      </c>
      <c r="Q1681" s="108" t="str">
        <f t="shared" si="3"/>
        <v>2024</v>
      </c>
      <c r="R1681" s="110">
        <f t="shared" si="4"/>
        <v>7</v>
      </c>
      <c r="S1681" s="108" t="str">
        <f t="shared" si="5"/>
        <v>2024-Q3</v>
      </c>
      <c r="T1681" s="111" t="str">
        <f t="shared" si="6"/>
        <v>2024-07</v>
      </c>
      <c r="U1681" s="112" t="str">
        <f t="shared" si="7"/>
        <v>2024-H2</v>
      </c>
      <c r="V1681" s="1" t="str">
        <f>VLOOKUP(B1681,Bounties!A:E,2,FALSE)</f>
        <v>Spanish Bounty</v>
      </c>
    </row>
    <row r="1682" hidden="1">
      <c r="A1682" s="109">
        <f>HYPERLINK("https://polkadot.subsquare.io/treasury/child-bounties/1684", 1684)</f>
        <v>1684</v>
      </c>
      <c r="B1682" s="183">
        <v>17.0</v>
      </c>
      <c r="C1682" s="27" t="s">
        <v>3404</v>
      </c>
      <c r="D1682" s="27" t="s">
        <v>2143</v>
      </c>
      <c r="E1682" s="129">
        <v>477.78</v>
      </c>
      <c r="F1682" s="66">
        <v>3032.056446933746</v>
      </c>
      <c r="G1682" s="27" t="s">
        <v>3625</v>
      </c>
      <c r="H1682" s="167">
        <v>45489.0</v>
      </c>
      <c r="I1682" s="167">
        <v>45498.0</v>
      </c>
      <c r="J1682" s="66">
        <v>2733.5829191207886</v>
      </c>
      <c r="M1682" s="1" t="str">
        <f>VLOOKUP(B1682,Bounties!A:D,3,FALSE)</f>
        <v>Outreach</v>
      </c>
      <c r="N1682" s="1" t="str">
        <f>VLOOKUP(B1682,Bounties!A:D,4,FALSE)</f>
        <v>Events/Meetups</v>
      </c>
      <c r="O1682" s="1" t="str">
        <f t="shared" ref="O1682:P1682" si="1686">IF(ISBLANK(K1682),M1682,K1682)</f>
        <v>Outreach</v>
      </c>
      <c r="P1682" s="1" t="str">
        <f t="shared" si="1686"/>
        <v>Events/Meetups</v>
      </c>
      <c r="Q1682" s="108" t="str">
        <f t="shared" si="3"/>
        <v>2024</v>
      </c>
      <c r="R1682" s="110">
        <f t="shared" si="4"/>
        <v>7</v>
      </c>
      <c r="S1682" s="108" t="str">
        <f t="shared" si="5"/>
        <v>2024-Q3</v>
      </c>
      <c r="T1682" s="111" t="str">
        <f t="shared" si="6"/>
        <v>2024-07</v>
      </c>
      <c r="U1682" s="112" t="str">
        <f t="shared" si="7"/>
        <v>2024-H2</v>
      </c>
      <c r="V1682" s="1" t="str">
        <f>VLOOKUP(B1682,Bounties!A:E,2,FALSE)</f>
        <v>Events Bounty</v>
      </c>
    </row>
    <row r="1683" hidden="1">
      <c r="A1683" s="109">
        <f>HYPERLINK("https://polkadot.subsquare.io/treasury/child-bounties/1685", 1685)</f>
        <v>1685</v>
      </c>
      <c r="B1683" s="183">
        <v>17.0</v>
      </c>
      <c r="C1683" s="27" t="s">
        <v>3404</v>
      </c>
      <c r="D1683" s="27" t="s">
        <v>2144</v>
      </c>
      <c r="E1683" s="129">
        <v>846.82</v>
      </c>
      <c r="F1683" s="66">
        <v>5374.034158802033</v>
      </c>
      <c r="G1683" s="27" t="s">
        <v>3614</v>
      </c>
      <c r="H1683" s="167">
        <v>45489.0</v>
      </c>
      <c r="I1683" s="167">
        <v>45498.0</v>
      </c>
      <c r="J1683" s="66">
        <v>4845.017973899841</v>
      </c>
      <c r="M1683" s="1" t="str">
        <f>VLOOKUP(B1683,Bounties!A:D,3,FALSE)</f>
        <v>Outreach</v>
      </c>
      <c r="N1683" s="1" t="str">
        <f>VLOOKUP(B1683,Bounties!A:D,4,FALSE)</f>
        <v>Events/Meetups</v>
      </c>
      <c r="O1683" s="1" t="str">
        <f t="shared" ref="O1683:P1683" si="1687">IF(ISBLANK(K1683),M1683,K1683)</f>
        <v>Outreach</v>
      </c>
      <c r="P1683" s="1" t="str">
        <f t="shared" si="1687"/>
        <v>Events/Meetups</v>
      </c>
      <c r="Q1683" s="108" t="str">
        <f t="shared" si="3"/>
        <v>2024</v>
      </c>
      <c r="R1683" s="110">
        <f t="shared" si="4"/>
        <v>7</v>
      </c>
      <c r="S1683" s="108" t="str">
        <f t="shared" si="5"/>
        <v>2024-Q3</v>
      </c>
      <c r="T1683" s="111" t="str">
        <f t="shared" si="6"/>
        <v>2024-07</v>
      </c>
      <c r="U1683" s="112" t="str">
        <f t="shared" si="7"/>
        <v>2024-H2</v>
      </c>
      <c r="V1683" s="1" t="str">
        <f>VLOOKUP(B1683,Bounties!A:E,2,FALSE)</f>
        <v>Events Bounty</v>
      </c>
    </row>
    <row r="1684" hidden="1">
      <c r="A1684" s="109">
        <f>HYPERLINK("https://polkadot.subsquare.io/treasury/child-bounties/1686", 1686)</f>
        <v>1686</v>
      </c>
      <c r="B1684" s="183">
        <v>17.0</v>
      </c>
      <c r="C1684" s="27" t="s">
        <v>3404</v>
      </c>
      <c r="D1684" s="27" t="s">
        <v>2145</v>
      </c>
      <c r="E1684" s="129">
        <v>2219.88</v>
      </c>
      <c r="F1684" s="66">
        <v>14087.658473396303</v>
      </c>
      <c r="G1684" s="27" t="s">
        <v>3697</v>
      </c>
      <c r="H1684" s="167">
        <v>45489.0</v>
      </c>
      <c r="I1684" s="167">
        <v>45500.0</v>
      </c>
      <c r="J1684" s="66">
        <v>12258.559122047425</v>
      </c>
      <c r="M1684" s="1" t="str">
        <f>VLOOKUP(B1684,Bounties!A:D,3,FALSE)</f>
        <v>Outreach</v>
      </c>
      <c r="N1684" s="1" t="str">
        <f>VLOOKUP(B1684,Bounties!A:D,4,FALSE)</f>
        <v>Events/Meetups</v>
      </c>
      <c r="O1684" s="1" t="str">
        <f t="shared" ref="O1684:P1684" si="1688">IF(ISBLANK(K1684),M1684,K1684)</f>
        <v>Outreach</v>
      </c>
      <c r="P1684" s="1" t="str">
        <f t="shared" si="1688"/>
        <v>Events/Meetups</v>
      </c>
      <c r="Q1684" s="108" t="str">
        <f t="shared" si="3"/>
        <v>2024</v>
      </c>
      <c r="R1684" s="110">
        <f t="shared" si="4"/>
        <v>7</v>
      </c>
      <c r="S1684" s="108" t="str">
        <f t="shared" si="5"/>
        <v>2024-Q3</v>
      </c>
      <c r="T1684" s="111" t="str">
        <f t="shared" si="6"/>
        <v>2024-07</v>
      </c>
      <c r="U1684" s="112" t="str">
        <f t="shared" si="7"/>
        <v>2024-H2</v>
      </c>
      <c r="V1684" s="1" t="str">
        <f>VLOOKUP(B1684,Bounties!A:E,2,FALSE)</f>
        <v>Events Bounty</v>
      </c>
    </row>
    <row r="1685" hidden="1">
      <c r="A1685" s="109">
        <f>HYPERLINK("https://polkadot.subsquare.io/treasury/child-bounties/1687", 1687)</f>
        <v>1687</v>
      </c>
      <c r="B1685" s="183">
        <v>17.0</v>
      </c>
      <c r="C1685" s="27" t="s">
        <v>3404</v>
      </c>
      <c r="D1685" s="27" t="s">
        <v>2146</v>
      </c>
      <c r="E1685" s="129">
        <v>66499.46</v>
      </c>
      <c r="F1685" s="66">
        <v>422014.5598614693</v>
      </c>
      <c r="G1685" s="27" t="s">
        <v>3567</v>
      </c>
      <c r="H1685" s="167">
        <v>45489.0</v>
      </c>
      <c r="I1685" s="167">
        <v>45500.0</v>
      </c>
      <c r="J1685" s="66">
        <v>367221.4543102455</v>
      </c>
      <c r="L1685" s="1" t="s">
        <v>266</v>
      </c>
      <c r="M1685" s="1" t="str">
        <f>VLOOKUP(B1685,Bounties!A:D,3,FALSE)</f>
        <v>Outreach</v>
      </c>
      <c r="N1685" s="1" t="str">
        <f>VLOOKUP(B1685,Bounties!A:D,4,FALSE)</f>
        <v>Events/Meetups</v>
      </c>
      <c r="O1685" s="1" t="str">
        <f t="shared" ref="O1685:P1685" si="1689">IF(ISBLANK(K1685),M1685,K1685)</f>
        <v>Outreach</v>
      </c>
      <c r="P1685" s="1" t="str">
        <f t="shared" si="1689"/>
        <v>Events/Conference Attendance &amp; Side Events</v>
      </c>
      <c r="Q1685" s="108" t="str">
        <f t="shared" si="3"/>
        <v>2024</v>
      </c>
      <c r="R1685" s="110">
        <f t="shared" si="4"/>
        <v>7</v>
      </c>
      <c r="S1685" s="108" t="str">
        <f t="shared" si="5"/>
        <v>2024-Q3</v>
      </c>
      <c r="T1685" s="111" t="str">
        <f t="shared" si="6"/>
        <v>2024-07</v>
      </c>
      <c r="U1685" s="112" t="str">
        <f t="shared" si="7"/>
        <v>2024-H2</v>
      </c>
      <c r="V1685" s="1" t="str">
        <f>VLOOKUP(B1685,Bounties!A:E,2,FALSE)</f>
        <v>Events Bounty</v>
      </c>
    </row>
    <row r="1686" hidden="1">
      <c r="A1686" s="109">
        <f>HYPERLINK("https://polkadot.subsquare.io/treasury/child-bounties/1688", 1688)</f>
        <v>1688</v>
      </c>
      <c r="B1686" s="183">
        <v>46.0</v>
      </c>
      <c r="C1686" s="27" t="s">
        <v>3404</v>
      </c>
      <c r="D1686" s="27" t="s">
        <v>2147</v>
      </c>
      <c r="E1686" s="129">
        <v>160.5</v>
      </c>
      <c r="F1686" s="66">
        <v>1018.5546898841858</v>
      </c>
      <c r="G1686" s="27" t="s">
        <v>3765</v>
      </c>
      <c r="H1686" s="167">
        <v>45489.0</v>
      </c>
      <c r="I1686" s="167">
        <v>45510.0</v>
      </c>
      <c r="J1686" s="66">
        <v>768.4212098121643</v>
      </c>
      <c r="M1686" s="1" t="str">
        <f>VLOOKUP(B1686,Bounties!A:D,3,FALSE)</f>
        <v>Outreach</v>
      </c>
      <c r="N1686" s="1" t="str">
        <f>VLOOKUP(B1686,Bounties!A:D,4,FALSE)</f>
        <v>Other</v>
      </c>
      <c r="O1686" s="1" t="str">
        <f t="shared" ref="O1686:P1686" si="1690">IF(ISBLANK(K1686),M1686,K1686)</f>
        <v>Outreach</v>
      </c>
      <c r="P1686" s="1" t="str">
        <f t="shared" si="1690"/>
        <v>Other</v>
      </c>
      <c r="Q1686" s="108" t="str">
        <f t="shared" si="3"/>
        <v>2024</v>
      </c>
      <c r="R1686" s="110">
        <f t="shared" si="4"/>
        <v>8</v>
      </c>
      <c r="S1686" s="108" t="str">
        <f t="shared" si="5"/>
        <v>2024-Q3</v>
      </c>
      <c r="T1686" s="111" t="str">
        <f t="shared" si="6"/>
        <v>2024-08</v>
      </c>
      <c r="U1686" s="112" t="str">
        <f t="shared" si="7"/>
        <v>2024-H2</v>
      </c>
      <c r="V1686" s="1" t="str">
        <f>VLOOKUP(B1686,Bounties!A:E,2,FALSE)</f>
        <v>AMI Bounty Program</v>
      </c>
    </row>
    <row r="1687">
      <c r="A1687" s="109">
        <f>HYPERLINK("https://polkadot.subsquare.io/treasury/child-bounties/1689", 1689)</f>
        <v>1689</v>
      </c>
      <c r="B1687" s="183">
        <v>37.0</v>
      </c>
      <c r="C1687" s="27" t="s">
        <v>3404</v>
      </c>
      <c r="D1687" s="27" t="s">
        <v>2148</v>
      </c>
      <c r="E1687" s="129">
        <v>5147.75</v>
      </c>
      <c r="F1687" s="66">
        <v>30468.862899541855</v>
      </c>
      <c r="G1687" s="27" t="s">
        <v>3647</v>
      </c>
      <c r="H1687" s="167">
        <v>45493.0</v>
      </c>
      <c r="I1687" s="167">
        <v>45503.0</v>
      </c>
      <c r="J1687" s="66">
        <v>27504.165269851685</v>
      </c>
      <c r="M1687" s="1" t="str">
        <f>VLOOKUP(B1687,Bounties!A:D,3,FALSE)</f>
        <v>Operations</v>
      </c>
      <c r="N1687" s="1" t="str">
        <f>VLOOKUP(B1687,Bounties!A:D,4,FALSE)</f>
        <v>Infrastructure</v>
      </c>
      <c r="O1687" s="1" t="str">
        <f t="shared" ref="O1687:P1687" si="1691">IF(ISBLANK(K1687),M1687,K1687)</f>
        <v>Operations</v>
      </c>
      <c r="P1687" s="1" t="str">
        <f t="shared" si="1691"/>
        <v>Infrastructure</v>
      </c>
      <c r="Q1687" s="108" t="str">
        <f t="shared" si="3"/>
        <v>2024</v>
      </c>
      <c r="R1687" s="110">
        <f t="shared" si="4"/>
        <v>7</v>
      </c>
      <c r="S1687" s="108" t="str">
        <f t="shared" si="5"/>
        <v>2024-Q3</v>
      </c>
      <c r="T1687" s="111" t="str">
        <f t="shared" si="6"/>
        <v>2024-07</v>
      </c>
      <c r="U1687" s="112" t="str">
        <f t="shared" si="7"/>
        <v>2024-H2</v>
      </c>
      <c r="V1687" s="1" t="str">
        <f>VLOOKUP(B1687,Bounties!A:E,2,FALSE)</f>
        <v>Paseo Testnet Bounty</v>
      </c>
    </row>
    <row r="1688" hidden="1">
      <c r="A1688" s="109">
        <f>HYPERLINK("https://polkadot.subsquare.io/treasury/child-bounties/1690", 1690)</f>
        <v>1690</v>
      </c>
      <c r="B1688" s="183">
        <v>43.0</v>
      </c>
      <c r="C1688" s="27" t="s">
        <v>3404</v>
      </c>
      <c r="D1688" s="27" t="s">
        <v>2149</v>
      </c>
      <c r="E1688" s="129">
        <v>159.04</v>
      </c>
      <c r="F1688" s="66">
        <v>941.3370803833008</v>
      </c>
      <c r="G1688" s="27" t="s">
        <v>3766</v>
      </c>
      <c r="H1688" s="167">
        <v>45493.0</v>
      </c>
      <c r="I1688" s="167">
        <v>45503.0</v>
      </c>
      <c r="J1688" s="66">
        <v>814.6346899414062</v>
      </c>
      <c r="M1688" s="1" t="str">
        <f>VLOOKUP(B1688,Bounties!A:D,3,FALSE)</f>
        <v>Outreach</v>
      </c>
      <c r="N1688" s="1" t="str">
        <f>VLOOKUP(B1688,Bounties!A:D,4,FALSE)</f>
        <v>Events/Meetups</v>
      </c>
      <c r="O1688" s="1" t="str">
        <f t="shared" ref="O1688:P1688" si="1692">IF(ISBLANK(K1688),M1688,K1688)</f>
        <v>Outreach</v>
      </c>
      <c r="P1688" s="1" t="str">
        <f t="shared" si="1692"/>
        <v>Events/Meetups</v>
      </c>
      <c r="Q1688" s="108" t="str">
        <f t="shared" si="3"/>
        <v>2024</v>
      </c>
      <c r="R1688" s="110">
        <f t="shared" si="4"/>
        <v>7</v>
      </c>
      <c r="S1688" s="108" t="str">
        <f t="shared" si="5"/>
        <v>2024-Q3</v>
      </c>
      <c r="T1688" s="111" t="str">
        <f t="shared" si="6"/>
        <v>2024-07</v>
      </c>
      <c r="U1688" s="112" t="str">
        <f t="shared" si="7"/>
        <v>2024-H2</v>
      </c>
      <c r="V1688" s="1" t="str">
        <f>VLOOKUP(B1688,Bounties!A:E,2,FALSE)</f>
        <v>Meetups Bounty</v>
      </c>
    </row>
    <row r="1689" hidden="1">
      <c r="A1689" s="109">
        <f>HYPERLINK("https://polkadot.subsquare.io/treasury/child-bounties/1691", 1691)</f>
        <v>1691</v>
      </c>
      <c r="B1689" s="183">
        <v>22.0</v>
      </c>
      <c r="C1689" s="27" t="s">
        <v>3404</v>
      </c>
      <c r="D1689" s="27" t="s">
        <v>2150</v>
      </c>
      <c r="E1689" s="129">
        <v>8594.0</v>
      </c>
      <c r="F1689" s="66">
        <v>50866.76854133606</v>
      </c>
      <c r="G1689" s="27" t="s">
        <v>3767</v>
      </c>
      <c r="H1689" s="167">
        <v>45493.0</v>
      </c>
      <c r="I1689" s="167">
        <v>45507.0</v>
      </c>
      <c r="J1689" s="66">
        <v>36165.913986206055</v>
      </c>
      <c r="M1689" s="1" t="str">
        <f>VLOOKUP(B1689,Bounties!A:D,3,FALSE)</f>
        <v>Development</v>
      </c>
      <c r="N1689" s="1" t="str">
        <f>VLOOKUP(B1689,Bounties!A:D,4,FALSE)</f>
        <v>Ecosystem Services</v>
      </c>
      <c r="O1689" s="1" t="str">
        <f t="shared" ref="O1689:P1689" si="1693">IF(ISBLANK(K1689),M1689,K1689)</f>
        <v>Development</v>
      </c>
      <c r="P1689" s="1" t="str">
        <f t="shared" si="1693"/>
        <v>Ecosystem Services</v>
      </c>
      <c r="Q1689" s="108" t="str">
        <f t="shared" si="3"/>
        <v>2024</v>
      </c>
      <c r="R1689" s="110">
        <f t="shared" si="4"/>
        <v>8</v>
      </c>
      <c r="S1689" s="108" t="str">
        <f t="shared" si="5"/>
        <v>2024-Q3</v>
      </c>
      <c r="T1689" s="111" t="str">
        <f t="shared" si="6"/>
        <v>2024-08</v>
      </c>
      <c r="U1689" s="112" t="str">
        <f t="shared" si="7"/>
        <v>2024-H2</v>
      </c>
      <c r="V1689" s="1" t="str">
        <f>VLOOKUP(B1689,Bounties!A:E,2,FALSE)</f>
        <v>Polkadot Assurance Legion Bounty</v>
      </c>
    </row>
    <row r="1690" hidden="1">
      <c r="A1690" s="109">
        <f>HYPERLINK("https://polkadot.subsquare.io/treasury/child-bounties/1692", 1692)</f>
        <v>1692</v>
      </c>
      <c r="B1690" s="183">
        <v>33.0</v>
      </c>
      <c r="C1690" s="27" t="s">
        <v>3404</v>
      </c>
      <c r="D1690" s="27" t="s">
        <v>2151</v>
      </c>
      <c r="E1690" s="129">
        <v>113868.0</v>
      </c>
      <c r="F1690" s="66">
        <v>673969.8859977722</v>
      </c>
      <c r="G1690" s="27" t="s">
        <v>3611</v>
      </c>
      <c r="H1690" s="167">
        <v>45494.0</v>
      </c>
      <c r="I1690" s="167">
        <v>45503.0</v>
      </c>
      <c r="J1690" s="66">
        <v>608390.9068908691</v>
      </c>
      <c r="L1690" s="185" t="s">
        <v>296</v>
      </c>
      <c r="M1690" s="1" t="str">
        <f>VLOOKUP(B1690,Bounties!A:D,3,FALSE)</f>
        <v>Outreach</v>
      </c>
      <c r="N1690" s="1" t="str">
        <f>VLOOKUP(B1690,Bounties!A:D,4,FALSE)</f>
        <v>Advertising</v>
      </c>
      <c r="O1690" s="1" t="str">
        <f t="shared" ref="O1690:P1690" si="1694">IF(ISBLANK(K1690),M1690,K1690)</f>
        <v>Outreach</v>
      </c>
      <c r="P1690" s="1" t="str">
        <f t="shared" si="1694"/>
        <v>Advertising/Influencers</v>
      </c>
      <c r="Q1690" s="108" t="str">
        <f t="shared" si="3"/>
        <v>2024</v>
      </c>
      <c r="R1690" s="110">
        <f t="shared" si="4"/>
        <v>7</v>
      </c>
      <c r="S1690" s="108" t="str">
        <f t="shared" si="5"/>
        <v>2024-Q3</v>
      </c>
      <c r="T1690" s="111" t="str">
        <f t="shared" si="6"/>
        <v>2024-07</v>
      </c>
      <c r="U1690" s="112" t="str">
        <f t="shared" si="7"/>
        <v>2024-H2</v>
      </c>
      <c r="V1690" s="1" t="str">
        <f>VLOOKUP(B1690,Bounties!A:E,2,FALSE)</f>
        <v>Marketing Bounty</v>
      </c>
    </row>
    <row r="1691" hidden="1">
      <c r="A1691" s="109">
        <f>HYPERLINK("https://polkadot.subsquare.io/treasury/child-bounties/1693", 1693)</f>
        <v>1693</v>
      </c>
      <c r="B1691" s="183">
        <v>43.0</v>
      </c>
      <c r="C1691" s="27" t="s">
        <v>3404</v>
      </c>
      <c r="D1691" s="27" t="s">
        <v>2152</v>
      </c>
      <c r="E1691" s="129">
        <v>179.82</v>
      </c>
      <c r="F1691" s="66">
        <v>1033.6745821666718</v>
      </c>
      <c r="G1691" s="27" t="s">
        <v>3512</v>
      </c>
      <c r="H1691" s="167">
        <v>45494.0</v>
      </c>
      <c r="I1691" s="167">
        <v>45504.0</v>
      </c>
      <c r="J1691" s="66">
        <v>921.0740061950684</v>
      </c>
      <c r="M1691" s="1" t="str">
        <f>VLOOKUP(B1691,Bounties!A:D,3,FALSE)</f>
        <v>Outreach</v>
      </c>
      <c r="N1691" s="1" t="str">
        <f>VLOOKUP(B1691,Bounties!A:D,4,FALSE)</f>
        <v>Events/Meetups</v>
      </c>
      <c r="O1691" s="1" t="str">
        <f t="shared" ref="O1691:P1691" si="1695">IF(ISBLANK(K1691),M1691,K1691)</f>
        <v>Outreach</v>
      </c>
      <c r="P1691" s="1" t="str">
        <f t="shared" si="1695"/>
        <v>Events/Meetups</v>
      </c>
      <c r="Q1691" s="108" t="str">
        <f t="shared" si="3"/>
        <v>2024</v>
      </c>
      <c r="R1691" s="110">
        <f t="shared" si="4"/>
        <v>7</v>
      </c>
      <c r="S1691" s="108" t="str">
        <f t="shared" si="5"/>
        <v>2024-Q3</v>
      </c>
      <c r="T1691" s="111" t="str">
        <f t="shared" si="6"/>
        <v>2024-07</v>
      </c>
      <c r="U1691" s="112" t="str">
        <f t="shared" si="7"/>
        <v>2024-H2</v>
      </c>
      <c r="V1691" s="1" t="str">
        <f>VLOOKUP(B1691,Bounties!A:E,2,FALSE)</f>
        <v>Meetups Bounty</v>
      </c>
    </row>
    <row r="1692" hidden="1">
      <c r="A1692" s="109">
        <f>HYPERLINK("https://polkadot.subsquare.io/treasury/child-bounties/1694", 1694)</f>
        <v>1694</v>
      </c>
      <c r="B1692" s="183">
        <v>42.0</v>
      </c>
      <c r="C1692" s="27" t="s">
        <v>3404</v>
      </c>
      <c r="D1692" s="27" t="s">
        <v>2153</v>
      </c>
      <c r="E1692" s="129">
        <v>227.9</v>
      </c>
      <c r="F1692" s="66">
        <v>1311.3364252567292</v>
      </c>
      <c r="G1692" s="27" t="s">
        <v>3768</v>
      </c>
      <c r="H1692" s="167">
        <v>45495.0</v>
      </c>
      <c r="I1692" s="167">
        <v>45503.0</v>
      </c>
      <c r="J1692" s="66">
        <v>1167.3493827819825</v>
      </c>
      <c r="M1692" s="1" t="str">
        <f>VLOOKUP(B1692,Bounties!A:D,3,FALSE)</f>
        <v>Outreach</v>
      </c>
      <c r="N1692" s="1" t="str">
        <f>VLOOKUP(B1692,Bounties!A:D,4,FALSE)</f>
        <v>Media</v>
      </c>
      <c r="O1692" s="1" t="str">
        <f t="shared" ref="O1692:P1692" si="1696">IF(ISBLANK(K1692),M1692,K1692)</f>
        <v>Outreach</v>
      </c>
      <c r="P1692" s="1" t="str">
        <f t="shared" si="1696"/>
        <v>Media</v>
      </c>
      <c r="Q1692" s="108" t="str">
        <f t="shared" si="3"/>
        <v>2024</v>
      </c>
      <c r="R1692" s="110">
        <f t="shared" si="4"/>
        <v>7</v>
      </c>
      <c r="S1692" s="108" t="str">
        <f t="shared" si="5"/>
        <v>2024-Q3</v>
      </c>
      <c r="T1692" s="111" t="str">
        <f t="shared" si="6"/>
        <v>2024-07</v>
      </c>
      <c r="U1692" s="112" t="str">
        <f t="shared" si="7"/>
        <v>2024-H2</v>
      </c>
      <c r="V1692" s="1" t="str">
        <f>VLOOKUP(B1692,Bounties!A:E,2,FALSE)</f>
        <v>Spanish Bounty</v>
      </c>
    </row>
    <row r="1693" hidden="1">
      <c r="A1693" s="109">
        <f>HYPERLINK("https://polkadot.subsquare.io/treasury/child-bounties/1695", 1695)</f>
        <v>1695</v>
      </c>
      <c r="B1693" s="183">
        <v>42.0</v>
      </c>
      <c r="C1693" s="27" t="s">
        <v>3404</v>
      </c>
      <c r="D1693" s="27" t="s">
        <v>2154</v>
      </c>
      <c r="E1693" s="129">
        <v>227.9</v>
      </c>
      <c r="F1693" s="66">
        <v>1311.3364252567292</v>
      </c>
      <c r="G1693" s="27" t="s">
        <v>3695</v>
      </c>
      <c r="H1693" s="167">
        <v>45495.0</v>
      </c>
      <c r="I1693" s="167">
        <v>45503.0</v>
      </c>
      <c r="J1693" s="66">
        <v>1167.3493827819825</v>
      </c>
      <c r="M1693" s="1" t="str">
        <f>VLOOKUP(B1693,Bounties!A:D,3,FALSE)</f>
        <v>Outreach</v>
      </c>
      <c r="N1693" s="1" t="str">
        <f>VLOOKUP(B1693,Bounties!A:D,4,FALSE)</f>
        <v>Media</v>
      </c>
      <c r="O1693" s="1" t="str">
        <f t="shared" ref="O1693:P1693" si="1697">IF(ISBLANK(K1693),M1693,K1693)</f>
        <v>Outreach</v>
      </c>
      <c r="P1693" s="1" t="str">
        <f t="shared" si="1697"/>
        <v>Media</v>
      </c>
      <c r="Q1693" s="108" t="str">
        <f t="shared" si="3"/>
        <v>2024</v>
      </c>
      <c r="R1693" s="110">
        <f t="shared" si="4"/>
        <v>7</v>
      </c>
      <c r="S1693" s="108" t="str">
        <f t="shared" si="5"/>
        <v>2024-Q3</v>
      </c>
      <c r="T1693" s="111" t="str">
        <f t="shared" si="6"/>
        <v>2024-07</v>
      </c>
      <c r="U1693" s="112" t="str">
        <f t="shared" si="7"/>
        <v>2024-H2</v>
      </c>
      <c r="V1693" s="1" t="str">
        <f>VLOOKUP(B1693,Bounties!A:E,2,FALSE)</f>
        <v>Spanish Bounty</v>
      </c>
    </row>
    <row r="1694" hidden="1">
      <c r="A1694" s="109">
        <f>HYPERLINK("https://polkadot.subsquare.io/treasury/child-bounties/1696", 1696)</f>
        <v>1696</v>
      </c>
      <c r="B1694" s="183">
        <v>42.0</v>
      </c>
      <c r="C1694" s="27" t="s">
        <v>3404</v>
      </c>
      <c r="D1694" s="27" t="s">
        <v>2155</v>
      </c>
      <c r="E1694" s="129">
        <v>81.4</v>
      </c>
      <c r="F1694" s="66">
        <v>468.3755375862122</v>
      </c>
      <c r="G1694" s="27" t="s">
        <v>3691</v>
      </c>
      <c r="H1694" s="167">
        <v>45495.0</v>
      </c>
      <c r="I1694" s="167">
        <v>45503.0</v>
      </c>
      <c r="J1694" s="66">
        <v>416.9470809936524</v>
      </c>
      <c r="M1694" s="1" t="str">
        <f>VLOOKUP(B1694,Bounties!A:D,3,FALSE)</f>
        <v>Outreach</v>
      </c>
      <c r="N1694" s="1" t="str">
        <f>VLOOKUP(B1694,Bounties!A:D,4,FALSE)</f>
        <v>Media</v>
      </c>
      <c r="O1694" s="1" t="str">
        <f t="shared" ref="O1694:P1694" si="1698">IF(ISBLANK(K1694),M1694,K1694)</f>
        <v>Outreach</v>
      </c>
      <c r="P1694" s="1" t="str">
        <f t="shared" si="1698"/>
        <v>Media</v>
      </c>
      <c r="Q1694" s="108" t="str">
        <f t="shared" si="3"/>
        <v>2024</v>
      </c>
      <c r="R1694" s="110">
        <f t="shared" si="4"/>
        <v>7</v>
      </c>
      <c r="S1694" s="108" t="str">
        <f t="shared" si="5"/>
        <v>2024-Q3</v>
      </c>
      <c r="T1694" s="111" t="str">
        <f t="shared" si="6"/>
        <v>2024-07</v>
      </c>
      <c r="U1694" s="112" t="str">
        <f t="shared" si="7"/>
        <v>2024-H2</v>
      </c>
      <c r="V1694" s="1" t="str">
        <f>VLOOKUP(B1694,Bounties!A:E,2,FALSE)</f>
        <v>Spanish Bounty</v>
      </c>
    </row>
    <row r="1695" hidden="1">
      <c r="A1695" s="109">
        <f>HYPERLINK("https://polkadot.subsquare.io/treasury/child-bounties/1697", 1697)</f>
        <v>1697</v>
      </c>
      <c r="B1695" s="183">
        <v>42.0</v>
      </c>
      <c r="C1695" s="27" t="s">
        <v>3404</v>
      </c>
      <c r="D1695" s="27" t="s">
        <v>2153</v>
      </c>
      <c r="E1695" s="129">
        <v>227.9</v>
      </c>
      <c r="F1695" s="66">
        <v>1311.3364252567292</v>
      </c>
      <c r="G1695" s="27" t="s">
        <v>3693</v>
      </c>
      <c r="H1695" s="167">
        <v>45495.0</v>
      </c>
      <c r="I1695" s="167">
        <v>45503.0</v>
      </c>
      <c r="J1695" s="66">
        <v>1167.3493827819825</v>
      </c>
      <c r="M1695" s="1" t="str">
        <f>VLOOKUP(B1695,Bounties!A:D,3,FALSE)</f>
        <v>Outreach</v>
      </c>
      <c r="N1695" s="1" t="str">
        <f>VLOOKUP(B1695,Bounties!A:D,4,FALSE)</f>
        <v>Media</v>
      </c>
      <c r="O1695" s="1" t="str">
        <f t="shared" ref="O1695:P1695" si="1699">IF(ISBLANK(K1695),M1695,K1695)</f>
        <v>Outreach</v>
      </c>
      <c r="P1695" s="1" t="str">
        <f t="shared" si="1699"/>
        <v>Media</v>
      </c>
      <c r="Q1695" s="108" t="str">
        <f t="shared" si="3"/>
        <v>2024</v>
      </c>
      <c r="R1695" s="110">
        <f t="shared" si="4"/>
        <v>7</v>
      </c>
      <c r="S1695" s="108" t="str">
        <f t="shared" si="5"/>
        <v>2024-Q3</v>
      </c>
      <c r="T1695" s="111" t="str">
        <f t="shared" si="6"/>
        <v>2024-07</v>
      </c>
      <c r="U1695" s="112" t="str">
        <f t="shared" si="7"/>
        <v>2024-H2</v>
      </c>
      <c r="V1695" s="1" t="str">
        <f>VLOOKUP(B1695,Bounties!A:E,2,FALSE)</f>
        <v>Spanish Bounty</v>
      </c>
    </row>
    <row r="1696" hidden="1">
      <c r="A1696" s="109">
        <f>HYPERLINK("https://polkadot.subsquare.io/treasury/child-bounties/1698", 1698)</f>
        <v>1698</v>
      </c>
      <c r="B1696" s="183">
        <v>42.0</v>
      </c>
      <c r="C1696" s="27" t="s">
        <v>3404</v>
      </c>
      <c r="D1696" s="27" t="s">
        <v>2156</v>
      </c>
      <c r="E1696" s="129">
        <v>227.9</v>
      </c>
      <c r="F1696" s="66">
        <v>1311.3364252567292</v>
      </c>
      <c r="G1696" s="27" t="s">
        <v>3677</v>
      </c>
      <c r="H1696" s="167">
        <v>45495.0</v>
      </c>
      <c r="I1696" s="167">
        <v>45503.0</v>
      </c>
      <c r="J1696" s="66">
        <v>1167.3493827819825</v>
      </c>
      <c r="M1696" s="1" t="str">
        <f>VLOOKUP(B1696,Bounties!A:D,3,FALSE)</f>
        <v>Outreach</v>
      </c>
      <c r="N1696" s="1" t="str">
        <f>VLOOKUP(B1696,Bounties!A:D,4,FALSE)</f>
        <v>Media</v>
      </c>
      <c r="O1696" s="1" t="str">
        <f t="shared" ref="O1696:P1696" si="1700">IF(ISBLANK(K1696),M1696,K1696)</f>
        <v>Outreach</v>
      </c>
      <c r="P1696" s="1" t="str">
        <f t="shared" si="1700"/>
        <v>Media</v>
      </c>
      <c r="Q1696" s="108" t="str">
        <f t="shared" si="3"/>
        <v>2024</v>
      </c>
      <c r="R1696" s="110">
        <f t="shared" si="4"/>
        <v>7</v>
      </c>
      <c r="S1696" s="108" t="str">
        <f t="shared" si="5"/>
        <v>2024-Q3</v>
      </c>
      <c r="T1696" s="111" t="str">
        <f t="shared" si="6"/>
        <v>2024-07</v>
      </c>
      <c r="U1696" s="112" t="str">
        <f t="shared" si="7"/>
        <v>2024-H2</v>
      </c>
      <c r="V1696" s="1" t="str">
        <f>VLOOKUP(B1696,Bounties!A:E,2,FALSE)</f>
        <v>Spanish Bounty</v>
      </c>
    </row>
    <row r="1697" hidden="1">
      <c r="A1697" s="109">
        <f>HYPERLINK("https://polkadot.subsquare.io/treasury/child-bounties/1699", 1699)</f>
        <v>1699</v>
      </c>
      <c r="B1697" s="183">
        <v>42.0</v>
      </c>
      <c r="C1697" s="27" t="s">
        <v>3404</v>
      </c>
      <c r="D1697" s="27" t="s">
        <v>2157</v>
      </c>
      <c r="E1697" s="129">
        <v>227.9</v>
      </c>
      <c r="F1697" s="66">
        <v>1311.3364252567292</v>
      </c>
      <c r="G1697" s="27" t="s">
        <v>3493</v>
      </c>
      <c r="H1697" s="167">
        <v>45495.0</v>
      </c>
      <c r="I1697" s="167">
        <v>45507.0</v>
      </c>
      <c r="J1697" s="66">
        <v>959.0658363342285</v>
      </c>
      <c r="M1697" s="1" t="str">
        <f>VLOOKUP(B1697,Bounties!A:D,3,FALSE)</f>
        <v>Outreach</v>
      </c>
      <c r="N1697" s="1" t="str">
        <f>VLOOKUP(B1697,Bounties!A:D,4,FALSE)</f>
        <v>Media</v>
      </c>
      <c r="O1697" s="1" t="str">
        <f t="shared" ref="O1697:P1697" si="1701">IF(ISBLANK(K1697),M1697,K1697)</f>
        <v>Outreach</v>
      </c>
      <c r="P1697" s="1" t="str">
        <f t="shared" si="1701"/>
        <v>Media</v>
      </c>
      <c r="Q1697" s="108" t="str">
        <f t="shared" si="3"/>
        <v>2024</v>
      </c>
      <c r="R1697" s="110">
        <f t="shared" si="4"/>
        <v>8</v>
      </c>
      <c r="S1697" s="108" t="str">
        <f t="shared" si="5"/>
        <v>2024-Q3</v>
      </c>
      <c r="T1697" s="111" t="str">
        <f t="shared" si="6"/>
        <v>2024-08</v>
      </c>
      <c r="U1697" s="112" t="str">
        <f t="shared" si="7"/>
        <v>2024-H2</v>
      </c>
      <c r="V1697" s="1" t="str">
        <f>VLOOKUP(B1697,Bounties!A:E,2,FALSE)</f>
        <v>Spanish Bounty</v>
      </c>
    </row>
    <row r="1698" hidden="1">
      <c r="A1698" s="109">
        <f>HYPERLINK("https://polkadot.subsquare.io/treasury/child-bounties/1700", 1700)</f>
        <v>1700</v>
      </c>
      <c r="B1698" s="183">
        <v>42.0</v>
      </c>
      <c r="C1698" s="27" t="s">
        <v>3404</v>
      </c>
      <c r="D1698" s="27" t="s">
        <v>2158</v>
      </c>
      <c r="E1698" s="129">
        <v>227.9</v>
      </c>
      <c r="F1698" s="66">
        <v>1311.3364252567292</v>
      </c>
      <c r="G1698" s="27" t="s">
        <v>3694</v>
      </c>
      <c r="H1698" s="167">
        <v>45495.0</v>
      </c>
      <c r="I1698" s="167">
        <v>45503.0</v>
      </c>
      <c r="J1698" s="66">
        <v>1167.3493827819825</v>
      </c>
      <c r="M1698" s="1" t="str">
        <f>VLOOKUP(B1698,Bounties!A:D,3,FALSE)</f>
        <v>Outreach</v>
      </c>
      <c r="N1698" s="1" t="str">
        <f>VLOOKUP(B1698,Bounties!A:D,4,FALSE)</f>
        <v>Media</v>
      </c>
      <c r="O1698" s="1" t="str">
        <f t="shared" ref="O1698:P1698" si="1702">IF(ISBLANK(K1698),M1698,K1698)</f>
        <v>Outreach</v>
      </c>
      <c r="P1698" s="1" t="str">
        <f t="shared" si="1702"/>
        <v>Media</v>
      </c>
      <c r="Q1698" s="108" t="str">
        <f t="shared" si="3"/>
        <v>2024</v>
      </c>
      <c r="R1698" s="110">
        <f t="shared" si="4"/>
        <v>7</v>
      </c>
      <c r="S1698" s="108" t="str">
        <f t="shared" si="5"/>
        <v>2024-Q3</v>
      </c>
      <c r="T1698" s="111" t="str">
        <f t="shared" si="6"/>
        <v>2024-07</v>
      </c>
      <c r="U1698" s="112" t="str">
        <f t="shared" si="7"/>
        <v>2024-H2</v>
      </c>
      <c r="V1698" s="1" t="str">
        <f>VLOOKUP(B1698,Bounties!A:E,2,FALSE)</f>
        <v>Spanish Bounty</v>
      </c>
    </row>
    <row r="1699" hidden="1">
      <c r="A1699" s="109">
        <f>HYPERLINK("https://polkadot.subsquare.io/treasury/child-bounties/1701", 1701)</f>
        <v>1701</v>
      </c>
      <c r="B1699" s="183">
        <v>42.0</v>
      </c>
      <c r="C1699" s="27" t="s">
        <v>3404</v>
      </c>
      <c r="D1699" s="27" t="s">
        <v>2159</v>
      </c>
      <c r="E1699" s="129">
        <v>227.9</v>
      </c>
      <c r="F1699" s="66">
        <v>1311.3364252567292</v>
      </c>
      <c r="G1699" s="27" t="s">
        <v>3694</v>
      </c>
      <c r="H1699" s="167">
        <v>45495.0</v>
      </c>
      <c r="I1699" s="167">
        <v>45503.0</v>
      </c>
      <c r="J1699" s="66">
        <v>1167.3493827819825</v>
      </c>
      <c r="M1699" s="1" t="str">
        <f>VLOOKUP(B1699,Bounties!A:D,3,FALSE)</f>
        <v>Outreach</v>
      </c>
      <c r="N1699" s="1" t="str">
        <f>VLOOKUP(B1699,Bounties!A:D,4,FALSE)</f>
        <v>Media</v>
      </c>
      <c r="O1699" s="1" t="str">
        <f t="shared" ref="O1699:P1699" si="1703">IF(ISBLANK(K1699),M1699,K1699)</f>
        <v>Outreach</v>
      </c>
      <c r="P1699" s="1" t="str">
        <f t="shared" si="1703"/>
        <v>Media</v>
      </c>
      <c r="Q1699" s="108" t="str">
        <f t="shared" si="3"/>
        <v>2024</v>
      </c>
      <c r="R1699" s="110">
        <f t="shared" si="4"/>
        <v>7</v>
      </c>
      <c r="S1699" s="108" t="str">
        <f t="shared" si="5"/>
        <v>2024-Q3</v>
      </c>
      <c r="T1699" s="111" t="str">
        <f t="shared" si="6"/>
        <v>2024-07</v>
      </c>
      <c r="U1699" s="112" t="str">
        <f t="shared" si="7"/>
        <v>2024-H2</v>
      </c>
      <c r="V1699" s="1" t="str">
        <f>VLOOKUP(B1699,Bounties!A:E,2,FALSE)</f>
        <v>Spanish Bounty</v>
      </c>
    </row>
    <row r="1700" hidden="1">
      <c r="A1700" s="109">
        <f>HYPERLINK("https://polkadot.subsquare.io/treasury/child-bounties/1702", 1702)</f>
        <v>1702</v>
      </c>
      <c r="B1700" s="183">
        <v>42.0</v>
      </c>
      <c r="C1700" s="27" t="s">
        <v>3404</v>
      </c>
      <c r="D1700" s="27" t="s">
        <v>2160</v>
      </c>
      <c r="E1700" s="129">
        <v>29.36</v>
      </c>
      <c r="F1700" s="66">
        <v>168.93741748809813</v>
      </c>
      <c r="G1700" s="27" t="s">
        <v>3674</v>
      </c>
      <c r="H1700" s="167">
        <v>45495.0</v>
      </c>
      <c r="I1700" s="167">
        <v>45505.0</v>
      </c>
      <c r="J1700" s="66">
        <v>137.51760646820068</v>
      </c>
      <c r="M1700" s="1" t="str">
        <f>VLOOKUP(B1700,Bounties!A:D,3,FALSE)</f>
        <v>Outreach</v>
      </c>
      <c r="N1700" s="1" t="str">
        <f>VLOOKUP(B1700,Bounties!A:D,4,FALSE)</f>
        <v>Media</v>
      </c>
      <c r="O1700" s="1" t="str">
        <f t="shared" ref="O1700:P1700" si="1704">IF(ISBLANK(K1700),M1700,K1700)</f>
        <v>Outreach</v>
      </c>
      <c r="P1700" s="1" t="str">
        <f t="shared" si="1704"/>
        <v>Media</v>
      </c>
      <c r="Q1700" s="108" t="str">
        <f t="shared" si="3"/>
        <v>2024</v>
      </c>
      <c r="R1700" s="110">
        <f t="shared" si="4"/>
        <v>8</v>
      </c>
      <c r="S1700" s="108" t="str">
        <f t="shared" si="5"/>
        <v>2024-Q3</v>
      </c>
      <c r="T1700" s="111" t="str">
        <f t="shared" si="6"/>
        <v>2024-08</v>
      </c>
      <c r="U1700" s="112" t="str">
        <f t="shared" si="7"/>
        <v>2024-H2</v>
      </c>
      <c r="V1700" s="1" t="str">
        <f>VLOOKUP(B1700,Bounties!A:E,2,FALSE)</f>
        <v>Spanish Bounty</v>
      </c>
    </row>
    <row r="1701" hidden="1">
      <c r="A1701" s="109">
        <f>HYPERLINK("https://polkadot.subsquare.io/treasury/child-bounties/1703", 1703)</f>
        <v>1703</v>
      </c>
      <c r="B1701" s="183">
        <v>42.0</v>
      </c>
      <c r="C1701" s="27" t="s">
        <v>3404</v>
      </c>
      <c r="D1701" s="27" t="s">
        <v>2161</v>
      </c>
      <c r="E1701" s="129">
        <v>54.26</v>
      </c>
      <c r="F1701" s="66">
        <v>312.2119983959198</v>
      </c>
      <c r="G1701" s="27" t="s">
        <v>3675</v>
      </c>
      <c r="H1701" s="167">
        <v>45495.0</v>
      </c>
      <c r="I1701" s="167">
        <v>45503.0</v>
      </c>
      <c r="J1701" s="66">
        <v>277.9305726623535</v>
      </c>
      <c r="M1701" s="1" t="str">
        <f>VLOOKUP(B1701,Bounties!A:D,3,FALSE)</f>
        <v>Outreach</v>
      </c>
      <c r="N1701" s="1" t="str">
        <f>VLOOKUP(B1701,Bounties!A:D,4,FALSE)</f>
        <v>Media</v>
      </c>
      <c r="O1701" s="1" t="str">
        <f t="shared" ref="O1701:P1701" si="1705">IF(ISBLANK(K1701),M1701,K1701)</f>
        <v>Outreach</v>
      </c>
      <c r="P1701" s="1" t="str">
        <f t="shared" si="1705"/>
        <v>Media</v>
      </c>
      <c r="Q1701" s="108" t="str">
        <f t="shared" si="3"/>
        <v>2024</v>
      </c>
      <c r="R1701" s="110">
        <f t="shared" si="4"/>
        <v>7</v>
      </c>
      <c r="S1701" s="108" t="str">
        <f t="shared" si="5"/>
        <v>2024-Q3</v>
      </c>
      <c r="T1701" s="111" t="str">
        <f t="shared" si="6"/>
        <v>2024-07</v>
      </c>
      <c r="U1701" s="112" t="str">
        <f t="shared" si="7"/>
        <v>2024-H2</v>
      </c>
      <c r="V1701" s="1" t="str">
        <f>VLOOKUP(B1701,Bounties!A:E,2,FALSE)</f>
        <v>Spanish Bounty</v>
      </c>
    </row>
    <row r="1702" hidden="1">
      <c r="A1702" s="109">
        <f>HYPERLINK("https://polkadot.subsquare.io/treasury/child-bounties/1705", 1705)</f>
        <v>1705</v>
      </c>
      <c r="B1702" s="183">
        <v>42.0</v>
      </c>
      <c r="C1702" s="27" t="s">
        <v>3404</v>
      </c>
      <c r="D1702" s="27" t="s">
        <v>2162</v>
      </c>
      <c r="E1702" s="129">
        <v>100.75</v>
      </c>
      <c r="F1702" s="66">
        <v>579.7154227495193</v>
      </c>
      <c r="G1702" s="27" t="s">
        <v>3751</v>
      </c>
      <c r="H1702" s="167">
        <v>45495.0</v>
      </c>
      <c r="I1702" s="167">
        <v>45504.0</v>
      </c>
      <c r="J1702" s="66">
        <v>508.14933800697327</v>
      </c>
      <c r="M1702" s="1" t="str">
        <f>VLOOKUP(B1702,Bounties!A:D,3,FALSE)</f>
        <v>Outreach</v>
      </c>
      <c r="N1702" s="1" t="str">
        <f>VLOOKUP(B1702,Bounties!A:D,4,FALSE)</f>
        <v>Media</v>
      </c>
      <c r="O1702" s="1" t="str">
        <f t="shared" ref="O1702:P1702" si="1706">IF(ISBLANK(K1702),M1702,K1702)</f>
        <v>Outreach</v>
      </c>
      <c r="P1702" s="1" t="str">
        <f t="shared" si="1706"/>
        <v>Media</v>
      </c>
      <c r="Q1702" s="108" t="str">
        <f t="shared" si="3"/>
        <v>2024</v>
      </c>
      <c r="R1702" s="110">
        <f t="shared" si="4"/>
        <v>7</v>
      </c>
      <c r="S1702" s="108" t="str">
        <f t="shared" si="5"/>
        <v>2024-Q3</v>
      </c>
      <c r="T1702" s="111" t="str">
        <f t="shared" si="6"/>
        <v>2024-07</v>
      </c>
      <c r="U1702" s="112" t="str">
        <f t="shared" si="7"/>
        <v>2024-H2</v>
      </c>
      <c r="V1702" s="1" t="str">
        <f>VLOOKUP(B1702,Bounties!A:E,2,FALSE)</f>
        <v>Spanish Bounty</v>
      </c>
    </row>
    <row r="1703" hidden="1">
      <c r="A1703" s="109">
        <f>HYPERLINK("https://polkadot.subsquare.io/treasury/child-bounties/1706", 1706)</f>
        <v>1706</v>
      </c>
      <c r="B1703" s="183">
        <v>42.0</v>
      </c>
      <c r="C1703" s="27" t="s">
        <v>3404</v>
      </c>
      <c r="D1703" s="27" t="s">
        <v>2163</v>
      </c>
      <c r="E1703" s="129">
        <v>43.23</v>
      </c>
      <c r="F1703" s="66">
        <v>248.74538685321806</v>
      </c>
      <c r="G1703" s="27" t="s">
        <v>3676</v>
      </c>
      <c r="H1703" s="167">
        <v>45495.0</v>
      </c>
      <c r="I1703" s="167">
        <v>45507.0</v>
      </c>
      <c r="J1703" s="66">
        <v>194.83466092586517</v>
      </c>
      <c r="M1703" s="1" t="str">
        <f>VLOOKUP(B1703,Bounties!A:D,3,FALSE)</f>
        <v>Outreach</v>
      </c>
      <c r="N1703" s="1" t="str">
        <f>VLOOKUP(B1703,Bounties!A:D,4,FALSE)</f>
        <v>Media</v>
      </c>
      <c r="O1703" s="1" t="str">
        <f t="shared" ref="O1703:P1703" si="1707">IF(ISBLANK(K1703),M1703,K1703)</f>
        <v>Outreach</v>
      </c>
      <c r="P1703" s="1" t="str">
        <f t="shared" si="1707"/>
        <v>Media</v>
      </c>
      <c r="Q1703" s="108" t="str">
        <f t="shared" si="3"/>
        <v>2024</v>
      </c>
      <c r="R1703" s="110">
        <f t="shared" si="4"/>
        <v>8</v>
      </c>
      <c r="S1703" s="108" t="str">
        <f t="shared" si="5"/>
        <v>2024-Q3</v>
      </c>
      <c r="T1703" s="111" t="str">
        <f t="shared" si="6"/>
        <v>2024-08</v>
      </c>
      <c r="U1703" s="112" t="str">
        <f t="shared" si="7"/>
        <v>2024-H2</v>
      </c>
      <c r="V1703" s="1" t="str">
        <f>VLOOKUP(B1703,Bounties!A:E,2,FALSE)</f>
        <v>Spanish Bounty</v>
      </c>
    </row>
    <row r="1704" hidden="1">
      <c r="A1704" s="109">
        <f>HYPERLINK("https://polkadot.subsquare.io/treasury/child-bounties/1707", 1707)</f>
        <v>1707</v>
      </c>
      <c r="B1704" s="183">
        <v>42.0</v>
      </c>
      <c r="C1704" s="27" t="s">
        <v>3404</v>
      </c>
      <c r="D1704" s="27" t="s">
        <v>2164</v>
      </c>
      <c r="E1704" s="129">
        <v>17.87</v>
      </c>
      <c r="F1704" s="66">
        <v>102.82396629810334</v>
      </c>
      <c r="G1704" s="27" t="s">
        <v>3704</v>
      </c>
      <c r="H1704" s="167">
        <v>45495.0</v>
      </c>
      <c r="I1704" s="167">
        <v>45503.0</v>
      </c>
      <c r="J1704" s="66">
        <v>91.53371421813965</v>
      </c>
      <c r="M1704" s="1" t="str">
        <f>VLOOKUP(B1704,Bounties!A:D,3,FALSE)</f>
        <v>Outreach</v>
      </c>
      <c r="N1704" s="1" t="str">
        <f>VLOOKUP(B1704,Bounties!A:D,4,FALSE)</f>
        <v>Media</v>
      </c>
      <c r="O1704" s="1" t="str">
        <f t="shared" ref="O1704:P1704" si="1708">IF(ISBLANK(K1704),M1704,K1704)</f>
        <v>Outreach</v>
      </c>
      <c r="P1704" s="1" t="str">
        <f t="shared" si="1708"/>
        <v>Media</v>
      </c>
      <c r="Q1704" s="108" t="str">
        <f t="shared" si="3"/>
        <v>2024</v>
      </c>
      <c r="R1704" s="110">
        <f t="shared" si="4"/>
        <v>7</v>
      </c>
      <c r="S1704" s="108" t="str">
        <f t="shared" si="5"/>
        <v>2024-Q3</v>
      </c>
      <c r="T1704" s="111" t="str">
        <f t="shared" si="6"/>
        <v>2024-07</v>
      </c>
      <c r="U1704" s="112" t="str">
        <f t="shared" si="7"/>
        <v>2024-H2</v>
      </c>
      <c r="V1704" s="1" t="str">
        <f>VLOOKUP(B1704,Bounties!A:E,2,FALSE)</f>
        <v>Spanish Bounty</v>
      </c>
    </row>
    <row r="1705" hidden="1">
      <c r="A1705" s="109">
        <f>HYPERLINK("https://polkadot.subsquare.io/treasury/child-bounties/1708", 1708)</f>
        <v>1708</v>
      </c>
      <c r="B1705" s="183">
        <v>42.0</v>
      </c>
      <c r="C1705" s="27" t="s">
        <v>3404</v>
      </c>
      <c r="D1705" s="27" t="s">
        <v>2165</v>
      </c>
      <c r="E1705" s="129">
        <v>8.94</v>
      </c>
      <c r="F1705" s="66">
        <v>51.44075314521789</v>
      </c>
      <c r="G1705" s="27" t="s">
        <v>3703</v>
      </c>
      <c r="H1705" s="167">
        <v>45495.0</v>
      </c>
      <c r="I1705" s="167">
        <v>45509.0</v>
      </c>
      <c r="J1705" s="66">
        <v>43.63509595870971</v>
      </c>
      <c r="M1705" s="1" t="str">
        <f>VLOOKUP(B1705,Bounties!A:D,3,FALSE)</f>
        <v>Outreach</v>
      </c>
      <c r="N1705" s="1" t="str">
        <f>VLOOKUP(B1705,Bounties!A:D,4,FALSE)</f>
        <v>Media</v>
      </c>
      <c r="O1705" s="1" t="str">
        <f t="shared" ref="O1705:P1705" si="1709">IF(ISBLANK(K1705),M1705,K1705)</f>
        <v>Outreach</v>
      </c>
      <c r="P1705" s="1" t="str">
        <f t="shared" si="1709"/>
        <v>Media</v>
      </c>
      <c r="Q1705" s="108" t="str">
        <f t="shared" si="3"/>
        <v>2024</v>
      </c>
      <c r="R1705" s="110">
        <f t="shared" si="4"/>
        <v>8</v>
      </c>
      <c r="S1705" s="108" t="str">
        <f t="shared" si="5"/>
        <v>2024-Q3</v>
      </c>
      <c r="T1705" s="111" t="str">
        <f t="shared" si="6"/>
        <v>2024-08</v>
      </c>
      <c r="U1705" s="112" t="str">
        <f t="shared" si="7"/>
        <v>2024-H2</v>
      </c>
      <c r="V1705" s="1" t="str">
        <f>VLOOKUP(B1705,Bounties!A:E,2,FALSE)</f>
        <v>Spanish Bounty</v>
      </c>
    </row>
    <row r="1706" hidden="1">
      <c r="A1706" s="109">
        <f>HYPERLINK("https://polkadot.subsquare.io/treasury/child-bounties/1709", 1709)</f>
        <v>1709</v>
      </c>
      <c r="B1706" s="183">
        <v>42.0</v>
      </c>
      <c r="C1706" s="27" t="s">
        <v>3404</v>
      </c>
      <c r="D1706" s="27" t="s">
        <v>2166</v>
      </c>
      <c r="E1706" s="129">
        <v>16.07</v>
      </c>
      <c r="F1706" s="66">
        <v>92.46676767826081</v>
      </c>
      <c r="G1706" s="27" t="s">
        <v>3677</v>
      </c>
      <c r="H1706" s="167">
        <v>45495.0</v>
      </c>
      <c r="I1706" s="167">
        <v>45503.0</v>
      </c>
      <c r="J1706" s="66">
        <v>82.313754196167</v>
      </c>
      <c r="M1706" s="1" t="str">
        <f>VLOOKUP(B1706,Bounties!A:D,3,FALSE)</f>
        <v>Outreach</v>
      </c>
      <c r="N1706" s="1" t="str">
        <f>VLOOKUP(B1706,Bounties!A:D,4,FALSE)</f>
        <v>Media</v>
      </c>
      <c r="O1706" s="1" t="str">
        <f t="shared" ref="O1706:P1706" si="1710">IF(ISBLANK(K1706),M1706,K1706)</f>
        <v>Outreach</v>
      </c>
      <c r="P1706" s="1" t="str">
        <f t="shared" si="1710"/>
        <v>Media</v>
      </c>
      <c r="Q1706" s="108" t="str">
        <f t="shared" si="3"/>
        <v>2024</v>
      </c>
      <c r="R1706" s="110">
        <f t="shared" si="4"/>
        <v>7</v>
      </c>
      <c r="S1706" s="108" t="str">
        <f t="shared" si="5"/>
        <v>2024-Q3</v>
      </c>
      <c r="T1706" s="111" t="str">
        <f t="shared" si="6"/>
        <v>2024-07</v>
      </c>
      <c r="U1706" s="112" t="str">
        <f t="shared" si="7"/>
        <v>2024-H2</v>
      </c>
      <c r="V1706" s="1" t="str">
        <f>VLOOKUP(B1706,Bounties!A:E,2,FALSE)</f>
        <v>Spanish Bounty</v>
      </c>
    </row>
    <row r="1707" hidden="1">
      <c r="A1707" s="109">
        <f>HYPERLINK("https://polkadot.subsquare.io/treasury/child-bounties/1710", 1710)</f>
        <v>1710</v>
      </c>
      <c r="B1707" s="183">
        <v>42.0</v>
      </c>
      <c r="C1707" s="27" t="s">
        <v>3404</v>
      </c>
      <c r="D1707" s="27" t="s">
        <v>2167</v>
      </c>
      <c r="E1707" s="129">
        <v>6.14</v>
      </c>
      <c r="F1707" s="66">
        <v>35.32955529212951</v>
      </c>
      <c r="G1707" s="27" t="s">
        <v>3769</v>
      </c>
      <c r="H1707" s="167">
        <v>45495.0</v>
      </c>
      <c r="I1707" s="167">
        <v>45503.0</v>
      </c>
      <c r="J1707" s="66">
        <v>31.45030807495117</v>
      </c>
      <c r="M1707" s="1" t="str">
        <f>VLOOKUP(B1707,Bounties!A:D,3,FALSE)</f>
        <v>Outreach</v>
      </c>
      <c r="N1707" s="1" t="str">
        <f>VLOOKUP(B1707,Bounties!A:D,4,FALSE)</f>
        <v>Media</v>
      </c>
      <c r="O1707" s="1" t="str">
        <f t="shared" ref="O1707:P1707" si="1711">IF(ISBLANK(K1707),M1707,K1707)</f>
        <v>Outreach</v>
      </c>
      <c r="P1707" s="1" t="str">
        <f t="shared" si="1711"/>
        <v>Media</v>
      </c>
      <c r="Q1707" s="108" t="str">
        <f t="shared" si="3"/>
        <v>2024</v>
      </c>
      <c r="R1707" s="110">
        <f t="shared" si="4"/>
        <v>7</v>
      </c>
      <c r="S1707" s="108" t="str">
        <f t="shared" si="5"/>
        <v>2024-Q3</v>
      </c>
      <c r="T1707" s="111" t="str">
        <f t="shared" si="6"/>
        <v>2024-07</v>
      </c>
      <c r="U1707" s="112" t="str">
        <f t="shared" si="7"/>
        <v>2024-H2</v>
      </c>
      <c r="V1707" s="1" t="str">
        <f>VLOOKUP(B1707,Bounties!A:E,2,FALSE)</f>
        <v>Spanish Bounty</v>
      </c>
    </row>
    <row r="1708" hidden="1">
      <c r="A1708" s="109">
        <f>HYPERLINK("https://polkadot.subsquare.io/treasury/child-bounties/1711", 1711)</f>
        <v>1711</v>
      </c>
      <c r="B1708" s="183">
        <v>42.0</v>
      </c>
      <c r="C1708" s="27" t="s">
        <v>3404</v>
      </c>
      <c r="D1708" s="27" t="s">
        <v>2168</v>
      </c>
      <c r="E1708" s="129">
        <v>2711.84</v>
      </c>
      <c r="F1708" s="66">
        <v>15603.925280685426</v>
      </c>
      <c r="G1708" s="27" t="s">
        <v>3770</v>
      </c>
      <c r="H1708" s="167">
        <v>45495.0</v>
      </c>
      <c r="I1708" s="167">
        <v>45503.0</v>
      </c>
      <c r="J1708" s="66">
        <v>13890.586881103516</v>
      </c>
      <c r="M1708" s="1" t="str">
        <f>VLOOKUP(B1708,Bounties!A:D,3,FALSE)</f>
        <v>Outreach</v>
      </c>
      <c r="N1708" s="1" t="str">
        <f>VLOOKUP(B1708,Bounties!A:D,4,FALSE)</f>
        <v>Media</v>
      </c>
      <c r="O1708" s="1" t="str">
        <f t="shared" ref="O1708:P1708" si="1712">IF(ISBLANK(K1708),M1708,K1708)</f>
        <v>Outreach</v>
      </c>
      <c r="P1708" s="1" t="str">
        <f t="shared" si="1712"/>
        <v>Media</v>
      </c>
      <c r="Q1708" s="108" t="str">
        <f t="shared" si="3"/>
        <v>2024</v>
      </c>
      <c r="R1708" s="110">
        <f t="shared" si="4"/>
        <v>7</v>
      </c>
      <c r="S1708" s="108" t="str">
        <f t="shared" si="5"/>
        <v>2024-Q3</v>
      </c>
      <c r="T1708" s="111" t="str">
        <f t="shared" si="6"/>
        <v>2024-07</v>
      </c>
      <c r="U1708" s="112" t="str">
        <f t="shared" si="7"/>
        <v>2024-H2</v>
      </c>
      <c r="V1708" s="1" t="str">
        <f>VLOOKUP(B1708,Bounties!A:E,2,FALSE)</f>
        <v>Spanish Bounty</v>
      </c>
    </row>
    <row r="1709" hidden="1">
      <c r="A1709" s="109">
        <f>HYPERLINK("https://polkadot.subsquare.io/treasury/child-bounties/1712", 1712)</f>
        <v>1712</v>
      </c>
      <c r="B1709" s="183">
        <v>42.0</v>
      </c>
      <c r="C1709" s="27" t="s">
        <v>3404</v>
      </c>
      <c r="D1709" s="27" t="s">
        <v>2169</v>
      </c>
      <c r="E1709" s="129">
        <v>56.97</v>
      </c>
      <c r="F1709" s="66">
        <v>327.80533631801603</v>
      </c>
      <c r="G1709" s="27" t="s">
        <v>3677</v>
      </c>
      <c r="H1709" s="167">
        <v>45495.0</v>
      </c>
      <c r="I1709" s="167">
        <v>45503.0</v>
      </c>
      <c r="J1709" s="66">
        <v>291.81173469543455</v>
      </c>
      <c r="M1709" s="1" t="str">
        <f>VLOOKUP(B1709,Bounties!A:D,3,FALSE)</f>
        <v>Outreach</v>
      </c>
      <c r="N1709" s="1" t="str">
        <f>VLOOKUP(B1709,Bounties!A:D,4,FALSE)</f>
        <v>Media</v>
      </c>
      <c r="O1709" s="1" t="str">
        <f t="shared" ref="O1709:P1709" si="1713">IF(ISBLANK(K1709),M1709,K1709)</f>
        <v>Outreach</v>
      </c>
      <c r="P1709" s="1" t="str">
        <f t="shared" si="1713"/>
        <v>Media</v>
      </c>
      <c r="Q1709" s="108" t="str">
        <f t="shared" si="3"/>
        <v>2024</v>
      </c>
      <c r="R1709" s="110">
        <f t="shared" si="4"/>
        <v>7</v>
      </c>
      <c r="S1709" s="108" t="str">
        <f t="shared" si="5"/>
        <v>2024-Q3</v>
      </c>
      <c r="T1709" s="111" t="str">
        <f t="shared" si="6"/>
        <v>2024-07</v>
      </c>
      <c r="U1709" s="112" t="str">
        <f t="shared" si="7"/>
        <v>2024-H2</v>
      </c>
      <c r="V1709" s="1" t="str">
        <f>VLOOKUP(B1709,Bounties!A:E,2,FALSE)</f>
        <v>Spanish Bounty</v>
      </c>
    </row>
    <row r="1710" hidden="1">
      <c r="A1710" s="109">
        <f>HYPERLINK("https://polkadot.subsquare.io/treasury/child-bounties/1713", 1713)</f>
        <v>1713</v>
      </c>
      <c r="B1710" s="183">
        <v>50.0</v>
      </c>
      <c r="C1710" s="27" t="s">
        <v>3404</v>
      </c>
      <c r="D1710" s="27" t="s">
        <v>1843</v>
      </c>
      <c r="E1710" s="129">
        <v>6404.04</v>
      </c>
      <c r="F1710" s="66">
        <v>36848.84124967575</v>
      </c>
      <c r="G1710" s="27" t="s">
        <v>3725</v>
      </c>
      <c r="H1710" s="167">
        <v>45495.0</v>
      </c>
      <c r="I1710" s="167">
        <v>45503.0</v>
      </c>
      <c r="J1710" s="66">
        <v>32802.773766174316</v>
      </c>
      <c r="M1710" s="1" t="str">
        <f>VLOOKUP(B1710,Bounties!A:D,3,FALSE)</f>
        <v>Operations</v>
      </c>
      <c r="N1710" s="1" t="str">
        <f>VLOOKUP(B1710,Bounties!A:D,4,FALSE)</f>
        <v>RPCs and Nodes</v>
      </c>
      <c r="O1710" s="1" t="str">
        <f t="shared" ref="O1710:P1710" si="1714">IF(ISBLANK(K1710),M1710,K1710)</f>
        <v>Operations</v>
      </c>
      <c r="P1710" s="1" t="str">
        <f t="shared" si="1714"/>
        <v>RPCs and Nodes</v>
      </c>
      <c r="Q1710" s="108" t="str">
        <f t="shared" si="3"/>
        <v>2024</v>
      </c>
      <c r="R1710" s="110">
        <f t="shared" si="4"/>
        <v>7</v>
      </c>
      <c r="S1710" s="108" t="str">
        <f t="shared" si="5"/>
        <v>2024-Q3</v>
      </c>
      <c r="T1710" s="111" t="str">
        <f t="shared" si="6"/>
        <v>2024-07</v>
      </c>
      <c r="U1710" s="112" t="str">
        <f t="shared" si="7"/>
        <v>2024-H2</v>
      </c>
      <c r="V1710" s="1" t="str">
        <f>VLOOKUP(B1710,Bounties!A:E,2,FALSE)</f>
        <v>Infrastructure Builders Program</v>
      </c>
    </row>
    <row r="1711" hidden="1">
      <c r="A1711" s="109">
        <f>HYPERLINK("https://polkadot.subsquare.io/treasury/child-bounties/1714", 1714)</f>
        <v>1714</v>
      </c>
      <c r="B1711" s="183">
        <v>50.0</v>
      </c>
      <c r="C1711" s="27" t="s">
        <v>3404</v>
      </c>
      <c r="D1711" s="27" t="s">
        <v>1844</v>
      </c>
      <c r="E1711" s="129">
        <v>1773.67</v>
      </c>
      <c r="F1711" s="66">
        <v>10205.695820031167</v>
      </c>
      <c r="G1711" s="27" t="s">
        <v>3650</v>
      </c>
      <c r="H1711" s="167">
        <v>45495.0</v>
      </c>
      <c r="I1711" s="167">
        <v>45508.0</v>
      </c>
      <c r="J1711" s="66">
        <v>7993.809693369866</v>
      </c>
      <c r="M1711" s="1" t="str">
        <f>VLOOKUP(B1711,Bounties!A:D,3,FALSE)</f>
        <v>Operations</v>
      </c>
      <c r="N1711" s="1" t="str">
        <f>VLOOKUP(B1711,Bounties!A:D,4,FALSE)</f>
        <v>RPCs and Nodes</v>
      </c>
      <c r="O1711" s="1" t="str">
        <f t="shared" ref="O1711:P1711" si="1715">IF(ISBLANK(K1711),M1711,K1711)</f>
        <v>Operations</v>
      </c>
      <c r="P1711" s="1" t="str">
        <f t="shared" si="1715"/>
        <v>RPCs and Nodes</v>
      </c>
      <c r="Q1711" s="108" t="str">
        <f t="shared" si="3"/>
        <v>2024</v>
      </c>
      <c r="R1711" s="110">
        <f t="shared" si="4"/>
        <v>8</v>
      </c>
      <c r="S1711" s="108" t="str">
        <f t="shared" si="5"/>
        <v>2024-Q3</v>
      </c>
      <c r="T1711" s="111" t="str">
        <f t="shared" si="6"/>
        <v>2024-08</v>
      </c>
      <c r="U1711" s="112" t="str">
        <f t="shared" si="7"/>
        <v>2024-H2</v>
      </c>
      <c r="V1711" s="1" t="str">
        <f>VLOOKUP(B1711,Bounties!A:E,2,FALSE)</f>
        <v>Infrastructure Builders Program</v>
      </c>
    </row>
    <row r="1712" hidden="1">
      <c r="A1712" s="109">
        <f>HYPERLINK("https://polkadot.subsquare.io/treasury/child-bounties/1715", 1715)</f>
        <v>1715</v>
      </c>
      <c r="B1712" s="183">
        <v>50.0</v>
      </c>
      <c r="C1712" s="27" t="s">
        <v>3404</v>
      </c>
      <c r="D1712" s="27" t="s">
        <v>1845</v>
      </c>
      <c r="E1712" s="129">
        <v>1927.09</v>
      </c>
      <c r="F1712" s="66">
        <v>11088.474382395743</v>
      </c>
      <c r="G1712" s="27" t="s">
        <v>3726</v>
      </c>
      <c r="H1712" s="167">
        <v>45495.0</v>
      </c>
      <c r="I1712" s="167">
        <v>45503.0</v>
      </c>
      <c r="J1712" s="66">
        <v>9870.940421524047</v>
      </c>
      <c r="M1712" s="1" t="str">
        <f>VLOOKUP(B1712,Bounties!A:D,3,FALSE)</f>
        <v>Operations</v>
      </c>
      <c r="N1712" s="1" t="str">
        <f>VLOOKUP(B1712,Bounties!A:D,4,FALSE)</f>
        <v>RPCs and Nodes</v>
      </c>
      <c r="O1712" s="1" t="str">
        <f t="shared" ref="O1712:P1712" si="1716">IF(ISBLANK(K1712),M1712,K1712)</f>
        <v>Operations</v>
      </c>
      <c r="P1712" s="1" t="str">
        <f t="shared" si="1716"/>
        <v>RPCs and Nodes</v>
      </c>
      <c r="Q1712" s="108" t="str">
        <f t="shared" si="3"/>
        <v>2024</v>
      </c>
      <c r="R1712" s="110">
        <f t="shared" si="4"/>
        <v>7</v>
      </c>
      <c r="S1712" s="108" t="str">
        <f t="shared" si="5"/>
        <v>2024-Q3</v>
      </c>
      <c r="T1712" s="111" t="str">
        <f t="shared" si="6"/>
        <v>2024-07</v>
      </c>
      <c r="U1712" s="112" t="str">
        <f t="shared" si="7"/>
        <v>2024-H2</v>
      </c>
      <c r="V1712" s="1" t="str">
        <f>VLOOKUP(B1712,Bounties!A:E,2,FALSE)</f>
        <v>Infrastructure Builders Program</v>
      </c>
    </row>
    <row r="1713" hidden="1">
      <c r="A1713" s="109">
        <f>HYPERLINK("https://polkadot.subsquare.io/treasury/child-bounties/1716", 1716)</f>
        <v>1716</v>
      </c>
      <c r="B1713" s="183">
        <v>50.0</v>
      </c>
      <c r="C1713" s="27" t="s">
        <v>3404</v>
      </c>
      <c r="D1713" s="27" t="s">
        <v>1846</v>
      </c>
      <c r="E1713" s="129">
        <v>2849.21</v>
      </c>
      <c r="F1713" s="66">
        <v>16394.352155356406</v>
      </c>
      <c r="G1713" s="27" t="s">
        <v>3727</v>
      </c>
      <c r="H1713" s="167">
        <v>45495.0</v>
      </c>
      <c r="I1713" s="167">
        <v>45503.0</v>
      </c>
      <c r="J1713" s="66">
        <v>14594.223496780396</v>
      </c>
      <c r="M1713" s="1" t="str">
        <f>VLOOKUP(B1713,Bounties!A:D,3,FALSE)</f>
        <v>Operations</v>
      </c>
      <c r="N1713" s="1" t="str">
        <f>VLOOKUP(B1713,Bounties!A:D,4,FALSE)</f>
        <v>RPCs and Nodes</v>
      </c>
      <c r="O1713" s="1" t="str">
        <f t="shared" ref="O1713:P1713" si="1717">IF(ISBLANK(K1713),M1713,K1713)</f>
        <v>Operations</v>
      </c>
      <c r="P1713" s="1" t="str">
        <f t="shared" si="1717"/>
        <v>RPCs and Nodes</v>
      </c>
      <c r="Q1713" s="108" t="str">
        <f t="shared" si="3"/>
        <v>2024</v>
      </c>
      <c r="R1713" s="110">
        <f t="shared" si="4"/>
        <v>7</v>
      </c>
      <c r="S1713" s="108" t="str">
        <f t="shared" si="5"/>
        <v>2024-Q3</v>
      </c>
      <c r="T1713" s="111" t="str">
        <f t="shared" si="6"/>
        <v>2024-07</v>
      </c>
      <c r="U1713" s="112" t="str">
        <f t="shared" si="7"/>
        <v>2024-H2</v>
      </c>
      <c r="V1713" s="1" t="str">
        <f>VLOOKUP(B1713,Bounties!A:E,2,FALSE)</f>
        <v>Infrastructure Builders Program</v>
      </c>
    </row>
    <row r="1714" hidden="1">
      <c r="A1714" s="109">
        <f>HYPERLINK("https://polkadot.subsquare.io/treasury/child-bounties/1717", 1717)</f>
        <v>1717</v>
      </c>
      <c r="B1714" s="183">
        <v>50.0</v>
      </c>
      <c r="C1714" s="27" t="s">
        <v>3404</v>
      </c>
      <c r="D1714" s="27" t="s">
        <v>1847</v>
      </c>
      <c r="E1714" s="129">
        <v>3292.97</v>
      </c>
      <c r="F1714" s="66">
        <v>18947.746855101585</v>
      </c>
      <c r="G1714" s="27" t="s">
        <v>3728</v>
      </c>
      <c r="H1714" s="167">
        <v>45495.0</v>
      </c>
      <c r="I1714" s="167">
        <v>45504.0</v>
      </c>
      <c r="J1714" s="66">
        <v>16608.64045237541</v>
      </c>
      <c r="M1714" s="1" t="str">
        <f>VLOOKUP(B1714,Bounties!A:D,3,FALSE)</f>
        <v>Operations</v>
      </c>
      <c r="N1714" s="1" t="str">
        <f>VLOOKUP(B1714,Bounties!A:D,4,FALSE)</f>
        <v>RPCs and Nodes</v>
      </c>
      <c r="O1714" s="1" t="str">
        <f t="shared" ref="O1714:P1714" si="1718">IF(ISBLANK(K1714),M1714,K1714)</f>
        <v>Operations</v>
      </c>
      <c r="P1714" s="1" t="str">
        <f t="shared" si="1718"/>
        <v>RPCs and Nodes</v>
      </c>
      <c r="Q1714" s="108" t="str">
        <f t="shared" si="3"/>
        <v>2024</v>
      </c>
      <c r="R1714" s="110">
        <f t="shared" si="4"/>
        <v>7</v>
      </c>
      <c r="S1714" s="108" t="str">
        <f t="shared" si="5"/>
        <v>2024-Q3</v>
      </c>
      <c r="T1714" s="111" t="str">
        <f t="shared" si="6"/>
        <v>2024-07</v>
      </c>
      <c r="U1714" s="112" t="str">
        <f t="shared" si="7"/>
        <v>2024-H2</v>
      </c>
      <c r="V1714" s="1" t="str">
        <f>VLOOKUP(B1714,Bounties!A:E,2,FALSE)</f>
        <v>Infrastructure Builders Program</v>
      </c>
    </row>
    <row r="1715" hidden="1">
      <c r="A1715" s="109">
        <f>HYPERLINK("https://polkadot.subsquare.io/treasury/child-bounties/1718", 1718)</f>
        <v>1718</v>
      </c>
      <c r="B1715" s="183">
        <v>50.0</v>
      </c>
      <c r="C1715" s="27" t="s">
        <v>3404</v>
      </c>
      <c r="D1715" s="27" t="s">
        <v>1848</v>
      </c>
      <c r="E1715" s="129">
        <v>570.08</v>
      </c>
      <c r="F1715" s="66">
        <v>3280.239882888794</v>
      </c>
      <c r="G1715" s="27" t="s">
        <v>3729</v>
      </c>
      <c r="H1715" s="167">
        <v>45495.0</v>
      </c>
      <c r="I1715" s="167">
        <v>45507.0</v>
      </c>
      <c r="J1715" s="66">
        <v>2399.0533215332034</v>
      </c>
      <c r="M1715" s="1" t="str">
        <f>VLOOKUP(B1715,Bounties!A:D,3,FALSE)</f>
        <v>Operations</v>
      </c>
      <c r="N1715" s="1" t="str">
        <f>VLOOKUP(B1715,Bounties!A:D,4,FALSE)</f>
        <v>RPCs and Nodes</v>
      </c>
      <c r="O1715" s="1" t="str">
        <f t="shared" ref="O1715:P1715" si="1719">IF(ISBLANK(K1715),M1715,K1715)</f>
        <v>Operations</v>
      </c>
      <c r="P1715" s="1" t="str">
        <f t="shared" si="1719"/>
        <v>RPCs and Nodes</v>
      </c>
      <c r="Q1715" s="108" t="str">
        <f t="shared" si="3"/>
        <v>2024</v>
      </c>
      <c r="R1715" s="110">
        <f t="shared" si="4"/>
        <v>8</v>
      </c>
      <c r="S1715" s="108" t="str">
        <f t="shared" si="5"/>
        <v>2024-Q3</v>
      </c>
      <c r="T1715" s="111" t="str">
        <f t="shared" si="6"/>
        <v>2024-08</v>
      </c>
      <c r="U1715" s="112" t="str">
        <f t="shared" si="7"/>
        <v>2024-H2</v>
      </c>
      <c r="V1715" s="1" t="str">
        <f>VLOOKUP(B1715,Bounties!A:E,2,FALSE)</f>
        <v>Infrastructure Builders Program</v>
      </c>
    </row>
    <row r="1716" hidden="1">
      <c r="A1716" s="109">
        <f>HYPERLINK("https://polkadot.subsquare.io/treasury/child-bounties/1719", 1719)</f>
        <v>1719</v>
      </c>
      <c r="B1716" s="183">
        <v>50.0</v>
      </c>
      <c r="C1716" s="27" t="s">
        <v>3404</v>
      </c>
      <c r="D1716" s="27" t="s">
        <v>1849</v>
      </c>
      <c r="E1716" s="129">
        <v>1773.67</v>
      </c>
      <c r="F1716" s="66">
        <v>10205.695820031167</v>
      </c>
      <c r="G1716" s="27" t="s">
        <v>3730</v>
      </c>
      <c r="H1716" s="167">
        <v>45495.0</v>
      </c>
      <c r="I1716" s="167">
        <v>45508.0</v>
      </c>
      <c r="J1716" s="66">
        <v>8106.847799420357</v>
      </c>
      <c r="M1716" s="1" t="str">
        <f>VLOOKUP(B1716,Bounties!A:D,3,FALSE)</f>
        <v>Operations</v>
      </c>
      <c r="N1716" s="1" t="str">
        <f>VLOOKUP(B1716,Bounties!A:D,4,FALSE)</f>
        <v>RPCs and Nodes</v>
      </c>
      <c r="O1716" s="1" t="str">
        <f t="shared" ref="O1716:P1716" si="1720">IF(ISBLANK(K1716),M1716,K1716)</f>
        <v>Operations</v>
      </c>
      <c r="P1716" s="1" t="str">
        <f t="shared" si="1720"/>
        <v>RPCs and Nodes</v>
      </c>
      <c r="Q1716" s="108" t="str">
        <f t="shared" si="3"/>
        <v>2024</v>
      </c>
      <c r="R1716" s="110">
        <f t="shared" si="4"/>
        <v>8</v>
      </c>
      <c r="S1716" s="108" t="str">
        <f t="shared" si="5"/>
        <v>2024-Q3</v>
      </c>
      <c r="T1716" s="111" t="str">
        <f t="shared" si="6"/>
        <v>2024-08</v>
      </c>
      <c r="U1716" s="112" t="str">
        <f t="shared" si="7"/>
        <v>2024-H2</v>
      </c>
      <c r="V1716" s="1" t="str">
        <f>VLOOKUP(B1716,Bounties!A:E,2,FALSE)</f>
        <v>Infrastructure Builders Program</v>
      </c>
    </row>
    <row r="1717" hidden="1">
      <c r="A1717" s="109">
        <f>HYPERLINK("https://polkadot.subsquare.io/treasury/child-bounties/1720", 1720)</f>
        <v>1720</v>
      </c>
      <c r="B1717" s="183">
        <v>50.0</v>
      </c>
      <c r="C1717" s="27" t="s">
        <v>3404</v>
      </c>
      <c r="D1717" s="27" t="s">
        <v>1850</v>
      </c>
      <c r="E1717" s="129">
        <v>2172.56</v>
      </c>
      <c r="F1717" s="66">
        <v>12500.908574180603</v>
      </c>
      <c r="G1717" s="27" t="s">
        <v>3653</v>
      </c>
      <c r="H1717" s="167">
        <v>45495.0</v>
      </c>
      <c r="I1717" s="167">
        <v>45507.0</v>
      </c>
      <c r="J1717" s="66">
        <v>9142.729589233399</v>
      </c>
      <c r="M1717" s="1" t="str">
        <f>VLOOKUP(B1717,Bounties!A:D,3,FALSE)</f>
        <v>Operations</v>
      </c>
      <c r="N1717" s="1" t="str">
        <f>VLOOKUP(B1717,Bounties!A:D,4,FALSE)</f>
        <v>RPCs and Nodes</v>
      </c>
      <c r="O1717" s="1" t="str">
        <f t="shared" ref="O1717:P1717" si="1721">IF(ISBLANK(K1717),M1717,K1717)</f>
        <v>Operations</v>
      </c>
      <c r="P1717" s="1" t="str">
        <f t="shared" si="1721"/>
        <v>RPCs and Nodes</v>
      </c>
      <c r="Q1717" s="108" t="str">
        <f t="shared" si="3"/>
        <v>2024</v>
      </c>
      <c r="R1717" s="110">
        <f t="shared" si="4"/>
        <v>8</v>
      </c>
      <c r="S1717" s="108" t="str">
        <f t="shared" si="5"/>
        <v>2024-Q3</v>
      </c>
      <c r="T1717" s="111" t="str">
        <f t="shared" si="6"/>
        <v>2024-08</v>
      </c>
      <c r="U1717" s="112" t="str">
        <f t="shared" si="7"/>
        <v>2024-H2</v>
      </c>
      <c r="V1717" s="1" t="str">
        <f>VLOOKUP(B1717,Bounties!A:E,2,FALSE)</f>
        <v>Infrastructure Builders Program</v>
      </c>
    </row>
    <row r="1718" hidden="1">
      <c r="A1718" s="109">
        <f>HYPERLINK("https://polkadot.subsquare.io/treasury/child-bounties/1721", 1721)</f>
        <v>1721</v>
      </c>
      <c r="B1718" s="183">
        <v>50.0</v>
      </c>
      <c r="C1718" s="27" t="s">
        <v>3404</v>
      </c>
      <c r="D1718" s="27" t="s">
        <v>1851</v>
      </c>
      <c r="E1718" s="129">
        <v>1865.72</v>
      </c>
      <c r="F1718" s="66">
        <v>10735.351449451447</v>
      </c>
      <c r="G1718" s="27" t="s">
        <v>3721</v>
      </c>
      <c r="H1718" s="167">
        <v>45495.0</v>
      </c>
      <c r="I1718" s="167">
        <v>45504.0</v>
      </c>
      <c r="J1718" s="66">
        <v>9556.591006774903</v>
      </c>
      <c r="M1718" s="1" t="str">
        <f>VLOOKUP(B1718,Bounties!A:D,3,FALSE)</f>
        <v>Operations</v>
      </c>
      <c r="N1718" s="1" t="str">
        <f>VLOOKUP(B1718,Bounties!A:D,4,FALSE)</f>
        <v>RPCs and Nodes</v>
      </c>
      <c r="O1718" s="1" t="str">
        <f t="shared" ref="O1718:P1718" si="1722">IF(ISBLANK(K1718),M1718,K1718)</f>
        <v>Operations</v>
      </c>
      <c r="P1718" s="1" t="str">
        <f t="shared" si="1722"/>
        <v>RPCs and Nodes</v>
      </c>
      <c r="Q1718" s="108" t="str">
        <f t="shared" si="3"/>
        <v>2024</v>
      </c>
      <c r="R1718" s="110">
        <f t="shared" si="4"/>
        <v>7</v>
      </c>
      <c r="S1718" s="108" t="str">
        <f t="shared" si="5"/>
        <v>2024-Q3</v>
      </c>
      <c r="T1718" s="111" t="str">
        <f t="shared" si="6"/>
        <v>2024-07</v>
      </c>
      <c r="U1718" s="112" t="str">
        <f t="shared" si="7"/>
        <v>2024-H2</v>
      </c>
      <c r="V1718" s="1" t="str">
        <f>VLOOKUP(B1718,Bounties!A:E,2,FALSE)</f>
        <v>Infrastructure Builders Program</v>
      </c>
    </row>
    <row r="1719" hidden="1">
      <c r="A1719" s="109">
        <f>HYPERLINK("https://polkadot.subsquare.io/treasury/child-bounties/1722", 1722)</f>
        <v>1722</v>
      </c>
      <c r="B1719" s="183">
        <v>50.0</v>
      </c>
      <c r="C1719" s="27" t="s">
        <v>3404</v>
      </c>
      <c r="D1719" s="27" t="s">
        <v>1852</v>
      </c>
      <c r="E1719" s="129">
        <v>1865.72</v>
      </c>
      <c r="F1719" s="66">
        <v>10735.351449451447</v>
      </c>
      <c r="G1719" s="27" t="s">
        <v>3731</v>
      </c>
      <c r="H1719" s="167">
        <v>45495.0</v>
      </c>
      <c r="I1719" s="167">
        <v>45504.0</v>
      </c>
      <c r="J1719" s="66">
        <v>9410.068316688537</v>
      </c>
      <c r="M1719" s="1" t="str">
        <f>VLOOKUP(B1719,Bounties!A:D,3,FALSE)</f>
        <v>Operations</v>
      </c>
      <c r="N1719" s="1" t="str">
        <f>VLOOKUP(B1719,Bounties!A:D,4,FALSE)</f>
        <v>RPCs and Nodes</v>
      </c>
      <c r="O1719" s="1" t="str">
        <f t="shared" ref="O1719:P1719" si="1723">IF(ISBLANK(K1719),M1719,K1719)</f>
        <v>Operations</v>
      </c>
      <c r="P1719" s="1" t="str">
        <f t="shared" si="1723"/>
        <v>RPCs and Nodes</v>
      </c>
      <c r="Q1719" s="108" t="str">
        <f t="shared" si="3"/>
        <v>2024</v>
      </c>
      <c r="R1719" s="110">
        <f t="shared" si="4"/>
        <v>7</v>
      </c>
      <c r="S1719" s="108" t="str">
        <f t="shared" si="5"/>
        <v>2024-Q3</v>
      </c>
      <c r="T1719" s="111" t="str">
        <f t="shared" si="6"/>
        <v>2024-07</v>
      </c>
      <c r="U1719" s="112" t="str">
        <f t="shared" si="7"/>
        <v>2024-H2</v>
      </c>
      <c r="V1719" s="1" t="str">
        <f>VLOOKUP(B1719,Bounties!A:E,2,FALSE)</f>
        <v>Infrastructure Builders Program</v>
      </c>
    </row>
    <row r="1720" hidden="1">
      <c r="A1720" s="109">
        <f>HYPERLINK("https://polkadot.subsquare.io/treasury/child-bounties/1723", 1723)</f>
        <v>1723</v>
      </c>
      <c r="B1720" s="183">
        <v>50.0</v>
      </c>
      <c r="C1720" s="27" t="s">
        <v>3404</v>
      </c>
      <c r="D1720" s="27" t="s">
        <v>1853</v>
      </c>
      <c r="E1720" s="129">
        <v>2062.27</v>
      </c>
      <c r="F1720" s="66">
        <v>11866.299998745919</v>
      </c>
      <c r="G1720" s="27" t="s">
        <v>3594</v>
      </c>
      <c r="H1720" s="167">
        <v>45495.0</v>
      </c>
      <c r="I1720" s="167">
        <v>45508.0</v>
      </c>
      <c r="J1720" s="66">
        <v>9425.941134095192</v>
      </c>
      <c r="M1720" s="1" t="str">
        <f>VLOOKUP(B1720,Bounties!A:D,3,FALSE)</f>
        <v>Operations</v>
      </c>
      <c r="N1720" s="1" t="str">
        <f>VLOOKUP(B1720,Bounties!A:D,4,FALSE)</f>
        <v>RPCs and Nodes</v>
      </c>
      <c r="O1720" s="1" t="str">
        <f t="shared" ref="O1720:P1720" si="1724">IF(ISBLANK(K1720),M1720,K1720)</f>
        <v>Operations</v>
      </c>
      <c r="P1720" s="1" t="str">
        <f t="shared" si="1724"/>
        <v>RPCs and Nodes</v>
      </c>
      <c r="Q1720" s="108" t="str">
        <f t="shared" si="3"/>
        <v>2024</v>
      </c>
      <c r="R1720" s="110">
        <f t="shared" si="4"/>
        <v>8</v>
      </c>
      <c r="S1720" s="108" t="str">
        <f t="shared" si="5"/>
        <v>2024-Q3</v>
      </c>
      <c r="T1720" s="111" t="str">
        <f t="shared" si="6"/>
        <v>2024-08</v>
      </c>
      <c r="U1720" s="112" t="str">
        <f t="shared" si="7"/>
        <v>2024-H2</v>
      </c>
      <c r="V1720" s="1" t="str">
        <f>VLOOKUP(B1720,Bounties!A:E,2,FALSE)</f>
        <v>Infrastructure Builders Program</v>
      </c>
    </row>
    <row r="1721" hidden="1">
      <c r="A1721" s="109">
        <f>HYPERLINK("https://polkadot.subsquare.io/treasury/child-bounties/1724", 1724)</f>
        <v>1724</v>
      </c>
      <c r="B1721" s="183">
        <v>50.0</v>
      </c>
      <c r="C1721" s="27" t="s">
        <v>3404</v>
      </c>
      <c r="D1721" s="27" t="s">
        <v>1854</v>
      </c>
      <c r="E1721" s="129">
        <v>1773.67</v>
      </c>
      <c r="F1721" s="66">
        <v>10205.695820031167</v>
      </c>
      <c r="G1721" s="27" t="s">
        <v>3732</v>
      </c>
      <c r="H1721" s="167">
        <v>45495.0</v>
      </c>
      <c r="I1721" s="167">
        <v>45507.0</v>
      </c>
      <c r="J1721" s="66">
        <v>7993.809693369866</v>
      </c>
      <c r="M1721" s="1" t="str">
        <f>VLOOKUP(B1721,Bounties!A:D,3,FALSE)</f>
        <v>Operations</v>
      </c>
      <c r="N1721" s="1" t="str">
        <f>VLOOKUP(B1721,Bounties!A:D,4,FALSE)</f>
        <v>RPCs and Nodes</v>
      </c>
      <c r="O1721" s="1" t="str">
        <f t="shared" ref="O1721:P1721" si="1725">IF(ISBLANK(K1721),M1721,K1721)</f>
        <v>Operations</v>
      </c>
      <c r="P1721" s="1" t="str">
        <f t="shared" si="1725"/>
        <v>RPCs and Nodes</v>
      </c>
      <c r="Q1721" s="108" t="str">
        <f t="shared" si="3"/>
        <v>2024</v>
      </c>
      <c r="R1721" s="110">
        <f t="shared" si="4"/>
        <v>8</v>
      </c>
      <c r="S1721" s="108" t="str">
        <f t="shared" si="5"/>
        <v>2024-Q3</v>
      </c>
      <c r="T1721" s="111" t="str">
        <f t="shared" si="6"/>
        <v>2024-08</v>
      </c>
      <c r="U1721" s="112" t="str">
        <f t="shared" si="7"/>
        <v>2024-H2</v>
      </c>
      <c r="V1721" s="1" t="str">
        <f>VLOOKUP(B1721,Bounties!A:E,2,FALSE)</f>
        <v>Infrastructure Builders Program</v>
      </c>
    </row>
    <row r="1722" hidden="1">
      <c r="A1722" s="109">
        <f>HYPERLINK("https://polkadot.subsquare.io/treasury/child-bounties/1725", 1725)</f>
        <v>1725</v>
      </c>
      <c r="B1722" s="183">
        <v>50.0</v>
      </c>
      <c r="C1722" s="27" t="s">
        <v>3404</v>
      </c>
      <c r="D1722" s="27" t="s">
        <v>2170</v>
      </c>
      <c r="E1722" s="129">
        <v>28.5</v>
      </c>
      <c r="F1722" s="66">
        <v>163.9889781475067</v>
      </c>
      <c r="G1722" s="27" t="s">
        <v>3771</v>
      </c>
      <c r="H1722" s="167">
        <v>45495.0</v>
      </c>
      <c r="I1722" s="167">
        <v>45528.0</v>
      </c>
      <c r="J1722" s="66">
        <v>130.03150820732117</v>
      </c>
      <c r="M1722" s="1" t="str">
        <f>VLOOKUP(B1722,Bounties!A:D,3,FALSE)</f>
        <v>Operations</v>
      </c>
      <c r="N1722" s="1" t="str">
        <f>VLOOKUP(B1722,Bounties!A:D,4,FALSE)</f>
        <v>RPCs and Nodes</v>
      </c>
      <c r="O1722" s="1" t="str">
        <f t="shared" ref="O1722:P1722" si="1726">IF(ISBLANK(K1722),M1722,K1722)</f>
        <v>Operations</v>
      </c>
      <c r="P1722" s="1" t="str">
        <f t="shared" si="1726"/>
        <v>RPCs and Nodes</v>
      </c>
      <c r="Q1722" s="108" t="str">
        <f t="shared" si="3"/>
        <v>2024</v>
      </c>
      <c r="R1722" s="110">
        <f t="shared" si="4"/>
        <v>8</v>
      </c>
      <c r="S1722" s="108" t="str">
        <f t="shared" si="5"/>
        <v>2024-Q3</v>
      </c>
      <c r="T1722" s="111" t="str">
        <f t="shared" si="6"/>
        <v>2024-08</v>
      </c>
      <c r="U1722" s="112" t="str">
        <f t="shared" si="7"/>
        <v>2024-H2</v>
      </c>
      <c r="V1722" s="1" t="str">
        <f>VLOOKUP(B1722,Bounties!A:E,2,FALSE)</f>
        <v>Infrastructure Builders Program</v>
      </c>
    </row>
    <row r="1723">
      <c r="A1723" s="109">
        <f>HYPERLINK("https://polkadot.subsquare.io/treasury/child-bounties/1726", 1726)</f>
        <v>1726</v>
      </c>
      <c r="B1723" s="183">
        <v>37.0</v>
      </c>
      <c r="C1723" s="27" t="s">
        <v>3404</v>
      </c>
      <c r="D1723" s="27" t="s">
        <v>2171</v>
      </c>
      <c r="E1723" s="129">
        <v>5147.75</v>
      </c>
      <c r="F1723" s="66">
        <v>30217.404824256897</v>
      </c>
      <c r="G1723" s="27" t="s">
        <v>3772</v>
      </c>
      <c r="H1723" s="167">
        <v>45496.0</v>
      </c>
      <c r="I1723" s="167">
        <v>45514.0</v>
      </c>
      <c r="J1723" s="66">
        <v>23419.600199103355</v>
      </c>
      <c r="M1723" s="1" t="str">
        <f>VLOOKUP(B1723,Bounties!A:D,3,FALSE)</f>
        <v>Operations</v>
      </c>
      <c r="N1723" s="1" t="str">
        <f>VLOOKUP(B1723,Bounties!A:D,4,FALSE)</f>
        <v>Infrastructure</v>
      </c>
      <c r="O1723" s="1" t="str">
        <f t="shared" ref="O1723:P1723" si="1727">IF(ISBLANK(K1723),M1723,K1723)</f>
        <v>Operations</v>
      </c>
      <c r="P1723" s="1" t="str">
        <f t="shared" si="1727"/>
        <v>Infrastructure</v>
      </c>
      <c r="Q1723" s="108" t="str">
        <f t="shared" si="3"/>
        <v>2024</v>
      </c>
      <c r="R1723" s="110">
        <f t="shared" si="4"/>
        <v>8</v>
      </c>
      <c r="S1723" s="108" t="str">
        <f t="shared" si="5"/>
        <v>2024-Q3</v>
      </c>
      <c r="T1723" s="111" t="str">
        <f t="shared" si="6"/>
        <v>2024-08</v>
      </c>
      <c r="U1723" s="112" t="str">
        <f t="shared" si="7"/>
        <v>2024-H2</v>
      </c>
      <c r="V1723" s="1" t="str">
        <f>VLOOKUP(B1723,Bounties!A:E,2,FALSE)</f>
        <v>Paseo Testnet Bounty</v>
      </c>
    </row>
    <row r="1724">
      <c r="A1724" s="109">
        <f>HYPERLINK("https://polkadot.subsquare.io/treasury/child-bounties/1727", 1727)</f>
        <v>1727</v>
      </c>
      <c r="B1724" s="183">
        <v>37.0</v>
      </c>
      <c r="C1724" s="27" t="s">
        <v>3404</v>
      </c>
      <c r="D1724" s="27" t="s">
        <v>2172</v>
      </c>
      <c r="E1724" s="129">
        <v>5147.75</v>
      </c>
      <c r="F1724" s="66">
        <v>30217.404824256897</v>
      </c>
      <c r="G1724" s="27" t="s">
        <v>3649</v>
      </c>
      <c r="H1724" s="167">
        <v>45496.0</v>
      </c>
      <c r="I1724" s="167">
        <v>45531.0</v>
      </c>
      <c r="J1724" s="66">
        <v>22024.57514822483</v>
      </c>
      <c r="M1724" s="1" t="str">
        <f>VLOOKUP(B1724,Bounties!A:D,3,FALSE)</f>
        <v>Operations</v>
      </c>
      <c r="N1724" s="1" t="str">
        <f>VLOOKUP(B1724,Bounties!A:D,4,FALSE)</f>
        <v>Infrastructure</v>
      </c>
      <c r="O1724" s="1" t="str">
        <f t="shared" ref="O1724:P1724" si="1728">IF(ISBLANK(K1724),M1724,K1724)</f>
        <v>Operations</v>
      </c>
      <c r="P1724" s="1" t="str">
        <f t="shared" si="1728"/>
        <v>Infrastructure</v>
      </c>
      <c r="Q1724" s="108" t="str">
        <f t="shared" si="3"/>
        <v>2024</v>
      </c>
      <c r="R1724" s="110">
        <f t="shared" si="4"/>
        <v>8</v>
      </c>
      <c r="S1724" s="108" t="str">
        <f t="shared" si="5"/>
        <v>2024-Q3</v>
      </c>
      <c r="T1724" s="111" t="str">
        <f t="shared" si="6"/>
        <v>2024-08</v>
      </c>
      <c r="U1724" s="112" t="str">
        <f t="shared" si="7"/>
        <v>2024-H2</v>
      </c>
      <c r="V1724" s="1" t="str">
        <f>VLOOKUP(B1724,Bounties!A:E,2,FALSE)</f>
        <v>Paseo Testnet Bounty</v>
      </c>
    </row>
    <row r="1725">
      <c r="A1725" s="109">
        <f>HYPERLINK("https://polkadot.subsquare.io/treasury/child-bounties/1728", 1728)</f>
        <v>1728</v>
      </c>
      <c r="B1725" s="183">
        <v>37.0</v>
      </c>
      <c r="C1725" s="27" t="s">
        <v>3404</v>
      </c>
      <c r="D1725" s="27" t="s">
        <v>2173</v>
      </c>
      <c r="E1725" s="129">
        <v>2382.52</v>
      </c>
      <c r="F1725" s="66">
        <v>13985.444386749268</v>
      </c>
      <c r="G1725" s="27" t="s">
        <v>3773</v>
      </c>
      <c r="H1725" s="167">
        <v>45496.0</v>
      </c>
      <c r="I1725" s="167">
        <v>45510.0</v>
      </c>
      <c r="J1725" s="66">
        <v>11628.801881828307</v>
      </c>
      <c r="M1725" s="1" t="str">
        <f>VLOOKUP(B1725,Bounties!A:D,3,FALSE)</f>
        <v>Operations</v>
      </c>
      <c r="N1725" s="1" t="str">
        <f>VLOOKUP(B1725,Bounties!A:D,4,FALSE)</f>
        <v>Infrastructure</v>
      </c>
      <c r="O1725" s="1" t="str">
        <f t="shared" ref="O1725:P1725" si="1729">IF(ISBLANK(K1725),M1725,K1725)</f>
        <v>Operations</v>
      </c>
      <c r="P1725" s="1" t="str">
        <f t="shared" si="1729"/>
        <v>Infrastructure</v>
      </c>
      <c r="Q1725" s="108" t="str">
        <f t="shared" si="3"/>
        <v>2024</v>
      </c>
      <c r="R1725" s="110">
        <f t="shared" si="4"/>
        <v>8</v>
      </c>
      <c r="S1725" s="108" t="str">
        <f t="shared" si="5"/>
        <v>2024-Q3</v>
      </c>
      <c r="T1725" s="111" t="str">
        <f t="shared" si="6"/>
        <v>2024-08</v>
      </c>
      <c r="U1725" s="112" t="str">
        <f t="shared" si="7"/>
        <v>2024-H2</v>
      </c>
      <c r="V1725" s="1" t="str">
        <f>VLOOKUP(B1725,Bounties!A:E,2,FALSE)</f>
        <v>Paseo Testnet Bounty</v>
      </c>
    </row>
    <row r="1726" hidden="1">
      <c r="A1726" s="109">
        <f>HYPERLINK("https://polkadot.subsquare.io/treasury/child-bounties/1729", 1729)</f>
        <v>1729</v>
      </c>
      <c r="B1726" s="183">
        <v>42.0</v>
      </c>
      <c r="C1726" s="27" t="s">
        <v>3404</v>
      </c>
      <c r="D1726" s="27" t="s">
        <v>2174</v>
      </c>
      <c r="E1726" s="129">
        <v>4.88</v>
      </c>
      <c r="F1726" s="66">
        <v>28.645706481933594</v>
      </c>
      <c r="G1726" s="27" t="s">
        <v>3702</v>
      </c>
      <c r="H1726" s="167">
        <v>45496.0</v>
      </c>
      <c r="I1726" s="167">
        <v>45504.0</v>
      </c>
      <c r="J1726" s="66">
        <v>24.61308952331543</v>
      </c>
      <c r="M1726" s="1" t="str">
        <f>VLOOKUP(B1726,Bounties!A:D,3,FALSE)</f>
        <v>Outreach</v>
      </c>
      <c r="N1726" s="1" t="str">
        <f>VLOOKUP(B1726,Bounties!A:D,4,FALSE)</f>
        <v>Media</v>
      </c>
      <c r="O1726" s="1" t="str">
        <f t="shared" ref="O1726:P1726" si="1730">IF(ISBLANK(K1726),M1726,K1726)</f>
        <v>Outreach</v>
      </c>
      <c r="P1726" s="1" t="str">
        <f t="shared" si="1730"/>
        <v>Media</v>
      </c>
      <c r="Q1726" s="108" t="str">
        <f t="shared" si="3"/>
        <v>2024</v>
      </c>
      <c r="R1726" s="110">
        <f t="shared" si="4"/>
        <v>7</v>
      </c>
      <c r="S1726" s="108" t="str">
        <f t="shared" si="5"/>
        <v>2024-Q3</v>
      </c>
      <c r="T1726" s="111" t="str">
        <f t="shared" si="6"/>
        <v>2024-07</v>
      </c>
      <c r="U1726" s="112" t="str">
        <f t="shared" si="7"/>
        <v>2024-H2</v>
      </c>
      <c r="V1726" s="1" t="str">
        <f>VLOOKUP(B1726,Bounties!A:E,2,FALSE)</f>
        <v>Spanish Bounty</v>
      </c>
    </row>
    <row r="1727" hidden="1">
      <c r="A1727" s="109">
        <f>HYPERLINK("https://polkadot.subsquare.io/treasury/child-bounties/1730", 1730)</f>
        <v>1730</v>
      </c>
      <c r="B1727" s="183">
        <v>42.0</v>
      </c>
      <c r="C1727" s="27" t="s">
        <v>3404</v>
      </c>
      <c r="D1727" s="27" t="s">
        <v>2175</v>
      </c>
      <c r="E1727" s="129">
        <v>12.97</v>
      </c>
      <c r="F1727" s="66">
        <v>76.13418300628662</v>
      </c>
      <c r="G1727" s="27" t="s">
        <v>3704</v>
      </c>
      <c r="H1727" s="167">
        <v>45496.0</v>
      </c>
      <c r="I1727" s="167">
        <v>45507.0</v>
      </c>
      <c r="J1727" s="66">
        <v>58.45490520954132</v>
      </c>
      <c r="M1727" s="1" t="str">
        <f>VLOOKUP(B1727,Bounties!A:D,3,FALSE)</f>
        <v>Outreach</v>
      </c>
      <c r="N1727" s="1" t="str">
        <f>VLOOKUP(B1727,Bounties!A:D,4,FALSE)</f>
        <v>Media</v>
      </c>
      <c r="O1727" s="1" t="str">
        <f t="shared" ref="O1727:P1727" si="1731">IF(ISBLANK(K1727),M1727,K1727)</f>
        <v>Outreach</v>
      </c>
      <c r="P1727" s="1" t="str">
        <f t="shared" si="1731"/>
        <v>Media</v>
      </c>
      <c r="Q1727" s="108" t="str">
        <f t="shared" si="3"/>
        <v>2024</v>
      </c>
      <c r="R1727" s="110">
        <f t="shared" si="4"/>
        <v>8</v>
      </c>
      <c r="S1727" s="108" t="str">
        <f t="shared" si="5"/>
        <v>2024-Q3</v>
      </c>
      <c r="T1727" s="111" t="str">
        <f t="shared" si="6"/>
        <v>2024-08</v>
      </c>
      <c r="U1727" s="112" t="str">
        <f t="shared" si="7"/>
        <v>2024-H2</v>
      </c>
      <c r="V1727" s="1" t="str">
        <f>VLOOKUP(B1727,Bounties!A:E,2,FALSE)</f>
        <v>Spanish Bounty</v>
      </c>
    </row>
    <row r="1728" hidden="1">
      <c r="A1728" s="109">
        <f>HYPERLINK("https://polkadot.subsquare.io/treasury/child-bounties/1731", 1731)</f>
        <v>1731</v>
      </c>
      <c r="B1728" s="183">
        <v>42.0</v>
      </c>
      <c r="C1728" s="27" t="s">
        <v>3404</v>
      </c>
      <c r="D1728" s="27" t="s">
        <v>2176</v>
      </c>
      <c r="E1728" s="129">
        <v>4.88</v>
      </c>
      <c r="F1728" s="66">
        <v>28.645706481933594</v>
      </c>
      <c r="G1728" s="27" t="s">
        <v>3683</v>
      </c>
      <c r="H1728" s="167">
        <v>45496.0</v>
      </c>
      <c r="I1728" s="167">
        <v>45505.0</v>
      </c>
      <c r="J1728" s="66">
        <v>22.857149848937986</v>
      </c>
      <c r="M1728" s="1" t="str">
        <f>VLOOKUP(B1728,Bounties!A:D,3,FALSE)</f>
        <v>Outreach</v>
      </c>
      <c r="N1728" s="1" t="str">
        <f>VLOOKUP(B1728,Bounties!A:D,4,FALSE)</f>
        <v>Media</v>
      </c>
      <c r="O1728" s="1" t="str">
        <f t="shared" ref="O1728:P1728" si="1732">IF(ISBLANK(K1728),M1728,K1728)</f>
        <v>Outreach</v>
      </c>
      <c r="P1728" s="1" t="str">
        <f t="shared" si="1732"/>
        <v>Media</v>
      </c>
      <c r="Q1728" s="108" t="str">
        <f t="shared" si="3"/>
        <v>2024</v>
      </c>
      <c r="R1728" s="110">
        <f t="shared" si="4"/>
        <v>8</v>
      </c>
      <c r="S1728" s="108" t="str">
        <f t="shared" si="5"/>
        <v>2024-Q3</v>
      </c>
      <c r="T1728" s="111" t="str">
        <f t="shared" si="6"/>
        <v>2024-08</v>
      </c>
      <c r="U1728" s="112" t="str">
        <f t="shared" si="7"/>
        <v>2024-H2</v>
      </c>
      <c r="V1728" s="1" t="str">
        <f>VLOOKUP(B1728,Bounties!A:E,2,FALSE)</f>
        <v>Spanish Bounty</v>
      </c>
    </row>
    <row r="1729" hidden="1">
      <c r="A1729" s="109">
        <f>HYPERLINK("https://polkadot.subsquare.io/treasury/child-bounties/1733", 1733)</f>
        <v>1733</v>
      </c>
      <c r="B1729" s="183">
        <v>24.0</v>
      </c>
      <c r="C1729" s="27" t="s">
        <v>3404</v>
      </c>
      <c r="D1729" s="27" t="s">
        <v>2177</v>
      </c>
      <c r="E1729" s="129">
        <v>250.3261</v>
      </c>
      <c r="F1729" s="66">
        <v>1459.6724600605487</v>
      </c>
      <c r="G1729" s="27" t="s">
        <v>3409</v>
      </c>
      <c r="H1729" s="167">
        <v>45498.0</v>
      </c>
      <c r="I1729" s="167">
        <v>45509.0</v>
      </c>
      <c r="J1729" s="66">
        <v>1221.812460231495</v>
      </c>
      <c r="M1729" s="1" t="str">
        <f>VLOOKUP(B1729,Bounties!A:D,3,FALSE)</f>
        <v>Outreach</v>
      </c>
      <c r="N1729" s="1" t="str">
        <f>VLOOKUP(B1729,Bounties!A:D,4,FALSE)</f>
        <v>Community Building</v>
      </c>
      <c r="O1729" s="1" t="str">
        <f t="shared" ref="O1729:P1729" si="1733">IF(ISBLANK(K1729),M1729,K1729)</f>
        <v>Outreach</v>
      </c>
      <c r="P1729" s="1" t="str">
        <f t="shared" si="1733"/>
        <v>Community Building</v>
      </c>
      <c r="Q1729" s="108" t="str">
        <f t="shared" si="3"/>
        <v>2024</v>
      </c>
      <c r="R1729" s="110">
        <f t="shared" si="4"/>
        <v>8</v>
      </c>
      <c r="S1729" s="108" t="str">
        <f t="shared" si="5"/>
        <v>2024-Q3</v>
      </c>
      <c r="T1729" s="111" t="str">
        <f t="shared" si="6"/>
        <v>2024-08</v>
      </c>
      <c r="U1729" s="112" t="str">
        <f t="shared" si="7"/>
        <v>2024-H2</v>
      </c>
      <c r="V1729" s="1" t="str">
        <f>VLOOKUP(B1729,Bounties!A:E,2,FALSE)</f>
        <v>Moderation Team Bounty</v>
      </c>
    </row>
    <row r="1730" hidden="1">
      <c r="A1730" s="109">
        <f>HYPERLINK("https://polkadot.subsquare.io/treasury/child-bounties/1734", 1734)</f>
        <v>1734</v>
      </c>
      <c r="B1730" s="183">
        <v>24.0</v>
      </c>
      <c r="C1730" s="27" t="s">
        <v>3404</v>
      </c>
      <c r="D1730" s="27" t="s">
        <v>2178</v>
      </c>
      <c r="E1730" s="129">
        <v>250.3261</v>
      </c>
      <c r="F1730" s="66">
        <v>1459.6724600605487</v>
      </c>
      <c r="G1730" s="27" t="s">
        <v>3486</v>
      </c>
      <c r="H1730" s="167">
        <v>45498.0</v>
      </c>
      <c r="I1730" s="167">
        <v>45507.0</v>
      </c>
      <c r="J1730" s="66">
        <v>1128.2026558962345</v>
      </c>
      <c r="M1730" s="1" t="str">
        <f>VLOOKUP(B1730,Bounties!A:D,3,FALSE)</f>
        <v>Outreach</v>
      </c>
      <c r="N1730" s="1" t="str">
        <f>VLOOKUP(B1730,Bounties!A:D,4,FALSE)</f>
        <v>Community Building</v>
      </c>
      <c r="O1730" s="1" t="str">
        <f t="shared" ref="O1730:P1730" si="1734">IF(ISBLANK(K1730),M1730,K1730)</f>
        <v>Outreach</v>
      </c>
      <c r="P1730" s="1" t="str">
        <f t="shared" si="1734"/>
        <v>Community Building</v>
      </c>
      <c r="Q1730" s="108" t="str">
        <f t="shared" si="3"/>
        <v>2024</v>
      </c>
      <c r="R1730" s="110">
        <f t="shared" si="4"/>
        <v>8</v>
      </c>
      <c r="S1730" s="108" t="str">
        <f t="shared" si="5"/>
        <v>2024-Q3</v>
      </c>
      <c r="T1730" s="111" t="str">
        <f t="shared" si="6"/>
        <v>2024-08</v>
      </c>
      <c r="U1730" s="112" t="str">
        <f t="shared" si="7"/>
        <v>2024-H2</v>
      </c>
      <c r="V1730" s="1" t="str">
        <f>VLOOKUP(B1730,Bounties!A:E,2,FALSE)</f>
        <v>Moderation Team Bounty</v>
      </c>
    </row>
    <row r="1731" hidden="1">
      <c r="A1731" s="109">
        <f>HYPERLINK("https://polkadot.subsquare.io/treasury/child-bounties/1735", 1735)</f>
        <v>1735</v>
      </c>
      <c r="B1731" s="183">
        <v>24.0</v>
      </c>
      <c r="C1731" s="27" t="s">
        <v>3404</v>
      </c>
      <c r="D1731" s="27" t="s">
        <v>2179</v>
      </c>
      <c r="E1731" s="129">
        <v>269.0802</v>
      </c>
      <c r="F1731" s="66">
        <v>1569.0291882771492</v>
      </c>
      <c r="G1731" s="27" t="s">
        <v>3550</v>
      </c>
      <c r="H1731" s="167">
        <v>45498.0</v>
      </c>
      <c r="I1731" s="167">
        <v>45507.0</v>
      </c>
      <c r="J1731" s="66">
        <v>1212.7261052247047</v>
      </c>
      <c r="M1731" s="1" t="str">
        <f>VLOOKUP(B1731,Bounties!A:D,3,FALSE)</f>
        <v>Outreach</v>
      </c>
      <c r="N1731" s="1" t="str">
        <f>VLOOKUP(B1731,Bounties!A:D,4,FALSE)</f>
        <v>Community Building</v>
      </c>
      <c r="O1731" s="1" t="str">
        <f t="shared" ref="O1731:P1731" si="1735">IF(ISBLANK(K1731),M1731,K1731)</f>
        <v>Outreach</v>
      </c>
      <c r="P1731" s="1" t="str">
        <f t="shared" si="1735"/>
        <v>Community Building</v>
      </c>
      <c r="Q1731" s="108" t="str">
        <f t="shared" si="3"/>
        <v>2024</v>
      </c>
      <c r="R1731" s="110">
        <f t="shared" si="4"/>
        <v>8</v>
      </c>
      <c r="S1731" s="108" t="str">
        <f t="shared" si="5"/>
        <v>2024-Q3</v>
      </c>
      <c r="T1731" s="111" t="str">
        <f t="shared" si="6"/>
        <v>2024-08</v>
      </c>
      <c r="U1731" s="112" t="str">
        <f t="shared" si="7"/>
        <v>2024-H2</v>
      </c>
      <c r="V1731" s="1" t="str">
        <f>VLOOKUP(B1731,Bounties!A:E,2,FALSE)</f>
        <v>Moderation Team Bounty</v>
      </c>
    </row>
    <row r="1732" hidden="1">
      <c r="A1732" s="109">
        <f>HYPERLINK("https://polkadot.subsquare.io/treasury/child-bounties/1736", 1736)</f>
        <v>1736</v>
      </c>
      <c r="B1732" s="183">
        <v>24.0</v>
      </c>
      <c r="C1732" s="27" t="s">
        <v>3404</v>
      </c>
      <c r="D1732" s="27" t="s">
        <v>2180</v>
      </c>
      <c r="E1732" s="129">
        <v>228.3105</v>
      </c>
      <c r="F1732" s="66">
        <v>1331.297652113199</v>
      </c>
      <c r="G1732" s="27" t="s">
        <v>3549</v>
      </c>
      <c r="H1732" s="167">
        <v>45498.0</v>
      </c>
      <c r="I1732" s="167">
        <v>45507.0</v>
      </c>
      <c r="J1732" s="66">
        <v>1028.9798485615254</v>
      </c>
      <c r="M1732" s="1" t="str">
        <f>VLOOKUP(B1732,Bounties!A:D,3,FALSE)</f>
        <v>Outreach</v>
      </c>
      <c r="N1732" s="1" t="str">
        <f>VLOOKUP(B1732,Bounties!A:D,4,FALSE)</f>
        <v>Community Building</v>
      </c>
      <c r="O1732" s="1" t="str">
        <f t="shared" ref="O1732:P1732" si="1736">IF(ISBLANK(K1732),M1732,K1732)</f>
        <v>Outreach</v>
      </c>
      <c r="P1732" s="1" t="str">
        <f t="shared" si="1736"/>
        <v>Community Building</v>
      </c>
      <c r="Q1732" s="108" t="str">
        <f t="shared" si="3"/>
        <v>2024</v>
      </c>
      <c r="R1732" s="110">
        <f t="shared" si="4"/>
        <v>8</v>
      </c>
      <c r="S1732" s="108" t="str">
        <f t="shared" si="5"/>
        <v>2024-Q3</v>
      </c>
      <c r="T1732" s="111" t="str">
        <f t="shared" si="6"/>
        <v>2024-08</v>
      </c>
      <c r="U1732" s="112" t="str">
        <f t="shared" si="7"/>
        <v>2024-H2</v>
      </c>
      <c r="V1732" s="1" t="str">
        <f>VLOOKUP(B1732,Bounties!A:E,2,FALSE)</f>
        <v>Moderation Team Bounty</v>
      </c>
    </row>
    <row r="1733" hidden="1">
      <c r="A1733" s="109">
        <f>HYPERLINK("https://polkadot.subsquare.io/treasury/child-bounties/1737", 1737)</f>
        <v>1737</v>
      </c>
      <c r="B1733" s="183">
        <v>24.0</v>
      </c>
      <c r="C1733" s="27" t="s">
        <v>3404</v>
      </c>
      <c r="D1733" s="27" t="s">
        <v>2181</v>
      </c>
      <c r="E1733" s="129">
        <v>228.3105</v>
      </c>
      <c r="F1733" s="66">
        <v>1331.297652113199</v>
      </c>
      <c r="G1733" s="27" t="s">
        <v>3408</v>
      </c>
      <c r="H1733" s="167">
        <v>45498.0</v>
      </c>
      <c r="I1733" s="167">
        <v>45508.0</v>
      </c>
      <c r="J1733" s="66">
        <v>1028.9798485615254</v>
      </c>
      <c r="M1733" s="1" t="str">
        <f>VLOOKUP(B1733,Bounties!A:D,3,FALSE)</f>
        <v>Outreach</v>
      </c>
      <c r="N1733" s="1" t="str">
        <f>VLOOKUP(B1733,Bounties!A:D,4,FALSE)</f>
        <v>Community Building</v>
      </c>
      <c r="O1733" s="1" t="str">
        <f t="shared" ref="O1733:P1733" si="1737">IF(ISBLANK(K1733),M1733,K1733)</f>
        <v>Outreach</v>
      </c>
      <c r="P1733" s="1" t="str">
        <f t="shared" si="1737"/>
        <v>Community Building</v>
      </c>
      <c r="Q1733" s="108" t="str">
        <f t="shared" si="3"/>
        <v>2024</v>
      </c>
      <c r="R1733" s="110">
        <f t="shared" si="4"/>
        <v>8</v>
      </c>
      <c r="S1733" s="108" t="str">
        <f t="shared" si="5"/>
        <v>2024-Q3</v>
      </c>
      <c r="T1733" s="111" t="str">
        <f t="shared" si="6"/>
        <v>2024-08</v>
      </c>
      <c r="U1733" s="112" t="str">
        <f t="shared" si="7"/>
        <v>2024-H2</v>
      </c>
      <c r="V1733" s="1" t="str">
        <f>VLOOKUP(B1733,Bounties!A:E,2,FALSE)</f>
        <v>Moderation Team Bounty</v>
      </c>
    </row>
    <row r="1734" hidden="1">
      <c r="A1734" s="109">
        <f>HYPERLINK("https://polkadot.subsquare.io/treasury/child-bounties/1738", 1738)</f>
        <v>1738</v>
      </c>
      <c r="B1734" s="183">
        <v>24.0</v>
      </c>
      <c r="C1734" s="27" t="s">
        <v>3404</v>
      </c>
      <c r="D1734" s="27" t="s">
        <v>2182</v>
      </c>
      <c r="E1734" s="129">
        <v>228.3105</v>
      </c>
      <c r="F1734" s="66">
        <v>1331.297652113199</v>
      </c>
      <c r="G1734" s="27" t="s">
        <v>3548</v>
      </c>
      <c r="H1734" s="167">
        <v>45498.0</v>
      </c>
      <c r="I1734" s="167">
        <v>45508.0</v>
      </c>
      <c r="J1734" s="66">
        <v>1043.5303492248058</v>
      </c>
      <c r="M1734" s="1" t="str">
        <f>VLOOKUP(B1734,Bounties!A:D,3,FALSE)</f>
        <v>Outreach</v>
      </c>
      <c r="N1734" s="1" t="str">
        <f>VLOOKUP(B1734,Bounties!A:D,4,FALSE)</f>
        <v>Community Building</v>
      </c>
      <c r="O1734" s="1" t="str">
        <f t="shared" ref="O1734:P1734" si="1738">IF(ISBLANK(K1734),M1734,K1734)</f>
        <v>Outreach</v>
      </c>
      <c r="P1734" s="1" t="str">
        <f t="shared" si="1738"/>
        <v>Community Building</v>
      </c>
      <c r="Q1734" s="108" t="str">
        <f t="shared" si="3"/>
        <v>2024</v>
      </c>
      <c r="R1734" s="110">
        <f t="shared" si="4"/>
        <v>8</v>
      </c>
      <c r="S1734" s="108" t="str">
        <f t="shared" si="5"/>
        <v>2024-Q3</v>
      </c>
      <c r="T1734" s="111" t="str">
        <f t="shared" si="6"/>
        <v>2024-08</v>
      </c>
      <c r="U1734" s="112" t="str">
        <f t="shared" si="7"/>
        <v>2024-H2</v>
      </c>
      <c r="V1734" s="1" t="str">
        <f>VLOOKUP(B1734,Bounties!A:E,2,FALSE)</f>
        <v>Moderation Team Bounty</v>
      </c>
    </row>
    <row r="1735" hidden="1">
      <c r="A1735" s="109">
        <f>HYPERLINK("https://polkadot.subsquare.io/treasury/child-bounties/1739", 1739)</f>
        <v>1739</v>
      </c>
      <c r="B1735" s="183">
        <v>24.0</v>
      </c>
      <c r="C1735" s="27" t="s">
        <v>3404</v>
      </c>
      <c r="D1735" s="27" t="s">
        <v>2183</v>
      </c>
      <c r="E1735" s="129">
        <v>228.3105</v>
      </c>
      <c r="F1735" s="66">
        <v>1331.297652113199</v>
      </c>
      <c r="G1735" s="27" t="s">
        <v>3526</v>
      </c>
      <c r="H1735" s="167">
        <v>45498.0</v>
      </c>
      <c r="I1735" s="167">
        <v>45507.0</v>
      </c>
      <c r="J1735" s="66">
        <v>1028.9798485615254</v>
      </c>
      <c r="M1735" s="1" t="str">
        <f>VLOOKUP(B1735,Bounties!A:D,3,FALSE)</f>
        <v>Outreach</v>
      </c>
      <c r="N1735" s="1" t="str">
        <f>VLOOKUP(B1735,Bounties!A:D,4,FALSE)</f>
        <v>Community Building</v>
      </c>
      <c r="O1735" s="1" t="str">
        <f t="shared" ref="O1735:P1735" si="1739">IF(ISBLANK(K1735),M1735,K1735)</f>
        <v>Outreach</v>
      </c>
      <c r="P1735" s="1" t="str">
        <f t="shared" si="1739"/>
        <v>Community Building</v>
      </c>
      <c r="Q1735" s="108" t="str">
        <f t="shared" si="3"/>
        <v>2024</v>
      </c>
      <c r="R1735" s="110">
        <f t="shared" si="4"/>
        <v>8</v>
      </c>
      <c r="S1735" s="108" t="str">
        <f t="shared" si="5"/>
        <v>2024-Q3</v>
      </c>
      <c r="T1735" s="111" t="str">
        <f t="shared" si="6"/>
        <v>2024-08</v>
      </c>
      <c r="U1735" s="112" t="str">
        <f t="shared" si="7"/>
        <v>2024-H2</v>
      </c>
      <c r="V1735" s="1" t="str">
        <f>VLOOKUP(B1735,Bounties!A:E,2,FALSE)</f>
        <v>Moderation Team Bounty</v>
      </c>
    </row>
    <row r="1736" hidden="1">
      <c r="A1736" s="109">
        <f>HYPERLINK("https://polkadot.subsquare.io/treasury/child-bounties/1740", 1740)</f>
        <v>1740</v>
      </c>
      <c r="B1736" s="183">
        <v>24.0</v>
      </c>
      <c r="C1736" s="27" t="s">
        <v>3404</v>
      </c>
      <c r="D1736" s="27" t="s">
        <v>2184</v>
      </c>
      <c r="E1736" s="129">
        <v>228.3105</v>
      </c>
      <c r="F1736" s="66">
        <v>1331.297652113199</v>
      </c>
      <c r="G1736" s="27" t="s">
        <v>3424</v>
      </c>
      <c r="H1736" s="167">
        <v>45498.0</v>
      </c>
      <c r="I1736" s="167">
        <v>45507.0</v>
      </c>
      <c r="J1736" s="66">
        <v>1028.9798485615254</v>
      </c>
      <c r="M1736" s="1" t="str">
        <f>VLOOKUP(B1736,Bounties!A:D,3,FALSE)</f>
        <v>Outreach</v>
      </c>
      <c r="N1736" s="1" t="str">
        <f>VLOOKUP(B1736,Bounties!A:D,4,FALSE)</f>
        <v>Community Building</v>
      </c>
      <c r="O1736" s="1" t="str">
        <f t="shared" ref="O1736:P1736" si="1740">IF(ISBLANK(K1736),M1736,K1736)</f>
        <v>Outreach</v>
      </c>
      <c r="P1736" s="1" t="str">
        <f t="shared" si="1740"/>
        <v>Community Building</v>
      </c>
      <c r="Q1736" s="108" t="str">
        <f t="shared" si="3"/>
        <v>2024</v>
      </c>
      <c r="R1736" s="110">
        <f t="shared" si="4"/>
        <v>8</v>
      </c>
      <c r="S1736" s="108" t="str">
        <f t="shared" si="5"/>
        <v>2024-Q3</v>
      </c>
      <c r="T1736" s="111" t="str">
        <f t="shared" si="6"/>
        <v>2024-08</v>
      </c>
      <c r="U1736" s="112" t="str">
        <f t="shared" si="7"/>
        <v>2024-H2</v>
      </c>
      <c r="V1736" s="1" t="str">
        <f>VLOOKUP(B1736,Bounties!A:E,2,FALSE)</f>
        <v>Moderation Team Bounty</v>
      </c>
    </row>
    <row r="1737" hidden="1">
      <c r="A1737" s="109">
        <f>HYPERLINK("https://polkadot.subsquare.io/treasury/child-bounties/1741", 1741)</f>
        <v>1741</v>
      </c>
      <c r="B1737" s="183">
        <v>24.0</v>
      </c>
      <c r="C1737" s="27" t="s">
        <v>3404</v>
      </c>
      <c r="D1737" s="27" t="s">
        <v>2185</v>
      </c>
      <c r="E1737" s="129">
        <v>228.3105</v>
      </c>
      <c r="F1737" s="66">
        <v>1331.297652113199</v>
      </c>
      <c r="G1737" s="27" t="s">
        <v>3469</v>
      </c>
      <c r="H1737" s="167">
        <v>45498.0</v>
      </c>
      <c r="I1737" s="167">
        <v>45512.0</v>
      </c>
      <c r="J1737" s="66">
        <v>1026.5575593688488</v>
      </c>
      <c r="M1737" s="1" t="str">
        <f>VLOOKUP(B1737,Bounties!A:D,3,FALSE)</f>
        <v>Outreach</v>
      </c>
      <c r="N1737" s="1" t="str">
        <f>VLOOKUP(B1737,Bounties!A:D,4,FALSE)</f>
        <v>Community Building</v>
      </c>
      <c r="O1737" s="1" t="str">
        <f t="shared" ref="O1737:P1737" si="1741">IF(ISBLANK(K1737),M1737,K1737)</f>
        <v>Outreach</v>
      </c>
      <c r="P1737" s="1" t="str">
        <f t="shared" si="1741"/>
        <v>Community Building</v>
      </c>
      <c r="Q1737" s="108" t="str">
        <f t="shared" si="3"/>
        <v>2024</v>
      </c>
      <c r="R1737" s="110">
        <f t="shared" si="4"/>
        <v>8</v>
      </c>
      <c r="S1737" s="108" t="str">
        <f t="shared" si="5"/>
        <v>2024-Q3</v>
      </c>
      <c r="T1737" s="111" t="str">
        <f t="shared" si="6"/>
        <v>2024-08</v>
      </c>
      <c r="U1737" s="112" t="str">
        <f t="shared" si="7"/>
        <v>2024-H2</v>
      </c>
      <c r="V1737" s="1" t="str">
        <f>VLOOKUP(B1737,Bounties!A:E,2,FALSE)</f>
        <v>Moderation Team Bounty</v>
      </c>
    </row>
    <row r="1738" hidden="1">
      <c r="A1738" s="109">
        <f>HYPERLINK("https://polkadot.subsquare.io/treasury/child-bounties/1742", 1742)</f>
        <v>1742</v>
      </c>
      <c r="B1738" s="183">
        <v>24.0</v>
      </c>
      <c r="C1738" s="27" t="s">
        <v>3404</v>
      </c>
      <c r="D1738" s="27" t="s">
        <v>2186</v>
      </c>
      <c r="E1738" s="129">
        <v>228.3105</v>
      </c>
      <c r="F1738" s="66">
        <v>1331.297652113199</v>
      </c>
      <c r="G1738" s="27" t="s">
        <v>3562</v>
      </c>
      <c r="H1738" s="167">
        <v>45498.0</v>
      </c>
      <c r="I1738" s="167">
        <v>45508.0</v>
      </c>
      <c r="J1738" s="66">
        <v>1028.9798485615254</v>
      </c>
      <c r="M1738" s="1" t="str">
        <f>VLOOKUP(B1738,Bounties!A:D,3,FALSE)</f>
        <v>Outreach</v>
      </c>
      <c r="N1738" s="1" t="str">
        <f>VLOOKUP(B1738,Bounties!A:D,4,FALSE)</f>
        <v>Community Building</v>
      </c>
      <c r="O1738" s="1" t="str">
        <f t="shared" ref="O1738:P1738" si="1742">IF(ISBLANK(K1738),M1738,K1738)</f>
        <v>Outreach</v>
      </c>
      <c r="P1738" s="1" t="str">
        <f t="shared" si="1742"/>
        <v>Community Building</v>
      </c>
      <c r="Q1738" s="108" t="str">
        <f t="shared" si="3"/>
        <v>2024</v>
      </c>
      <c r="R1738" s="110">
        <f t="shared" si="4"/>
        <v>8</v>
      </c>
      <c r="S1738" s="108" t="str">
        <f t="shared" si="5"/>
        <v>2024-Q3</v>
      </c>
      <c r="T1738" s="111" t="str">
        <f t="shared" si="6"/>
        <v>2024-08</v>
      </c>
      <c r="U1738" s="112" t="str">
        <f t="shared" si="7"/>
        <v>2024-H2</v>
      </c>
      <c r="V1738" s="1" t="str">
        <f>VLOOKUP(B1738,Bounties!A:E,2,FALSE)</f>
        <v>Moderation Team Bounty</v>
      </c>
    </row>
    <row r="1739" hidden="1">
      <c r="A1739" s="109">
        <f>HYPERLINK("https://polkadot.subsquare.io/treasury/child-bounties/1743", 1743)</f>
        <v>1743</v>
      </c>
      <c r="B1739" s="183">
        <v>24.0</v>
      </c>
      <c r="C1739" s="27" t="s">
        <v>3404</v>
      </c>
      <c r="D1739" s="27" t="s">
        <v>2187</v>
      </c>
      <c r="E1739" s="129">
        <v>228.3105</v>
      </c>
      <c r="F1739" s="66">
        <v>1331.297652113199</v>
      </c>
      <c r="G1739" s="27" t="s">
        <v>3457</v>
      </c>
      <c r="H1739" s="167">
        <v>45498.0</v>
      </c>
      <c r="I1739" s="167">
        <v>45507.0</v>
      </c>
      <c r="J1739" s="66">
        <v>1028.9798485615254</v>
      </c>
      <c r="M1739" s="1" t="str">
        <f>VLOOKUP(B1739,Bounties!A:D,3,FALSE)</f>
        <v>Outreach</v>
      </c>
      <c r="N1739" s="1" t="str">
        <f>VLOOKUP(B1739,Bounties!A:D,4,FALSE)</f>
        <v>Community Building</v>
      </c>
      <c r="O1739" s="1" t="str">
        <f t="shared" ref="O1739:P1739" si="1743">IF(ISBLANK(K1739),M1739,K1739)</f>
        <v>Outreach</v>
      </c>
      <c r="P1739" s="1" t="str">
        <f t="shared" si="1743"/>
        <v>Community Building</v>
      </c>
      <c r="Q1739" s="108" t="str">
        <f t="shared" si="3"/>
        <v>2024</v>
      </c>
      <c r="R1739" s="110">
        <f t="shared" si="4"/>
        <v>8</v>
      </c>
      <c r="S1739" s="108" t="str">
        <f t="shared" si="5"/>
        <v>2024-Q3</v>
      </c>
      <c r="T1739" s="111" t="str">
        <f t="shared" si="6"/>
        <v>2024-08</v>
      </c>
      <c r="U1739" s="112" t="str">
        <f t="shared" si="7"/>
        <v>2024-H2</v>
      </c>
      <c r="V1739" s="1" t="str">
        <f>VLOOKUP(B1739,Bounties!A:E,2,FALSE)</f>
        <v>Moderation Team Bounty</v>
      </c>
    </row>
    <row r="1740" hidden="1">
      <c r="A1740" s="109">
        <f>HYPERLINK("https://polkadot.subsquare.io/treasury/child-bounties/1744", 1744)</f>
        <v>1744</v>
      </c>
      <c r="B1740" s="183">
        <v>24.0</v>
      </c>
      <c r="C1740" s="27" t="s">
        <v>3404</v>
      </c>
      <c r="D1740" s="27" t="s">
        <v>2188</v>
      </c>
      <c r="E1740" s="129">
        <v>228.3105</v>
      </c>
      <c r="F1740" s="66">
        <v>1331.297652113199</v>
      </c>
      <c r="G1740" s="27" t="s">
        <v>3407</v>
      </c>
      <c r="H1740" s="167">
        <v>45498.0</v>
      </c>
      <c r="I1740" s="167">
        <v>45508.0</v>
      </c>
      <c r="J1740" s="66">
        <v>1043.5303492248058</v>
      </c>
      <c r="M1740" s="1" t="str">
        <f>VLOOKUP(B1740,Bounties!A:D,3,FALSE)</f>
        <v>Outreach</v>
      </c>
      <c r="N1740" s="1" t="str">
        <f>VLOOKUP(B1740,Bounties!A:D,4,FALSE)</f>
        <v>Community Building</v>
      </c>
      <c r="O1740" s="1" t="str">
        <f t="shared" ref="O1740:P1740" si="1744">IF(ISBLANK(K1740),M1740,K1740)</f>
        <v>Outreach</v>
      </c>
      <c r="P1740" s="1" t="str">
        <f t="shared" si="1744"/>
        <v>Community Building</v>
      </c>
      <c r="Q1740" s="108" t="str">
        <f t="shared" si="3"/>
        <v>2024</v>
      </c>
      <c r="R1740" s="110">
        <f t="shared" si="4"/>
        <v>8</v>
      </c>
      <c r="S1740" s="108" t="str">
        <f t="shared" si="5"/>
        <v>2024-Q3</v>
      </c>
      <c r="T1740" s="111" t="str">
        <f t="shared" si="6"/>
        <v>2024-08</v>
      </c>
      <c r="U1740" s="112" t="str">
        <f t="shared" si="7"/>
        <v>2024-H2</v>
      </c>
      <c r="V1740" s="1" t="str">
        <f>VLOOKUP(B1740,Bounties!A:E,2,FALSE)</f>
        <v>Moderation Team Bounty</v>
      </c>
    </row>
    <row r="1741" hidden="1">
      <c r="A1741" s="109">
        <f>HYPERLINK("https://polkadot.subsquare.io/treasury/child-bounties/1745", 1745)</f>
        <v>1745</v>
      </c>
      <c r="B1741" s="183">
        <v>24.0</v>
      </c>
      <c r="C1741" s="27" t="s">
        <v>3404</v>
      </c>
      <c r="D1741" s="27" t="s">
        <v>2189</v>
      </c>
      <c r="E1741" s="129">
        <v>228.3105</v>
      </c>
      <c r="F1741" s="66">
        <v>1331.297652113199</v>
      </c>
      <c r="G1741" s="27" t="s">
        <v>3406</v>
      </c>
      <c r="H1741" s="167">
        <v>45498.0</v>
      </c>
      <c r="I1741" s="167">
        <v>45531.0</v>
      </c>
      <c r="J1741" s="66">
        <v>970.4869534714221</v>
      </c>
      <c r="M1741" s="1" t="str">
        <f>VLOOKUP(B1741,Bounties!A:D,3,FALSE)</f>
        <v>Outreach</v>
      </c>
      <c r="N1741" s="1" t="str">
        <f>VLOOKUP(B1741,Bounties!A:D,4,FALSE)</f>
        <v>Community Building</v>
      </c>
      <c r="O1741" s="1" t="str">
        <f t="shared" ref="O1741:P1741" si="1745">IF(ISBLANK(K1741),M1741,K1741)</f>
        <v>Outreach</v>
      </c>
      <c r="P1741" s="1" t="str">
        <f t="shared" si="1745"/>
        <v>Community Building</v>
      </c>
      <c r="Q1741" s="108" t="str">
        <f t="shared" si="3"/>
        <v>2024</v>
      </c>
      <c r="R1741" s="110">
        <f t="shared" si="4"/>
        <v>8</v>
      </c>
      <c r="S1741" s="108" t="str">
        <f t="shared" si="5"/>
        <v>2024-Q3</v>
      </c>
      <c r="T1741" s="111" t="str">
        <f t="shared" si="6"/>
        <v>2024-08</v>
      </c>
      <c r="U1741" s="112" t="str">
        <f t="shared" si="7"/>
        <v>2024-H2</v>
      </c>
      <c r="V1741" s="1" t="str">
        <f>VLOOKUP(B1741,Bounties!A:E,2,FALSE)</f>
        <v>Moderation Team Bounty</v>
      </c>
    </row>
    <row r="1742" hidden="1">
      <c r="A1742" s="109">
        <f>HYPERLINK("https://polkadot.subsquare.io/treasury/child-bounties/1746", 1746)</f>
        <v>1746</v>
      </c>
      <c r="B1742" s="183">
        <v>17.0</v>
      </c>
      <c r="C1742" s="27" t="s">
        <v>3404</v>
      </c>
      <c r="D1742" s="27" t="s">
        <v>2190</v>
      </c>
      <c r="E1742" s="129">
        <v>425.39</v>
      </c>
      <c r="F1742" s="66">
        <v>2349.076736097336</v>
      </c>
      <c r="G1742" s="27" t="s">
        <v>3774</v>
      </c>
      <c r="H1742" s="167">
        <v>45500.0</v>
      </c>
      <c r="I1742" s="167">
        <v>45510.0</v>
      </c>
      <c r="J1742" s="66">
        <v>2036.6274046230315</v>
      </c>
      <c r="L1742" s="1" t="s">
        <v>266</v>
      </c>
      <c r="M1742" s="1" t="str">
        <f>VLOOKUP(B1742,Bounties!A:D,3,FALSE)</f>
        <v>Outreach</v>
      </c>
      <c r="N1742" s="1" t="str">
        <f>VLOOKUP(B1742,Bounties!A:D,4,FALSE)</f>
        <v>Events/Meetups</v>
      </c>
      <c r="O1742" s="1" t="str">
        <f t="shared" ref="O1742:P1742" si="1746">IF(ISBLANK(K1742),M1742,K1742)</f>
        <v>Outreach</v>
      </c>
      <c r="P1742" s="1" t="str">
        <f t="shared" si="1746"/>
        <v>Events/Conference Attendance &amp; Side Events</v>
      </c>
      <c r="Q1742" s="108" t="str">
        <f t="shared" si="3"/>
        <v>2024</v>
      </c>
      <c r="R1742" s="110">
        <f t="shared" si="4"/>
        <v>8</v>
      </c>
      <c r="S1742" s="108" t="str">
        <f t="shared" si="5"/>
        <v>2024-Q3</v>
      </c>
      <c r="T1742" s="111" t="str">
        <f t="shared" si="6"/>
        <v>2024-08</v>
      </c>
      <c r="U1742" s="112" t="str">
        <f t="shared" si="7"/>
        <v>2024-H2</v>
      </c>
      <c r="V1742" s="1" t="str">
        <f>VLOOKUP(B1742,Bounties!A:E,2,FALSE)</f>
        <v>Events Bounty</v>
      </c>
    </row>
    <row r="1743" hidden="1">
      <c r="A1743" s="109">
        <f>HYPERLINK("https://polkadot.subsquare.io/treasury/child-bounties/1747", 1747)</f>
        <v>1747</v>
      </c>
      <c r="B1743" s="183">
        <v>17.0</v>
      </c>
      <c r="C1743" s="27" t="s">
        <v>3427</v>
      </c>
      <c r="D1743" s="27" t="s">
        <v>2210</v>
      </c>
      <c r="E1743" s="129">
        <v>7891.1</v>
      </c>
      <c r="F1743" s="66">
        <v>43576.0112654686</v>
      </c>
      <c r="H1743" s="167">
        <v>45500.0</v>
      </c>
      <c r="I1743" s="167">
        <v>45503.0</v>
      </c>
      <c r="J1743" s="66">
        <v>40419.7925163269</v>
      </c>
      <c r="L1743" s="1" t="s">
        <v>266</v>
      </c>
      <c r="M1743" s="1" t="str">
        <f>VLOOKUP(B1743,Bounties!A:D,3,FALSE)</f>
        <v>Outreach</v>
      </c>
      <c r="N1743" s="1" t="str">
        <f>VLOOKUP(B1743,Bounties!A:D,4,FALSE)</f>
        <v>Events/Meetups</v>
      </c>
      <c r="O1743" s="1" t="str">
        <f t="shared" ref="O1743:P1743" si="1747">IF(ISBLANK(K1743),M1743,K1743)</f>
        <v>Outreach</v>
      </c>
      <c r="P1743" s="1" t="str">
        <f t="shared" si="1747"/>
        <v>Events/Conference Attendance &amp; Side Events</v>
      </c>
      <c r="Q1743" s="108" t="str">
        <f t="shared" si="3"/>
        <v>2024</v>
      </c>
      <c r="R1743" s="110">
        <f t="shared" si="4"/>
        <v>7</v>
      </c>
      <c r="S1743" s="108" t="str">
        <f t="shared" si="5"/>
        <v>2024-Q3</v>
      </c>
      <c r="T1743" s="111" t="str">
        <f t="shared" si="6"/>
        <v>2024-07</v>
      </c>
      <c r="U1743" s="112" t="str">
        <f t="shared" si="7"/>
        <v>2024-H2</v>
      </c>
      <c r="V1743" s="1" t="str">
        <f>VLOOKUP(B1743,Bounties!A:E,2,FALSE)</f>
        <v>Events Bounty</v>
      </c>
    </row>
    <row r="1744" hidden="1">
      <c r="A1744" s="109">
        <f>HYPERLINK("https://polkadot.subsquare.io/treasury/child-bounties/1748", 1748)</f>
        <v>1748</v>
      </c>
      <c r="B1744" s="183">
        <v>17.0</v>
      </c>
      <c r="C1744" s="27" t="s">
        <v>3404</v>
      </c>
      <c r="D1744" s="27" t="s">
        <v>2191</v>
      </c>
      <c r="E1744" s="129">
        <v>21025.52</v>
      </c>
      <c r="F1744" s="66">
        <v>116106.53728660583</v>
      </c>
      <c r="G1744" s="27" t="s">
        <v>3775</v>
      </c>
      <c r="H1744" s="167">
        <v>45500.0</v>
      </c>
      <c r="I1744" s="167">
        <v>45509.0</v>
      </c>
      <c r="J1744" s="66">
        <v>102623.10769371034</v>
      </c>
      <c r="L1744" s="1" t="s">
        <v>266</v>
      </c>
      <c r="M1744" s="1" t="str">
        <f>VLOOKUP(B1744,Bounties!A:D,3,FALSE)</f>
        <v>Outreach</v>
      </c>
      <c r="N1744" s="1" t="str">
        <f>VLOOKUP(B1744,Bounties!A:D,4,FALSE)</f>
        <v>Events/Meetups</v>
      </c>
      <c r="O1744" s="1" t="str">
        <f t="shared" ref="O1744:P1744" si="1748">IF(ISBLANK(K1744),M1744,K1744)</f>
        <v>Outreach</v>
      </c>
      <c r="P1744" s="1" t="str">
        <f t="shared" si="1748"/>
        <v>Events/Conference Attendance &amp; Side Events</v>
      </c>
      <c r="Q1744" s="108" t="str">
        <f t="shared" si="3"/>
        <v>2024</v>
      </c>
      <c r="R1744" s="110">
        <f t="shared" si="4"/>
        <v>8</v>
      </c>
      <c r="S1744" s="108" t="str">
        <f t="shared" si="5"/>
        <v>2024-Q3</v>
      </c>
      <c r="T1744" s="111" t="str">
        <f t="shared" si="6"/>
        <v>2024-08</v>
      </c>
      <c r="U1744" s="112" t="str">
        <f t="shared" si="7"/>
        <v>2024-H2</v>
      </c>
      <c r="V1744" s="1" t="str">
        <f>VLOOKUP(B1744,Bounties!A:E,2,FALSE)</f>
        <v>Events Bounty</v>
      </c>
    </row>
    <row r="1745" hidden="1">
      <c r="A1745" s="109">
        <f>HYPERLINK("https://polkadot.subsquare.io/treasury/child-bounties/1749", 1749)</f>
        <v>1749</v>
      </c>
      <c r="B1745" s="183">
        <v>17.0</v>
      </c>
      <c r="C1745" s="27" t="s">
        <v>3404</v>
      </c>
      <c r="D1745" s="27" t="s">
        <v>2192</v>
      </c>
      <c r="E1745" s="129">
        <v>3639.78</v>
      </c>
      <c r="F1745" s="66">
        <v>20099.49110818863</v>
      </c>
      <c r="G1745" s="27" t="s">
        <v>3776</v>
      </c>
      <c r="H1745" s="167">
        <v>45500.0</v>
      </c>
      <c r="I1745" s="167">
        <v>45514.0</v>
      </c>
      <c r="J1745" s="66">
        <v>16559.116587381362</v>
      </c>
      <c r="L1745" s="1" t="s">
        <v>266</v>
      </c>
      <c r="M1745" s="1" t="str">
        <f>VLOOKUP(B1745,Bounties!A:D,3,FALSE)</f>
        <v>Outreach</v>
      </c>
      <c r="N1745" s="1" t="str">
        <f>VLOOKUP(B1745,Bounties!A:D,4,FALSE)</f>
        <v>Events/Meetups</v>
      </c>
      <c r="O1745" s="1" t="str">
        <f t="shared" ref="O1745:P1745" si="1749">IF(ISBLANK(K1745),M1745,K1745)</f>
        <v>Outreach</v>
      </c>
      <c r="P1745" s="1" t="str">
        <f t="shared" si="1749"/>
        <v>Events/Conference Attendance &amp; Side Events</v>
      </c>
      <c r="Q1745" s="108" t="str">
        <f t="shared" si="3"/>
        <v>2024</v>
      </c>
      <c r="R1745" s="110">
        <f t="shared" si="4"/>
        <v>8</v>
      </c>
      <c r="S1745" s="108" t="str">
        <f t="shared" si="5"/>
        <v>2024-Q3</v>
      </c>
      <c r="T1745" s="111" t="str">
        <f t="shared" si="6"/>
        <v>2024-08</v>
      </c>
      <c r="U1745" s="112" t="str">
        <f t="shared" si="7"/>
        <v>2024-H2</v>
      </c>
      <c r="V1745" s="1" t="str">
        <f>VLOOKUP(B1745,Bounties!A:E,2,FALSE)</f>
        <v>Events Bounty</v>
      </c>
    </row>
    <row r="1746" hidden="1">
      <c r="A1746" s="109">
        <f>HYPERLINK("https://polkadot.subsquare.io/treasury/child-bounties/1750", 1750)</f>
        <v>1750</v>
      </c>
      <c r="B1746" s="183">
        <v>17.0</v>
      </c>
      <c r="C1746" s="27" t="s">
        <v>3404</v>
      </c>
      <c r="D1746" s="27" t="s">
        <v>2193</v>
      </c>
      <c r="E1746" s="129">
        <v>12677.22</v>
      </c>
      <c r="F1746" s="66">
        <v>70005.78899454116</v>
      </c>
      <c r="G1746" s="27" t="s">
        <v>3614</v>
      </c>
      <c r="H1746" s="167">
        <v>45500.0</v>
      </c>
      <c r="I1746" s="167">
        <v>45509.0</v>
      </c>
      <c r="J1746" s="66">
        <v>61876.03033441543</v>
      </c>
      <c r="L1746" s="1" t="s">
        <v>266</v>
      </c>
      <c r="M1746" s="1" t="str">
        <f>VLOOKUP(B1746,Bounties!A:D,3,FALSE)</f>
        <v>Outreach</v>
      </c>
      <c r="N1746" s="1" t="str">
        <f>VLOOKUP(B1746,Bounties!A:D,4,FALSE)</f>
        <v>Events/Meetups</v>
      </c>
      <c r="O1746" s="1" t="str">
        <f t="shared" ref="O1746:P1746" si="1750">IF(ISBLANK(K1746),M1746,K1746)</f>
        <v>Outreach</v>
      </c>
      <c r="P1746" s="1" t="str">
        <f t="shared" si="1750"/>
        <v>Events/Conference Attendance &amp; Side Events</v>
      </c>
      <c r="Q1746" s="108" t="str">
        <f t="shared" si="3"/>
        <v>2024</v>
      </c>
      <c r="R1746" s="110">
        <f t="shared" si="4"/>
        <v>8</v>
      </c>
      <c r="S1746" s="108" t="str">
        <f t="shared" si="5"/>
        <v>2024-Q3</v>
      </c>
      <c r="T1746" s="111" t="str">
        <f t="shared" si="6"/>
        <v>2024-08</v>
      </c>
      <c r="U1746" s="112" t="str">
        <f t="shared" si="7"/>
        <v>2024-H2</v>
      </c>
      <c r="V1746" s="1" t="str">
        <f>VLOOKUP(B1746,Bounties!A:E,2,FALSE)</f>
        <v>Events Bounty</v>
      </c>
    </row>
    <row r="1747" hidden="1">
      <c r="A1747" s="109">
        <f>HYPERLINK("https://polkadot.subsquare.io/treasury/child-bounties/1751", 1751)</f>
        <v>1751</v>
      </c>
      <c r="B1747" s="183">
        <v>42.0</v>
      </c>
      <c r="C1747" s="27" t="s">
        <v>3404</v>
      </c>
      <c r="D1747" s="27" t="s">
        <v>2194</v>
      </c>
      <c r="E1747" s="129">
        <v>16.87</v>
      </c>
      <c r="F1747" s="66">
        <v>90.13554817199707</v>
      </c>
      <c r="G1747" s="27" t="s">
        <v>3702</v>
      </c>
      <c r="H1747" s="167">
        <v>45502.0</v>
      </c>
      <c r="I1747" s="167">
        <v>45510.0</v>
      </c>
      <c r="J1747" s="66">
        <v>80.76801127433777</v>
      </c>
      <c r="M1747" s="1" t="str">
        <f>VLOOKUP(B1747,Bounties!A:D,3,FALSE)</f>
        <v>Outreach</v>
      </c>
      <c r="N1747" s="1" t="str">
        <f>VLOOKUP(B1747,Bounties!A:D,4,FALSE)</f>
        <v>Media</v>
      </c>
      <c r="O1747" s="1" t="str">
        <f t="shared" ref="O1747:P1747" si="1751">IF(ISBLANK(K1747),M1747,K1747)</f>
        <v>Outreach</v>
      </c>
      <c r="P1747" s="1" t="str">
        <f t="shared" si="1751"/>
        <v>Media</v>
      </c>
      <c r="Q1747" s="108" t="str">
        <f t="shared" si="3"/>
        <v>2024</v>
      </c>
      <c r="R1747" s="110">
        <f t="shared" si="4"/>
        <v>8</v>
      </c>
      <c r="S1747" s="108" t="str">
        <f t="shared" si="5"/>
        <v>2024-Q3</v>
      </c>
      <c r="T1747" s="111" t="str">
        <f t="shared" si="6"/>
        <v>2024-08</v>
      </c>
      <c r="U1747" s="112" t="str">
        <f t="shared" si="7"/>
        <v>2024-H2</v>
      </c>
      <c r="V1747" s="1" t="str">
        <f>VLOOKUP(B1747,Bounties!A:E,2,FALSE)</f>
        <v>Spanish Bounty</v>
      </c>
    </row>
    <row r="1748" hidden="1">
      <c r="A1748" s="109">
        <f>HYPERLINK("https://polkadot.subsquare.io/treasury/child-bounties/1752", 1752)</f>
        <v>1752</v>
      </c>
      <c r="B1748" s="183">
        <v>42.0</v>
      </c>
      <c r="C1748" s="27" t="s">
        <v>3404</v>
      </c>
      <c r="D1748" s="27" t="s">
        <v>2195</v>
      </c>
      <c r="E1748" s="129">
        <v>30.58</v>
      </c>
      <c r="F1748" s="66">
        <v>163.3873777770996</v>
      </c>
      <c r="G1748" s="27" t="s">
        <v>3722</v>
      </c>
      <c r="H1748" s="167">
        <v>45502.0</v>
      </c>
      <c r="I1748" s="167">
        <v>45512.0</v>
      </c>
      <c r="J1748" s="66">
        <v>145.44068311691282</v>
      </c>
      <c r="M1748" s="1" t="str">
        <f>VLOOKUP(B1748,Bounties!A:D,3,FALSE)</f>
        <v>Outreach</v>
      </c>
      <c r="N1748" s="1" t="str">
        <f>VLOOKUP(B1748,Bounties!A:D,4,FALSE)</f>
        <v>Media</v>
      </c>
      <c r="O1748" s="1" t="str">
        <f t="shared" ref="O1748:P1748" si="1752">IF(ISBLANK(K1748),M1748,K1748)</f>
        <v>Outreach</v>
      </c>
      <c r="P1748" s="1" t="str">
        <f t="shared" si="1752"/>
        <v>Media</v>
      </c>
      <c r="Q1748" s="108" t="str">
        <f t="shared" si="3"/>
        <v>2024</v>
      </c>
      <c r="R1748" s="110">
        <f t="shared" si="4"/>
        <v>8</v>
      </c>
      <c r="S1748" s="108" t="str">
        <f t="shared" si="5"/>
        <v>2024-Q3</v>
      </c>
      <c r="T1748" s="111" t="str">
        <f t="shared" si="6"/>
        <v>2024-08</v>
      </c>
      <c r="U1748" s="112" t="str">
        <f t="shared" si="7"/>
        <v>2024-H2</v>
      </c>
      <c r="V1748" s="1" t="str">
        <f>VLOOKUP(B1748,Bounties!A:E,2,FALSE)</f>
        <v>Spanish Bounty</v>
      </c>
    </row>
    <row r="1749" hidden="1">
      <c r="A1749" s="109">
        <f>HYPERLINK("https://polkadot.subsquare.io/treasury/child-bounties/1753", 1753)</f>
        <v>1753</v>
      </c>
      <c r="B1749" s="183">
        <v>42.0</v>
      </c>
      <c r="C1749" s="27" t="s">
        <v>3404</v>
      </c>
      <c r="D1749" s="27" t="s">
        <v>2196</v>
      </c>
      <c r="E1749" s="129">
        <v>87.61</v>
      </c>
      <c r="F1749" s="66">
        <v>468.0957543182373</v>
      </c>
      <c r="G1749" s="27" t="s">
        <v>3751</v>
      </c>
      <c r="H1749" s="167">
        <v>45502.0</v>
      </c>
      <c r="I1749" s="167">
        <v>45515.0</v>
      </c>
      <c r="J1749" s="66">
        <v>384.28621538639067</v>
      </c>
      <c r="M1749" s="1" t="str">
        <f>VLOOKUP(B1749,Bounties!A:D,3,FALSE)</f>
        <v>Outreach</v>
      </c>
      <c r="N1749" s="1" t="str">
        <f>VLOOKUP(B1749,Bounties!A:D,4,FALSE)</f>
        <v>Media</v>
      </c>
      <c r="O1749" s="1" t="str">
        <f t="shared" ref="O1749:P1749" si="1753">IF(ISBLANK(K1749),M1749,K1749)</f>
        <v>Outreach</v>
      </c>
      <c r="P1749" s="1" t="str">
        <f t="shared" si="1753"/>
        <v>Media</v>
      </c>
      <c r="Q1749" s="108" t="str">
        <f t="shared" si="3"/>
        <v>2024</v>
      </c>
      <c r="R1749" s="110">
        <f t="shared" si="4"/>
        <v>8</v>
      </c>
      <c r="S1749" s="108" t="str">
        <f t="shared" si="5"/>
        <v>2024-Q3</v>
      </c>
      <c r="T1749" s="111" t="str">
        <f t="shared" si="6"/>
        <v>2024-08</v>
      </c>
      <c r="U1749" s="112" t="str">
        <f t="shared" si="7"/>
        <v>2024-H2</v>
      </c>
      <c r="V1749" s="1" t="str">
        <f>VLOOKUP(B1749,Bounties!A:E,2,FALSE)</f>
        <v>Spanish Bounty</v>
      </c>
    </row>
    <row r="1750" hidden="1">
      <c r="A1750" s="109">
        <f>HYPERLINK("https://polkadot.subsquare.io/treasury/child-bounties/1754", 1754)</f>
        <v>1754</v>
      </c>
      <c r="B1750" s="183">
        <v>42.0</v>
      </c>
      <c r="C1750" s="27" t="s">
        <v>3404</v>
      </c>
      <c r="D1750" s="27" t="s">
        <v>2197</v>
      </c>
      <c r="E1750" s="129">
        <v>17.79</v>
      </c>
      <c r="F1750" s="66">
        <v>95.05106117248535</v>
      </c>
      <c r="G1750" s="27" t="s">
        <v>3777</v>
      </c>
      <c r="H1750" s="167">
        <v>45502.0</v>
      </c>
      <c r="I1750" s="167">
        <v>45512.0</v>
      </c>
      <c r="J1750" s="66">
        <v>79.98957113742829</v>
      </c>
      <c r="M1750" s="1" t="str">
        <f>VLOOKUP(B1750,Bounties!A:D,3,FALSE)</f>
        <v>Outreach</v>
      </c>
      <c r="N1750" s="1" t="str">
        <f>VLOOKUP(B1750,Bounties!A:D,4,FALSE)</f>
        <v>Media</v>
      </c>
      <c r="O1750" s="1" t="str">
        <f t="shared" ref="O1750:P1750" si="1754">IF(ISBLANK(K1750),M1750,K1750)</f>
        <v>Outreach</v>
      </c>
      <c r="P1750" s="1" t="str">
        <f t="shared" si="1754"/>
        <v>Media</v>
      </c>
      <c r="Q1750" s="108" t="str">
        <f t="shared" si="3"/>
        <v>2024</v>
      </c>
      <c r="R1750" s="110">
        <f t="shared" si="4"/>
        <v>8</v>
      </c>
      <c r="S1750" s="108" t="str">
        <f t="shared" si="5"/>
        <v>2024-Q3</v>
      </c>
      <c r="T1750" s="111" t="str">
        <f t="shared" si="6"/>
        <v>2024-08</v>
      </c>
      <c r="U1750" s="112" t="str">
        <f t="shared" si="7"/>
        <v>2024-H2</v>
      </c>
      <c r="V1750" s="1" t="str">
        <f>VLOOKUP(B1750,Bounties!A:E,2,FALSE)</f>
        <v>Spanish Bounty</v>
      </c>
    </row>
    <row r="1751" hidden="1">
      <c r="A1751" s="109">
        <f>HYPERLINK("https://polkadot.subsquare.io/treasury/child-bounties/1755", 1755)</f>
        <v>1755</v>
      </c>
      <c r="B1751" s="183">
        <v>42.0</v>
      </c>
      <c r="C1751" s="27" t="s">
        <v>3404</v>
      </c>
      <c r="D1751" s="27" t="s">
        <v>2198</v>
      </c>
      <c r="E1751" s="129">
        <v>83.11</v>
      </c>
      <c r="F1751" s="66">
        <v>444.0524842071533</v>
      </c>
      <c r="G1751" s="27" t="s">
        <v>3763</v>
      </c>
      <c r="H1751" s="167">
        <v>45502.0</v>
      </c>
      <c r="I1751" s="167">
        <v>45510.0</v>
      </c>
      <c r="J1751" s="66">
        <v>397.9033442211151</v>
      </c>
      <c r="M1751" s="1" t="str">
        <f>VLOOKUP(B1751,Bounties!A:D,3,FALSE)</f>
        <v>Outreach</v>
      </c>
      <c r="N1751" s="1" t="str">
        <f>VLOOKUP(B1751,Bounties!A:D,4,FALSE)</f>
        <v>Media</v>
      </c>
      <c r="O1751" s="1" t="str">
        <f t="shared" ref="O1751:P1751" si="1755">IF(ISBLANK(K1751),M1751,K1751)</f>
        <v>Outreach</v>
      </c>
      <c r="P1751" s="1" t="str">
        <f t="shared" si="1755"/>
        <v>Media</v>
      </c>
      <c r="Q1751" s="108" t="str">
        <f t="shared" si="3"/>
        <v>2024</v>
      </c>
      <c r="R1751" s="110">
        <f t="shared" si="4"/>
        <v>8</v>
      </c>
      <c r="S1751" s="108" t="str">
        <f t="shared" si="5"/>
        <v>2024-Q3</v>
      </c>
      <c r="T1751" s="111" t="str">
        <f t="shared" si="6"/>
        <v>2024-08</v>
      </c>
      <c r="U1751" s="112" t="str">
        <f t="shared" si="7"/>
        <v>2024-H2</v>
      </c>
      <c r="V1751" s="1" t="str">
        <f>VLOOKUP(B1751,Bounties!A:E,2,FALSE)</f>
        <v>Spanish Bounty</v>
      </c>
    </row>
    <row r="1752" hidden="1">
      <c r="A1752" s="109">
        <f>HYPERLINK("https://polkadot.subsquare.io/treasury/child-bounties/1756", 1756)</f>
        <v>1756</v>
      </c>
      <c r="B1752" s="183">
        <v>42.0</v>
      </c>
      <c r="C1752" s="27" t="s">
        <v>3404</v>
      </c>
      <c r="D1752" s="27" t="s">
        <v>2199</v>
      </c>
      <c r="E1752" s="129">
        <v>73.46</v>
      </c>
      <c r="F1752" s="66">
        <v>392.49302719116207</v>
      </c>
      <c r="G1752" s="27" t="s">
        <v>3676</v>
      </c>
      <c r="H1752" s="167">
        <v>45502.0</v>
      </c>
      <c r="I1752" s="167">
        <v>45533.0</v>
      </c>
      <c r="J1752" s="66">
        <v>299.248709115982</v>
      </c>
      <c r="M1752" s="1" t="str">
        <f>VLOOKUP(B1752,Bounties!A:D,3,FALSE)</f>
        <v>Outreach</v>
      </c>
      <c r="N1752" s="1" t="str">
        <f>VLOOKUP(B1752,Bounties!A:D,4,FALSE)</f>
        <v>Media</v>
      </c>
      <c r="O1752" s="1" t="str">
        <f t="shared" ref="O1752:P1752" si="1756">IF(ISBLANK(K1752),M1752,K1752)</f>
        <v>Outreach</v>
      </c>
      <c r="P1752" s="1" t="str">
        <f t="shared" si="1756"/>
        <v>Media</v>
      </c>
      <c r="Q1752" s="108" t="str">
        <f t="shared" si="3"/>
        <v>2024</v>
      </c>
      <c r="R1752" s="110">
        <f t="shared" si="4"/>
        <v>8</v>
      </c>
      <c r="S1752" s="108" t="str">
        <f t="shared" si="5"/>
        <v>2024-Q3</v>
      </c>
      <c r="T1752" s="111" t="str">
        <f t="shared" si="6"/>
        <v>2024-08</v>
      </c>
      <c r="U1752" s="112" t="str">
        <f t="shared" si="7"/>
        <v>2024-H2</v>
      </c>
      <c r="V1752" s="1" t="str">
        <f>VLOOKUP(B1752,Bounties!A:E,2,FALSE)</f>
        <v>Spanish Bounty</v>
      </c>
    </row>
    <row r="1753" hidden="1">
      <c r="A1753" s="109">
        <f>HYPERLINK("https://polkadot.subsquare.io/treasury/child-bounties/1757", 1757)</f>
        <v>1757</v>
      </c>
      <c r="B1753" s="183">
        <v>42.0</v>
      </c>
      <c r="C1753" s="27" t="s">
        <v>3404</v>
      </c>
      <c r="D1753" s="27" t="s">
        <v>2200</v>
      </c>
      <c r="E1753" s="129">
        <v>5.13</v>
      </c>
      <c r="F1753" s="66">
        <v>27.40932792663574</v>
      </c>
      <c r="G1753" s="27" t="s">
        <v>3778</v>
      </c>
      <c r="H1753" s="167">
        <v>45502.0</v>
      </c>
      <c r="I1753" s="167">
        <v>45510.0</v>
      </c>
      <c r="J1753" s="66">
        <v>24.560752687454222</v>
      </c>
      <c r="M1753" s="1" t="str">
        <f>VLOOKUP(B1753,Bounties!A:D,3,FALSE)</f>
        <v>Outreach</v>
      </c>
      <c r="N1753" s="1" t="str">
        <f>VLOOKUP(B1753,Bounties!A:D,4,FALSE)</f>
        <v>Media</v>
      </c>
      <c r="O1753" s="1" t="str">
        <f t="shared" ref="O1753:P1753" si="1757">IF(ISBLANK(K1753),M1753,K1753)</f>
        <v>Outreach</v>
      </c>
      <c r="P1753" s="1" t="str">
        <f t="shared" si="1757"/>
        <v>Media</v>
      </c>
      <c r="Q1753" s="108" t="str">
        <f t="shared" si="3"/>
        <v>2024</v>
      </c>
      <c r="R1753" s="110">
        <f t="shared" si="4"/>
        <v>8</v>
      </c>
      <c r="S1753" s="108" t="str">
        <f t="shared" si="5"/>
        <v>2024-Q3</v>
      </c>
      <c r="T1753" s="111" t="str">
        <f t="shared" si="6"/>
        <v>2024-08</v>
      </c>
      <c r="U1753" s="112" t="str">
        <f t="shared" si="7"/>
        <v>2024-H2</v>
      </c>
      <c r="V1753" s="1" t="str">
        <f>VLOOKUP(B1753,Bounties!A:E,2,FALSE)</f>
        <v>Spanish Bounty</v>
      </c>
    </row>
    <row r="1754" hidden="1">
      <c r="A1754" s="109">
        <f>HYPERLINK("https://polkadot.subsquare.io/treasury/child-bounties/1758", 1758)</f>
        <v>1758</v>
      </c>
      <c r="B1754" s="183">
        <v>42.0</v>
      </c>
      <c r="C1754" s="27" t="s">
        <v>3404</v>
      </c>
      <c r="D1754" s="27" t="s">
        <v>2201</v>
      </c>
      <c r="E1754" s="129">
        <v>11.45</v>
      </c>
      <c r="F1754" s="66">
        <v>61.1767650604248</v>
      </c>
      <c r="G1754" s="27" t="s">
        <v>3689</v>
      </c>
      <c r="H1754" s="167">
        <v>45502.0</v>
      </c>
      <c r="I1754" s="167">
        <v>45523.0</v>
      </c>
      <c r="J1754" s="66">
        <v>53.74275939464569</v>
      </c>
      <c r="M1754" s="1" t="str">
        <f>VLOOKUP(B1754,Bounties!A:D,3,FALSE)</f>
        <v>Outreach</v>
      </c>
      <c r="N1754" s="1" t="str">
        <f>VLOOKUP(B1754,Bounties!A:D,4,FALSE)</f>
        <v>Media</v>
      </c>
      <c r="O1754" s="1" t="str">
        <f t="shared" ref="O1754:P1754" si="1758">IF(ISBLANK(K1754),M1754,K1754)</f>
        <v>Outreach</v>
      </c>
      <c r="P1754" s="1" t="str">
        <f t="shared" si="1758"/>
        <v>Media</v>
      </c>
      <c r="Q1754" s="108" t="str">
        <f t="shared" si="3"/>
        <v>2024</v>
      </c>
      <c r="R1754" s="110">
        <f t="shared" si="4"/>
        <v>8</v>
      </c>
      <c r="S1754" s="108" t="str">
        <f t="shared" si="5"/>
        <v>2024-Q3</v>
      </c>
      <c r="T1754" s="111" t="str">
        <f t="shared" si="6"/>
        <v>2024-08</v>
      </c>
      <c r="U1754" s="112" t="str">
        <f t="shared" si="7"/>
        <v>2024-H2</v>
      </c>
      <c r="V1754" s="1" t="str">
        <f>VLOOKUP(B1754,Bounties!A:E,2,FALSE)</f>
        <v>Spanish Bounty</v>
      </c>
    </row>
    <row r="1755" hidden="1">
      <c r="A1755" s="109">
        <f>HYPERLINK("https://polkadot.subsquare.io/treasury/child-bounties/1759", 1759)</f>
        <v>1759</v>
      </c>
      <c r="B1755" s="183">
        <v>42.0</v>
      </c>
      <c r="C1755" s="27" t="s">
        <v>3404</v>
      </c>
      <c r="D1755" s="27" t="s">
        <v>2202</v>
      </c>
      <c r="E1755" s="129">
        <v>7.18</v>
      </c>
      <c r="F1755" s="66">
        <v>38.36237319946289</v>
      </c>
      <c r="G1755" s="27" t="s">
        <v>3703</v>
      </c>
      <c r="H1755" s="167">
        <v>45502.0</v>
      </c>
      <c r="I1755" s="167">
        <v>45510.0</v>
      </c>
      <c r="J1755" s="66">
        <v>34.375478420257565</v>
      </c>
      <c r="M1755" s="1" t="str">
        <f>VLOOKUP(B1755,Bounties!A:D,3,FALSE)</f>
        <v>Outreach</v>
      </c>
      <c r="N1755" s="1" t="str">
        <f>VLOOKUP(B1755,Bounties!A:D,4,FALSE)</f>
        <v>Media</v>
      </c>
      <c r="O1755" s="1" t="str">
        <f t="shared" ref="O1755:P1755" si="1759">IF(ISBLANK(K1755),M1755,K1755)</f>
        <v>Outreach</v>
      </c>
      <c r="P1755" s="1" t="str">
        <f t="shared" si="1759"/>
        <v>Media</v>
      </c>
      <c r="Q1755" s="108" t="str">
        <f t="shared" si="3"/>
        <v>2024</v>
      </c>
      <c r="R1755" s="110">
        <f t="shared" si="4"/>
        <v>8</v>
      </c>
      <c r="S1755" s="108" t="str">
        <f t="shared" si="5"/>
        <v>2024-Q3</v>
      </c>
      <c r="T1755" s="111" t="str">
        <f t="shared" si="6"/>
        <v>2024-08</v>
      </c>
      <c r="U1755" s="112" t="str">
        <f t="shared" si="7"/>
        <v>2024-H2</v>
      </c>
      <c r="V1755" s="1" t="str">
        <f>VLOOKUP(B1755,Bounties!A:E,2,FALSE)</f>
        <v>Spanish Bounty</v>
      </c>
    </row>
    <row r="1756" hidden="1">
      <c r="A1756" s="109">
        <f>HYPERLINK("https://polkadot.subsquare.io/treasury/child-bounties/1760", 1760)</f>
        <v>1760</v>
      </c>
      <c r="B1756" s="183">
        <v>42.0</v>
      </c>
      <c r="C1756" s="27" t="s">
        <v>3404</v>
      </c>
      <c r="D1756" s="27" t="s">
        <v>2203</v>
      </c>
      <c r="E1756" s="129">
        <v>52.34</v>
      </c>
      <c r="F1756" s="66">
        <v>279.6499461364746</v>
      </c>
      <c r="G1756" s="27" t="s">
        <v>3742</v>
      </c>
      <c r="H1756" s="167">
        <v>45502.0</v>
      </c>
      <c r="I1756" s="167">
        <v>45510.0</v>
      </c>
      <c r="J1756" s="66">
        <v>250.5867048072815</v>
      </c>
      <c r="M1756" s="1" t="str">
        <f>VLOOKUP(B1756,Bounties!A:D,3,FALSE)</f>
        <v>Outreach</v>
      </c>
      <c r="N1756" s="1" t="str">
        <f>VLOOKUP(B1756,Bounties!A:D,4,FALSE)</f>
        <v>Media</v>
      </c>
      <c r="O1756" s="1" t="str">
        <f t="shared" ref="O1756:P1756" si="1760">IF(ISBLANK(K1756),M1756,K1756)</f>
        <v>Outreach</v>
      </c>
      <c r="P1756" s="1" t="str">
        <f t="shared" si="1760"/>
        <v>Media</v>
      </c>
      <c r="Q1756" s="108" t="str">
        <f t="shared" si="3"/>
        <v>2024</v>
      </c>
      <c r="R1756" s="110">
        <f t="shared" si="4"/>
        <v>8</v>
      </c>
      <c r="S1756" s="108" t="str">
        <f t="shared" si="5"/>
        <v>2024-Q3</v>
      </c>
      <c r="T1756" s="111" t="str">
        <f t="shared" si="6"/>
        <v>2024-08</v>
      </c>
      <c r="U1756" s="112" t="str">
        <f t="shared" si="7"/>
        <v>2024-H2</v>
      </c>
      <c r="V1756" s="1" t="str">
        <f>VLOOKUP(B1756,Bounties!A:E,2,FALSE)</f>
        <v>Spanish Bounty</v>
      </c>
    </row>
    <row r="1757" hidden="1">
      <c r="A1757" s="109">
        <f>HYPERLINK("https://polkadot.subsquare.io/treasury/child-bounties/1761", 1761)</f>
        <v>1761</v>
      </c>
      <c r="B1757" s="183">
        <v>42.0</v>
      </c>
      <c r="C1757" s="27" t="s">
        <v>3404</v>
      </c>
      <c r="D1757" s="27" t="s">
        <v>2204</v>
      </c>
      <c r="E1757" s="129">
        <v>78.47</v>
      </c>
      <c r="F1757" s="66">
        <v>419.26120124816896</v>
      </c>
      <c r="G1757" s="27" t="s">
        <v>3689</v>
      </c>
      <c r="H1757" s="167">
        <v>45502.0</v>
      </c>
      <c r="I1757" s="167">
        <v>45510.0</v>
      </c>
      <c r="J1757" s="66">
        <v>375.68855036735533</v>
      </c>
      <c r="M1757" s="1" t="str">
        <f>VLOOKUP(B1757,Bounties!A:D,3,FALSE)</f>
        <v>Outreach</v>
      </c>
      <c r="N1757" s="1" t="str">
        <f>VLOOKUP(B1757,Bounties!A:D,4,FALSE)</f>
        <v>Media</v>
      </c>
      <c r="O1757" s="1" t="str">
        <f t="shared" ref="O1757:P1757" si="1761">IF(ISBLANK(K1757),M1757,K1757)</f>
        <v>Outreach</v>
      </c>
      <c r="P1757" s="1" t="str">
        <f t="shared" si="1761"/>
        <v>Media</v>
      </c>
      <c r="Q1757" s="108" t="str">
        <f t="shared" si="3"/>
        <v>2024</v>
      </c>
      <c r="R1757" s="110">
        <f t="shared" si="4"/>
        <v>8</v>
      </c>
      <c r="S1757" s="108" t="str">
        <f t="shared" si="5"/>
        <v>2024-Q3</v>
      </c>
      <c r="T1757" s="111" t="str">
        <f t="shared" si="6"/>
        <v>2024-08</v>
      </c>
      <c r="U1757" s="112" t="str">
        <f t="shared" si="7"/>
        <v>2024-H2</v>
      </c>
      <c r="V1757" s="1" t="str">
        <f>VLOOKUP(B1757,Bounties!A:E,2,FALSE)</f>
        <v>Spanish Bounty</v>
      </c>
    </row>
    <row r="1758" hidden="1">
      <c r="A1758" s="109">
        <f>HYPERLINK("https://polkadot.subsquare.io/treasury/child-bounties/1762", 1762)</f>
        <v>1762</v>
      </c>
      <c r="B1758" s="183">
        <v>42.0</v>
      </c>
      <c r="C1758" s="27" t="s">
        <v>3404</v>
      </c>
      <c r="D1758" s="27" t="s">
        <v>2205</v>
      </c>
      <c r="E1758" s="129">
        <v>10.81</v>
      </c>
      <c r="F1758" s="66">
        <v>57.757277755737306</v>
      </c>
      <c r="G1758" s="27" t="s">
        <v>3779</v>
      </c>
      <c r="H1758" s="167">
        <v>45502.0</v>
      </c>
      <c r="I1758" s="167">
        <v>45519.0</v>
      </c>
      <c r="J1758" s="66">
        <v>47.467542819976806</v>
      </c>
      <c r="M1758" s="1" t="str">
        <f>VLOOKUP(B1758,Bounties!A:D,3,FALSE)</f>
        <v>Outreach</v>
      </c>
      <c r="N1758" s="1" t="str">
        <f>VLOOKUP(B1758,Bounties!A:D,4,FALSE)</f>
        <v>Media</v>
      </c>
      <c r="O1758" s="1" t="str">
        <f t="shared" ref="O1758:P1758" si="1762">IF(ISBLANK(K1758),M1758,K1758)</f>
        <v>Outreach</v>
      </c>
      <c r="P1758" s="1" t="str">
        <f t="shared" si="1762"/>
        <v>Media</v>
      </c>
      <c r="Q1758" s="108" t="str">
        <f t="shared" si="3"/>
        <v>2024</v>
      </c>
      <c r="R1758" s="110">
        <f t="shared" si="4"/>
        <v>8</v>
      </c>
      <c r="S1758" s="108" t="str">
        <f t="shared" si="5"/>
        <v>2024-Q3</v>
      </c>
      <c r="T1758" s="111" t="str">
        <f t="shared" si="6"/>
        <v>2024-08</v>
      </c>
      <c r="U1758" s="112" t="str">
        <f t="shared" si="7"/>
        <v>2024-H2</v>
      </c>
      <c r="V1758" s="1" t="str">
        <f>VLOOKUP(B1758,Bounties!A:E,2,FALSE)</f>
        <v>Spanish Bounty</v>
      </c>
    </row>
    <row r="1759" hidden="1">
      <c r="A1759" s="109">
        <f>HYPERLINK("https://polkadot.subsquare.io/treasury/child-bounties/1763", 1763)</f>
        <v>1763</v>
      </c>
      <c r="B1759" s="183">
        <v>42.0</v>
      </c>
      <c r="C1759" s="27" t="s">
        <v>3404</v>
      </c>
      <c r="D1759" s="27" t="s">
        <v>2206</v>
      </c>
      <c r="E1759" s="129">
        <v>8.71</v>
      </c>
      <c r="F1759" s="66">
        <v>46.53708503723145</v>
      </c>
      <c r="G1759" s="27" t="s">
        <v>3683</v>
      </c>
      <c r="H1759" s="167">
        <v>45502.0</v>
      </c>
      <c r="I1759" s="167">
        <v>45527.0</v>
      </c>
      <c r="J1759" s="66">
        <v>39.73945391178132</v>
      </c>
      <c r="M1759" s="1" t="str">
        <f>VLOOKUP(B1759,Bounties!A:D,3,FALSE)</f>
        <v>Outreach</v>
      </c>
      <c r="N1759" s="1" t="str">
        <f>VLOOKUP(B1759,Bounties!A:D,4,FALSE)</f>
        <v>Media</v>
      </c>
      <c r="O1759" s="1" t="str">
        <f t="shared" ref="O1759:P1759" si="1763">IF(ISBLANK(K1759),M1759,K1759)</f>
        <v>Outreach</v>
      </c>
      <c r="P1759" s="1" t="str">
        <f t="shared" si="1763"/>
        <v>Media</v>
      </c>
      <c r="Q1759" s="108" t="str">
        <f t="shared" si="3"/>
        <v>2024</v>
      </c>
      <c r="R1759" s="110">
        <f t="shared" si="4"/>
        <v>8</v>
      </c>
      <c r="S1759" s="108" t="str">
        <f t="shared" si="5"/>
        <v>2024-Q3</v>
      </c>
      <c r="T1759" s="111" t="str">
        <f t="shared" si="6"/>
        <v>2024-08</v>
      </c>
      <c r="U1759" s="112" t="str">
        <f t="shared" si="7"/>
        <v>2024-H2</v>
      </c>
      <c r="V1759" s="1" t="str">
        <f>VLOOKUP(B1759,Bounties!A:E,2,FALSE)</f>
        <v>Spanish Bounty</v>
      </c>
    </row>
    <row r="1760" hidden="1">
      <c r="A1760" s="109">
        <f>HYPERLINK("https://polkadot.subsquare.io/treasury/child-bounties/1764", 1764)</f>
        <v>1764</v>
      </c>
      <c r="B1760" s="183">
        <v>42.0</v>
      </c>
      <c r="C1760" s="27" t="s">
        <v>3404</v>
      </c>
      <c r="D1760" s="27" t="s">
        <v>2207</v>
      </c>
      <c r="E1760" s="129">
        <v>5.12</v>
      </c>
      <c r="F1760" s="66">
        <v>27.355898437500002</v>
      </c>
      <c r="G1760" s="27" t="s">
        <v>3769</v>
      </c>
      <c r="H1760" s="167">
        <v>45502.0</v>
      </c>
      <c r="I1760" s="167">
        <v>45510.0</v>
      </c>
      <c r="J1760" s="66">
        <v>24.5128759765625</v>
      </c>
      <c r="M1760" s="1" t="str">
        <f>VLOOKUP(B1760,Bounties!A:D,3,FALSE)</f>
        <v>Outreach</v>
      </c>
      <c r="N1760" s="1" t="str">
        <f>VLOOKUP(B1760,Bounties!A:D,4,FALSE)</f>
        <v>Media</v>
      </c>
      <c r="O1760" s="1" t="str">
        <f t="shared" ref="O1760:P1760" si="1764">IF(ISBLANK(K1760),M1760,K1760)</f>
        <v>Outreach</v>
      </c>
      <c r="P1760" s="1" t="str">
        <f t="shared" si="1764"/>
        <v>Media</v>
      </c>
      <c r="Q1760" s="108" t="str">
        <f t="shared" si="3"/>
        <v>2024</v>
      </c>
      <c r="R1760" s="110">
        <f t="shared" si="4"/>
        <v>8</v>
      </c>
      <c r="S1760" s="108" t="str">
        <f t="shared" si="5"/>
        <v>2024-Q3</v>
      </c>
      <c r="T1760" s="111" t="str">
        <f t="shared" si="6"/>
        <v>2024-08</v>
      </c>
      <c r="U1760" s="112" t="str">
        <f t="shared" si="7"/>
        <v>2024-H2</v>
      </c>
      <c r="V1760" s="1" t="str">
        <f>VLOOKUP(B1760,Bounties!A:E,2,FALSE)</f>
        <v>Spanish Bounty</v>
      </c>
    </row>
    <row r="1761" hidden="1">
      <c r="A1761" s="109">
        <f>HYPERLINK("https://polkadot.subsquare.io/treasury/child-bounties/1765", 1765)</f>
        <v>1765</v>
      </c>
      <c r="B1761" s="183">
        <v>42.0</v>
      </c>
      <c r="C1761" s="27" t="s">
        <v>3404</v>
      </c>
      <c r="D1761" s="27" t="s">
        <v>2208</v>
      </c>
      <c r="E1761" s="129">
        <v>19.7</v>
      </c>
      <c r="F1761" s="66">
        <v>105.2560935974121</v>
      </c>
      <c r="G1761" s="27" t="s">
        <v>3704</v>
      </c>
      <c r="H1761" s="167">
        <v>45502.0</v>
      </c>
      <c r="I1761" s="167">
        <v>45533.0</v>
      </c>
      <c r="J1761" s="66">
        <v>80.25047059059143</v>
      </c>
      <c r="M1761" s="1" t="str">
        <f>VLOOKUP(B1761,Bounties!A:D,3,FALSE)</f>
        <v>Outreach</v>
      </c>
      <c r="N1761" s="1" t="str">
        <f>VLOOKUP(B1761,Bounties!A:D,4,FALSE)</f>
        <v>Media</v>
      </c>
      <c r="O1761" s="1" t="str">
        <f t="shared" ref="O1761:P1761" si="1765">IF(ISBLANK(K1761),M1761,K1761)</f>
        <v>Outreach</v>
      </c>
      <c r="P1761" s="1" t="str">
        <f t="shared" si="1765"/>
        <v>Media</v>
      </c>
      <c r="Q1761" s="108" t="str">
        <f t="shared" si="3"/>
        <v>2024</v>
      </c>
      <c r="R1761" s="110">
        <f t="shared" si="4"/>
        <v>8</v>
      </c>
      <c r="S1761" s="108" t="str">
        <f t="shared" si="5"/>
        <v>2024-Q3</v>
      </c>
      <c r="T1761" s="111" t="str">
        <f t="shared" si="6"/>
        <v>2024-08</v>
      </c>
      <c r="U1761" s="112" t="str">
        <f t="shared" si="7"/>
        <v>2024-H2</v>
      </c>
      <c r="V1761" s="1" t="str">
        <f>VLOOKUP(B1761,Bounties!A:E,2,FALSE)</f>
        <v>Spanish Bounty</v>
      </c>
    </row>
    <row r="1762" hidden="1">
      <c r="A1762" s="109">
        <f>HYPERLINK("https://polkadot.subsquare.io/treasury/child-bounties/1766", 1766)</f>
        <v>1766</v>
      </c>
      <c r="B1762" s="183">
        <v>42.0</v>
      </c>
      <c r="C1762" s="27" t="s">
        <v>3404</v>
      </c>
      <c r="D1762" s="27" t="s">
        <v>2209</v>
      </c>
      <c r="E1762" s="129">
        <v>35.48</v>
      </c>
      <c r="F1762" s="66">
        <v>189.56782745361326</v>
      </c>
      <c r="G1762" s="27" t="s">
        <v>3675</v>
      </c>
      <c r="H1762" s="167">
        <v>45502.0</v>
      </c>
      <c r="I1762" s="167">
        <v>45510.0</v>
      </c>
      <c r="J1762" s="66">
        <v>169.86657024383544</v>
      </c>
      <c r="M1762" s="1" t="str">
        <f>VLOOKUP(B1762,Bounties!A:D,3,FALSE)</f>
        <v>Outreach</v>
      </c>
      <c r="N1762" s="1" t="str">
        <f>VLOOKUP(B1762,Bounties!A:D,4,FALSE)</f>
        <v>Media</v>
      </c>
      <c r="O1762" s="1" t="str">
        <f t="shared" ref="O1762:P1762" si="1766">IF(ISBLANK(K1762),M1762,K1762)</f>
        <v>Outreach</v>
      </c>
      <c r="P1762" s="1" t="str">
        <f t="shared" si="1766"/>
        <v>Media</v>
      </c>
      <c r="Q1762" s="108" t="str">
        <f t="shared" si="3"/>
        <v>2024</v>
      </c>
      <c r="R1762" s="110">
        <f t="shared" si="4"/>
        <v>8</v>
      </c>
      <c r="S1762" s="108" t="str">
        <f t="shared" si="5"/>
        <v>2024-Q3</v>
      </c>
      <c r="T1762" s="111" t="str">
        <f t="shared" si="6"/>
        <v>2024-08</v>
      </c>
      <c r="U1762" s="112" t="str">
        <f t="shared" si="7"/>
        <v>2024-H2</v>
      </c>
      <c r="V1762" s="1" t="str">
        <f>VLOOKUP(B1762,Bounties!A:E,2,FALSE)</f>
        <v>Spanish Bounty</v>
      </c>
    </row>
    <row r="1763" hidden="1">
      <c r="A1763" s="109">
        <f>HYPERLINK("https://polkadot.subsquare.io/treasury/child-bounties/1767", 1767)</f>
        <v>1767</v>
      </c>
      <c r="B1763" s="183">
        <v>17.0</v>
      </c>
      <c r="C1763" s="27" t="s">
        <v>3404</v>
      </c>
      <c r="D1763" s="27" t="s">
        <v>2210</v>
      </c>
      <c r="E1763" s="129">
        <v>8237.3</v>
      </c>
      <c r="F1763" s="66">
        <v>42193.098160552974</v>
      </c>
      <c r="G1763" s="27" t="s">
        <v>3780</v>
      </c>
      <c r="H1763" s="167">
        <v>45503.0</v>
      </c>
      <c r="I1763" s="167">
        <v>45513.0</v>
      </c>
      <c r="J1763" s="66">
        <v>37037.55448737144</v>
      </c>
      <c r="L1763" s="1" t="s">
        <v>266</v>
      </c>
      <c r="M1763" s="1" t="str">
        <f>VLOOKUP(B1763,Bounties!A:D,3,FALSE)</f>
        <v>Outreach</v>
      </c>
      <c r="N1763" s="1" t="str">
        <f>VLOOKUP(B1763,Bounties!A:D,4,FALSE)</f>
        <v>Events/Meetups</v>
      </c>
      <c r="O1763" s="1" t="str">
        <f t="shared" ref="O1763:P1763" si="1767">IF(ISBLANK(K1763),M1763,K1763)</f>
        <v>Outreach</v>
      </c>
      <c r="P1763" s="1" t="str">
        <f t="shared" si="1767"/>
        <v>Events/Conference Attendance &amp; Side Events</v>
      </c>
      <c r="Q1763" s="108" t="str">
        <f t="shared" si="3"/>
        <v>2024</v>
      </c>
      <c r="R1763" s="110">
        <f t="shared" si="4"/>
        <v>8</v>
      </c>
      <c r="S1763" s="108" t="str">
        <f t="shared" si="5"/>
        <v>2024-Q3</v>
      </c>
      <c r="T1763" s="111" t="str">
        <f t="shared" si="6"/>
        <v>2024-08</v>
      </c>
      <c r="U1763" s="112" t="str">
        <f t="shared" si="7"/>
        <v>2024-H2</v>
      </c>
      <c r="V1763" s="1" t="str">
        <f>VLOOKUP(B1763,Bounties!A:E,2,FALSE)</f>
        <v>Events Bounty</v>
      </c>
    </row>
    <row r="1764" hidden="1">
      <c r="A1764" s="109">
        <f>HYPERLINK("https://polkadot.subsquare.io/treasury/child-bounties/1768", 1768)</f>
        <v>1768</v>
      </c>
      <c r="B1764" s="183">
        <v>17.0</v>
      </c>
      <c r="C1764" s="27" t="s">
        <v>3404</v>
      </c>
      <c r="D1764" s="27" t="s">
        <v>2211</v>
      </c>
      <c r="E1764" s="129">
        <v>13024.8</v>
      </c>
      <c r="F1764" s="66">
        <v>54811.93815307617</v>
      </c>
      <c r="G1764" s="27" t="s">
        <v>3781</v>
      </c>
      <c r="H1764" s="167">
        <v>45506.0</v>
      </c>
      <c r="I1764" s="167">
        <v>45515.0</v>
      </c>
      <c r="J1764" s="66">
        <v>57131.04780464172</v>
      </c>
      <c r="L1764" s="1" t="s">
        <v>266</v>
      </c>
      <c r="M1764" s="1" t="str">
        <f>VLOOKUP(B1764,Bounties!A:D,3,FALSE)</f>
        <v>Outreach</v>
      </c>
      <c r="N1764" s="1" t="str">
        <f>VLOOKUP(B1764,Bounties!A:D,4,FALSE)</f>
        <v>Events/Meetups</v>
      </c>
      <c r="O1764" s="1" t="str">
        <f t="shared" ref="O1764:P1764" si="1768">IF(ISBLANK(K1764),M1764,K1764)</f>
        <v>Outreach</v>
      </c>
      <c r="P1764" s="1" t="str">
        <f t="shared" si="1768"/>
        <v>Events/Conference Attendance &amp; Side Events</v>
      </c>
      <c r="Q1764" s="108" t="str">
        <f t="shared" si="3"/>
        <v>2024</v>
      </c>
      <c r="R1764" s="110">
        <f t="shared" si="4"/>
        <v>8</v>
      </c>
      <c r="S1764" s="108" t="str">
        <f t="shared" si="5"/>
        <v>2024-Q3</v>
      </c>
      <c r="T1764" s="111" t="str">
        <f t="shared" si="6"/>
        <v>2024-08</v>
      </c>
      <c r="U1764" s="112" t="str">
        <f t="shared" si="7"/>
        <v>2024-H2</v>
      </c>
      <c r="V1764" s="1" t="str">
        <f>VLOOKUP(B1764,Bounties!A:E,2,FALSE)</f>
        <v>Events Bounty</v>
      </c>
    </row>
    <row r="1765" hidden="1">
      <c r="A1765" s="109">
        <f>HYPERLINK("https://polkadot.subsquare.io/treasury/child-bounties/1769", 1769)</f>
        <v>1769</v>
      </c>
      <c r="B1765" s="183">
        <v>17.0</v>
      </c>
      <c r="C1765" s="27" t="s">
        <v>3404</v>
      </c>
      <c r="D1765" s="27" t="s">
        <v>2212</v>
      </c>
      <c r="E1765" s="129">
        <v>50000.0</v>
      </c>
      <c r="F1765" s="66">
        <v>225346.58908843994</v>
      </c>
      <c r="G1765" s="27" t="s">
        <v>3747</v>
      </c>
      <c r="H1765" s="167">
        <v>45507.0</v>
      </c>
      <c r="I1765" s="167">
        <v>45522.0</v>
      </c>
      <c r="J1765" s="66">
        <v>233490.75317382812</v>
      </c>
      <c r="M1765" s="1" t="str">
        <f>VLOOKUP(B1765,Bounties!A:D,3,FALSE)</f>
        <v>Outreach</v>
      </c>
      <c r="N1765" s="1" t="str">
        <f>VLOOKUP(B1765,Bounties!A:D,4,FALSE)</f>
        <v>Events/Meetups</v>
      </c>
      <c r="O1765" s="1" t="str">
        <f t="shared" ref="O1765:P1765" si="1769">IF(ISBLANK(K1765),M1765,K1765)</f>
        <v>Outreach</v>
      </c>
      <c r="P1765" s="1" t="str">
        <f t="shared" si="1769"/>
        <v>Events/Meetups</v>
      </c>
      <c r="Q1765" s="108" t="str">
        <f t="shared" si="3"/>
        <v>2024</v>
      </c>
      <c r="R1765" s="110">
        <f t="shared" si="4"/>
        <v>8</v>
      </c>
      <c r="S1765" s="108" t="str">
        <f t="shared" si="5"/>
        <v>2024-Q3</v>
      </c>
      <c r="T1765" s="111" t="str">
        <f t="shared" si="6"/>
        <v>2024-08</v>
      </c>
      <c r="U1765" s="112" t="str">
        <f t="shared" si="7"/>
        <v>2024-H2</v>
      </c>
      <c r="V1765" s="1" t="str">
        <f>VLOOKUP(B1765,Bounties!A:E,2,FALSE)</f>
        <v>Events Bounty</v>
      </c>
    </row>
    <row r="1766" hidden="1">
      <c r="A1766" s="109">
        <f>HYPERLINK("https://polkadot.subsquare.io/treasury/child-bounties/1770", 1770)</f>
        <v>1770</v>
      </c>
      <c r="B1766" s="183">
        <v>33.0</v>
      </c>
      <c r="C1766" s="27" t="s">
        <v>3404</v>
      </c>
      <c r="D1766" s="27" t="s">
        <v>2213</v>
      </c>
      <c r="E1766" s="129">
        <v>1688.0</v>
      </c>
      <c r="F1766" s="66">
        <v>7607.700847625732</v>
      </c>
      <c r="G1766" s="27" t="s">
        <v>3645</v>
      </c>
      <c r="H1766" s="167">
        <v>45508.0</v>
      </c>
      <c r="I1766" s="167">
        <v>45518.0</v>
      </c>
      <c r="J1766" s="66">
        <v>7367.688186645508</v>
      </c>
      <c r="L1766" s="3" t="s">
        <v>523</v>
      </c>
      <c r="M1766" s="1" t="str">
        <f>VLOOKUP(B1766,Bounties!A:D,3,FALSE)</f>
        <v>Outreach</v>
      </c>
      <c r="N1766" s="1" t="str">
        <f>VLOOKUP(B1766,Bounties!A:D,4,FALSE)</f>
        <v>Advertising</v>
      </c>
      <c r="O1766" s="1" t="str">
        <f t="shared" ref="O1766:P1766" si="1770">IF(ISBLANK(K1766),M1766,K1766)</f>
        <v>Outreach</v>
      </c>
      <c r="P1766" s="1" t="str">
        <f t="shared" si="1770"/>
        <v>Advertising</v>
      </c>
      <c r="Q1766" s="108" t="str">
        <f t="shared" si="3"/>
        <v>2024</v>
      </c>
      <c r="R1766" s="110">
        <f t="shared" si="4"/>
        <v>8</v>
      </c>
      <c r="S1766" s="108" t="str">
        <f t="shared" si="5"/>
        <v>2024-Q3</v>
      </c>
      <c r="T1766" s="111" t="str">
        <f t="shared" si="6"/>
        <v>2024-08</v>
      </c>
      <c r="U1766" s="112" t="str">
        <f t="shared" si="7"/>
        <v>2024-H2</v>
      </c>
      <c r="V1766" s="1" t="str">
        <f>VLOOKUP(B1766,Bounties!A:E,2,FALSE)</f>
        <v>Marketing Bounty</v>
      </c>
    </row>
    <row r="1767" hidden="1">
      <c r="A1767" s="109">
        <f>HYPERLINK("https://polkadot.subsquare.io/treasury/child-bounties/1771", 1771)</f>
        <v>1771</v>
      </c>
      <c r="B1767" s="183">
        <v>33.0</v>
      </c>
      <c r="C1767" s="27" t="s">
        <v>3404</v>
      </c>
      <c r="D1767" s="27" t="s">
        <v>2214</v>
      </c>
      <c r="E1767" s="129">
        <v>1470.0</v>
      </c>
      <c r="F1767" s="66">
        <v>6625.189719200134</v>
      </c>
      <c r="G1767" s="27" t="s">
        <v>3645</v>
      </c>
      <c r="H1767" s="167">
        <v>45508.0</v>
      </c>
      <c r="I1767" s="167">
        <v>45518.0</v>
      </c>
      <c r="J1767" s="66">
        <v>6416.17395401001</v>
      </c>
      <c r="L1767" s="3" t="s">
        <v>523</v>
      </c>
      <c r="M1767" s="1" t="str">
        <f>VLOOKUP(B1767,Bounties!A:D,3,FALSE)</f>
        <v>Outreach</v>
      </c>
      <c r="N1767" s="1" t="str">
        <f>VLOOKUP(B1767,Bounties!A:D,4,FALSE)</f>
        <v>Advertising</v>
      </c>
      <c r="O1767" s="1" t="str">
        <f t="shared" ref="O1767:P1767" si="1771">IF(ISBLANK(K1767),M1767,K1767)</f>
        <v>Outreach</v>
      </c>
      <c r="P1767" s="1" t="str">
        <f t="shared" si="1771"/>
        <v>Advertising</v>
      </c>
      <c r="Q1767" s="108" t="str">
        <f t="shared" si="3"/>
        <v>2024</v>
      </c>
      <c r="R1767" s="110">
        <f t="shared" si="4"/>
        <v>8</v>
      </c>
      <c r="S1767" s="108" t="str">
        <f t="shared" si="5"/>
        <v>2024-Q3</v>
      </c>
      <c r="T1767" s="111" t="str">
        <f t="shared" si="6"/>
        <v>2024-08</v>
      </c>
      <c r="U1767" s="112" t="str">
        <f t="shared" si="7"/>
        <v>2024-H2</v>
      </c>
      <c r="V1767" s="1" t="str">
        <f>VLOOKUP(B1767,Bounties!A:E,2,FALSE)</f>
        <v>Marketing Bounty</v>
      </c>
    </row>
    <row r="1768" hidden="1">
      <c r="A1768" s="109">
        <f>HYPERLINK("https://polkadot.subsquare.io/treasury/child-bounties/1772", 1772)</f>
        <v>1772</v>
      </c>
      <c r="B1768" s="183">
        <v>33.0</v>
      </c>
      <c r="C1768" s="27" t="s">
        <v>3404</v>
      </c>
      <c r="D1768" s="27" t="s">
        <v>2215</v>
      </c>
      <c r="E1768" s="129">
        <v>35315.0</v>
      </c>
      <c r="F1768" s="66">
        <v>159162.29587316513</v>
      </c>
      <c r="G1768" s="27" t="s">
        <v>3611</v>
      </c>
      <c r="H1768" s="167">
        <v>45508.0</v>
      </c>
      <c r="I1768" s="167">
        <v>45519.0</v>
      </c>
      <c r="J1768" s="66">
        <v>154140.94094276428</v>
      </c>
      <c r="L1768" s="185" t="s">
        <v>296</v>
      </c>
      <c r="M1768" s="1" t="str">
        <f>VLOOKUP(B1768,Bounties!A:D,3,FALSE)</f>
        <v>Outreach</v>
      </c>
      <c r="N1768" s="1" t="str">
        <f>VLOOKUP(B1768,Bounties!A:D,4,FALSE)</f>
        <v>Advertising</v>
      </c>
      <c r="O1768" s="1" t="str">
        <f t="shared" ref="O1768:P1768" si="1772">IF(ISBLANK(K1768),M1768,K1768)</f>
        <v>Outreach</v>
      </c>
      <c r="P1768" s="1" t="str">
        <f t="shared" si="1772"/>
        <v>Advertising/Influencers</v>
      </c>
      <c r="Q1768" s="108" t="str">
        <f t="shared" si="3"/>
        <v>2024</v>
      </c>
      <c r="R1768" s="110">
        <f t="shared" si="4"/>
        <v>8</v>
      </c>
      <c r="S1768" s="108" t="str">
        <f t="shared" si="5"/>
        <v>2024-Q3</v>
      </c>
      <c r="T1768" s="111" t="str">
        <f t="shared" si="6"/>
        <v>2024-08</v>
      </c>
      <c r="U1768" s="112" t="str">
        <f t="shared" si="7"/>
        <v>2024-H2</v>
      </c>
      <c r="V1768" s="1" t="str">
        <f>VLOOKUP(B1768,Bounties!A:E,2,FALSE)</f>
        <v>Marketing Bounty</v>
      </c>
    </row>
    <row r="1769" hidden="1">
      <c r="A1769" s="109">
        <f>HYPERLINK("https://polkadot.subsquare.io/treasury/child-bounties/1773", 1773)</f>
        <v>1773</v>
      </c>
      <c r="B1769" s="183">
        <v>33.0</v>
      </c>
      <c r="C1769" s="27" t="s">
        <v>3404</v>
      </c>
      <c r="D1769" s="27" t="s">
        <v>2216</v>
      </c>
      <c r="E1769" s="129">
        <v>5896.0</v>
      </c>
      <c r="F1769" s="66">
        <v>26572.869785308838</v>
      </c>
      <c r="G1769" s="27" t="s">
        <v>3762</v>
      </c>
      <c r="H1769" s="167">
        <v>45508.0</v>
      </c>
      <c r="I1769" s="167">
        <v>45523.0</v>
      </c>
      <c r="J1769" s="66">
        <v>27674.000820159912</v>
      </c>
      <c r="L1769" s="185" t="s">
        <v>296</v>
      </c>
      <c r="M1769" s="1" t="str">
        <f>VLOOKUP(B1769,Bounties!A:D,3,FALSE)</f>
        <v>Outreach</v>
      </c>
      <c r="N1769" s="1" t="str">
        <f>VLOOKUP(B1769,Bounties!A:D,4,FALSE)</f>
        <v>Advertising</v>
      </c>
      <c r="O1769" s="1" t="str">
        <f t="shared" ref="O1769:P1769" si="1773">IF(ISBLANK(K1769),M1769,K1769)</f>
        <v>Outreach</v>
      </c>
      <c r="P1769" s="1" t="str">
        <f t="shared" si="1773"/>
        <v>Advertising/Influencers</v>
      </c>
      <c r="Q1769" s="108" t="str">
        <f t="shared" si="3"/>
        <v>2024</v>
      </c>
      <c r="R1769" s="110">
        <f t="shared" si="4"/>
        <v>8</v>
      </c>
      <c r="S1769" s="108" t="str">
        <f t="shared" si="5"/>
        <v>2024-Q3</v>
      </c>
      <c r="T1769" s="111" t="str">
        <f t="shared" si="6"/>
        <v>2024-08</v>
      </c>
      <c r="U1769" s="112" t="str">
        <f t="shared" si="7"/>
        <v>2024-H2</v>
      </c>
      <c r="V1769" s="1" t="str">
        <f>VLOOKUP(B1769,Bounties!A:E,2,FALSE)</f>
        <v>Marketing Bounty</v>
      </c>
    </row>
    <row r="1770" hidden="1">
      <c r="A1770" s="109">
        <f>HYPERLINK("https://polkadot.subsquare.io/treasury/child-bounties/1774", 1774)</f>
        <v>1774</v>
      </c>
      <c r="B1770" s="183">
        <v>36.0</v>
      </c>
      <c r="C1770" s="27" t="s">
        <v>3404</v>
      </c>
      <c r="D1770" s="27" t="s">
        <v>2217</v>
      </c>
      <c r="E1770" s="129">
        <v>5940.6</v>
      </c>
      <c r="F1770" s="66">
        <v>27152.480471134186</v>
      </c>
      <c r="G1770" s="27" t="s">
        <v>3782</v>
      </c>
      <c r="H1770" s="167">
        <v>45508.0</v>
      </c>
      <c r="I1770" s="167">
        <v>45522.0</v>
      </c>
      <c r="J1770" s="66">
        <v>26932.81600828171</v>
      </c>
      <c r="M1770" s="1" t="str">
        <f>VLOOKUP(B1770,Bounties!A:D,3,FALSE)</f>
        <v>Development</v>
      </c>
      <c r="N1770" s="1" t="str">
        <f>VLOOKUP(B1770,Bounties!A:D,4,FALSE)</f>
        <v>Software Development</v>
      </c>
      <c r="O1770" s="1" t="str">
        <f t="shared" ref="O1770:P1770" si="1774">IF(ISBLANK(K1770),M1770,K1770)</f>
        <v>Development</v>
      </c>
      <c r="P1770" s="1" t="str">
        <f t="shared" si="1774"/>
        <v>Software Development</v>
      </c>
      <c r="Q1770" s="108" t="str">
        <f t="shared" si="3"/>
        <v>2024</v>
      </c>
      <c r="R1770" s="110">
        <f t="shared" si="4"/>
        <v>8</v>
      </c>
      <c r="S1770" s="108" t="str">
        <f t="shared" si="5"/>
        <v>2024-Q3</v>
      </c>
      <c r="T1770" s="111" t="str">
        <f t="shared" si="6"/>
        <v>2024-08</v>
      </c>
      <c r="U1770" s="112" t="str">
        <f t="shared" si="7"/>
        <v>2024-H2</v>
      </c>
      <c r="V1770" s="1" t="str">
        <f>VLOOKUP(B1770,Bounties!A:E,2,FALSE)</f>
        <v>DeFi Infrastructure and Tooling Bounty</v>
      </c>
    </row>
    <row r="1771" hidden="1">
      <c r="A1771" s="109">
        <f>HYPERLINK("https://polkadot.subsquare.io/treasury/child-bounties/1775", 1775)</f>
        <v>1775</v>
      </c>
      <c r="B1771" s="183">
        <v>36.0</v>
      </c>
      <c r="C1771" s="27" t="s">
        <v>3404</v>
      </c>
      <c r="D1771" s="27" t="s">
        <v>2218</v>
      </c>
      <c r="E1771" s="129">
        <v>9900.9</v>
      </c>
      <c r="F1771" s="66">
        <v>45253.677052259445</v>
      </c>
      <c r="G1771" s="27" t="s">
        <v>3783</v>
      </c>
      <c r="H1771" s="167">
        <v>45508.0</v>
      </c>
      <c r="I1771" s="167">
        <v>45522.0</v>
      </c>
      <c r="J1771" s="66">
        <v>44887.573311853404</v>
      </c>
      <c r="M1771" s="1" t="str">
        <f>VLOOKUP(B1771,Bounties!A:D,3,FALSE)</f>
        <v>Development</v>
      </c>
      <c r="N1771" s="1" t="str">
        <f>VLOOKUP(B1771,Bounties!A:D,4,FALSE)</f>
        <v>Software Development</v>
      </c>
      <c r="O1771" s="1" t="str">
        <f t="shared" ref="O1771:P1771" si="1775">IF(ISBLANK(K1771),M1771,K1771)</f>
        <v>Development</v>
      </c>
      <c r="P1771" s="1" t="str">
        <f t="shared" si="1775"/>
        <v>Software Development</v>
      </c>
      <c r="Q1771" s="108" t="str">
        <f t="shared" si="3"/>
        <v>2024</v>
      </c>
      <c r="R1771" s="110">
        <f t="shared" si="4"/>
        <v>8</v>
      </c>
      <c r="S1771" s="108" t="str">
        <f t="shared" si="5"/>
        <v>2024-Q3</v>
      </c>
      <c r="T1771" s="111" t="str">
        <f t="shared" si="6"/>
        <v>2024-08</v>
      </c>
      <c r="U1771" s="112" t="str">
        <f t="shared" si="7"/>
        <v>2024-H2</v>
      </c>
      <c r="V1771" s="1" t="str">
        <f>VLOOKUP(B1771,Bounties!A:E,2,FALSE)</f>
        <v>DeFi Infrastructure and Tooling Bounty</v>
      </c>
    </row>
    <row r="1772" hidden="1">
      <c r="A1772" s="109">
        <f>HYPERLINK("https://polkadot.subsquare.io/treasury/child-bounties/1777", 1777)</f>
        <v>1777</v>
      </c>
      <c r="B1772" s="183">
        <v>42.0</v>
      </c>
      <c r="C1772" s="27" t="s">
        <v>3404</v>
      </c>
      <c r="D1772" s="27" t="s">
        <v>2219</v>
      </c>
      <c r="E1772" s="129">
        <v>32.88</v>
      </c>
      <c r="F1772" s="66">
        <v>160.4834401702881</v>
      </c>
      <c r="G1772" s="27" t="s">
        <v>3704</v>
      </c>
      <c r="H1772" s="167">
        <v>45509.0</v>
      </c>
      <c r="I1772" s="167">
        <v>45533.0</v>
      </c>
      <c r="J1772" s="66">
        <v>133.94088695526125</v>
      </c>
      <c r="M1772" s="1" t="str">
        <f>VLOOKUP(B1772,Bounties!A:D,3,FALSE)</f>
        <v>Outreach</v>
      </c>
      <c r="N1772" s="1" t="str">
        <f>VLOOKUP(B1772,Bounties!A:D,4,FALSE)</f>
        <v>Media</v>
      </c>
      <c r="O1772" s="1" t="str">
        <f t="shared" ref="O1772:P1772" si="1776">IF(ISBLANK(K1772),M1772,K1772)</f>
        <v>Outreach</v>
      </c>
      <c r="P1772" s="1" t="str">
        <f t="shared" si="1776"/>
        <v>Media</v>
      </c>
      <c r="Q1772" s="108" t="str">
        <f t="shared" si="3"/>
        <v>2024</v>
      </c>
      <c r="R1772" s="110">
        <f t="shared" si="4"/>
        <v>8</v>
      </c>
      <c r="S1772" s="108" t="str">
        <f t="shared" si="5"/>
        <v>2024-Q3</v>
      </c>
      <c r="T1772" s="111" t="str">
        <f t="shared" si="6"/>
        <v>2024-08</v>
      </c>
      <c r="U1772" s="112" t="str">
        <f t="shared" si="7"/>
        <v>2024-H2</v>
      </c>
      <c r="V1772" s="1" t="str">
        <f>VLOOKUP(B1772,Bounties!A:E,2,FALSE)</f>
        <v>Spanish Bounty</v>
      </c>
    </row>
    <row r="1773" hidden="1">
      <c r="A1773" s="109">
        <f>HYPERLINK("https://polkadot.subsquare.io/treasury/child-bounties/1778", 1778)</f>
        <v>1778</v>
      </c>
      <c r="B1773" s="183">
        <v>42.0</v>
      </c>
      <c r="C1773" s="27" t="s">
        <v>3404</v>
      </c>
      <c r="D1773" s="27" t="s">
        <v>2220</v>
      </c>
      <c r="E1773" s="129">
        <v>20.08</v>
      </c>
      <c r="F1773" s="66">
        <v>98.00813499450683</v>
      </c>
      <c r="G1773" s="27" t="s">
        <v>3702</v>
      </c>
      <c r="H1773" s="167">
        <v>45509.0</v>
      </c>
      <c r="I1773" s="167">
        <v>45517.0</v>
      </c>
      <c r="J1773" s="66">
        <v>86.24727828979492</v>
      </c>
      <c r="M1773" s="1" t="str">
        <f>VLOOKUP(B1773,Bounties!A:D,3,FALSE)</f>
        <v>Outreach</v>
      </c>
      <c r="N1773" s="1" t="str">
        <f>VLOOKUP(B1773,Bounties!A:D,4,FALSE)</f>
        <v>Media</v>
      </c>
      <c r="O1773" s="1" t="str">
        <f t="shared" ref="O1773:P1773" si="1777">IF(ISBLANK(K1773),M1773,K1773)</f>
        <v>Outreach</v>
      </c>
      <c r="P1773" s="1" t="str">
        <f t="shared" si="1777"/>
        <v>Media</v>
      </c>
      <c r="Q1773" s="108" t="str">
        <f t="shared" si="3"/>
        <v>2024</v>
      </c>
      <c r="R1773" s="110">
        <f t="shared" si="4"/>
        <v>8</v>
      </c>
      <c r="S1773" s="108" t="str">
        <f t="shared" si="5"/>
        <v>2024-Q3</v>
      </c>
      <c r="T1773" s="111" t="str">
        <f t="shared" si="6"/>
        <v>2024-08</v>
      </c>
      <c r="U1773" s="112" t="str">
        <f t="shared" si="7"/>
        <v>2024-H2</v>
      </c>
      <c r="V1773" s="1" t="str">
        <f>VLOOKUP(B1773,Bounties!A:E,2,FALSE)</f>
        <v>Spanish Bounty</v>
      </c>
    </row>
    <row r="1774" hidden="1">
      <c r="A1774" s="109">
        <f>HYPERLINK("https://polkadot.subsquare.io/treasury/child-bounties/1779", 1779)</f>
        <v>1779</v>
      </c>
      <c r="B1774" s="183">
        <v>42.0</v>
      </c>
      <c r="C1774" s="27" t="s">
        <v>3404</v>
      </c>
      <c r="D1774" s="27" t="s">
        <v>2221</v>
      </c>
      <c r="E1774" s="129">
        <v>4.43</v>
      </c>
      <c r="F1774" s="66">
        <v>21.62231265068054</v>
      </c>
      <c r="G1774" s="27" t="s">
        <v>3769</v>
      </c>
      <c r="H1774" s="167">
        <v>45509.0</v>
      </c>
      <c r="I1774" s="167">
        <v>45519.0</v>
      </c>
      <c r="J1774" s="66">
        <v>19.335816745758056</v>
      </c>
      <c r="M1774" s="1" t="str">
        <f>VLOOKUP(B1774,Bounties!A:D,3,FALSE)</f>
        <v>Outreach</v>
      </c>
      <c r="N1774" s="1" t="str">
        <f>VLOOKUP(B1774,Bounties!A:D,4,FALSE)</f>
        <v>Media</v>
      </c>
      <c r="O1774" s="1" t="str">
        <f t="shared" ref="O1774:P1774" si="1778">IF(ISBLANK(K1774),M1774,K1774)</f>
        <v>Outreach</v>
      </c>
      <c r="P1774" s="1" t="str">
        <f t="shared" si="1778"/>
        <v>Media</v>
      </c>
      <c r="Q1774" s="108" t="str">
        <f t="shared" si="3"/>
        <v>2024</v>
      </c>
      <c r="R1774" s="110">
        <f t="shared" si="4"/>
        <v>8</v>
      </c>
      <c r="S1774" s="108" t="str">
        <f t="shared" si="5"/>
        <v>2024-Q3</v>
      </c>
      <c r="T1774" s="111" t="str">
        <f t="shared" si="6"/>
        <v>2024-08</v>
      </c>
      <c r="U1774" s="112" t="str">
        <f t="shared" si="7"/>
        <v>2024-H2</v>
      </c>
      <c r="V1774" s="1" t="str">
        <f>VLOOKUP(B1774,Bounties!A:E,2,FALSE)</f>
        <v>Spanish Bounty</v>
      </c>
    </row>
    <row r="1775" hidden="1">
      <c r="A1775" s="109">
        <f>HYPERLINK("https://polkadot.subsquare.io/treasury/child-bounties/1780", 1780)</f>
        <v>1780</v>
      </c>
      <c r="B1775" s="183">
        <v>42.0</v>
      </c>
      <c r="C1775" s="27" t="s">
        <v>3404</v>
      </c>
      <c r="D1775" s="27" t="s">
        <v>2222</v>
      </c>
      <c r="E1775" s="129">
        <v>49.34</v>
      </c>
      <c r="F1775" s="66">
        <v>240.8227779197693</v>
      </c>
      <c r="G1775" s="27" t="s">
        <v>3763</v>
      </c>
      <c r="H1775" s="167">
        <v>45509.0</v>
      </c>
      <c r="I1775" s="167">
        <v>45521.0</v>
      </c>
      <c r="J1775" s="66">
        <v>223.69207518577576</v>
      </c>
      <c r="M1775" s="1" t="str">
        <f>VLOOKUP(B1775,Bounties!A:D,3,FALSE)</f>
        <v>Outreach</v>
      </c>
      <c r="N1775" s="1" t="str">
        <f>VLOOKUP(B1775,Bounties!A:D,4,FALSE)</f>
        <v>Media</v>
      </c>
      <c r="O1775" s="1" t="str">
        <f t="shared" ref="O1775:P1775" si="1779">IF(ISBLANK(K1775),M1775,K1775)</f>
        <v>Outreach</v>
      </c>
      <c r="P1775" s="1" t="str">
        <f t="shared" si="1779"/>
        <v>Media</v>
      </c>
      <c r="Q1775" s="108" t="str">
        <f t="shared" si="3"/>
        <v>2024</v>
      </c>
      <c r="R1775" s="110">
        <f t="shared" si="4"/>
        <v>8</v>
      </c>
      <c r="S1775" s="108" t="str">
        <f t="shared" si="5"/>
        <v>2024-Q3</v>
      </c>
      <c r="T1775" s="111" t="str">
        <f t="shared" si="6"/>
        <v>2024-08</v>
      </c>
      <c r="U1775" s="112" t="str">
        <f t="shared" si="7"/>
        <v>2024-H2</v>
      </c>
      <c r="V1775" s="1" t="str">
        <f>VLOOKUP(B1775,Bounties!A:E,2,FALSE)</f>
        <v>Spanish Bounty</v>
      </c>
    </row>
    <row r="1776" hidden="1">
      <c r="A1776" s="109">
        <f>HYPERLINK("https://polkadot.subsquare.io/treasury/child-bounties/1781", 1781)</f>
        <v>1781</v>
      </c>
      <c r="B1776" s="183">
        <v>42.0</v>
      </c>
      <c r="C1776" s="27" t="s">
        <v>3404</v>
      </c>
      <c r="D1776" s="27" t="s">
        <v>2223</v>
      </c>
      <c r="E1776" s="129">
        <v>44.25</v>
      </c>
      <c r="F1776" s="66">
        <v>215.97908234596252</v>
      </c>
      <c r="G1776" s="27" t="s">
        <v>3675</v>
      </c>
      <c r="H1776" s="167">
        <v>45509.0</v>
      </c>
      <c r="I1776" s="167">
        <v>45521.0</v>
      </c>
      <c r="J1776" s="66">
        <v>198.40894889831543</v>
      </c>
      <c r="M1776" s="1" t="str">
        <f>VLOOKUP(B1776,Bounties!A:D,3,FALSE)</f>
        <v>Outreach</v>
      </c>
      <c r="N1776" s="1" t="str">
        <f>VLOOKUP(B1776,Bounties!A:D,4,FALSE)</f>
        <v>Media</v>
      </c>
      <c r="O1776" s="1" t="str">
        <f t="shared" ref="O1776:P1776" si="1780">IF(ISBLANK(K1776),M1776,K1776)</f>
        <v>Outreach</v>
      </c>
      <c r="P1776" s="1" t="str">
        <f t="shared" si="1780"/>
        <v>Media</v>
      </c>
      <c r="Q1776" s="108" t="str">
        <f t="shared" si="3"/>
        <v>2024</v>
      </c>
      <c r="R1776" s="110">
        <f t="shared" si="4"/>
        <v>8</v>
      </c>
      <c r="S1776" s="108" t="str">
        <f t="shared" si="5"/>
        <v>2024-Q3</v>
      </c>
      <c r="T1776" s="111" t="str">
        <f t="shared" si="6"/>
        <v>2024-08</v>
      </c>
      <c r="U1776" s="112" t="str">
        <f t="shared" si="7"/>
        <v>2024-H2</v>
      </c>
      <c r="V1776" s="1" t="str">
        <f>VLOOKUP(B1776,Bounties!A:E,2,FALSE)</f>
        <v>Spanish Bounty</v>
      </c>
    </row>
    <row r="1777" hidden="1">
      <c r="A1777" s="109">
        <f>HYPERLINK("https://polkadot.subsquare.io/treasury/child-bounties/1782", 1782)</f>
        <v>1782</v>
      </c>
      <c r="B1777" s="183">
        <v>42.0</v>
      </c>
      <c r="C1777" s="27" t="s">
        <v>3404</v>
      </c>
      <c r="D1777" s="27" t="s">
        <v>2224</v>
      </c>
      <c r="E1777" s="129">
        <v>20.49</v>
      </c>
      <c r="F1777" s="66">
        <v>100.00929711341857</v>
      </c>
      <c r="G1777" s="27" t="s">
        <v>3777</v>
      </c>
      <c r="H1777" s="167">
        <v>45509.0</v>
      </c>
      <c r="I1777" s="167">
        <v>45519.0</v>
      </c>
      <c r="J1777" s="66">
        <v>89.97316858291626</v>
      </c>
      <c r="M1777" s="1" t="str">
        <f>VLOOKUP(B1777,Bounties!A:D,3,FALSE)</f>
        <v>Outreach</v>
      </c>
      <c r="N1777" s="1" t="str">
        <f>VLOOKUP(B1777,Bounties!A:D,4,FALSE)</f>
        <v>Media</v>
      </c>
      <c r="O1777" s="1" t="str">
        <f t="shared" ref="O1777:P1777" si="1781">IF(ISBLANK(K1777),M1777,K1777)</f>
        <v>Outreach</v>
      </c>
      <c r="P1777" s="1" t="str">
        <f t="shared" si="1781"/>
        <v>Media</v>
      </c>
      <c r="Q1777" s="108" t="str">
        <f t="shared" si="3"/>
        <v>2024</v>
      </c>
      <c r="R1777" s="110">
        <f t="shared" si="4"/>
        <v>8</v>
      </c>
      <c r="S1777" s="108" t="str">
        <f t="shared" si="5"/>
        <v>2024-Q3</v>
      </c>
      <c r="T1777" s="111" t="str">
        <f t="shared" si="6"/>
        <v>2024-08</v>
      </c>
      <c r="U1777" s="112" t="str">
        <f t="shared" si="7"/>
        <v>2024-H2</v>
      </c>
      <c r="V1777" s="1" t="str">
        <f>VLOOKUP(B1777,Bounties!A:E,2,FALSE)</f>
        <v>Spanish Bounty</v>
      </c>
    </row>
    <row r="1778" hidden="1">
      <c r="A1778" s="109">
        <f>HYPERLINK("https://polkadot.subsquare.io/treasury/child-bounties/1783", 1783)</f>
        <v>1783</v>
      </c>
      <c r="B1778" s="183">
        <v>42.0</v>
      </c>
      <c r="C1778" s="27" t="s">
        <v>3404</v>
      </c>
      <c r="D1778" s="27" t="s">
        <v>2225</v>
      </c>
      <c r="E1778" s="129">
        <v>113.58</v>
      </c>
      <c r="F1778" s="66">
        <v>554.3707157707214</v>
      </c>
      <c r="G1778" s="27" t="s">
        <v>3751</v>
      </c>
      <c r="H1778" s="167">
        <v>45509.0</v>
      </c>
      <c r="I1778" s="167">
        <v>45555.0</v>
      </c>
      <c r="J1778" s="66">
        <v>506.0522922706604</v>
      </c>
      <c r="M1778" s="1" t="str">
        <f>VLOOKUP(B1778,Bounties!A:D,3,FALSE)</f>
        <v>Outreach</v>
      </c>
      <c r="N1778" s="1" t="str">
        <f>VLOOKUP(B1778,Bounties!A:D,4,FALSE)</f>
        <v>Media</v>
      </c>
      <c r="O1778" s="1" t="str">
        <f t="shared" ref="O1778:P1778" si="1782">IF(ISBLANK(K1778),M1778,K1778)</f>
        <v>Outreach</v>
      </c>
      <c r="P1778" s="1" t="str">
        <f t="shared" si="1782"/>
        <v>Media</v>
      </c>
      <c r="Q1778" s="108" t="str">
        <f t="shared" si="3"/>
        <v>2024</v>
      </c>
      <c r="R1778" s="110">
        <f t="shared" si="4"/>
        <v>9</v>
      </c>
      <c r="S1778" s="108" t="str">
        <f t="shared" si="5"/>
        <v>2024-Q3</v>
      </c>
      <c r="T1778" s="111" t="str">
        <f t="shared" si="6"/>
        <v>2024-09</v>
      </c>
      <c r="U1778" s="112" t="str">
        <f t="shared" si="7"/>
        <v>2024-H2</v>
      </c>
      <c r="V1778" s="1" t="str">
        <f>VLOOKUP(B1778,Bounties!A:E,2,FALSE)</f>
        <v>Spanish Bounty</v>
      </c>
    </row>
    <row r="1779" hidden="1">
      <c r="A1779" s="109">
        <f>HYPERLINK("https://polkadot.subsquare.io/treasury/child-bounties/1784", 1784)</f>
        <v>1784</v>
      </c>
      <c r="B1779" s="183">
        <v>42.0</v>
      </c>
      <c r="C1779" s="27" t="s">
        <v>3404</v>
      </c>
      <c r="D1779" s="27" t="s">
        <v>2226</v>
      </c>
      <c r="E1779" s="129">
        <v>91.35</v>
      </c>
      <c r="F1779" s="66">
        <v>445.8686818599701</v>
      </c>
      <c r="G1779" s="27" t="s">
        <v>3676</v>
      </c>
      <c r="H1779" s="167">
        <v>45509.0</v>
      </c>
      <c r="I1779" s="167">
        <v>45533.0</v>
      </c>
      <c r="J1779" s="66">
        <v>372.12591311931607</v>
      </c>
      <c r="M1779" s="1" t="str">
        <f>VLOOKUP(B1779,Bounties!A:D,3,FALSE)</f>
        <v>Outreach</v>
      </c>
      <c r="N1779" s="1" t="str">
        <f>VLOOKUP(B1779,Bounties!A:D,4,FALSE)</f>
        <v>Media</v>
      </c>
      <c r="O1779" s="1" t="str">
        <f t="shared" ref="O1779:P1779" si="1783">IF(ISBLANK(K1779),M1779,K1779)</f>
        <v>Outreach</v>
      </c>
      <c r="P1779" s="1" t="str">
        <f t="shared" si="1783"/>
        <v>Media</v>
      </c>
      <c r="Q1779" s="108" t="str">
        <f t="shared" si="3"/>
        <v>2024</v>
      </c>
      <c r="R1779" s="110">
        <f t="shared" si="4"/>
        <v>8</v>
      </c>
      <c r="S1779" s="108" t="str">
        <f t="shared" si="5"/>
        <v>2024-Q3</v>
      </c>
      <c r="T1779" s="111" t="str">
        <f t="shared" si="6"/>
        <v>2024-08</v>
      </c>
      <c r="U1779" s="112" t="str">
        <f t="shared" si="7"/>
        <v>2024-H2</v>
      </c>
      <c r="V1779" s="1" t="str">
        <f>VLOOKUP(B1779,Bounties!A:E,2,FALSE)</f>
        <v>Spanish Bounty</v>
      </c>
    </row>
    <row r="1780" hidden="1">
      <c r="A1780" s="109">
        <f>HYPERLINK("https://polkadot.subsquare.io/treasury/child-bounties/1785", 1785)</f>
        <v>1785</v>
      </c>
      <c r="B1780" s="183">
        <v>42.0</v>
      </c>
      <c r="C1780" s="27" t="s">
        <v>3404</v>
      </c>
      <c r="D1780" s="27" t="s">
        <v>2227</v>
      </c>
      <c r="E1780" s="129">
        <v>4.31</v>
      </c>
      <c r="F1780" s="66">
        <v>21.03660666465759</v>
      </c>
      <c r="G1780" s="27" t="s">
        <v>3683</v>
      </c>
      <c r="H1780" s="167">
        <v>45509.0</v>
      </c>
      <c r="I1780" s="167">
        <v>45527.0</v>
      </c>
      <c r="J1780" s="66">
        <v>19.66441404819488</v>
      </c>
      <c r="M1780" s="1" t="str">
        <f>VLOOKUP(B1780,Bounties!A:D,3,FALSE)</f>
        <v>Outreach</v>
      </c>
      <c r="N1780" s="1" t="str">
        <f>VLOOKUP(B1780,Bounties!A:D,4,FALSE)</f>
        <v>Media</v>
      </c>
      <c r="O1780" s="1" t="str">
        <f t="shared" ref="O1780:P1780" si="1784">IF(ISBLANK(K1780),M1780,K1780)</f>
        <v>Outreach</v>
      </c>
      <c r="P1780" s="1" t="str">
        <f t="shared" si="1784"/>
        <v>Media</v>
      </c>
      <c r="Q1780" s="108" t="str">
        <f t="shared" si="3"/>
        <v>2024</v>
      </c>
      <c r="R1780" s="110">
        <f t="shared" si="4"/>
        <v>8</v>
      </c>
      <c r="S1780" s="108" t="str">
        <f t="shared" si="5"/>
        <v>2024-Q3</v>
      </c>
      <c r="T1780" s="111" t="str">
        <f t="shared" si="6"/>
        <v>2024-08</v>
      </c>
      <c r="U1780" s="112" t="str">
        <f t="shared" si="7"/>
        <v>2024-H2</v>
      </c>
      <c r="V1780" s="1" t="str">
        <f>VLOOKUP(B1780,Bounties!A:E,2,FALSE)</f>
        <v>Spanish Bounty</v>
      </c>
    </row>
    <row r="1781" hidden="1">
      <c r="A1781" s="109">
        <f>HYPERLINK("https://polkadot.subsquare.io/treasury/child-bounties/1786", 1786)</f>
        <v>1786</v>
      </c>
      <c r="B1781" s="183">
        <v>42.0</v>
      </c>
      <c r="C1781" s="27" t="s">
        <v>3404</v>
      </c>
      <c r="D1781" s="27" t="s">
        <v>2228</v>
      </c>
      <c r="E1781" s="129">
        <v>9.43</v>
      </c>
      <c r="F1781" s="66">
        <v>46.02672873497009</v>
      </c>
      <c r="G1781" s="27" t="s">
        <v>3751</v>
      </c>
      <c r="H1781" s="167">
        <v>45509.0</v>
      </c>
      <c r="I1781" s="167">
        <v>45555.0</v>
      </c>
      <c r="J1781" s="66">
        <v>42.015082902908325</v>
      </c>
      <c r="M1781" s="1" t="str">
        <f>VLOOKUP(B1781,Bounties!A:D,3,FALSE)</f>
        <v>Outreach</v>
      </c>
      <c r="N1781" s="1" t="str">
        <f>VLOOKUP(B1781,Bounties!A:D,4,FALSE)</f>
        <v>Media</v>
      </c>
      <c r="O1781" s="1" t="str">
        <f t="shared" ref="O1781:P1781" si="1785">IF(ISBLANK(K1781),M1781,K1781)</f>
        <v>Outreach</v>
      </c>
      <c r="P1781" s="1" t="str">
        <f t="shared" si="1785"/>
        <v>Media</v>
      </c>
      <c r="Q1781" s="108" t="str">
        <f t="shared" si="3"/>
        <v>2024</v>
      </c>
      <c r="R1781" s="110">
        <f t="shared" si="4"/>
        <v>9</v>
      </c>
      <c r="S1781" s="108" t="str">
        <f t="shared" si="5"/>
        <v>2024-Q3</v>
      </c>
      <c r="T1781" s="111" t="str">
        <f t="shared" si="6"/>
        <v>2024-09</v>
      </c>
      <c r="U1781" s="112" t="str">
        <f t="shared" si="7"/>
        <v>2024-H2</v>
      </c>
      <c r="V1781" s="1" t="str">
        <f>VLOOKUP(B1781,Bounties!A:E,2,FALSE)</f>
        <v>Spanish Bounty</v>
      </c>
    </row>
    <row r="1782" hidden="1">
      <c r="A1782" s="109">
        <f>HYPERLINK("https://polkadot.subsquare.io/treasury/child-bounties/1787", 1787)</f>
        <v>1787</v>
      </c>
      <c r="B1782" s="183">
        <v>42.0</v>
      </c>
      <c r="C1782" s="27" t="s">
        <v>3404</v>
      </c>
      <c r="D1782" s="27" t="s">
        <v>2229</v>
      </c>
      <c r="E1782" s="129">
        <v>7.86</v>
      </c>
      <c r="F1782" s="66">
        <v>38.36374208450317</v>
      </c>
      <c r="G1782" s="27" t="s">
        <v>3453</v>
      </c>
      <c r="H1782" s="167">
        <v>45509.0</v>
      </c>
      <c r="I1782" s="167">
        <v>45517.0</v>
      </c>
      <c r="J1782" s="66">
        <v>33.760139808654785</v>
      </c>
      <c r="M1782" s="1" t="str">
        <f>VLOOKUP(B1782,Bounties!A:D,3,FALSE)</f>
        <v>Outreach</v>
      </c>
      <c r="N1782" s="1" t="str">
        <f>VLOOKUP(B1782,Bounties!A:D,4,FALSE)</f>
        <v>Media</v>
      </c>
      <c r="O1782" s="1" t="str">
        <f t="shared" ref="O1782:P1782" si="1786">IF(ISBLANK(K1782),M1782,K1782)</f>
        <v>Outreach</v>
      </c>
      <c r="P1782" s="1" t="str">
        <f t="shared" si="1786"/>
        <v>Media</v>
      </c>
      <c r="Q1782" s="108" t="str">
        <f t="shared" si="3"/>
        <v>2024</v>
      </c>
      <c r="R1782" s="110">
        <f t="shared" si="4"/>
        <v>8</v>
      </c>
      <c r="S1782" s="108" t="str">
        <f t="shared" si="5"/>
        <v>2024-Q3</v>
      </c>
      <c r="T1782" s="111" t="str">
        <f t="shared" si="6"/>
        <v>2024-08</v>
      </c>
      <c r="U1782" s="112" t="str">
        <f t="shared" si="7"/>
        <v>2024-H2</v>
      </c>
      <c r="V1782" s="1" t="str">
        <f>VLOOKUP(B1782,Bounties!A:E,2,FALSE)</f>
        <v>Spanish Bounty</v>
      </c>
    </row>
    <row r="1783" hidden="1">
      <c r="A1783" s="109">
        <f>HYPERLINK("https://polkadot.subsquare.io/treasury/child-bounties/1788", 1788)</f>
        <v>1788</v>
      </c>
      <c r="B1783" s="183">
        <v>42.0</v>
      </c>
      <c r="C1783" s="27" t="s">
        <v>3404</v>
      </c>
      <c r="D1783" s="27" t="s">
        <v>2230</v>
      </c>
      <c r="E1783" s="129">
        <v>27.12</v>
      </c>
      <c r="F1783" s="66">
        <v>132.36955284118653</v>
      </c>
      <c r="G1783" s="27" t="s">
        <v>3703</v>
      </c>
      <c r="H1783" s="167">
        <v>45509.0</v>
      </c>
      <c r="I1783" s="167">
        <v>45517.0</v>
      </c>
      <c r="J1783" s="66">
        <v>116.4853678894043</v>
      </c>
      <c r="M1783" s="1" t="str">
        <f>VLOOKUP(B1783,Bounties!A:D,3,FALSE)</f>
        <v>Outreach</v>
      </c>
      <c r="N1783" s="1" t="str">
        <f>VLOOKUP(B1783,Bounties!A:D,4,FALSE)</f>
        <v>Media</v>
      </c>
      <c r="O1783" s="1" t="str">
        <f t="shared" ref="O1783:P1783" si="1787">IF(ISBLANK(K1783),M1783,K1783)</f>
        <v>Outreach</v>
      </c>
      <c r="P1783" s="1" t="str">
        <f t="shared" si="1787"/>
        <v>Media</v>
      </c>
      <c r="Q1783" s="108" t="str">
        <f t="shared" si="3"/>
        <v>2024</v>
      </c>
      <c r="R1783" s="110">
        <f t="shared" si="4"/>
        <v>8</v>
      </c>
      <c r="S1783" s="108" t="str">
        <f t="shared" si="5"/>
        <v>2024-Q3</v>
      </c>
      <c r="T1783" s="111" t="str">
        <f t="shared" si="6"/>
        <v>2024-08</v>
      </c>
      <c r="U1783" s="112" t="str">
        <f t="shared" si="7"/>
        <v>2024-H2</v>
      </c>
      <c r="V1783" s="1" t="str">
        <f>VLOOKUP(B1783,Bounties!A:E,2,FALSE)</f>
        <v>Spanish Bounty</v>
      </c>
    </row>
    <row r="1784" hidden="1">
      <c r="A1784" s="109">
        <f>HYPERLINK("https://polkadot.subsquare.io/treasury/child-bounties/1789", 1789)</f>
        <v>1789</v>
      </c>
      <c r="B1784" s="183">
        <v>42.0</v>
      </c>
      <c r="C1784" s="27" t="s">
        <v>3404</v>
      </c>
      <c r="D1784" s="27" t="s">
        <v>2231</v>
      </c>
      <c r="E1784" s="129">
        <v>403.32</v>
      </c>
      <c r="F1784" s="66">
        <v>1968.5578190231322</v>
      </c>
      <c r="G1784" s="27" t="s">
        <v>3689</v>
      </c>
      <c r="H1784" s="167">
        <v>45509.0</v>
      </c>
      <c r="I1784" s="167">
        <v>45519.0</v>
      </c>
      <c r="J1784" s="66">
        <v>1771.009192428589</v>
      </c>
      <c r="M1784" s="1" t="str">
        <f>VLOOKUP(B1784,Bounties!A:D,3,FALSE)</f>
        <v>Outreach</v>
      </c>
      <c r="N1784" s="1" t="str">
        <f>VLOOKUP(B1784,Bounties!A:D,4,FALSE)</f>
        <v>Media</v>
      </c>
      <c r="O1784" s="1" t="str">
        <f t="shared" ref="O1784:P1784" si="1788">IF(ISBLANK(K1784),M1784,K1784)</f>
        <v>Outreach</v>
      </c>
      <c r="P1784" s="1" t="str">
        <f t="shared" si="1788"/>
        <v>Media</v>
      </c>
      <c r="Q1784" s="108" t="str">
        <f t="shared" si="3"/>
        <v>2024</v>
      </c>
      <c r="R1784" s="110">
        <f t="shared" si="4"/>
        <v>8</v>
      </c>
      <c r="S1784" s="108" t="str">
        <f t="shared" si="5"/>
        <v>2024-Q3</v>
      </c>
      <c r="T1784" s="111" t="str">
        <f t="shared" si="6"/>
        <v>2024-08</v>
      </c>
      <c r="U1784" s="112" t="str">
        <f t="shared" si="7"/>
        <v>2024-H2</v>
      </c>
      <c r="V1784" s="1" t="str">
        <f>VLOOKUP(B1784,Bounties!A:E,2,FALSE)</f>
        <v>Spanish Bounty</v>
      </c>
    </row>
    <row r="1785" hidden="1">
      <c r="A1785" s="109">
        <f>HYPERLINK("https://polkadot.subsquare.io/treasury/child-bounties/1790", 1790)</f>
        <v>1790</v>
      </c>
      <c r="B1785" s="183">
        <v>42.0</v>
      </c>
      <c r="C1785" s="27" t="s">
        <v>3404</v>
      </c>
      <c r="D1785" s="27" t="s">
        <v>2232</v>
      </c>
      <c r="E1785" s="129">
        <v>51.83</v>
      </c>
      <c r="F1785" s="66">
        <v>252.97617712974548</v>
      </c>
      <c r="G1785" s="27" t="s">
        <v>3674</v>
      </c>
      <c r="H1785" s="167">
        <v>45509.0</v>
      </c>
      <c r="I1785" s="167">
        <v>45519.0</v>
      </c>
      <c r="J1785" s="66">
        <v>227.58952306747435</v>
      </c>
      <c r="M1785" s="1" t="str">
        <f>VLOOKUP(B1785,Bounties!A:D,3,FALSE)</f>
        <v>Outreach</v>
      </c>
      <c r="N1785" s="1" t="str">
        <f>VLOOKUP(B1785,Bounties!A:D,4,FALSE)</f>
        <v>Media</v>
      </c>
      <c r="O1785" s="1" t="str">
        <f t="shared" ref="O1785:P1785" si="1789">IF(ISBLANK(K1785),M1785,K1785)</f>
        <v>Outreach</v>
      </c>
      <c r="P1785" s="1" t="str">
        <f t="shared" si="1789"/>
        <v>Media</v>
      </c>
      <c r="Q1785" s="108" t="str">
        <f t="shared" si="3"/>
        <v>2024</v>
      </c>
      <c r="R1785" s="110">
        <f t="shared" si="4"/>
        <v>8</v>
      </c>
      <c r="S1785" s="108" t="str">
        <f t="shared" si="5"/>
        <v>2024-Q3</v>
      </c>
      <c r="T1785" s="111" t="str">
        <f t="shared" si="6"/>
        <v>2024-08</v>
      </c>
      <c r="U1785" s="112" t="str">
        <f t="shared" si="7"/>
        <v>2024-H2</v>
      </c>
      <c r="V1785" s="1" t="str">
        <f>VLOOKUP(B1785,Bounties!A:E,2,FALSE)</f>
        <v>Spanish Bounty</v>
      </c>
    </row>
    <row r="1786" hidden="1">
      <c r="A1786" s="109">
        <f>HYPERLINK("https://polkadot.subsquare.io/treasury/child-bounties/1791", 1791)</f>
        <v>1791</v>
      </c>
      <c r="B1786" s="183">
        <v>42.0</v>
      </c>
      <c r="C1786" s="27" t="s">
        <v>3404</v>
      </c>
      <c r="D1786" s="27" t="s">
        <v>2233</v>
      </c>
      <c r="E1786" s="129">
        <v>94.31</v>
      </c>
      <c r="F1786" s="66">
        <v>460.3160961818695</v>
      </c>
      <c r="G1786" s="27" t="s">
        <v>3481</v>
      </c>
      <c r="H1786" s="167">
        <v>45509.0</v>
      </c>
      <c r="I1786" s="167">
        <v>45519.0</v>
      </c>
      <c r="J1786" s="66">
        <v>414.12247579574586</v>
      </c>
      <c r="M1786" s="1" t="str">
        <f>VLOOKUP(B1786,Bounties!A:D,3,FALSE)</f>
        <v>Outreach</v>
      </c>
      <c r="N1786" s="1" t="str">
        <f>VLOOKUP(B1786,Bounties!A:D,4,FALSE)</f>
        <v>Media</v>
      </c>
      <c r="O1786" s="1" t="str">
        <f t="shared" ref="O1786:P1786" si="1790">IF(ISBLANK(K1786),M1786,K1786)</f>
        <v>Outreach</v>
      </c>
      <c r="P1786" s="1" t="str">
        <f t="shared" si="1790"/>
        <v>Media</v>
      </c>
      <c r="Q1786" s="108" t="str">
        <f t="shared" si="3"/>
        <v>2024</v>
      </c>
      <c r="R1786" s="110">
        <f t="shared" si="4"/>
        <v>8</v>
      </c>
      <c r="S1786" s="108" t="str">
        <f t="shared" si="5"/>
        <v>2024-Q3</v>
      </c>
      <c r="T1786" s="111" t="str">
        <f t="shared" si="6"/>
        <v>2024-08</v>
      </c>
      <c r="U1786" s="112" t="str">
        <f t="shared" si="7"/>
        <v>2024-H2</v>
      </c>
      <c r="V1786" s="1" t="str">
        <f>VLOOKUP(B1786,Bounties!A:E,2,FALSE)</f>
        <v>Spanish Bounty</v>
      </c>
    </row>
    <row r="1787" hidden="1">
      <c r="A1787" s="109">
        <f>HYPERLINK("https://polkadot.subsquare.io/treasury/child-bounties/1792", 1792)</f>
        <v>1792</v>
      </c>
      <c r="B1787" s="183">
        <v>42.0</v>
      </c>
      <c r="C1787" s="27" t="s">
        <v>3404</v>
      </c>
      <c r="D1787" s="27" t="s">
        <v>2234</v>
      </c>
      <c r="E1787" s="129">
        <v>1042.53</v>
      </c>
      <c r="F1787" s="66">
        <v>5088.467180070877</v>
      </c>
      <c r="G1787" s="27" t="s">
        <v>3784</v>
      </c>
      <c r="H1787" s="167">
        <v>45509.0</v>
      </c>
      <c r="I1787" s="167">
        <v>45518.0</v>
      </c>
      <c r="J1787" s="66">
        <v>4550.376756649017</v>
      </c>
      <c r="M1787" s="1" t="str">
        <f>VLOOKUP(B1787,Bounties!A:D,3,FALSE)</f>
        <v>Outreach</v>
      </c>
      <c r="N1787" s="1" t="str">
        <f>VLOOKUP(B1787,Bounties!A:D,4,FALSE)</f>
        <v>Media</v>
      </c>
      <c r="O1787" s="1" t="str">
        <f t="shared" ref="O1787:P1787" si="1791">IF(ISBLANK(K1787),M1787,K1787)</f>
        <v>Outreach</v>
      </c>
      <c r="P1787" s="1" t="str">
        <f t="shared" si="1791"/>
        <v>Media</v>
      </c>
      <c r="Q1787" s="108" t="str">
        <f t="shared" si="3"/>
        <v>2024</v>
      </c>
      <c r="R1787" s="110">
        <f t="shared" si="4"/>
        <v>8</v>
      </c>
      <c r="S1787" s="108" t="str">
        <f t="shared" si="5"/>
        <v>2024-Q3</v>
      </c>
      <c r="T1787" s="111" t="str">
        <f t="shared" si="6"/>
        <v>2024-08</v>
      </c>
      <c r="U1787" s="112" t="str">
        <f t="shared" si="7"/>
        <v>2024-H2</v>
      </c>
      <c r="V1787" s="1" t="str">
        <f>VLOOKUP(B1787,Bounties!A:E,2,FALSE)</f>
        <v>Spanish Bounty</v>
      </c>
    </row>
    <row r="1788" hidden="1">
      <c r="A1788" s="109">
        <f>HYPERLINK("https://polkadot.subsquare.io/treasury/child-bounties/1793", 1793)</f>
        <v>1793</v>
      </c>
      <c r="B1788" s="183">
        <v>11.0</v>
      </c>
      <c r="C1788" s="27" t="s">
        <v>3404</v>
      </c>
      <c r="D1788" s="27" t="s">
        <v>2235</v>
      </c>
      <c r="E1788" s="129">
        <v>154.9586776859</v>
      </c>
      <c r="F1788" s="66">
        <v>741.8911811731621</v>
      </c>
      <c r="G1788" s="27" t="s">
        <v>3628</v>
      </c>
      <c r="H1788" s="167">
        <v>45510.0</v>
      </c>
      <c r="I1788" s="167">
        <v>45518.0</v>
      </c>
      <c r="J1788" s="66">
        <v>676.3549875619752</v>
      </c>
      <c r="M1788" s="1" t="str">
        <f>VLOOKUP(B1788,Bounties!A:D,3,FALSE)</f>
        <v>Research</v>
      </c>
      <c r="N1788" s="1" t="str">
        <f>VLOOKUP(B1788,Bounties!A:D,4,FALSE)</f>
        <v>Anti-Scam</v>
      </c>
      <c r="O1788" s="1" t="str">
        <f t="shared" ref="O1788:P1788" si="1792">IF(ISBLANK(K1788),M1788,K1788)</f>
        <v>Research</v>
      </c>
      <c r="P1788" s="1" t="str">
        <f t="shared" si="1792"/>
        <v>Anti-Scam</v>
      </c>
      <c r="Q1788" s="108" t="str">
        <f t="shared" si="3"/>
        <v>2024</v>
      </c>
      <c r="R1788" s="110">
        <f t="shared" si="4"/>
        <v>8</v>
      </c>
      <c r="S1788" s="108" t="str">
        <f t="shared" si="5"/>
        <v>2024-Q3</v>
      </c>
      <c r="T1788" s="111" t="str">
        <f t="shared" si="6"/>
        <v>2024-08</v>
      </c>
      <c r="U1788" s="112" t="str">
        <f t="shared" si="7"/>
        <v>2024-H2</v>
      </c>
      <c r="V1788" s="1" t="str">
        <f>VLOOKUP(B1788,Bounties!A:E,2,FALSE)</f>
        <v>Anti-Scam Bounty</v>
      </c>
    </row>
    <row r="1789" hidden="1">
      <c r="A1789" s="109">
        <f>HYPERLINK("https://polkadot.subsquare.io/treasury/child-bounties/1794", 1794)</f>
        <v>1794</v>
      </c>
      <c r="B1789" s="183">
        <v>11.0</v>
      </c>
      <c r="C1789" s="27" t="s">
        <v>3404</v>
      </c>
      <c r="D1789" s="27" t="s">
        <v>2236</v>
      </c>
      <c r="E1789" s="129">
        <v>154.9586776859</v>
      </c>
      <c r="F1789" s="66">
        <v>741.8911811731621</v>
      </c>
      <c r="G1789" s="27" t="s">
        <v>3424</v>
      </c>
      <c r="H1789" s="167">
        <v>45510.0</v>
      </c>
      <c r="I1789" s="167">
        <v>45518.0</v>
      </c>
      <c r="J1789" s="66">
        <v>676.3549875619752</v>
      </c>
      <c r="M1789" s="1" t="str">
        <f>VLOOKUP(B1789,Bounties!A:D,3,FALSE)</f>
        <v>Research</v>
      </c>
      <c r="N1789" s="1" t="str">
        <f>VLOOKUP(B1789,Bounties!A:D,4,FALSE)</f>
        <v>Anti-Scam</v>
      </c>
      <c r="O1789" s="1" t="str">
        <f t="shared" ref="O1789:P1789" si="1793">IF(ISBLANK(K1789),M1789,K1789)</f>
        <v>Research</v>
      </c>
      <c r="P1789" s="1" t="str">
        <f t="shared" si="1793"/>
        <v>Anti-Scam</v>
      </c>
      <c r="Q1789" s="108" t="str">
        <f t="shared" si="3"/>
        <v>2024</v>
      </c>
      <c r="R1789" s="110">
        <f t="shared" si="4"/>
        <v>8</v>
      </c>
      <c r="S1789" s="108" t="str">
        <f t="shared" si="5"/>
        <v>2024-Q3</v>
      </c>
      <c r="T1789" s="111" t="str">
        <f t="shared" si="6"/>
        <v>2024-08</v>
      </c>
      <c r="U1789" s="112" t="str">
        <f t="shared" si="7"/>
        <v>2024-H2</v>
      </c>
      <c r="V1789" s="1" t="str">
        <f>VLOOKUP(B1789,Bounties!A:E,2,FALSE)</f>
        <v>Anti-Scam Bounty</v>
      </c>
    </row>
    <row r="1790" hidden="1">
      <c r="A1790" s="109">
        <f>HYPERLINK("https://polkadot.subsquare.io/treasury/child-bounties/1795", 1795)</f>
        <v>1795</v>
      </c>
      <c r="B1790" s="183">
        <v>11.0</v>
      </c>
      <c r="C1790" s="27" t="s">
        <v>3404</v>
      </c>
      <c r="D1790" s="27" t="s">
        <v>2237</v>
      </c>
      <c r="E1790" s="129">
        <v>103.3057851239</v>
      </c>
      <c r="F1790" s="66">
        <v>494.5941207819484</v>
      </c>
      <c r="G1790" s="27" t="s">
        <v>3628</v>
      </c>
      <c r="H1790" s="167">
        <v>45510.0</v>
      </c>
      <c r="I1790" s="167">
        <v>45518.0</v>
      </c>
      <c r="J1790" s="66">
        <v>450.90332504117134</v>
      </c>
      <c r="M1790" s="1" t="str">
        <f>VLOOKUP(B1790,Bounties!A:D,3,FALSE)</f>
        <v>Research</v>
      </c>
      <c r="N1790" s="1" t="str">
        <f>VLOOKUP(B1790,Bounties!A:D,4,FALSE)</f>
        <v>Anti-Scam</v>
      </c>
      <c r="O1790" s="1" t="str">
        <f t="shared" ref="O1790:P1790" si="1794">IF(ISBLANK(K1790),M1790,K1790)</f>
        <v>Research</v>
      </c>
      <c r="P1790" s="1" t="str">
        <f t="shared" si="1794"/>
        <v>Anti-Scam</v>
      </c>
      <c r="Q1790" s="108" t="str">
        <f t="shared" si="3"/>
        <v>2024</v>
      </c>
      <c r="R1790" s="110">
        <f t="shared" si="4"/>
        <v>8</v>
      </c>
      <c r="S1790" s="108" t="str">
        <f t="shared" si="5"/>
        <v>2024-Q3</v>
      </c>
      <c r="T1790" s="111" t="str">
        <f t="shared" si="6"/>
        <v>2024-08</v>
      </c>
      <c r="U1790" s="112" t="str">
        <f t="shared" si="7"/>
        <v>2024-H2</v>
      </c>
      <c r="V1790" s="1" t="str">
        <f>VLOOKUP(B1790,Bounties!A:E,2,FALSE)</f>
        <v>Anti-Scam Bounty</v>
      </c>
    </row>
    <row r="1791" hidden="1">
      <c r="A1791" s="109">
        <f>HYPERLINK("https://polkadot.subsquare.io/treasury/child-bounties/1796", 1796)</f>
        <v>1796</v>
      </c>
      <c r="B1791" s="183">
        <v>11.0</v>
      </c>
      <c r="C1791" s="27" t="s">
        <v>3404</v>
      </c>
      <c r="D1791" s="27" t="s">
        <v>2238</v>
      </c>
      <c r="E1791" s="129">
        <v>103.3057851239</v>
      </c>
      <c r="F1791" s="66">
        <v>494.5941207819484</v>
      </c>
      <c r="G1791" s="27" t="s">
        <v>3457</v>
      </c>
      <c r="H1791" s="167">
        <v>45510.0</v>
      </c>
      <c r="I1791" s="167">
        <v>45525.0</v>
      </c>
      <c r="J1791" s="66">
        <v>506.06116775606006</v>
      </c>
      <c r="M1791" s="1" t="str">
        <f>VLOOKUP(B1791,Bounties!A:D,3,FALSE)</f>
        <v>Research</v>
      </c>
      <c r="N1791" s="1" t="str">
        <f>VLOOKUP(B1791,Bounties!A:D,4,FALSE)</f>
        <v>Anti-Scam</v>
      </c>
      <c r="O1791" s="1" t="str">
        <f t="shared" ref="O1791:P1791" si="1795">IF(ISBLANK(K1791),M1791,K1791)</f>
        <v>Research</v>
      </c>
      <c r="P1791" s="1" t="str">
        <f t="shared" si="1795"/>
        <v>Anti-Scam</v>
      </c>
      <c r="Q1791" s="108" t="str">
        <f t="shared" si="3"/>
        <v>2024</v>
      </c>
      <c r="R1791" s="110">
        <f t="shared" si="4"/>
        <v>8</v>
      </c>
      <c r="S1791" s="108" t="str">
        <f t="shared" si="5"/>
        <v>2024-Q3</v>
      </c>
      <c r="T1791" s="111" t="str">
        <f t="shared" si="6"/>
        <v>2024-08</v>
      </c>
      <c r="U1791" s="112" t="str">
        <f t="shared" si="7"/>
        <v>2024-H2</v>
      </c>
      <c r="V1791" s="1" t="str">
        <f>VLOOKUP(B1791,Bounties!A:E,2,FALSE)</f>
        <v>Anti-Scam Bounty</v>
      </c>
    </row>
    <row r="1792" hidden="1">
      <c r="A1792" s="109">
        <f>HYPERLINK("https://polkadot.subsquare.io/treasury/child-bounties/1797", 1797)</f>
        <v>1797</v>
      </c>
      <c r="B1792" s="183">
        <v>11.0</v>
      </c>
      <c r="C1792" s="27" t="s">
        <v>3404</v>
      </c>
      <c r="D1792" s="27" t="s">
        <v>2239</v>
      </c>
      <c r="E1792" s="129">
        <v>104.843</v>
      </c>
      <c r="F1792" s="66">
        <v>501.9538000020981</v>
      </c>
      <c r="G1792" s="27" t="s">
        <v>3409</v>
      </c>
      <c r="H1792" s="167">
        <v>45510.0</v>
      </c>
      <c r="I1792" s="167">
        <v>45520.0</v>
      </c>
      <c r="J1792" s="66">
        <v>470.0969362564087</v>
      </c>
      <c r="M1792" s="1" t="str">
        <f>VLOOKUP(B1792,Bounties!A:D,3,FALSE)</f>
        <v>Research</v>
      </c>
      <c r="N1792" s="1" t="str">
        <f>VLOOKUP(B1792,Bounties!A:D,4,FALSE)</f>
        <v>Anti-Scam</v>
      </c>
      <c r="O1792" s="1" t="str">
        <f t="shared" ref="O1792:P1792" si="1796">IF(ISBLANK(K1792),M1792,K1792)</f>
        <v>Research</v>
      </c>
      <c r="P1792" s="1" t="str">
        <f t="shared" si="1796"/>
        <v>Anti-Scam</v>
      </c>
      <c r="Q1792" s="108" t="str">
        <f t="shared" si="3"/>
        <v>2024</v>
      </c>
      <c r="R1792" s="110">
        <f t="shared" si="4"/>
        <v>8</v>
      </c>
      <c r="S1792" s="108" t="str">
        <f t="shared" si="5"/>
        <v>2024-Q3</v>
      </c>
      <c r="T1792" s="111" t="str">
        <f t="shared" si="6"/>
        <v>2024-08</v>
      </c>
      <c r="U1792" s="112" t="str">
        <f t="shared" si="7"/>
        <v>2024-H2</v>
      </c>
      <c r="V1792" s="1" t="str">
        <f>VLOOKUP(B1792,Bounties!A:E,2,FALSE)</f>
        <v>Anti-Scam Bounty</v>
      </c>
    </row>
    <row r="1793" hidden="1">
      <c r="A1793" s="109">
        <f>HYPERLINK("https://polkadot.subsquare.io/treasury/child-bounties/1798", 1798)</f>
        <v>1798</v>
      </c>
      <c r="B1793" s="183">
        <v>11.0</v>
      </c>
      <c r="C1793" s="27" t="s">
        <v>3404</v>
      </c>
      <c r="D1793" s="27" t="s">
        <v>2240</v>
      </c>
      <c r="E1793" s="129">
        <v>104.843</v>
      </c>
      <c r="F1793" s="66">
        <v>501.9538000020981</v>
      </c>
      <c r="G1793" s="27" t="s">
        <v>3439</v>
      </c>
      <c r="H1793" s="167">
        <v>45510.0</v>
      </c>
      <c r="I1793" s="167">
        <v>45522.0</v>
      </c>
      <c r="J1793" s="66">
        <v>489.59742070007326</v>
      </c>
      <c r="M1793" s="1" t="str">
        <f>VLOOKUP(B1793,Bounties!A:D,3,FALSE)</f>
        <v>Research</v>
      </c>
      <c r="N1793" s="1" t="str">
        <f>VLOOKUP(B1793,Bounties!A:D,4,FALSE)</f>
        <v>Anti-Scam</v>
      </c>
      <c r="O1793" s="1" t="str">
        <f t="shared" ref="O1793:P1793" si="1797">IF(ISBLANK(K1793),M1793,K1793)</f>
        <v>Research</v>
      </c>
      <c r="P1793" s="1" t="str">
        <f t="shared" si="1797"/>
        <v>Anti-Scam</v>
      </c>
      <c r="Q1793" s="108" t="str">
        <f t="shared" si="3"/>
        <v>2024</v>
      </c>
      <c r="R1793" s="110">
        <f t="shared" si="4"/>
        <v>8</v>
      </c>
      <c r="S1793" s="108" t="str">
        <f t="shared" si="5"/>
        <v>2024-Q3</v>
      </c>
      <c r="T1793" s="111" t="str">
        <f t="shared" si="6"/>
        <v>2024-08</v>
      </c>
      <c r="U1793" s="112" t="str">
        <f t="shared" si="7"/>
        <v>2024-H2</v>
      </c>
      <c r="V1793" s="1" t="str">
        <f>VLOOKUP(B1793,Bounties!A:E,2,FALSE)</f>
        <v>Anti-Scam Bounty</v>
      </c>
    </row>
    <row r="1794" hidden="1">
      <c r="A1794" s="109">
        <f>HYPERLINK("https://polkadot.subsquare.io/treasury/child-bounties/1799", 1799)</f>
        <v>1799</v>
      </c>
      <c r="B1794" s="183">
        <v>11.0</v>
      </c>
      <c r="C1794" s="27" t="s">
        <v>3404</v>
      </c>
      <c r="D1794" s="27" t="s">
        <v>2241</v>
      </c>
      <c r="E1794" s="129">
        <v>104.843</v>
      </c>
      <c r="F1794" s="66">
        <v>501.9538000020981</v>
      </c>
      <c r="G1794" s="27" t="s">
        <v>3457</v>
      </c>
      <c r="H1794" s="167">
        <v>45510.0</v>
      </c>
      <c r="I1794" s="167">
        <v>45525.0</v>
      </c>
      <c r="J1794" s="66">
        <v>513.5914793872834</v>
      </c>
      <c r="M1794" s="1" t="str">
        <f>VLOOKUP(B1794,Bounties!A:D,3,FALSE)</f>
        <v>Research</v>
      </c>
      <c r="N1794" s="1" t="str">
        <f>VLOOKUP(B1794,Bounties!A:D,4,FALSE)</f>
        <v>Anti-Scam</v>
      </c>
      <c r="O1794" s="1" t="str">
        <f t="shared" ref="O1794:P1794" si="1798">IF(ISBLANK(K1794),M1794,K1794)</f>
        <v>Research</v>
      </c>
      <c r="P1794" s="1" t="str">
        <f t="shared" si="1798"/>
        <v>Anti-Scam</v>
      </c>
      <c r="Q1794" s="108" t="str">
        <f t="shared" si="3"/>
        <v>2024</v>
      </c>
      <c r="R1794" s="110">
        <f t="shared" si="4"/>
        <v>8</v>
      </c>
      <c r="S1794" s="108" t="str">
        <f t="shared" si="5"/>
        <v>2024-Q3</v>
      </c>
      <c r="T1794" s="111" t="str">
        <f t="shared" si="6"/>
        <v>2024-08</v>
      </c>
      <c r="U1794" s="112" t="str">
        <f t="shared" si="7"/>
        <v>2024-H2</v>
      </c>
      <c r="V1794" s="1" t="str">
        <f>VLOOKUP(B1794,Bounties!A:E,2,FALSE)</f>
        <v>Anti-Scam Bounty</v>
      </c>
    </row>
    <row r="1795" hidden="1">
      <c r="A1795" s="109">
        <f>HYPERLINK("https://polkadot.subsquare.io/treasury/child-bounties/1800", 1800)</f>
        <v>1800</v>
      </c>
      <c r="B1795" s="183">
        <v>11.0</v>
      </c>
      <c r="C1795" s="27" t="s">
        <v>3404</v>
      </c>
      <c r="D1795" s="27" t="s">
        <v>2242</v>
      </c>
      <c r="E1795" s="129">
        <v>104.843</v>
      </c>
      <c r="F1795" s="66">
        <v>501.9538000020981</v>
      </c>
      <c r="G1795" s="27" t="s">
        <v>3486</v>
      </c>
      <c r="H1795" s="167">
        <v>45510.0</v>
      </c>
      <c r="I1795" s="167">
        <v>45519.0</v>
      </c>
      <c r="J1795" s="66">
        <v>460.3736902751923</v>
      </c>
      <c r="M1795" s="1" t="str">
        <f>VLOOKUP(B1795,Bounties!A:D,3,FALSE)</f>
        <v>Research</v>
      </c>
      <c r="N1795" s="1" t="str">
        <f>VLOOKUP(B1795,Bounties!A:D,4,FALSE)</f>
        <v>Anti-Scam</v>
      </c>
      <c r="O1795" s="1" t="str">
        <f t="shared" ref="O1795:P1795" si="1799">IF(ISBLANK(K1795),M1795,K1795)</f>
        <v>Research</v>
      </c>
      <c r="P1795" s="1" t="str">
        <f t="shared" si="1799"/>
        <v>Anti-Scam</v>
      </c>
      <c r="Q1795" s="108" t="str">
        <f t="shared" si="3"/>
        <v>2024</v>
      </c>
      <c r="R1795" s="110">
        <f t="shared" si="4"/>
        <v>8</v>
      </c>
      <c r="S1795" s="108" t="str">
        <f t="shared" si="5"/>
        <v>2024-Q3</v>
      </c>
      <c r="T1795" s="111" t="str">
        <f t="shared" si="6"/>
        <v>2024-08</v>
      </c>
      <c r="U1795" s="112" t="str">
        <f t="shared" si="7"/>
        <v>2024-H2</v>
      </c>
      <c r="V1795" s="1" t="str">
        <f>VLOOKUP(B1795,Bounties!A:E,2,FALSE)</f>
        <v>Anti-Scam Bounty</v>
      </c>
    </row>
    <row r="1796" hidden="1">
      <c r="A1796" s="109">
        <f>HYPERLINK("https://polkadot.subsquare.io/treasury/child-bounties/1801", 1801)</f>
        <v>1801</v>
      </c>
      <c r="B1796" s="183">
        <v>11.0</v>
      </c>
      <c r="C1796" s="27" t="s">
        <v>3404</v>
      </c>
      <c r="D1796" s="27" t="s">
        <v>2243</v>
      </c>
      <c r="E1796" s="129">
        <v>104.843</v>
      </c>
      <c r="F1796" s="66">
        <v>501.9538000020981</v>
      </c>
      <c r="G1796" s="27" t="s">
        <v>3407</v>
      </c>
      <c r="H1796" s="167">
        <v>45510.0</v>
      </c>
      <c r="I1796" s="167">
        <v>45520.0</v>
      </c>
      <c r="J1796" s="66">
        <v>470.0969362564087</v>
      </c>
      <c r="M1796" s="1" t="str">
        <f>VLOOKUP(B1796,Bounties!A:D,3,FALSE)</f>
        <v>Research</v>
      </c>
      <c r="N1796" s="1" t="str">
        <f>VLOOKUP(B1796,Bounties!A:D,4,FALSE)</f>
        <v>Anti-Scam</v>
      </c>
      <c r="O1796" s="1" t="str">
        <f t="shared" ref="O1796:P1796" si="1800">IF(ISBLANK(K1796),M1796,K1796)</f>
        <v>Research</v>
      </c>
      <c r="P1796" s="1" t="str">
        <f t="shared" si="1800"/>
        <v>Anti-Scam</v>
      </c>
      <c r="Q1796" s="108" t="str">
        <f t="shared" si="3"/>
        <v>2024</v>
      </c>
      <c r="R1796" s="110">
        <f t="shared" si="4"/>
        <v>8</v>
      </c>
      <c r="S1796" s="108" t="str">
        <f t="shared" si="5"/>
        <v>2024-Q3</v>
      </c>
      <c r="T1796" s="111" t="str">
        <f t="shared" si="6"/>
        <v>2024-08</v>
      </c>
      <c r="U1796" s="112" t="str">
        <f t="shared" si="7"/>
        <v>2024-H2</v>
      </c>
      <c r="V1796" s="1" t="str">
        <f>VLOOKUP(B1796,Bounties!A:E,2,FALSE)</f>
        <v>Anti-Scam Bounty</v>
      </c>
    </row>
    <row r="1797" hidden="1">
      <c r="A1797" s="109">
        <f>HYPERLINK("https://polkadot.subsquare.io/treasury/child-bounties/1802", 1802)</f>
        <v>1802</v>
      </c>
      <c r="B1797" s="183">
        <v>11.0</v>
      </c>
      <c r="C1797" s="27" t="s">
        <v>3404</v>
      </c>
      <c r="D1797" s="27" t="s">
        <v>2244</v>
      </c>
      <c r="E1797" s="129">
        <v>104.843</v>
      </c>
      <c r="F1797" s="66">
        <v>501.9538000020981</v>
      </c>
      <c r="G1797" s="27" t="s">
        <v>3469</v>
      </c>
      <c r="H1797" s="167">
        <v>45510.0</v>
      </c>
      <c r="I1797" s="167">
        <v>45524.0</v>
      </c>
      <c r="J1797" s="66">
        <v>492.1006221146584</v>
      </c>
      <c r="M1797" s="1" t="str">
        <f>VLOOKUP(B1797,Bounties!A:D,3,FALSE)</f>
        <v>Research</v>
      </c>
      <c r="N1797" s="1" t="str">
        <f>VLOOKUP(B1797,Bounties!A:D,4,FALSE)</f>
        <v>Anti-Scam</v>
      </c>
      <c r="O1797" s="1" t="str">
        <f t="shared" ref="O1797:P1797" si="1801">IF(ISBLANK(K1797),M1797,K1797)</f>
        <v>Research</v>
      </c>
      <c r="P1797" s="1" t="str">
        <f t="shared" si="1801"/>
        <v>Anti-Scam</v>
      </c>
      <c r="Q1797" s="108" t="str">
        <f t="shared" si="3"/>
        <v>2024</v>
      </c>
      <c r="R1797" s="110">
        <f t="shared" si="4"/>
        <v>8</v>
      </c>
      <c r="S1797" s="108" t="str">
        <f t="shared" si="5"/>
        <v>2024-Q3</v>
      </c>
      <c r="T1797" s="111" t="str">
        <f t="shared" si="6"/>
        <v>2024-08</v>
      </c>
      <c r="U1797" s="112" t="str">
        <f t="shared" si="7"/>
        <v>2024-H2</v>
      </c>
      <c r="V1797" s="1" t="str">
        <f>VLOOKUP(B1797,Bounties!A:E,2,FALSE)</f>
        <v>Anti-Scam Bounty</v>
      </c>
    </row>
    <row r="1798" hidden="1">
      <c r="A1798" s="109">
        <f>HYPERLINK("https://polkadot.subsquare.io/treasury/child-bounties/1803", 1803)</f>
        <v>1803</v>
      </c>
      <c r="B1798" s="183">
        <v>11.0</v>
      </c>
      <c r="C1798" s="27" t="s">
        <v>3404</v>
      </c>
      <c r="D1798" s="27" t="s">
        <v>2245</v>
      </c>
      <c r="E1798" s="129">
        <v>297.520661157</v>
      </c>
      <c r="F1798" s="66">
        <v>1424.4310678528159</v>
      </c>
      <c r="G1798" s="27" t="s">
        <v>3407</v>
      </c>
      <c r="H1798" s="167">
        <v>45510.0</v>
      </c>
      <c r="I1798" s="167">
        <v>45520.0</v>
      </c>
      <c r="J1798" s="66">
        <v>1334.028511993045</v>
      </c>
      <c r="M1798" s="1" t="str">
        <f>VLOOKUP(B1798,Bounties!A:D,3,FALSE)</f>
        <v>Research</v>
      </c>
      <c r="N1798" s="1" t="str">
        <f>VLOOKUP(B1798,Bounties!A:D,4,FALSE)</f>
        <v>Anti-Scam</v>
      </c>
      <c r="O1798" s="1" t="str">
        <f t="shared" ref="O1798:P1798" si="1802">IF(ISBLANK(K1798),M1798,K1798)</f>
        <v>Research</v>
      </c>
      <c r="P1798" s="1" t="str">
        <f t="shared" si="1802"/>
        <v>Anti-Scam</v>
      </c>
      <c r="Q1798" s="108" t="str">
        <f t="shared" si="3"/>
        <v>2024</v>
      </c>
      <c r="R1798" s="110">
        <f t="shared" si="4"/>
        <v>8</v>
      </c>
      <c r="S1798" s="108" t="str">
        <f t="shared" si="5"/>
        <v>2024-Q3</v>
      </c>
      <c r="T1798" s="111" t="str">
        <f t="shared" si="6"/>
        <v>2024-08</v>
      </c>
      <c r="U1798" s="112" t="str">
        <f t="shared" si="7"/>
        <v>2024-H2</v>
      </c>
      <c r="V1798" s="1" t="str">
        <f>VLOOKUP(B1798,Bounties!A:E,2,FALSE)</f>
        <v>Anti-Scam Bounty</v>
      </c>
    </row>
    <row r="1799" hidden="1">
      <c r="A1799" s="109">
        <f>HYPERLINK("https://polkadot.subsquare.io/treasury/child-bounties/1804", 1804)</f>
        <v>1804</v>
      </c>
      <c r="B1799" s="183">
        <v>11.0</v>
      </c>
      <c r="C1799" s="27" t="s">
        <v>3404</v>
      </c>
      <c r="D1799" s="27" t="s">
        <v>2246</v>
      </c>
      <c r="E1799" s="129">
        <v>247.9338842975</v>
      </c>
      <c r="F1799" s="66">
        <v>1187.0258898773463</v>
      </c>
      <c r="G1799" s="27" t="s">
        <v>3424</v>
      </c>
      <c r="H1799" s="167">
        <v>45510.0</v>
      </c>
      <c r="I1799" s="167">
        <v>45519.0</v>
      </c>
      <c r="J1799" s="66">
        <v>1082.1679800994223</v>
      </c>
      <c r="M1799" s="1" t="str">
        <f>VLOOKUP(B1799,Bounties!A:D,3,FALSE)</f>
        <v>Research</v>
      </c>
      <c r="N1799" s="1" t="str">
        <f>VLOOKUP(B1799,Bounties!A:D,4,FALSE)</f>
        <v>Anti-Scam</v>
      </c>
      <c r="O1799" s="1" t="str">
        <f t="shared" ref="O1799:P1799" si="1803">IF(ISBLANK(K1799),M1799,K1799)</f>
        <v>Research</v>
      </c>
      <c r="P1799" s="1" t="str">
        <f t="shared" si="1803"/>
        <v>Anti-Scam</v>
      </c>
      <c r="Q1799" s="108" t="str">
        <f t="shared" si="3"/>
        <v>2024</v>
      </c>
      <c r="R1799" s="110">
        <f t="shared" si="4"/>
        <v>8</v>
      </c>
      <c r="S1799" s="108" t="str">
        <f t="shared" si="5"/>
        <v>2024-Q3</v>
      </c>
      <c r="T1799" s="111" t="str">
        <f t="shared" si="6"/>
        <v>2024-08</v>
      </c>
      <c r="U1799" s="112" t="str">
        <f t="shared" si="7"/>
        <v>2024-H2</v>
      </c>
      <c r="V1799" s="1" t="str">
        <f>VLOOKUP(B1799,Bounties!A:E,2,FALSE)</f>
        <v>Anti-Scam Bounty</v>
      </c>
    </row>
    <row r="1800" hidden="1">
      <c r="A1800" s="109">
        <f>HYPERLINK("https://polkadot.subsquare.io/treasury/child-bounties/1805", 1805)</f>
        <v>1805</v>
      </c>
      <c r="B1800" s="183">
        <v>11.0</v>
      </c>
      <c r="C1800" s="27" t="s">
        <v>3404</v>
      </c>
      <c r="D1800" s="27" t="s">
        <v>2009</v>
      </c>
      <c r="E1800" s="129">
        <v>83.875</v>
      </c>
      <c r="F1800" s="66">
        <v>401.56591260433197</v>
      </c>
      <c r="G1800" s="27" t="s">
        <v>3407</v>
      </c>
      <c r="H1800" s="167">
        <v>45510.0</v>
      </c>
      <c r="I1800" s="167">
        <v>45520.0</v>
      </c>
      <c r="J1800" s="66">
        <v>376.0802392959595</v>
      </c>
      <c r="M1800" s="1" t="str">
        <f>VLOOKUP(B1800,Bounties!A:D,3,FALSE)</f>
        <v>Research</v>
      </c>
      <c r="N1800" s="1" t="str">
        <f>VLOOKUP(B1800,Bounties!A:D,4,FALSE)</f>
        <v>Anti-Scam</v>
      </c>
      <c r="O1800" s="1" t="str">
        <f t="shared" ref="O1800:P1800" si="1804">IF(ISBLANK(K1800),M1800,K1800)</f>
        <v>Research</v>
      </c>
      <c r="P1800" s="1" t="str">
        <f t="shared" si="1804"/>
        <v>Anti-Scam</v>
      </c>
      <c r="Q1800" s="108" t="str">
        <f t="shared" si="3"/>
        <v>2024</v>
      </c>
      <c r="R1800" s="110">
        <f t="shared" si="4"/>
        <v>8</v>
      </c>
      <c r="S1800" s="108" t="str">
        <f t="shared" si="5"/>
        <v>2024-Q3</v>
      </c>
      <c r="T1800" s="111" t="str">
        <f t="shared" si="6"/>
        <v>2024-08</v>
      </c>
      <c r="U1800" s="112" t="str">
        <f t="shared" si="7"/>
        <v>2024-H2</v>
      </c>
      <c r="V1800" s="1" t="str">
        <f>VLOOKUP(B1800,Bounties!A:E,2,FALSE)</f>
        <v>Anti-Scam Bounty</v>
      </c>
    </row>
    <row r="1801" hidden="1">
      <c r="A1801" s="109">
        <f>HYPERLINK("https://polkadot.subsquare.io/treasury/child-bounties/1806", 1806)</f>
        <v>1806</v>
      </c>
      <c r="B1801" s="183">
        <v>11.0</v>
      </c>
      <c r="C1801" s="27" t="s">
        <v>3404</v>
      </c>
      <c r="D1801" s="27" t="s">
        <v>2010</v>
      </c>
      <c r="E1801" s="129">
        <v>83.875</v>
      </c>
      <c r="F1801" s="66">
        <v>401.56591260433197</v>
      </c>
      <c r="G1801" s="27" t="s">
        <v>3406</v>
      </c>
      <c r="H1801" s="167">
        <v>45510.0</v>
      </c>
      <c r="I1801" s="167">
        <v>45531.0</v>
      </c>
      <c r="J1801" s="66">
        <v>356.53022187948227</v>
      </c>
      <c r="M1801" s="1" t="str">
        <f>VLOOKUP(B1801,Bounties!A:D,3,FALSE)</f>
        <v>Research</v>
      </c>
      <c r="N1801" s="1" t="str">
        <f>VLOOKUP(B1801,Bounties!A:D,4,FALSE)</f>
        <v>Anti-Scam</v>
      </c>
      <c r="O1801" s="1" t="str">
        <f t="shared" ref="O1801:P1801" si="1805">IF(ISBLANK(K1801),M1801,K1801)</f>
        <v>Research</v>
      </c>
      <c r="P1801" s="1" t="str">
        <f t="shared" si="1805"/>
        <v>Anti-Scam</v>
      </c>
      <c r="Q1801" s="108" t="str">
        <f t="shared" si="3"/>
        <v>2024</v>
      </c>
      <c r="R1801" s="110">
        <f t="shared" si="4"/>
        <v>8</v>
      </c>
      <c r="S1801" s="108" t="str">
        <f t="shared" si="5"/>
        <v>2024-Q3</v>
      </c>
      <c r="T1801" s="111" t="str">
        <f t="shared" si="6"/>
        <v>2024-08</v>
      </c>
      <c r="U1801" s="112" t="str">
        <f t="shared" si="7"/>
        <v>2024-H2</v>
      </c>
      <c r="V1801" s="1" t="str">
        <f>VLOOKUP(B1801,Bounties!A:E,2,FALSE)</f>
        <v>Anti-Scam Bounty</v>
      </c>
    </row>
    <row r="1802" hidden="1">
      <c r="A1802" s="109">
        <f>HYPERLINK("https://polkadot.subsquare.io/treasury/child-bounties/1807", 1807)</f>
        <v>1807</v>
      </c>
      <c r="B1802" s="183">
        <v>11.0</v>
      </c>
      <c r="C1802" s="27" t="s">
        <v>3404</v>
      </c>
      <c r="D1802" s="27" t="s">
        <v>2011</v>
      </c>
      <c r="E1802" s="129">
        <v>83.875</v>
      </c>
      <c r="F1802" s="66">
        <v>401.56591260433197</v>
      </c>
      <c r="G1802" s="27" t="s">
        <v>3562</v>
      </c>
      <c r="H1802" s="167">
        <v>45510.0</v>
      </c>
      <c r="I1802" s="167">
        <v>45519.0</v>
      </c>
      <c r="J1802" s="66">
        <v>366.0929186344147</v>
      </c>
      <c r="M1802" s="1" t="str">
        <f>VLOOKUP(B1802,Bounties!A:D,3,FALSE)</f>
        <v>Research</v>
      </c>
      <c r="N1802" s="1" t="str">
        <f>VLOOKUP(B1802,Bounties!A:D,4,FALSE)</f>
        <v>Anti-Scam</v>
      </c>
      <c r="O1802" s="1" t="str">
        <f t="shared" ref="O1802:P1802" si="1806">IF(ISBLANK(K1802),M1802,K1802)</f>
        <v>Research</v>
      </c>
      <c r="P1802" s="1" t="str">
        <f t="shared" si="1806"/>
        <v>Anti-Scam</v>
      </c>
      <c r="Q1802" s="108" t="str">
        <f t="shared" si="3"/>
        <v>2024</v>
      </c>
      <c r="R1802" s="110">
        <f t="shared" si="4"/>
        <v>8</v>
      </c>
      <c r="S1802" s="108" t="str">
        <f t="shared" si="5"/>
        <v>2024-Q3</v>
      </c>
      <c r="T1802" s="111" t="str">
        <f t="shared" si="6"/>
        <v>2024-08</v>
      </c>
      <c r="U1802" s="112" t="str">
        <f t="shared" si="7"/>
        <v>2024-H2</v>
      </c>
      <c r="V1802" s="1" t="str">
        <f>VLOOKUP(B1802,Bounties!A:E,2,FALSE)</f>
        <v>Anti-Scam Bounty</v>
      </c>
    </row>
    <row r="1803" hidden="1">
      <c r="A1803" s="109">
        <f>HYPERLINK("https://polkadot.subsquare.io/treasury/child-bounties/1808", 1808)</f>
        <v>1808</v>
      </c>
      <c r="B1803" s="183">
        <v>11.0</v>
      </c>
      <c r="C1803" s="27" t="s">
        <v>3404</v>
      </c>
      <c r="D1803" s="27" t="s">
        <v>2247</v>
      </c>
      <c r="E1803" s="129">
        <v>51.6528925619</v>
      </c>
      <c r="F1803" s="66">
        <v>247.29706039073486</v>
      </c>
      <c r="G1803" s="27" t="s">
        <v>3526</v>
      </c>
      <c r="H1803" s="167">
        <v>45510.0</v>
      </c>
      <c r="I1803" s="167">
        <v>45519.0</v>
      </c>
      <c r="J1803" s="66">
        <v>226.81183066213228</v>
      </c>
      <c r="M1803" s="1" t="str">
        <f>VLOOKUP(B1803,Bounties!A:D,3,FALSE)</f>
        <v>Research</v>
      </c>
      <c r="N1803" s="1" t="str">
        <f>VLOOKUP(B1803,Bounties!A:D,4,FALSE)</f>
        <v>Anti-Scam</v>
      </c>
      <c r="O1803" s="1" t="str">
        <f t="shared" ref="O1803:P1803" si="1807">IF(ISBLANK(K1803),M1803,K1803)</f>
        <v>Research</v>
      </c>
      <c r="P1803" s="1" t="str">
        <f t="shared" si="1807"/>
        <v>Anti-Scam</v>
      </c>
      <c r="Q1803" s="108" t="str">
        <f t="shared" si="3"/>
        <v>2024</v>
      </c>
      <c r="R1803" s="110">
        <f t="shared" si="4"/>
        <v>8</v>
      </c>
      <c r="S1803" s="108" t="str">
        <f t="shared" si="5"/>
        <v>2024-Q3</v>
      </c>
      <c r="T1803" s="111" t="str">
        <f t="shared" si="6"/>
        <v>2024-08</v>
      </c>
      <c r="U1803" s="112" t="str">
        <f t="shared" si="7"/>
        <v>2024-H2</v>
      </c>
      <c r="V1803" s="1" t="str">
        <f>VLOOKUP(B1803,Bounties!A:E,2,FALSE)</f>
        <v>Anti-Scam Bounty</v>
      </c>
    </row>
    <row r="1804" hidden="1">
      <c r="A1804" s="109">
        <f>HYPERLINK("https://polkadot.subsquare.io/treasury/child-bounties/1809", 1809)</f>
        <v>1809</v>
      </c>
      <c r="B1804" s="183">
        <v>11.0</v>
      </c>
      <c r="C1804" s="27" t="s">
        <v>3404</v>
      </c>
      <c r="D1804" s="27" t="s">
        <v>2248</v>
      </c>
      <c r="E1804" s="129">
        <v>51.6528925619</v>
      </c>
      <c r="F1804" s="66">
        <v>247.29706039073486</v>
      </c>
      <c r="G1804" s="27" t="s">
        <v>3486</v>
      </c>
      <c r="H1804" s="167">
        <v>45510.0</v>
      </c>
      <c r="I1804" s="167">
        <v>45519.0</v>
      </c>
      <c r="J1804" s="66">
        <v>226.81183066213228</v>
      </c>
      <c r="M1804" s="1" t="str">
        <f>VLOOKUP(B1804,Bounties!A:D,3,FALSE)</f>
        <v>Research</v>
      </c>
      <c r="N1804" s="1" t="str">
        <f>VLOOKUP(B1804,Bounties!A:D,4,FALSE)</f>
        <v>Anti-Scam</v>
      </c>
      <c r="O1804" s="1" t="str">
        <f t="shared" ref="O1804:P1804" si="1808">IF(ISBLANK(K1804),M1804,K1804)</f>
        <v>Research</v>
      </c>
      <c r="P1804" s="1" t="str">
        <f t="shared" si="1808"/>
        <v>Anti-Scam</v>
      </c>
      <c r="Q1804" s="108" t="str">
        <f t="shared" si="3"/>
        <v>2024</v>
      </c>
      <c r="R1804" s="110">
        <f t="shared" si="4"/>
        <v>8</v>
      </c>
      <c r="S1804" s="108" t="str">
        <f t="shared" si="5"/>
        <v>2024-Q3</v>
      </c>
      <c r="T1804" s="111" t="str">
        <f t="shared" si="6"/>
        <v>2024-08</v>
      </c>
      <c r="U1804" s="112" t="str">
        <f t="shared" si="7"/>
        <v>2024-H2</v>
      </c>
      <c r="V1804" s="1" t="str">
        <f>VLOOKUP(B1804,Bounties!A:E,2,FALSE)</f>
        <v>Anti-Scam Bounty</v>
      </c>
    </row>
    <row r="1805" hidden="1">
      <c r="A1805" s="109">
        <f>HYPERLINK("https://polkadot.subsquare.io/treasury/child-bounties/1810", 1810)</f>
        <v>1810</v>
      </c>
      <c r="B1805" s="183">
        <v>11.0</v>
      </c>
      <c r="C1805" s="27" t="s">
        <v>3404</v>
      </c>
      <c r="D1805" s="27" t="s">
        <v>2249</v>
      </c>
      <c r="E1805" s="129">
        <v>103.3057851239</v>
      </c>
      <c r="F1805" s="66">
        <v>494.5941207819484</v>
      </c>
      <c r="G1805" s="27" t="s">
        <v>3486</v>
      </c>
      <c r="H1805" s="167">
        <v>45510.0</v>
      </c>
      <c r="I1805" s="167">
        <v>45519.0</v>
      </c>
      <c r="J1805" s="66">
        <v>453.6236613247036</v>
      </c>
      <c r="M1805" s="1" t="str">
        <f>VLOOKUP(B1805,Bounties!A:D,3,FALSE)</f>
        <v>Research</v>
      </c>
      <c r="N1805" s="1" t="str">
        <f>VLOOKUP(B1805,Bounties!A:D,4,FALSE)</f>
        <v>Anti-Scam</v>
      </c>
      <c r="O1805" s="1" t="str">
        <f t="shared" ref="O1805:P1805" si="1809">IF(ISBLANK(K1805),M1805,K1805)</f>
        <v>Research</v>
      </c>
      <c r="P1805" s="1" t="str">
        <f t="shared" si="1809"/>
        <v>Anti-Scam</v>
      </c>
      <c r="Q1805" s="108" t="str">
        <f t="shared" si="3"/>
        <v>2024</v>
      </c>
      <c r="R1805" s="110">
        <f t="shared" si="4"/>
        <v>8</v>
      </c>
      <c r="S1805" s="108" t="str">
        <f t="shared" si="5"/>
        <v>2024-Q3</v>
      </c>
      <c r="T1805" s="111" t="str">
        <f t="shared" si="6"/>
        <v>2024-08</v>
      </c>
      <c r="U1805" s="112" t="str">
        <f t="shared" si="7"/>
        <v>2024-H2</v>
      </c>
      <c r="V1805" s="1" t="str">
        <f>VLOOKUP(B1805,Bounties!A:E,2,FALSE)</f>
        <v>Anti-Scam Bounty</v>
      </c>
    </row>
    <row r="1806" hidden="1">
      <c r="A1806" s="109">
        <f>HYPERLINK("https://polkadot.subsquare.io/treasury/child-bounties/1811", 1811)</f>
        <v>1811</v>
      </c>
      <c r="B1806" s="183">
        <v>11.0</v>
      </c>
      <c r="C1806" s="27" t="s">
        <v>3404</v>
      </c>
      <c r="D1806" s="27" t="s">
        <v>2250</v>
      </c>
      <c r="E1806" s="129">
        <v>103.3057851239</v>
      </c>
      <c r="F1806" s="66">
        <v>494.5941207819484</v>
      </c>
      <c r="G1806" s="27" t="s">
        <v>3439</v>
      </c>
      <c r="H1806" s="167">
        <v>45510.0</v>
      </c>
      <c r="I1806" s="167">
        <v>45522.0</v>
      </c>
      <c r="J1806" s="66">
        <v>482.41891151586117</v>
      </c>
      <c r="M1806" s="1" t="str">
        <f>VLOOKUP(B1806,Bounties!A:D,3,FALSE)</f>
        <v>Research</v>
      </c>
      <c r="N1806" s="1" t="str">
        <f>VLOOKUP(B1806,Bounties!A:D,4,FALSE)</f>
        <v>Anti-Scam</v>
      </c>
      <c r="O1806" s="1" t="str">
        <f t="shared" ref="O1806:P1806" si="1810">IF(ISBLANK(K1806),M1806,K1806)</f>
        <v>Research</v>
      </c>
      <c r="P1806" s="1" t="str">
        <f t="shared" si="1810"/>
        <v>Anti-Scam</v>
      </c>
      <c r="Q1806" s="108" t="str">
        <f t="shared" si="3"/>
        <v>2024</v>
      </c>
      <c r="R1806" s="110">
        <f t="shared" si="4"/>
        <v>8</v>
      </c>
      <c r="S1806" s="108" t="str">
        <f t="shared" si="5"/>
        <v>2024-Q3</v>
      </c>
      <c r="T1806" s="111" t="str">
        <f t="shared" si="6"/>
        <v>2024-08</v>
      </c>
      <c r="U1806" s="112" t="str">
        <f t="shared" si="7"/>
        <v>2024-H2</v>
      </c>
      <c r="V1806" s="1" t="str">
        <f>VLOOKUP(B1806,Bounties!A:E,2,FALSE)</f>
        <v>Anti-Scam Bounty</v>
      </c>
    </row>
    <row r="1807" hidden="1">
      <c r="A1807" s="109">
        <f>HYPERLINK("https://polkadot.subsquare.io/treasury/child-bounties/1812", 1812)</f>
        <v>1812</v>
      </c>
      <c r="B1807" s="183">
        <v>11.0</v>
      </c>
      <c r="C1807" s="27" t="s">
        <v>3404</v>
      </c>
      <c r="D1807" s="27" t="s">
        <v>2251</v>
      </c>
      <c r="E1807" s="129">
        <v>103.3057851239</v>
      </c>
      <c r="F1807" s="66">
        <v>494.5941207819484</v>
      </c>
      <c r="G1807" s="27" t="s">
        <v>3470</v>
      </c>
      <c r="H1807" s="167">
        <v>45510.0</v>
      </c>
      <c r="I1807" s="167">
        <v>45520.0</v>
      </c>
      <c r="J1807" s="66">
        <v>453.6236613247036</v>
      </c>
      <c r="M1807" s="1" t="str">
        <f>VLOOKUP(B1807,Bounties!A:D,3,FALSE)</f>
        <v>Research</v>
      </c>
      <c r="N1807" s="1" t="str">
        <f>VLOOKUP(B1807,Bounties!A:D,4,FALSE)</f>
        <v>Anti-Scam</v>
      </c>
      <c r="O1807" s="1" t="str">
        <f t="shared" ref="O1807:P1807" si="1811">IF(ISBLANK(K1807),M1807,K1807)</f>
        <v>Research</v>
      </c>
      <c r="P1807" s="1" t="str">
        <f t="shared" si="1811"/>
        <v>Anti-Scam</v>
      </c>
      <c r="Q1807" s="108" t="str">
        <f t="shared" si="3"/>
        <v>2024</v>
      </c>
      <c r="R1807" s="110">
        <f t="shared" si="4"/>
        <v>8</v>
      </c>
      <c r="S1807" s="108" t="str">
        <f t="shared" si="5"/>
        <v>2024-Q3</v>
      </c>
      <c r="T1807" s="111" t="str">
        <f t="shared" si="6"/>
        <v>2024-08</v>
      </c>
      <c r="U1807" s="112" t="str">
        <f t="shared" si="7"/>
        <v>2024-H2</v>
      </c>
      <c r="V1807" s="1" t="str">
        <f>VLOOKUP(B1807,Bounties!A:E,2,FALSE)</f>
        <v>Anti-Scam Bounty</v>
      </c>
    </row>
    <row r="1808" hidden="1">
      <c r="A1808" s="109">
        <f>HYPERLINK("https://polkadot.subsquare.io/treasury/child-bounties/1813", 1813)</f>
        <v>1813</v>
      </c>
      <c r="B1808" s="183">
        <v>42.0</v>
      </c>
      <c r="C1808" s="27" t="s">
        <v>3404</v>
      </c>
      <c r="D1808" s="27" t="s">
        <v>2252</v>
      </c>
      <c r="E1808" s="129">
        <v>890.65</v>
      </c>
      <c r="F1808" s="66">
        <v>4264.1392555713655</v>
      </c>
      <c r="G1808" s="27" t="s">
        <v>3779</v>
      </c>
      <c r="H1808" s="167">
        <v>45510.0</v>
      </c>
      <c r="I1808" s="167">
        <v>45519.0</v>
      </c>
      <c r="J1808" s="66">
        <v>3910.912767124176</v>
      </c>
      <c r="M1808" s="1" t="str">
        <f>VLOOKUP(B1808,Bounties!A:D,3,FALSE)</f>
        <v>Outreach</v>
      </c>
      <c r="N1808" s="1" t="str">
        <f>VLOOKUP(B1808,Bounties!A:D,4,FALSE)</f>
        <v>Media</v>
      </c>
      <c r="O1808" s="1" t="str">
        <f t="shared" ref="O1808:P1808" si="1812">IF(ISBLANK(K1808),M1808,K1808)</f>
        <v>Outreach</v>
      </c>
      <c r="P1808" s="1" t="str">
        <f t="shared" si="1812"/>
        <v>Media</v>
      </c>
      <c r="Q1808" s="108" t="str">
        <f t="shared" si="3"/>
        <v>2024</v>
      </c>
      <c r="R1808" s="110">
        <f t="shared" si="4"/>
        <v>8</v>
      </c>
      <c r="S1808" s="108" t="str">
        <f t="shared" si="5"/>
        <v>2024-Q3</v>
      </c>
      <c r="T1808" s="111" t="str">
        <f t="shared" si="6"/>
        <v>2024-08</v>
      </c>
      <c r="U1808" s="112" t="str">
        <f t="shared" si="7"/>
        <v>2024-H2</v>
      </c>
      <c r="V1808" s="1" t="str">
        <f>VLOOKUP(B1808,Bounties!A:E,2,FALSE)</f>
        <v>Spanish Bounty</v>
      </c>
    </row>
    <row r="1809" hidden="1">
      <c r="A1809" s="109">
        <f>HYPERLINK("https://polkadot.subsquare.io/treasury/child-bounties/1814", 1814)</f>
        <v>1814</v>
      </c>
      <c r="B1809" s="183">
        <v>11.0</v>
      </c>
      <c r="C1809" s="27" t="s">
        <v>3404</v>
      </c>
      <c r="D1809" s="27" t="s">
        <v>2253</v>
      </c>
      <c r="E1809" s="129">
        <v>247.9338842975</v>
      </c>
      <c r="F1809" s="66">
        <v>1187.0258898773463</v>
      </c>
      <c r="G1809" s="27" t="s">
        <v>3486</v>
      </c>
      <c r="H1809" s="167">
        <v>45510.0</v>
      </c>
      <c r="I1809" s="167">
        <v>45519.0</v>
      </c>
      <c r="J1809" s="66">
        <v>1088.6967871799034</v>
      </c>
      <c r="M1809" s="1" t="str">
        <f>VLOOKUP(B1809,Bounties!A:D,3,FALSE)</f>
        <v>Research</v>
      </c>
      <c r="N1809" s="1" t="str">
        <f>VLOOKUP(B1809,Bounties!A:D,4,FALSE)</f>
        <v>Anti-Scam</v>
      </c>
      <c r="O1809" s="1" t="str">
        <f t="shared" ref="O1809:P1809" si="1813">IF(ISBLANK(K1809),M1809,K1809)</f>
        <v>Research</v>
      </c>
      <c r="P1809" s="1" t="str">
        <f t="shared" si="1813"/>
        <v>Anti-Scam</v>
      </c>
      <c r="Q1809" s="108" t="str">
        <f t="shared" si="3"/>
        <v>2024</v>
      </c>
      <c r="R1809" s="110">
        <f t="shared" si="4"/>
        <v>8</v>
      </c>
      <c r="S1809" s="108" t="str">
        <f t="shared" si="5"/>
        <v>2024-Q3</v>
      </c>
      <c r="T1809" s="111" t="str">
        <f t="shared" si="6"/>
        <v>2024-08</v>
      </c>
      <c r="U1809" s="112" t="str">
        <f t="shared" si="7"/>
        <v>2024-H2</v>
      </c>
      <c r="V1809" s="1" t="str">
        <f>VLOOKUP(B1809,Bounties!A:E,2,FALSE)</f>
        <v>Anti-Scam Bounty</v>
      </c>
    </row>
    <row r="1810" hidden="1">
      <c r="A1810" s="109">
        <f>HYPERLINK("https://polkadot.subsquare.io/treasury/child-bounties/1815", 1815)</f>
        <v>1815</v>
      </c>
      <c r="B1810" s="183">
        <v>11.0</v>
      </c>
      <c r="C1810" s="27" t="s">
        <v>3404</v>
      </c>
      <c r="D1810" s="27" t="s">
        <v>2254</v>
      </c>
      <c r="E1810" s="129">
        <v>123.9669421488</v>
      </c>
      <c r="F1810" s="66">
        <v>593.5129449389126</v>
      </c>
      <c r="G1810" s="27" t="s">
        <v>3470</v>
      </c>
      <c r="H1810" s="167">
        <v>45510.0</v>
      </c>
      <c r="I1810" s="167">
        <v>45520.0</v>
      </c>
      <c r="J1810" s="66">
        <v>544.3483935901713</v>
      </c>
      <c r="M1810" s="1" t="str">
        <f>VLOOKUP(B1810,Bounties!A:D,3,FALSE)</f>
        <v>Research</v>
      </c>
      <c r="N1810" s="1" t="str">
        <f>VLOOKUP(B1810,Bounties!A:D,4,FALSE)</f>
        <v>Anti-Scam</v>
      </c>
      <c r="O1810" s="1" t="str">
        <f t="shared" ref="O1810:P1810" si="1814">IF(ISBLANK(K1810),M1810,K1810)</f>
        <v>Research</v>
      </c>
      <c r="P1810" s="1" t="str">
        <f t="shared" si="1814"/>
        <v>Anti-Scam</v>
      </c>
      <c r="Q1810" s="108" t="str">
        <f t="shared" si="3"/>
        <v>2024</v>
      </c>
      <c r="R1810" s="110">
        <f t="shared" si="4"/>
        <v>8</v>
      </c>
      <c r="S1810" s="108" t="str">
        <f t="shared" si="5"/>
        <v>2024-Q3</v>
      </c>
      <c r="T1810" s="111" t="str">
        <f t="shared" si="6"/>
        <v>2024-08</v>
      </c>
      <c r="U1810" s="112" t="str">
        <f t="shared" si="7"/>
        <v>2024-H2</v>
      </c>
      <c r="V1810" s="1" t="str">
        <f>VLOOKUP(B1810,Bounties!A:E,2,FALSE)</f>
        <v>Anti-Scam Bounty</v>
      </c>
    </row>
    <row r="1811" hidden="1">
      <c r="A1811" s="109">
        <f>HYPERLINK("https://polkadot.subsquare.io/treasury/child-bounties/1816", 1816)</f>
        <v>1816</v>
      </c>
      <c r="B1811" s="183">
        <v>11.0</v>
      </c>
      <c r="C1811" s="27" t="s">
        <v>3404</v>
      </c>
      <c r="D1811" s="27" t="s">
        <v>2255</v>
      </c>
      <c r="E1811" s="129">
        <v>1127.0</v>
      </c>
      <c r="F1811" s="66">
        <v>5360.0931940078735</v>
      </c>
      <c r="G1811" s="27" t="s">
        <v>3407</v>
      </c>
      <c r="H1811" s="167">
        <v>45511.0</v>
      </c>
      <c r="I1811" s="167">
        <v>45523.0</v>
      </c>
      <c r="J1811" s="66">
        <v>5289.78950548172</v>
      </c>
      <c r="M1811" s="1" t="str">
        <f>VLOOKUP(B1811,Bounties!A:D,3,FALSE)</f>
        <v>Research</v>
      </c>
      <c r="N1811" s="1" t="str">
        <f>VLOOKUP(B1811,Bounties!A:D,4,FALSE)</f>
        <v>Anti-Scam</v>
      </c>
      <c r="O1811" s="1" t="str">
        <f t="shared" ref="O1811:P1811" si="1815">IF(ISBLANK(K1811),M1811,K1811)</f>
        <v>Research</v>
      </c>
      <c r="P1811" s="1" t="str">
        <f t="shared" si="1815"/>
        <v>Anti-Scam</v>
      </c>
      <c r="Q1811" s="108" t="str">
        <f t="shared" si="3"/>
        <v>2024</v>
      </c>
      <c r="R1811" s="110">
        <f t="shared" si="4"/>
        <v>8</v>
      </c>
      <c r="S1811" s="108" t="str">
        <f t="shared" si="5"/>
        <v>2024-Q3</v>
      </c>
      <c r="T1811" s="111" t="str">
        <f t="shared" si="6"/>
        <v>2024-08</v>
      </c>
      <c r="U1811" s="112" t="str">
        <f t="shared" si="7"/>
        <v>2024-H2</v>
      </c>
      <c r="V1811" s="1" t="str">
        <f>VLOOKUP(B1811,Bounties!A:E,2,FALSE)</f>
        <v>Anti-Scam Bounty</v>
      </c>
    </row>
    <row r="1812" hidden="1">
      <c r="A1812" s="109">
        <f>HYPERLINK("https://polkadot.subsquare.io/treasury/child-bounties/1817", 1817)</f>
        <v>1817</v>
      </c>
      <c r="B1812" s="183">
        <v>11.0</v>
      </c>
      <c r="C1812" s="27" t="s">
        <v>3404</v>
      </c>
      <c r="D1812" s="27" t="s">
        <v>2256</v>
      </c>
      <c r="E1812" s="129">
        <v>831.79</v>
      </c>
      <c r="F1812" s="66">
        <v>3956.0531657886504</v>
      </c>
      <c r="G1812" s="27" t="s">
        <v>3406</v>
      </c>
      <c r="H1812" s="167">
        <v>45511.0</v>
      </c>
      <c r="I1812" s="167">
        <v>45531.0</v>
      </c>
      <c r="J1812" s="66">
        <v>3535.717117819786</v>
      </c>
      <c r="M1812" s="1" t="str">
        <f>VLOOKUP(B1812,Bounties!A:D,3,FALSE)</f>
        <v>Research</v>
      </c>
      <c r="N1812" s="1" t="str">
        <f>VLOOKUP(B1812,Bounties!A:D,4,FALSE)</f>
        <v>Anti-Scam</v>
      </c>
      <c r="O1812" s="1" t="str">
        <f t="shared" ref="O1812:P1812" si="1816">IF(ISBLANK(K1812),M1812,K1812)</f>
        <v>Research</v>
      </c>
      <c r="P1812" s="1" t="str">
        <f t="shared" si="1816"/>
        <v>Anti-Scam</v>
      </c>
      <c r="Q1812" s="108" t="str">
        <f t="shared" si="3"/>
        <v>2024</v>
      </c>
      <c r="R1812" s="110">
        <f t="shared" si="4"/>
        <v>8</v>
      </c>
      <c r="S1812" s="108" t="str">
        <f t="shared" si="5"/>
        <v>2024-Q3</v>
      </c>
      <c r="T1812" s="111" t="str">
        <f t="shared" si="6"/>
        <v>2024-08</v>
      </c>
      <c r="U1812" s="112" t="str">
        <f t="shared" si="7"/>
        <v>2024-H2</v>
      </c>
      <c r="V1812" s="1" t="str">
        <f>VLOOKUP(B1812,Bounties!A:E,2,FALSE)</f>
        <v>Anti-Scam Bounty</v>
      </c>
    </row>
    <row r="1813" hidden="1">
      <c r="A1813" s="109">
        <f>HYPERLINK("https://polkadot.subsquare.io/treasury/child-bounties/1818", 1818)</f>
        <v>1818</v>
      </c>
      <c r="B1813" s="183">
        <v>11.0</v>
      </c>
      <c r="C1813" s="27" t="s">
        <v>3404</v>
      </c>
      <c r="D1813" s="27" t="s">
        <v>2257</v>
      </c>
      <c r="E1813" s="129">
        <v>352.39</v>
      </c>
      <c r="F1813" s="66">
        <v>1675.9922277164458</v>
      </c>
      <c r="G1813" s="27" t="s">
        <v>3562</v>
      </c>
      <c r="H1813" s="167">
        <v>45511.0</v>
      </c>
      <c r="I1813" s="167">
        <v>45522.0</v>
      </c>
      <c r="J1813" s="66">
        <v>1597.6256662893295</v>
      </c>
      <c r="M1813" s="1" t="str">
        <f>VLOOKUP(B1813,Bounties!A:D,3,FALSE)</f>
        <v>Research</v>
      </c>
      <c r="N1813" s="1" t="str">
        <f>VLOOKUP(B1813,Bounties!A:D,4,FALSE)</f>
        <v>Anti-Scam</v>
      </c>
      <c r="O1813" s="1" t="str">
        <f t="shared" ref="O1813:P1813" si="1817">IF(ISBLANK(K1813),M1813,K1813)</f>
        <v>Research</v>
      </c>
      <c r="P1813" s="1" t="str">
        <f t="shared" si="1817"/>
        <v>Anti-Scam</v>
      </c>
      <c r="Q1813" s="108" t="str">
        <f t="shared" si="3"/>
        <v>2024</v>
      </c>
      <c r="R1813" s="110">
        <f t="shared" si="4"/>
        <v>8</v>
      </c>
      <c r="S1813" s="108" t="str">
        <f t="shared" si="5"/>
        <v>2024-Q3</v>
      </c>
      <c r="T1813" s="111" t="str">
        <f t="shared" si="6"/>
        <v>2024-08</v>
      </c>
      <c r="U1813" s="112" t="str">
        <f t="shared" si="7"/>
        <v>2024-H2</v>
      </c>
      <c r="V1813" s="1" t="str">
        <f>VLOOKUP(B1813,Bounties!A:E,2,FALSE)</f>
        <v>Anti-Scam Bounty</v>
      </c>
    </row>
    <row r="1814" hidden="1">
      <c r="A1814" s="109">
        <f>HYPERLINK("https://polkadot.subsquare.io/treasury/child-bounties/1819", 1819)</f>
        <v>1819</v>
      </c>
      <c r="B1814" s="183">
        <v>11.0</v>
      </c>
      <c r="C1814" s="27" t="s">
        <v>3404</v>
      </c>
      <c r="D1814" s="27" t="s">
        <v>2258</v>
      </c>
      <c r="E1814" s="129">
        <v>347.11</v>
      </c>
      <c r="F1814" s="66">
        <v>1650.880167322159</v>
      </c>
      <c r="G1814" s="27" t="s">
        <v>3562</v>
      </c>
      <c r="H1814" s="167">
        <v>45511.0</v>
      </c>
      <c r="I1814" s="167">
        <v>45521.0</v>
      </c>
      <c r="J1814" s="66">
        <v>1573.6878033590317</v>
      </c>
      <c r="M1814" s="1" t="str">
        <f>VLOOKUP(B1814,Bounties!A:D,3,FALSE)</f>
        <v>Research</v>
      </c>
      <c r="N1814" s="1" t="str">
        <f>VLOOKUP(B1814,Bounties!A:D,4,FALSE)</f>
        <v>Anti-Scam</v>
      </c>
      <c r="O1814" s="1" t="str">
        <f t="shared" ref="O1814:P1814" si="1818">IF(ISBLANK(K1814),M1814,K1814)</f>
        <v>Research</v>
      </c>
      <c r="P1814" s="1" t="str">
        <f t="shared" si="1818"/>
        <v>Anti-Scam</v>
      </c>
      <c r="Q1814" s="108" t="str">
        <f t="shared" si="3"/>
        <v>2024</v>
      </c>
      <c r="R1814" s="110">
        <f t="shared" si="4"/>
        <v>8</v>
      </c>
      <c r="S1814" s="108" t="str">
        <f t="shared" si="5"/>
        <v>2024-Q3</v>
      </c>
      <c r="T1814" s="111" t="str">
        <f t="shared" si="6"/>
        <v>2024-08</v>
      </c>
      <c r="U1814" s="112" t="str">
        <f t="shared" si="7"/>
        <v>2024-H2</v>
      </c>
      <c r="V1814" s="1" t="str">
        <f>VLOOKUP(B1814,Bounties!A:E,2,FALSE)</f>
        <v>Anti-Scam Bounty</v>
      </c>
    </row>
    <row r="1815" hidden="1">
      <c r="A1815" s="109">
        <f>HYPERLINK("https://polkadot.subsquare.io/treasury/child-bounties/1820", 1820)</f>
        <v>1820</v>
      </c>
      <c r="B1815" s="183">
        <v>11.0</v>
      </c>
      <c r="C1815" s="27" t="s">
        <v>3404</v>
      </c>
      <c r="D1815" s="27" t="s">
        <v>2259</v>
      </c>
      <c r="E1815" s="129">
        <v>148.76</v>
      </c>
      <c r="F1815" s="66">
        <v>707.5132773208618</v>
      </c>
      <c r="G1815" s="27" t="s">
        <v>3469</v>
      </c>
      <c r="H1815" s="167">
        <v>45511.0</v>
      </c>
      <c r="I1815" s="167">
        <v>45524.0</v>
      </c>
      <c r="J1815" s="66">
        <v>698.2334399604797</v>
      </c>
      <c r="M1815" s="1" t="str">
        <f>VLOOKUP(B1815,Bounties!A:D,3,FALSE)</f>
        <v>Research</v>
      </c>
      <c r="N1815" s="1" t="str">
        <f>VLOOKUP(B1815,Bounties!A:D,4,FALSE)</f>
        <v>Anti-Scam</v>
      </c>
      <c r="O1815" s="1" t="str">
        <f t="shared" ref="O1815:P1815" si="1819">IF(ISBLANK(K1815),M1815,K1815)</f>
        <v>Research</v>
      </c>
      <c r="P1815" s="1" t="str">
        <f t="shared" si="1819"/>
        <v>Anti-Scam</v>
      </c>
      <c r="Q1815" s="108" t="str">
        <f t="shared" si="3"/>
        <v>2024</v>
      </c>
      <c r="R1815" s="110">
        <f t="shared" si="4"/>
        <v>8</v>
      </c>
      <c r="S1815" s="108" t="str">
        <f t="shared" si="5"/>
        <v>2024-Q3</v>
      </c>
      <c r="T1815" s="111" t="str">
        <f t="shared" si="6"/>
        <v>2024-08</v>
      </c>
      <c r="U1815" s="112" t="str">
        <f t="shared" si="7"/>
        <v>2024-H2</v>
      </c>
      <c r="V1815" s="1" t="str">
        <f>VLOOKUP(B1815,Bounties!A:E,2,FALSE)</f>
        <v>Anti-Scam Bounty</v>
      </c>
    </row>
    <row r="1816" hidden="1">
      <c r="A1816" s="109">
        <f>HYPERLINK("https://polkadot.subsquare.io/treasury/child-bounties/1821", 1821)</f>
        <v>1821</v>
      </c>
      <c r="B1816" s="183">
        <v>11.0</v>
      </c>
      <c r="C1816" s="27" t="s">
        <v>3404</v>
      </c>
      <c r="D1816" s="27" t="s">
        <v>2260</v>
      </c>
      <c r="E1816" s="129">
        <v>51.652892562</v>
      </c>
      <c r="F1816" s="66">
        <v>245.66487832510745</v>
      </c>
      <c r="G1816" s="27" t="s">
        <v>3423</v>
      </c>
      <c r="H1816" s="167">
        <v>45512.0</v>
      </c>
      <c r="I1816" s="167">
        <v>45521.0</v>
      </c>
      <c r="J1816" s="66">
        <v>231.60217222110813</v>
      </c>
      <c r="M1816" s="1" t="str">
        <f>VLOOKUP(B1816,Bounties!A:D,3,FALSE)</f>
        <v>Research</v>
      </c>
      <c r="N1816" s="1" t="str">
        <f>VLOOKUP(B1816,Bounties!A:D,4,FALSE)</f>
        <v>Anti-Scam</v>
      </c>
      <c r="O1816" s="1" t="str">
        <f t="shared" ref="O1816:P1816" si="1820">IF(ISBLANK(K1816),M1816,K1816)</f>
        <v>Research</v>
      </c>
      <c r="P1816" s="1" t="str">
        <f t="shared" si="1820"/>
        <v>Anti-Scam</v>
      </c>
      <c r="Q1816" s="108" t="str">
        <f t="shared" si="3"/>
        <v>2024</v>
      </c>
      <c r="R1816" s="110">
        <f t="shared" si="4"/>
        <v>8</v>
      </c>
      <c r="S1816" s="108" t="str">
        <f t="shared" si="5"/>
        <v>2024-Q3</v>
      </c>
      <c r="T1816" s="111" t="str">
        <f t="shared" si="6"/>
        <v>2024-08</v>
      </c>
      <c r="U1816" s="112" t="str">
        <f t="shared" si="7"/>
        <v>2024-H2</v>
      </c>
      <c r="V1816" s="1" t="str">
        <f>VLOOKUP(B1816,Bounties!A:E,2,FALSE)</f>
        <v>Anti-Scam Bounty</v>
      </c>
    </row>
    <row r="1817" hidden="1">
      <c r="A1817" s="109">
        <f>HYPERLINK("https://polkadot.subsquare.io/treasury/child-bounties/1822", 1822)</f>
        <v>1822</v>
      </c>
      <c r="B1817" s="183">
        <v>11.0</v>
      </c>
      <c r="C1817" s="27" t="s">
        <v>3404</v>
      </c>
      <c r="D1817" s="27" t="s">
        <v>2261</v>
      </c>
      <c r="E1817" s="129">
        <v>51.652892562</v>
      </c>
      <c r="F1817" s="66">
        <v>245.66487832510745</v>
      </c>
      <c r="G1817" s="27" t="s">
        <v>3486</v>
      </c>
      <c r="H1817" s="167">
        <v>45512.0</v>
      </c>
      <c r="I1817" s="167">
        <v>45520.0</v>
      </c>
      <c r="J1817" s="66">
        <v>231.60217222110813</v>
      </c>
      <c r="M1817" s="1" t="str">
        <f>VLOOKUP(B1817,Bounties!A:D,3,FALSE)</f>
        <v>Research</v>
      </c>
      <c r="N1817" s="1" t="str">
        <f>VLOOKUP(B1817,Bounties!A:D,4,FALSE)</f>
        <v>Anti-Scam</v>
      </c>
      <c r="O1817" s="1" t="str">
        <f t="shared" ref="O1817:P1817" si="1821">IF(ISBLANK(K1817),M1817,K1817)</f>
        <v>Research</v>
      </c>
      <c r="P1817" s="1" t="str">
        <f t="shared" si="1821"/>
        <v>Anti-Scam</v>
      </c>
      <c r="Q1817" s="108" t="str">
        <f t="shared" si="3"/>
        <v>2024</v>
      </c>
      <c r="R1817" s="110">
        <f t="shared" si="4"/>
        <v>8</v>
      </c>
      <c r="S1817" s="108" t="str">
        <f t="shared" si="5"/>
        <v>2024-Q3</v>
      </c>
      <c r="T1817" s="111" t="str">
        <f t="shared" si="6"/>
        <v>2024-08</v>
      </c>
      <c r="U1817" s="112" t="str">
        <f t="shared" si="7"/>
        <v>2024-H2</v>
      </c>
      <c r="V1817" s="1" t="str">
        <f>VLOOKUP(B1817,Bounties!A:E,2,FALSE)</f>
        <v>Anti-Scam Bounty</v>
      </c>
    </row>
    <row r="1818" hidden="1">
      <c r="A1818" s="109">
        <f>HYPERLINK("https://polkadot.subsquare.io/treasury/child-bounties/1823", 1823)</f>
        <v>1823</v>
      </c>
      <c r="B1818" s="183">
        <v>11.0</v>
      </c>
      <c r="C1818" s="27" t="s">
        <v>3404</v>
      </c>
      <c r="D1818" s="27" t="s">
        <v>2262</v>
      </c>
      <c r="E1818" s="129">
        <v>157.2657</v>
      </c>
      <c r="F1818" s="66">
        <v>747.9669993086816</v>
      </c>
      <c r="G1818" s="27" t="s">
        <v>3644</v>
      </c>
      <c r="H1818" s="167">
        <v>45512.0</v>
      </c>
      <c r="I1818" s="167">
        <v>45521.0</v>
      </c>
      <c r="J1818" s="66">
        <v>712.9933276964665</v>
      </c>
      <c r="M1818" s="1" t="str">
        <f>VLOOKUP(B1818,Bounties!A:D,3,FALSE)</f>
        <v>Research</v>
      </c>
      <c r="N1818" s="1" t="str">
        <f>VLOOKUP(B1818,Bounties!A:D,4,FALSE)</f>
        <v>Anti-Scam</v>
      </c>
      <c r="O1818" s="1" t="str">
        <f t="shared" ref="O1818:P1818" si="1822">IF(ISBLANK(K1818),M1818,K1818)</f>
        <v>Research</v>
      </c>
      <c r="P1818" s="1" t="str">
        <f t="shared" si="1822"/>
        <v>Anti-Scam</v>
      </c>
      <c r="Q1818" s="108" t="str">
        <f t="shared" si="3"/>
        <v>2024</v>
      </c>
      <c r="R1818" s="110">
        <f t="shared" si="4"/>
        <v>8</v>
      </c>
      <c r="S1818" s="108" t="str">
        <f t="shared" si="5"/>
        <v>2024-Q3</v>
      </c>
      <c r="T1818" s="111" t="str">
        <f t="shared" si="6"/>
        <v>2024-08</v>
      </c>
      <c r="U1818" s="112" t="str">
        <f t="shared" si="7"/>
        <v>2024-H2</v>
      </c>
      <c r="V1818" s="1" t="str">
        <f>VLOOKUP(B1818,Bounties!A:E,2,FALSE)</f>
        <v>Anti-Scam Bounty</v>
      </c>
    </row>
    <row r="1819" hidden="1">
      <c r="A1819" s="109">
        <f>HYPERLINK("https://polkadot.subsquare.io/treasury/child-bounties/1824", 1824)</f>
        <v>1824</v>
      </c>
      <c r="B1819" s="183">
        <v>11.0</v>
      </c>
      <c r="C1819" s="27" t="s">
        <v>3404</v>
      </c>
      <c r="D1819" s="27" t="s">
        <v>2263</v>
      </c>
      <c r="E1819" s="129">
        <v>444.1394</v>
      </c>
      <c r="F1819" s="66">
        <v>2020.6045710591318</v>
      </c>
      <c r="G1819" s="27" t="s">
        <v>3526</v>
      </c>
      <c r="H1819" s="167">
        <v>45514.0</v>
      </c>
      <c r="I1819" s="167">
        <v>45523.0</v>
      </c>
      <c r="J1819" s="66">
        <v>2084.653005404568</v>
      </c>
      <c r="M1819" s="1" t="str">
        <f>VLOOKUP(B1819,Bounties!A:D,3,FALSE)</f>
        <v>Research</v>
      </c>
      <c r="N1819" s="1" t="str">
        <f>VLOOKUP(B1819,Bounties!A:D,4,FALSE)</f>
        <v>Anti-Scam</v>
      </c>
      <c r="O1819" s="1" t="str">
        <f t="shared" ref="O1819:P1819" si="1823">IF(ISBLANK(K1819),M1819,K1819)</f>
        <v>Research</v>
      </c>
      <c r="P1819" s="1" t="str">
        <f t="shared" si="1823"/>
        <v>Anti-Scam</v>
      </c>
      <c r="Q1819" s="108" t="str">
        <f t="shared" si="3"/>
        <v>2024</v>
      </c>
      <c r="R1819" s="110">
        <f t="shared" si="4"/>
        <v>8</v>
      </c>
      <c r="S1819" s="108" t="str">
        <f t="shared" si="5"/>
        <v>2024-Q3</v>
      </c>
      <c r="T1819" s="111" t="str">
        <f t="shared" si="6"/>
        <v>2024-08</v>
      </c>
      <c r="U1819" s="112" t="str">
        <f t="shared" si="7"/>
        <v>2024-H2</v>
      </c>
      <c r="V1819" s="1" t="str">
        <f>VLOOKUP(B1819,Bounties!A:E,2,FALSE)</f>
        <v>Anti-Scam Bounty</v>
      </c>
    </row>
    <row r="1820" hidden="1">
      <c r="A1820" s="109">
        <f>HYPERLINK("https://polkadot.subsquare.io/treasury/child-bounties/1825", 1825)</f>
        <v>1825</v>
      </c>
      <c r="B1820" s="183">
        <v>11.0</v>
      </c>
      <c r="C1820" s="27" t="s">
        <v>3404</v>
      </c>
      <c r="D1820" s="27" t="s">
        <v>2264</v>
      </c>
      <c r="E1820" s="129">
        <v>469.8398</v>
      </c>
      <c r="F1820" s="66">
        <v>2137.528099388409</v>
      </c>
      <c r="G1820" s="27" t="s">
        <v>3577</v>
      </c>
      <c r="H1820" s="167">
        <v>45514.0</v>
      </c>
      <c r="I1820" s="167">
        <v>45523.0</v>
      </c>
      <c r="J1820" s="66">
        <v>2205.2827358452796</v>
      </c>
      <c r="M1820" s="1" t="str">
        <f>VLOOKUP(B1820,Bounties!A:D,3,FALSE)</f>
        <v>Research</v>
      </c>
      <c r="N1820" s="1" t="str">
        <f>VLOOKUP(B1820,Bounties!A:D,4,FALSE)</f>
        <v>Anti-Scam</v>
      </c>
      <c r="O1820" s="1" t="str">
        <f t="shared" ref="O1820:P1820" si="1824">IF(ISBLANK(K1820),M1820,K1820)</f>
        <v>Research</v>
      </c>
      <c r="P1820" s="1" t="str">
        <f t="shared" si="1824"/>
        <v>Anti-Scam</v>
      </c>
      <c r="Q1820" s="108" t="str">
        <f t="shared" si="3"/>
        <v>2024</v>
      </c>
      <c r="R1820" s="110">
        <f t="shared" si="4"/>
        <v>8</v>
      </c>
      <c r="S1820" s="108" t="str">
        <f t="shared" si="5"/>
        <v>2024-Q3</v>
      </c>
      <c r="T1820" s="111" t="str">
        <f t="shared" si="6"/>
        <v>2024-08</v>
      </c>
      <c r="U1820" s="112" t="str">
        <f t="shared" si="7"/>
        <v>2024-H2</v>
      </c>
      <c r="V1820" s="1" t="str">
        <f>VLOOKUP(B1820,Bounties!A:E,2,FALSE)</f>
        <v>Anti-Scam Bounty</v>
      </c>
    </row>
    <row r="1821" hidden="1">
      <c r="A1821" s="109">
        <f>HYPERLINK("https://polkadot.subsquare.io/treasury/child-bounties/1826", 1826)</f>
        <v>1826</v>
      </c>
      <c r="B1821" s="183">
        <v>11.0</v>
      </c>
      <c r="C1821" s="27" t="s">
        <v>3404</v>
      </c>
      <c r="D1821" s="27" t="s">
        <v>2265</v>
      </c>
      <c r="E1821" s="129">
        <v>149.2162</v>
      </c>
      <c r="F1821" s="66">
        <v>678.8565387265205</v>
      </c>
      <c r="G1821" s="27" t="s">
        <v>3578</v>
      </c>
      <c r="H1821" s="167">
        <v>45514.0</v>
      </c>
      <c r="I1821" s="167">
        <v>45523.0</v>
      </c>
      <c r="J1821" s="66">
        <v>700.3747016928672</v>
      </c>
      <c r="M1821" s="1" t="str">
        <f>VLOOKUP(B1821,Bounties!A:D,3,FALSE)</f>
        <v>Research</v>
      </c>
      <c r="N1821" s="1" t="str">
        <f>VLOOKUP(B1821,Bounties!A:D,4,FALSE)</f>
        <v>Anti-Scam</v>
      </c>
      <c r="O1821" s="1" t="str">
        <f t="shared" ref="O1821:P1821" si="1825">IF(ISBLANK(K1821),M1821,K1821)</f>
        <v>Research</v>
      </c>
      <c r="P1821" s="1" t="str">
        <f t="shared" si="1825"/>
        <v>Anti-Scam</v>
      </c>
      <c r="Q1821" s="108" t="str">
        <f t="shared" si="3"/>
        <v>2024</v>
      </c>
      <c r="R1821" s="110">
        <f t="shared" si="4"/>
        <v>8</v>
      </c>
      <c r="S1821" s="108" t="str">
        <f t="shared" si="5"/>
        <v>2024-Q3</v>
      </c>
      <c r="T1821" s="111" t="str">
        <f t="shared" si="6"/>
        <v>2024-08</v>
      </c>
      <c r="U1821" s="112" t="str">
        <f t="shared" si="7"/>
        <v>2024-H2</v>
      </c>
      <c r="V1821" s="1" t="str">
        <f>VLOOKUP(B1821,Bounties!A:E,2,FALSE)</f>
        <v>Anti-Scam Bounty</v>
      </c>
    </row>
    <row r="1822" hidden="1">
      <c r="A1822" s="109">
        <f>HYPERLINK("https://polkadot.subsquare.io/treasury/child-bounties/1827", 1827)</f>
        <v>1827</v>
      </c>
      <c r="B1822" s="183">
        <v>11.0</v>
      </c>
      <c r="C1822" s="27" t="s">
        <v>3404</v>
      </c>
      <c r="D1822" s="27" t="s">
        <v>2266</v>
      </c>
      <c r="E1822" s="129">
        <v>148.7603305785</v>
      </c>
      <c r="F1822" s="66">
        <v>676.7825686241406</v>
      </c>
      <c r="G1822" s="27" t="s">
        <v>3406</v>
      </c>
      <c r="H1822" s="167">
        <v>45515.0</v>
      </c>
      <c r="I1822" s="167">
        <v>45531.0</v>
      </c>
      <c r="J1822" s="66">
        <v>632.3404312133263</v>
      </c>
      <c r="M1822" s="1" t="str">
        <f>VLOOKUP(B1822,Bounties!A:D,3,FALSE)</f>
        <v>Research</v>
      </c>
      <c r="N1822" s="1" t="str">
        <f>VLOOKUP(B1822,Bounties!A:D,4,FALSE)</f>
        <v>Anti-Scam</v>
      </c>
      <c r="O1822" s="1" t="str">
        <f t="shared" ref="O1822:P1822" si="1826">IF(ISBLANK(K1822),M1822,K1822)</f>
        <v>Research</v>
      </c>
      <c r="P1822" s="1" t="str">
        <f t="shared" si="1826"/>
        <v>Anti-Scam</v>
      </c>
      <c r="Q1822" s="108" t="str">
        <f t="shared" si="3"/>
        <v>2024</v>
      </c>
      <c r="R1822" s="110">
        <f t="shared" si="4"/>
        <v>8</v>
      </c>
      <c r="S1822" s="108" t="str">
        <f t="shared" si="5"/>
        <v>2024-Q3</v>
      </c>
      <c r="T1822" s="111" t="str">
        <f t="shared" si="6"/>
        <v>2024-08</v>
      </c>
      <c r="U1822" s="112" t="str">
        <f t="shared" si="7"/>
        <v>2024-H2</v>
      </c>
      <c r="V1822" s="1" t="str">
        <f>VLOOKUP(B1822,Bounties!A:E,2,FALSE)</f>
        <v>Anti-Scam Bounty</v>
      </c>
    </row>
    <row r="1823" hidden="1">
      <c r="A1823" s="109">
        <f>HYPERLINK("https://polkadot.subsquare.io/treasury/child-bounties/1828", 1828)</f>
        <v>1828</v>
      </c>
      <c r="B1823" s="183">
        <v>11.0</v>
      </c>
      <c r="C1823" s="27" t="s">
        <v>3404</v>
      </c>
      <c r="D1823" s="27" t="s">
        <v>2267</v>
      </c>
      <c r="E1823" s="129">
        <v>297.520661157</v>
      </c>
      <c r="F1823" s="66">
        <v>1353.5651372482812</v>
      </c>
      <c r="G1823" s="27" t="s">
        <v>3409</v>
      </c>
      <c r="H1823" s="167">
        <v>45515.0</v>
      </c>
      <c r="I1823" s="167">
        <v>45524.0</v>
      </c>
      <c r="J1823" s="66">
        <v>1457.456163138276</v>
      </c>
      <c r="M1823" s="1" t="str">
        <f>VLOOKUP(B1823,Bounties!A:D,3,FALSE)</f>
        <v>Research</v>
      </c>
      <c r="N1823" s="1" t="str">
        <f>VLOOKUP(B1823,Bounties!A:D,4,FALSE)</f>
        <v>Anti-Scam</v>
      </c>
      <c r="O1823" s="1" t="str">
        <f t="shared" ref="O1823:P1823" si="1827">IF(ISBLANK(K1823),M1823,K1823)</f>
        <v>Research</v>
      </c>
      <c r="P1823" s="1" t="str">
        <f t="shared" si="1827"/>
        <v>Anti-Scam</v>
      </c>
      <c r="Q1823" s="108" t="str">
        <f t="shared" si="3"/>
        <v>2024</v>
      </c>
      <c r="R1823" s="110">
        <f t="shared" si="4"/>
        <v>8</v>
      </c>
      <c r="S1823" s="108" t="str">
        <f t="shared" si="5"/>
        <v>2024-Q3</v>
      </c>
      <c r="T1823" s="111" t="str">
        <f t="shared" si="6"/>
        <v>2024-08</v>
      </c>
      <c r="U1823" s="112" t="str">
        <f t="shared" si="7"/>
        <v>2024-H2</v>
      </c>
      <c r="V1823" s="1" t="str">
        <f>VLOOKUP(B1823,Bounties!A:E,2,FALSE)</f>
        <v>Anti-Scam Bounty</v>
      </c>
    </row>
    <row r="1824" hidden="1">
      <c r="A1824" s="109">
        <f>HYPERLINK("https://polkadot.subsquare.io/treasury/child-bounties/1829", 1829)</f>
        <v>1829</v>
      </c>
      <c r="B1824" s="183">
        <v>11.0</v>
      </c>
      <c r="C1824" s="27" t="s">
        <v>3404</v>
      </c>
      <c r="D1824" s="27" t="s">
        <v>2268</v>
      </c>
      <c r="E1824" s="129">
        <v>478.2882315921</v>
      </c>
      <c r="F1824" s="66">
        <v>2175.964093793043</v>
      </c>
      <c r="G1824" s="27" t="s">
        <v>3423</v>
      </c>
      <c r="H1824" s="167">
        <v>45515.0</v>
      </c>
      <c r="I1824" s="167">
        <v>45524.0</v>
      </c>
      <c r="J1824" s="66">
        <v>2342.9772177151954</v>
      </c>
      <c r="M1824" s="1" t="str">
        <f>VLOOKUP(B1824,Bounties!A:D,3,FALSE)</f>
        <v>Research</v>
      </c>
      <c r="N1824" s="1" t="str">
        <f>VLOOKUP(B1824,Bounties!A:D,4,FALSE)</f>
        <v>Anti-Scam</v>
      </c>
      <c r="O1824" s="1" t="str">
        <f t="shared" ref="O1824:P1824" si="1828">IF(ISBLANK(K1824),M1824,K1824)</f>
        <v>Research</v>
      </c>
      <c r="P1824" s="1" t="str">
        <f t="shared" si="1828"/>
        <v>Anti-Scam</v>
      </c>
      <c r="Q1824" s="108" t="str">
        <f t="shared" si="3"/>
        <v>2024</v>
      </c>
      <c r="R1824" s="110">
        <f t="shared" si="4"/>
        <v>8</v>
      </c>
      <c r="S1824" s="108" t="str">
        <f t="shared" si="5"/>
        <v>2024-Q3</v>
      </c>
      <c r="T1824" s="111" t="str">
        <f t="shared" si="6"/>
        <v>2024-08</v>
      </c>
      <c r="U1824" s="112" t="str">
        <f t="shared" si="7"/>
        <v>2024-H2</v>
      </c>
      <c r="V1824" s="1" t="str">
        <f>VLOOKUP(B1824,Bounties!A:E,2,FALSE)</f>
        <v>Anti-Scam Bounty</v>
      </c>
    </row>
    <row r="1825" hidden="1">
      <c r="A1825" s="109">
        <f>HYPERLINK("https://polkadot.subsquare.io/treasury/child-bounties/1830", 1830)</f>
        <v>1830</v>
      </c>
      <c r="B1825" s="183">
        <v>11.0</v>
      </c>
      <c r="C1825" s="27" t="s">
        <v>3404</v>
      </c>
      <c r="D1825" s="27" t="s">
        <v>2269</v>
      </c>
      <c r="E1825" s="129">
        <v>302.0767778477</v>
      </c>
      <c r="F1825" s="66">
        <v>1374.2931118695535</v>
      </c>
      <c r="G1825" s="27" t="s">
        <v>3610</v>
      </c>
      <c r="H1825" s="167">
        <v>45515.0</v>
      </c>
      <c r="I1825" s="167">
        <v>45524.0</v>
      </c>
      <c r="J1825" s="66">
        <v>1417.8549860767491</v>
      </c>
      <c r="M1825" s="1" t="str">
        <f>VLOOKUP(B1825,Bounties!A:D,3,FALSE)</f>
        <v>Research</v>
      </c>
      <c r="N1825" s="1" t="str">
        <f>VLOOKUP(B1825,Bounties!A:D,4,FALSE)</f>
        <v>Anti-Scam</v>
      </c>
      <c r="O1825" s="1" t="str">
        <f t="shared" ref="O1825:P1825" si="1829">IF(ISBLANK(K1825),M1825,K1825)</f>
        <v>Research</v>
      </c>
      <c r="P1825" s="1" t="str">
        <f t="shared" si="1829"/>
        <v>Anti-Scam</v>
      </c>
      <c r="Q1825" s="108" t="str">
        <f t="shared" si="3"/>
        <v>2024</v>
      </c>
      <c r="R1825" s="110">
        <f t="shared" si="4"/>
        <v>8</v>
      </c>
      <c r="S1825" s="108" t="str">
        <f t="shared" si="5"/>
        <v>2024-Q3</v>
      </c>
      <c r="T1825" s="111" t="str">
        <f t="shared" si="6"/>
        <v>2024-08</v>
      </c>
      <c r="U1825" s="112" t="str">
        <f t="shared" si="7"/>
        <v>2024-H2</v>
      </c>
      <c r="V1825" s="1" t="str">
        <f>VLOOKUP(B1825,Bounties!A:E,2,FALSE)</f>
        <v>Anti-Scam Bounty</v>
      </c>
    </row>
    <row r="1826" hidden="1">
      <c r="A1826" s="109">
        <f>HYPERLINK("https://polkadot.subsquare.io/treasury/child-bounties/1831", 1831)</f>
        <v>1831</v>
      </c>
      <c r="B1826" s="183">
        <v>11.0</v>
      </c>
      <c r="C1826" s="27" t="s">
        <v>3404</v>
      </c>
      <c r="D1826" s="27" t="s">
        <v>2270</v>
      </c>
      <c r="E1826" s="129">
        <v>731.7592001701</v>
      </c>
      <c r="F1826" s="66">
        <v>3209.7360302196103</v>
      </c>
      <c r="G1826" s="27" t="s">
        <v>3576</v>
      </c>
      <c r="H1826" s="167">
        <v>45515.0</v>
      </c>
      <c r="I1826" s="167">
        <v>45525.0</v>
      </c>
      <c r="J1826" s="66">
        <v>3584.6483806321535</v>
      </c>
      <c r="M1826" s="1" t="str">
        <f>VLOOKUP(B1826,Bounties!A:D,3,FALSE)</f>
        <v>Research</v>
      </c>
      <c r="N1826" s="1" t="str">
        <f>VLOOKUP(B1826,Bounties!A:D,4,FALSE)</f>
        <v>Anti-Scam</v>
      </c>
      <c r="O1826" s="1" t="str">
        <f t="shared" ref="O1826:P1826" si="1830">IF(ISBLANK(K1826),M1826,K1826)</f>
        <v>Research</v>
      </c>
      <c r="P1826" s="1" t="str">
        <f t="shared" si="1830"/>
        <v>Anti-Scam</v>
      </c>
      <c r="Q1826" s="108" t="str">
        <f t="shared" si="3"/>
        <v>2024</v>
      </c>
      <c r="R1826" s="110">
        <f t="shared" si="4"/>
        <v>8</v>
      </c>
      <c r="S1826" s="108" t="str">
        <f t="shared" si="5"/>
        <v>2024-Q3</v>
      </c>
      <c r="T1826" s="111" t="str">
        <f t="shared" si="6"/>
        <v>2024-08</v>
      </c>
      <c r="U1826" s="112" t="str">
        <f t="shared" si="7"/>
        <v>2024-H2</v>
      </c>
      <c r="V1826" s="1" t="str">
        <f>VLOOKUP(B1826,Bounties!A:E,2,FALSE)</f>
        <v>Anti-Scam Bounty</v>
      </c>
    </row>
    <row r="1827" hidden="1">
      <c r="A1827" s="109">
        <f>HYPERLINK("https://polkadot.subsquare.io/treasury/child-bounties/1832", 1832)</f>
        <v>1832</v>
      </c>
      <c r="B1827" s="183">
        <v>11.0</v>
      </c>
      <c r="C1827" s="27" t="s">
        <v>3404</v>
      </c>
      <c r="D1827" s="27" t="s">
        <v>2271</v>
      </c>
      <c r="E1827" s="129">
        <v>361.6251861306</v>
      </c>
      <c r="F1827" s="66">
        <v>1586.206759120276</v>
      </c>
      <c r="G1827" s="27" t="s">
        <v>3576</v>
      </c>
      <c r="H1827" s="167">
        <v>45515.0</v>
      </c>
      <c r="I1827" s="167">
        <v>45525.0</v>
      </c>
      <c r="J1827" s="66">
        <v>1771.483211359047</v>
      </c>
      <c r="M1827" s="1" t="str">
        <f>VLOOKUP(B1827,Bounties!A:D,3,FALSE)</f>
        <v>Research</v>
      </c>
      <c r="N1827" s="1" t="str">
        <f>VLOOKUP(B1827,Bounties!A:D,4,FALSE)</f>
        <v>Anti-Scam</v>
      </c>
      <c r="O1827" s="1" t="str">
        <f t="shared" ref="O1827:P1827" si="1831">IF(ISBLANK(K1827),M1827,K1827)</f>
        <v>Research</v>
      </c>
      <c r="P1827" s="1" t="str">
        <f t="shared" si="1831"/>
        <v>Anti-Scam</v>
      </c>
      <c r="Q1827" s="108" t="str">
        <f t="shared" si="3"/>
        <v>2024</v>
      </c>
      <c r="R1827" s="110">
        <f t="shared" si="4"/>
        <v>8</v>
      </c>
      <c r="S1827" s="108" t="str">
        <f t="shared" si="5"/>
        <v>2024-Q3</v>
      </c>
      <c r="T1827" s="111" t="str">
        <f t="shared" si="6"/>
        <v>2024-08</v>
      </c>
      <c r="U1827" s="112" t="str">
        <f t="shared" si="7"/>
        <v>2024-H2</v>
      </c>
      <c r="V1827" s="1" t="str">
        <f>VLOOKUP(B1827,Bounties!A:E,2,FALSE)</f>
        <v>Anti-Scam Bounty</v>
      </c>
    </row>
    <row r="1828" hidden="1">
      <c r="A1828" s="109">
        <f>HYPERLINK("https://polkadot.subsquare.io/treasury/child-bounties/1833", 1833)</f>
        <v>1833</v>
      </c>
      <c r="B1828" s="183">
        <v>17.0</v>
      </c>
      <c r="C1828" s="27" t="s">
        <v>3404</v>
      </c>
      <c r="D1828" s="27" t="s">
        <v>2272</v>
      </c>
      <c r="E1828" s="129">
        <v>655.91</v>
      </c>
      <c r="F1828" s="66">
        <v>2877.036543021202</v>
      </c>
      <c r="G1828" s="27" t="s">
        <v>3785</v>
      </c>
      <c r="H1828" s="167">
        <v>45515.0</v>
      </c>
      <c r="I1828" s="167">
        <v>45532.0</v>
      </c>
      <c r="J1828" s="66">
        <v>2806.3016046762464</v>
      </c>
      <c r="M1828" s="1" t="str">
        <f>VLOOKUP(B1828,Bounties!A:D,3,FALSE)</f>
        <v>Outreach</v>
      </c>
      <c r="N1828" s="1" t="str">
        <f>VLOOKUP(B1828,Bounties!A:D,4,FALSE)</f>
        <v>Events/Meetups</v>
      </c>
      <c r="O1828" s="1" t="str">
        <f t="shared" ref="O1828:P1828" si="1832">IF(ISBLANK(K1828),M1828,K1828)</f>
        <v>Outreach</v>
      </c>
      <c r="P1828" s="1" t="str">
        <f t="shared" si="1832"/>
        <v>Events/Meetups</v>
      </c>
      <c r="Q1828" s="108" t="str">
        <f t="shared" si="3"/>
        <v>2024</v>
      </c>
      <c r="R1828" s="110">
        <f t="shared" si="4"/>
        <v>8</v>
      </c>
      <c r="S1828" s="108" t="str">
        <f t="shared" si="5"/>
        <v>2024-Q3</v>
      </c>
      <c r="T1828" s="111" t="str">
        <f t="shared" si="6"/>
        <v>2024-08</v>
      </c>
      <c r="U1828" s="112" t="str">
        <f t="shared" si="7"/>
        <v>2024-H2</v>
      </c>
      <c r="V1828" s="1" t="str">
        <f>VLOOKUP(B1828,Bounties!A:E,2,FALSE)</f>
        <v>Events Bounty</v>
      </c>
    </row>
    <row r="1829" hidden="1">
      <c r="A1829" s="109">
        <f>HYPERLINK("https://polkadot.subsquare.io/treasury/child-bounties/1834", 1834)</f>
        <v>1834</v>
      </c>
      <c r="B1829" s="183">
        <v>17.0</v>
      </c>
      <c r="C1829" s="27" t="s">
        <v>3404</v>
      </c>
      <c r="D1829" s="27" t="s">
        <v>2273</v>
      </c>
      <c r="E1829" s="129">
        <v>14236.56</v>
      </c>
      <c r="F1829" s="66">
        <v>62446.22488895416</v>
      </c>
      <c r="G1829" s="27" t="s">
        <v>3632</v>
      </c>
      <c r="H1829" s="167">
        <v>45515.0</v>
      </c>
      <c r="I1829" s="167">
        <v>45534.0</v>
      </c>
      <c r="J1829" s="66">
        <v>59916.11602787018</v>
      </c>
      <c r="L1829" s="1" t="s">
        <v>266</v>
      </c>
      <c r="M1829" s="1" t="str">
        <f>VLOOKUP(B1829,Bounties!A:D,3,FALSE)</f>
        <v>Outreach</v>
      </c>
      <c r="N1829" s="1" t="str">
        <f>VLOOKUP(B1829,Bounties!A:D,4,FALSE)</f>
        <v>Events/Meetups</v>
      </c>
      <c r="O1829" s="1" t="str">
        <f t="shared" ref="O1829:P1829" si="1833">IF(ISBLANK(K1829),M1829,K1829)</f>
        <v>Outreach</v>
      </c>
      <c r="P1829" s="1" t="str">
        <f t="shared" si="1833"/>
        <v>Events/Conference Attendance &amp; Side Events</v>
      </c>
      <c r="Q1829" s="108" t="str">
        <f t="shared" si="3"/>
        <v>2024</v>
      </c>
      <c r="R1829" s="110">
        <f t="shared" si="4"/>
        <v>8</v>
      </c>
      <c r="S1829" s="108" t="str">
        <f t="shared" si="5"/>
        <v>2024-Q3</v>
      </c>
      <c r="T1829" s="111" t="str">
        <f t="shared" si="6"/>
        <v>2024-08</v>
      </c>
      <c r="U1829" s="112" t="str">
        <f t="shared" si="7"/>
        <v>2024-H2</v>
      </c>
      <c r="V1829" s="1" t="str">
        <f>VLOOKUP(B1829,Bounties!A:E,2,FALSE)</f>
        <v>Events Bounty</v>
      </c>
    </row>
    <row r="1830" hidden="1">
      <c r="A1830" s="109">
        <f>HYPERLINK("https://polkadot.subsquare.io/treasury/child-bounties/1836", 1836)</f>
        <v>1836</v>
      </c>
      <c r="B1830" s="183">
        <v>42.0</v>
      </c>
      <c r="C1830" s="27" t="s">
        <v>3404</v>
      </c>
      <c r="D1830" s="27" t="s">
        <v>2274</v>
      </c>
      <c r="E1830" s="129">
        <v>24.31</v>
      </c>
      <c r="F1830" s="66">
        <v>104.11027081489563</v>
      </c>
      <c r="G1830" s="27" t="s">
        <v>3778</v>
      </c>
      <c r="H1830" s="167">
        <v>45516.0</v>
      </c>
      <c r="I1830" s="167">
        <v>45524.0</v>
      </c>
      <c r="J1830" s="66">
        <v>119.08671884536743</v>
      </c>
      <c r="M1830" s="1" t="str">
        <f>VLOOKUP(B1830,Bounties!A:D,3,FALSE)</f>
        <v>Outreach</v>
      </c>
      <c r="N1830" s="1" t="str">
        <f>VLOOKUP(B1830,Bounties!A:D,4,FALSE)</f>
        <v>Media</v>
      </c>
      <c r="O1830" s="1" t="str">
        <f t="shared" ref="O1830:P1830" si="1834">IF(ISBLANK(K1830),M1830,K1830)</f>
        <v>Outreach</v>
      </c>
      <c r="P1830" s="1" t="str">
        <f t="shared" si="1834"/>
        <v>Media</v>
      </c>
      <c r="Q1830" s="108" t="str">
        <f t="shared" si="3"/>
        <v>2024</v>
      </c>
      <c r="R1830" s="110">
        <f t="shared" si="4"/>
        <v>8</v>
      </c>
      <c r="S1830" s="108" t="str">
        <f t="shared" si="5"/>
        <v>2024-Q3</v>
      </c>
      <c r="T1830" s="111" t="str">
        <f t="shared" si="6"/>
        <v>2024-08</v>
      </c>
      <c r="U1830" s="112" t="str">
        <f t="shared" si="7"/>
        <v>2024-H2</v>
      </c>
      <c r="V1830" s="1" t="str">
        <f>VLOOKUP(B1830,Bounties!A:E,2,FALSE)</f>
        <v>Spanish Bounty</v>
      </c>
    </row>
    <row r="1831" hidden="1">
      <c r="A1831" s="109">
        <f>HYPERLINK("https://polkadot.subsquare.io/treasury/child-bounties/1837", 1837)</f>
        <v>1837</v>
      </c>
      <c r="B1831" s="183">
        <v>42.0</v>
      </c>
      <c r="C1831" s="27" t="s">
        <v>3404</v>
      </c>
      <c r="D1831" s="27" t="s">
        <v>2275</v>
      </c>
      <c r="E1831" s="129">
        <v>4.22</v>
      </c>
      <c r="F1831" s="66">
        <v>18.072617969512937</v>
      </c>
      <c r="G1831" s="27" t="s">
        <v>3786</v>
      </c>
      <c r="H1831" s="167">
        <v>45516.0</v>
      </c>
      <c r="I1831" s="167">
        <v>45544.0</v>
      </c>
      <c r="J1831" s="66">
        <v>17.688770685195923</v>
      </c>
      <c r="M1831" s="1" t="str">
        <f>VLOOKUP(B1831,Bounties!A:D,3,FALSE)</f>
        <v>Outreach</v>
      </c>
      <c r="N1831" s="1" t="str">
        <f>VLOOKUP(B1831,Bounties!A:D,4,FALSE)</f>
        <v>Media</v>
      </c>
      <c r="O1831" s="1" t="str">
        <f t="shared" ref="O1831:P1831" si="1835">IF(ISBLANK(K1831),M1831,K1831)</f>
        <v>Outreach</v>
      </c>
      <c r="P1831" s="1" t="str">
        <f t="shared" si="1835"/>
        <v>Media</v>
      </c>
      <c r="Q1831" s="108" t="str">
        <f t="shared" si="3"/>
        <v>2024</v>
      </c>
      <c r="R1831" s="110">
        <f t="shared" si="4"/>
        <v>9</v>
      </c>
      <c r="S1831" s="108" t="str">
        <f t="shared" si="5"/>
        <v>2024-Q3</v>
      </c>
      <c r="T1831" s="111" t="str">
        <f t="shared" si="6"/>
        <v>2024-09</v>
      </c>
      <c r="U1831" s="112" t="str">
        <f t="shared" si="7"/>
        <v>2024-H2</v>
      </c>
      <c r="V1831" s="1" t="str">
        <f>VLOOKUP(B1831,Bounties!A:E,2,FALSE)</f>
        <v>Spanish Bounty</v>
      </c>
    </row>
    <row r="1832" hidden="1">
      <c r="A1832" s="109">
        <f>HYPERLINK("https://polkadot.subsquare.io/treasury/child-bounties/1838", 1838)</f>
        <v>1838</v>
      </c>
      <c r="B1832" s="183">
        <v>42.0</v>
      </c>
      <c r="C1832" s="27" t="s">
        <v>3404</v>
      </c>
      <c r="D1832" s="27" t="s">
        <v>2276</v>
      </c>
      <c r="E1832" s="129">
        <v>10.58</v>
      </c>
      <c r="F1832" s="66">
        <v>45.31002325057983</v>
      </c>
      <c r="G1832" s="27" t="s">
        <v>3769</v>
      </c>
      <c r="H1832" s="167">
        <v>45516.0</v>
      </c>
      <c r="I1832" s="167">
        <v>45525.0</v>
      </c>
      <c r="J1832" s="66">
        <v>52.761783857345584</v>
      </c>
      <c r="M1832" s="1" t="str">
        <f>VLOOKUP(B1832,Bounties!A:D,3,FALSE)</f>
        <v>Outreach</v>
      </c>
      <c r="N1832" s="1" t="str">
        <f>VLOOKUP(B1832,Bounties!A:D,4,FALSE)</f>
        <v>Media</v>
      </c>
      <c r="O1832" s="1" t="str">
        <f t="shared" ref="O1832:P1832" si="1836">IF(ISBLANK(K1832),M1832,K1832)</f>
        <v>Outreach</v>
      </c>
      <c r="P1832" s="1" t="str">
        <f t="shared" si="1836"/>
        <v>Media</v>
      </c>
      <c r="Q1832" s="108" t="str">
        <f t="shared" si="3"/>
        <v>2024</v>
      </c>
      <c r="R1832" s="110">
        <f t="shared" si="4"/>
        <v>8</v>
      </c>
      <c r="S1832" s="108" t="str">
        <f t="shared" si="5"/>
        <v>2024-Q3</v>
      </c>
      <c r="T1832" s="111" t="str">
        <f t="shared" si="6"/>
        <v>2024-08</v>
      </c>
      <c r="U1832" s="112" t="str">
        <f t="shared" si="7"/>
        <v>2024-H2</v>
      </c>
      <c r="V1832" s="1" t="str">
        <f>VLOOKUP(B1832,Bounties!A:E,2,FALSE)</f>
        <v>Spanish Bounty</v>
      </c>
    </row>
    <row r="1833" hidden="1">
      <c r="A1833" s="109">
        <f>HYPERLINK("https://polkadot.subsquare.io/treasury/child-bounties/1839", 1839)</f>
        <v>1839</v>
      </c>
      <c r="B1833" s="183">
        <v>42.0</v>
      </c>
      <c r="C1833" s="27" t="s">
        <v>3404</v>
      </c>
      <c r="D1833" s="27" t="s">
        <v>2277</v>
      </c>
      <c r="E1833" s="129">
        <v>3.82</v>
      </c>
      <c r="F1833" s="66">
        <v>16.359573612213133</v>
      </c>
      <c r="G1833" s="27" t="s">
        <v>3689</v>
      </c>
      <c r="H1833" s="167">
        <v>45516.0</v>
      </c>
      <c r="I1833" s="167">
        <v>45524.0</v>
      </c>
      <c r="J1833" s="66">
        <v>18.71292743682861</v>
      </c>
      <c r="M1833" s="1" t="str">
        <f>VLOOKUP(B1833,Bounties!A:D,3,FALSE)</f>
        <v>Outreach</v>
      </c>
      <c r="N1833" s="1" t="str">
        <f>VLOOKUP(B1833,Bounties!A:D,4,FALSE)</f>
        <v>Media</v>
      </c>
      <c r="O1833" s="1" t="str">
        <f t="shared" ref="O1833:P1833" si="1837">IF(ISBLANK(K1833),M1833,K1833)</f>
        <v>Outreach</v>
      </c>
      <c r="P1833" s="1" t="str">
        <f t="shared" si="1837"/>
        <v>Media</v>
      </c>
      <c r="Q1833" s="108" t="str">
        <f t="shared" si="3"/>
        <v>2024</v>
      </c>
      <c r="R1833" s="110">
        <f t="shared" si="4"/>
        <v>8</v>
      </c>
      <c r="S1833" s="108" t="str">
        <f t="shared" si="5"/>
        <v>2024-Q3</v>
      </c>
      <c r="T1833" s="111" t="str">
        <f t="shared" si="6"/>
        <v>2024-08</v>
      </c>
      <c r="U1833" s="112" t="str">
        <f t="shared" si="7"/>
        <v>2024-H2</v>
      </c>
      <c r="V1833" s="1" t="str">
        <f>VLOOKUP(B1833,Bounties!A:E,2,FALSE)</f>
        <v>Spanish Bounty</v>
      </c>
    </row>
    <row r="1834" hidden="1">
      <c r="A1834" s="109">
        <f>HYPERLINK("https://polkadot.subsquare.io/treasury/child-bounties/1840", 1840)</f>
        <v>1840</v>
      </c>
      <c r="B1834" s="183">
        <v>42.0</v>
      </c>
      <c r="C1834" s="27" t="s">
        <v>3404</v>
      </c>
      <c r="D1834" s="27" t="s">
        <v>2278</v>
      </c>
      <c r="E1834" s="129">
        <v>25.44</v>
      </c>
      <c r="F1834" s="66">
        <v>108.94962112426758</v>
      </c>
      <c r="G1834" s="27" t="s">
        <v>3704</v>
      </c>
      <c r="H1834" s="167">
        <v>45516.0</v>
      </c>
      <c r="I1834" s="167">
        <v>45533.0</v>
      </c>
      <c r="J1834" s="66">
        <v>103.6330950164795</v>
      </c>
      <c r="M1834" s="1" t="str">
        <f>VLOOKUP(B1834,Bounties!A:D,3,FALSE)</f>
        <v>Outreach</v>
      </c>
      <c r="N1834" s="1" t="str">
        <f>VLOOKUP(B1834,Bounties!A:D,4,FALSE)</f>
        <v>Media</v>
      </c>
      <c r="O1834" s="1" t="str">
        <f t="shared" ref="O1834:P1834" si="1838">IF(ISBLANK(K1834),M1834,K1834)</f>
        <v>Outreach</v>
      </c>
      <c r="P1834" s="1" t="str">
        <f t="shared" si="1838"/>
        <v>Media</v>
      </c>
      <c r="Q1834" s="108" t="str">
        <f t="shared" si="3"/>
        <v>2024</v>
      </c>
      <c r="R1834" s="110">
        <f t="shared" si="4"/>
        <v>8</v>
      </c>
      <c r="S1834" s="108" t="str">
        <f t="shared" si="5"/>
        <v>2024-Q3</v>
      </c>
      <c r="T1834" s="111" t="str">
        <f t="shared" si="6"/>
        <v>2024-08</v>
      </c>
      <c r="U1834" s="112" t="str">
        <f t="shared" si="7"/>
        <v>2024-H2</v>
      </c>
      <c r="V1834" s="1" t="str">
        <f>VLOOKUP(B1834,Bounties!A:E,2,FALSE)</f>
        <v>Spanish Bounty</v>
      </c>
    </row>
    <row r="1835" hidden="1">
      <c r="A1835" s="109">
        <f>HYPERLINK("https://polkadot.subsquare.io/treasury/child-bounties/1841", 1841)</f>
        <v>1841</v>
      </c>
      <c r="B1835" s="183">
        <v>42.0</v>
      </c>
      <c r="C1835" s="27" t="s">
        <v>3404</v>
      </c>
      <c r="D1835" s="27" t="s">
        <v>2279</v>
      </c>
      <c r="E1835" s="129">
        <v>27.46</v>
      </c>
      <c r="F1835" s="66">
        <v>117.6004951286316</v>
      </c>
      <c r="G1835" s="27" t="s">
        <v>3703</v>
      </c>
      <c r="H1835" s="167">
        <v>45516.0</v>
      </c>
      <c r="I1835" s="167">
        <v>45528.0</v>
      </c>
      <c r="J1835" s="66">
        <v>125.28649878501892</v>
      </c>
      <c r="M1835" s="1" t="str">
        <f>VLOOKUP(B1835,Bounties!A:D,3,FALSE)</f>
        <v>Outreach</v>
      </c>
      <c r="N1835" s="1" t="str">
        <f>VLOOKUP(B1835,Bounties!A:D,4,FALSE)</f>
        <v>Media</v>
      </c>
      <c r="O1835" s="1" t="str">
        <f t="shared" ref="O1835:P1835" si="1839">IF(ISBLANK(K1835),M1835,K1835)</f>
        <v>Outreach</v>
      </c>
      <c r="P1835" s="1" t="str">
        <f t="shared" si="1839"/>
        <v>Media</v>
      </c>
      <c r="Q1835" s="108" t="str">
        <f t="shared" si="3"/>
        <v>2024</v>
      </c>
      <c r="R1835" s="110">
        <f t="shared" si="4"/>
        <v>8</v>
      </c>
      <c r="S1835" s="108" t="str">
        <f t="shared" si="5"/>
        <v>2024-Q3</v>
      </c>
      <c r="T1835" s="111" t="str">
        <f t="shared" si="6"/>
        <v>2024-08</v>
      </c>
      <c r="U1835" s="112" t="str">
        <f t="shared" si="7"/>
        <v>2024-H2</v>
      </c>
      <c r="V1835" s="1" t="str">
        <f>VLOOKUP(B1835,Bounties!A:E,2,FALSE)</f>
        <v>Spanish Bounty</v>
      </c>
    </row>
    <row r="1836" hidden="1">
      <c r="A1836" s="109">
        <f>HYPERLINK("https://polkadot.subsquare.io/treasury/child-bounties/1842", 1842)</f>
        <v>1842</v>
      </c>
      <c r="B1836" s="183">
        <v>42.0</v>
      </c>
      <c r="C1836" s="27" t="s">
        <v>3404</v>
      </c>
      <c r="D1836" s="27" t="s">
        <v>2280</v>
      </c>
      <c r="E1836" s="129">
        <v>54.1</v>
      </c>
      <c r="F1836" s="66">
        <v>231.6892493247986</v>
      </c>
      <c r="G1836" s="27" t="s">
        <v>3695</v>
      </c>
      <c r="H1836" s="167">
        <v>45516.0</v>
      </c>
      <c r="I1836" s="167">
        <v>45524.0</v>
      </c>
      <c r="J1836" s="66">
        <v>265.0181608200073</v>
      </c>
      <c r="M1836" s="1" t="str">
        <f>VLOOKUP(B1836,Bounties!A:D,3,FALSE)</f>
        <v>Outreach</v>
      </c>
      <c r="N1836" s="1" t="str">
        <f>VLOOKUP(B1836,Bounties!A:D,4,FALSE)</f>
        <v>Media</v>
      </c>
      <c r="O1836" s="1" t="str">
        <f t="shared" ref="O1836:P1836" si="1840">IF(ISBLANK(K1836),M1836,K1836)</f>
        <v>Outreach</v>
      </c>
      <c r="P1836" s="1" t="str">
        <f t="shared" si="1840"/>
        <v>Media</v>
      </c>
      <c r="Q1836" s="108" t="str">
        <f t="shared" si="3"/>
        <v>2024</v>
      </c>
      <c r="R1836" s="110">
        <f t="shared" si="4"/>
        <v>8</v>
      </c>
      <c r="S1836" s="108" t="str">
        <f t="shared" si="5"/>
        <v>2024-Q3</v>
      </c>
      <c r="T1836" s="111" t="str">
        <f t="shared" si="6"/>
        <v>2024-08</v>
      </c>
      <c r="U1836" s="112" t="str">
        <f t="shared" si="7"/>
        <v>2024-H2</v>
      </c>
      <c r="V1836" s="1" t="str">
        <f>VLOOKUP(B1836,Bounties!A:E,2,FALSE)</f>
        <v>Spanish Bounty</v>
      </c>
    </row>
    <row r="1837" hidden="1">
      <c r="A1837" s="109">
        <f>HYPERLINK("https://polkadot.subsquare.io/treasury/child-bounties/1843", 1843)</f>
        <v>1843</v>
      </c>
      <c r="B1837" s="183">
        <v>42.0</v>
      </c>
      <c r="C1837" s="27" t="s">
        <v>3404</v>
      </c>
      <c r="D1837" s="27" t="s">
        <v>2281</v>
      </c>
      <c r="E1837" s="129">
        <v>86.06</v>
      </c>
      <c r="F1837" s="66">
        <v>368.56149347305296</v>
      </c>
      <c r="G1837" s="27" t="s">
        <v>3695</v>
      </c>
      <c r="H1837" s="167">
        <v>45516.0</v>
      </c>
      <c r="I1837" s="167">
        <v>45524.0</v>
      </c>
      <c r="J1837" s="66">
        <v>421.5797212600708</v>
      </c>
      <c r="M1837" s="1" t="str">
        <f>VLOOKUP(B1837,Bounties!A:D,3,FALSE)</f>
        <v>Outreach</v>
      </c>
      <c r="N1837" s="1" t="str">
        <f>VLOOKUP(B1837,Bounties!A:D,4,FALSE)</f>
        <v>Media</v>
      </c>
      <c r="O1837" s="1" t="str">
        <f t="shared" ref="O1837:P1837" si="1841">IF(ISBLANK(K1837),M1837,K1837)</f>
        <v>Outreach</v>
      </c>
      <c r="P1837" s="1" t="str">
        <f t="shared" si="1841"/>
        <v>Media</v>
      </c>
      <c r="Q1837" s="108" t="str">
        <f t="shared" si="3"/>
        <v>2024</v>
      </c>
      <c r="R1837" s="110">
        <f t="shared" si="4"/>
        <v>8</v>
      </c>
      <c r="S1837" s="108" t="str">
        <f t="shared" si="5"/>
        <v>2024-Q3</v>
      </c>
      <c r="T1837" s="111" t="str">
        <f t="shared" si="6"/>
        <v>2024-08</v>
      </c>
      <c r="U1837" s="112" t="str">
        <f t="shared" si="7"/>
        <v>2024-H2</v>
      </c>
      <c r="V1837" s="1" t="str">
        <f>VLOOKUP(B1837,Bounties!A:E,2,FALSE)</f>
        <v>Spanish Bounty</v>
      </c>
    </row>
    <row r="1838" hidden="1">
      <c r="A1838" s="109">
        <f>HYPERLINK("https://polkadot.subsquare.io/treasury/child-bounties/1844", 1844)</f>
        <v>1844</v>
      </c>
      <c r="B1838" s="183">
        <v>42.0</v>
      </c>
      <c r="C1838" s="27" t="s">
        <v>3404</v>
      </c>
      <c r="D1838" s="27" t="s">
        <v>2282</v>
      </c>
      <c r="E1838" s="129">
        <v>24.63</v>
      </c>
      <c r="F1838" s="66">
        <v>105.48070630073546</v>
      </c>
      <c r="G1838" s="27" t="s">
        <v>3695</v>
      </c>
      <c r="H1838" s="167">
        <v>45516.0</v>
      </c>
      <c r="I1838" s="167">
        <v>45524.0</v>
      </c>
      <c r="J1838" s="66">
        <v>120.65429391860961</v>
      </c>
      <c r="M1838" s="1" t="str">
        <f>VLOOKUP(B1838,Bounties!A:D,3,FALSE)</f>
        <v>Outreach</v>
      </c>
      <c r="N1838" s="1" t="str">
        <f>VLOOKUP(B1838,Bounties!A:D,4,FALSE)</f>
        <v>Media</v>
      </c>
      <c r="O1838" s="1" t="str">
        <f t="shared" ref="O1838:P1838" si="1842">IF(ISBLANK(K1838),M1838,K1838)</f>
        <v>Outreach</v>
      </c>
      <c r="P1838" s="1" t="str">
        <f t="shared" si="1842"/>
        <v>Media</v>
      </c>
      <c r="Q1838" s="108" t="str">
        <f t="shared" si="3"/>
        <v>2024</v>
      </c>
      <c r="R1838" s="110">
        <f t="shared" si="4"/>
        <v>8</v>
      </c>
      <c r="S1838" s="108" t="str">
        <f t="shared" si="5"/>
        <v>2024-Q3</v>
      </c>
      <c r="T1838" s="111" t="str">
        <f t="shared" si="6"/>
        <v>2024-08</v>
      </c>
      <c r="U1838" s="112" t="str">
        <f t="shared" si="7"/>
        <v>2024-H2</v>
      </c>
      <c r="V1838" s="1" t="str">
        <f>VLOOKUP(B1838,Bounties!A:E,2,FALSE)</f>
        <v>Spanish Bounty</v>
      </c>
    </row>
    <row r="1839" hidden="1">
      <c r="A1839" s="109">
        <f>HYPERLINK("https://polkadot.subsquare.io/treasury/child-bounties/1846", 1846)</f>
        <v>1846</v>
      </c>
      <c r="B1839" s="183">
        <v>42.0</v>
      </c>
      <c r="C1839" s="27" t="s">
        <v>3404</v>
      </c>
      <c r="D1839" s="27" t="s">
        <v>2283</v>
      </c>
      <c r="E1839" s="129">
        <v>97.34</v>
      </c>
      <c r="F1839" s="66">
        <v>416.8693443489075</v>
      </c>
      <c r="G1839" s="27" t="s">
        <v>3676</v>
      </c>
      <c r="H1839" s="167">
        <v>45516.0</v>
      </c>
      <c r="I1839" s="167">
        <v>45533.0</v>
      </c>
      <c r="J1839" s="66">
        <v>396.5269445323944</v>
      </c>
      <c r="M1839" s="1" t="str">
        <f>VLOOKUP(B1839,Bounties!A:D,3,FALSE)</f>
        <v>Outreach</v>
      </c>
      <c r="N1839" s="1" t="str">
        <f>VLOOKUP(B1839,Bounties!A:D,4,FALSE)</f>
        <v>Media</v>
      </c>
      <c r="O1839" s="1" t="str">
        <f t="shared" ref="O1839:P1839" si="1843">IF(ISBLANK(K1839),M1839,K1839)</f>
        <v>Outreach</v>
      </c>
      <c r="P1839" s="1" t="str">
        <f t="shared" si="1843"/>
        <v>Media</v>
      </c>
      <c r="Q1839" s="108" t="str">
        <f t="shared" si="3"/>
        <v>2024</v>
      </c>
      <c r="R1839" s="110">
        <f t="shared" si="4"/>
        <v>8</v>
      </c>
      <c r="S1839" s="108" t="str">
        <f t="shared" si="5"/>
        <v>2024-Q3</v>
      </c>
      <c r="T1839" s="111" t="str">
        <f t="shared" si="6"/>
        <v>2024-08</v>
      </c>
      <c r="U1839" s="112" t="str">
        <f t="shared" si="7"/>
        <v>2024-H2</v>
      </c>
      <c r="V1839" s="1" t="str">
        <f>VLOOKUP(B1839,Bounties!A:E,2,FALSE)</f>
        <v>Spanish Bounty</v>
      </c>
    </row>
    <row r="1840" hidden="1">
      <c r="A1840" s="109">
        <f>HYPERLINK("https://polkadot.subsquare.io/treasury/child-bounties/1847", 1847)</f>
        <v>1847</v>
      </c>
      <c r="B1840" s="183">
        <v>42.0</v>
      </c>
      <c r="C1840" s="27" t="s">
        <v>3404</v>
      </c>
      <c r="D1840" s="27" t="s">
        <v>2284</v>
      </c>
      <c r="E1840" s="129">
        <v>58.33</v>
      </c>
      <c r="F1840" s="66">
        <v>249.80469340324402</v>
      </c>
      <c r="G1840" s="27" t="s">
        <v>3702</v>
      </c>
      <c r="H1840" s="167">
        <v>45516.0</v>
      </c>
      <c r="I1840" s="167">
        <v>45524.0</v>
      </c>
      <c r="J1840" s="66">
        <v>285.73954381942747</v>
      </c>
      <c r="M1840" s="1" t="str">
        <f>VLOOKUP(B1840,Bounties!A:D,3,FALSE)</f>
        <v>Outreach</v>
      </c>
      <c r="N1840" s="1" t="str">
        <f>VLOOKUP(B1840,Bounties!A:D,4,FALSE)</f>
        <v>Media</v>
      </c>
      <c r="O1840" s="1" t="str">
        <f t="shared" ref="O1840:P1840" si="1844">IF(ISBLANK(K1840),M1840,K1840)</f>
        <v>Outreach</v>
      </c>
      <c r="P1840" s="1" t="str">
        <f t="shared" si="1844"/>
        <v>Media</v>
      </c>
      <c r="Q1840" s="108" t="str">
        <f t="shared" si="3"/>
        <v>2024</v>
      </c>
      <c r="R1840" s="110">
        <f t="shared" si="4"/>
        <v>8</v>
      </c>
      <c r="S1840" s="108" t="str">
        <f t="shared" si="5"/>
        <v>2024-Q3</v>
      </c>
      <c r="T1840" s="111" t="str">
        <f t="shared" si="6"/>
        <v>2024-08</v>
      </c>
      <c r="U1840" s="112" t="str">
        <f t="shared" si="7"/>
        <v>2024-H2</v>
      </c>
      <c r="V1840" s="1" t="str">
        <f>VLOOKUP(B1840,Bounties!A:E,2,FALSE)</f>
        <v>Spanish Bounty</v>
      </c>
    </row>
    <row r="1841" hidden="1">
      <c r="A1841" s="109">
        <f>HYPERLINK("https://polkadot.subsquare.io/treasury/child-bounties/1848", 1848)</f>
        <v>1848</v>
      </c>
      <c r="B1841" s="183">
        <v>42.0</v>
      </c>
      <c r="C1841" s="27" t="s">
        <v>3404</v>
      </c>
      <c r="D1841" s="27" t="s">
        <v>2285</v>
      </c>
      <c r="E1841" s="129">
        <v>140.0</v>
      </c>
      <c r="F1841" s="66">
        <v>599.5655250549316</v>
      </c>
      <c r="G1841" s="27" t="s">
        <v>3689</v>
      </c>
      <c r="H1841" s="167">
        <v>45516.0</v>
      </c>
      <c r="I1841" s="167">
        <v>45524.0</v>
      </c>
      <c r="J1841" s="66">
        <v>685.814094543457</v>
      </c>
      <c r="M1841" s="1" t="str">
        <f>VLOOKUP(B1841,Bounties!A:D,3,FALSE)</f>
        <v>Outreach</v>
      </c>
      <c r="N1841" s="1" t="str">
        <f>VLOOKUP(B1841,Bounties!A:D,4,FALSE)</f>
        <v>Media</v>
      </c>
      <c r="O1841" s="1" t="str">
        <f t="shared" ref="O1841:P1841" si="1845">IF(ISBLANK(K1841),M1841,K1841)</f>
        <v>Outreach</v>
      </c>
      <c r="P1841" s="1" t="str">
        <f t="shared" si="1845"/>
        <v>Media</v>
      </c>
      <c r="Q1841" s="108" t="str">
        <f t="shared" si="3"/>
        <v>2024</v>
      </c>
      <c r="R1841" s="110">
        <f t="shared" si="4"/>
        <v>8</v>
      </c>
      <c r="S1841" s="108" t="str">
        <f t="shared" si="5"/>
        <v>2024-Q3</v>
      </c>
      <c r="T1841" s="111" t="str">
        <f t="shared" si="6"/>
        <v>2024-08</v>
      </c>
      <c r="U1841" s="112" t="str">
        <f t="shared" si="7"/>
        <v>2024-H2</v>
      </c>
      <c r="V1841" s="1" t="str">
        <f>VLOOKUP(B1841,Bounties!A:E,2,FALSE)</f>
        <v>Spanish Bounty</v>
      </c>
    </row>
    <row r="1842" hidden="1">
      <c r="A1842" s="109">
        <f>HYPERLINK("https://polkadot.subsquare.io/treasury/child-bounties/1849", 1849)</f>
        <v>1849</v>
      </c>
      <c r="B1842" s="183">
        <v>17.0</v>
      </c>
      <c r="C1842" s="27" t="s">
        <v>3404</v>
      </c>
      <c r="D1842" s="27" t="s">
        <v>2286</v>
      </c>
      <c r="E1842" s="129">
        <v>7066.05</v>
      </c>
      <c r="F1842" s="66">
        <v>30349.979121494292</v>
      </c>
      <c r="G1842" s="27" t="s">
        <v>3747</v>
      </c>
      <c r="H1842" s="167">
        <v>45517.0</v>
      </c>
      <c r="I1842" s="167">
        <v>45528.0</v>
      </c>
      <c r="J1842" s="66">
        <v>32238.917142748833</v>
      </c>
      <c r="M1842" s="1" t="str">
        <f>VLOOKUP(B1842,Bounties!A:D,3,FALSE)</f>
        <v>Outreach</v>
      </c>
      <c r="N1842" s="1" t="str">
        <f>VLOOKUP(B1842,Bounties!A:D,4,FALSE)</f>
        <v>Events/Meetups</v>
      </c>
      <c r="O1842" s="1" t="str">
        <f t="shared" ref="O1842:P1842" si="1846">IF(ISBLANK(K1842),M1842,K1842)</f>
        <v>Outreach</v>
      </c>
      <c r="P1842" s="1" t="str">
        <f t="shared" si="1846"/>
        <v>Events/Meetups</v>
      </c>
      <c r="Q1842" s="108" t="str">
        <f t="shared" si="3"/>
        <v>2024</v>
      </c>
      <c r="R1842" s="110">
        <f t="shared" si="4"/>
        <v>8</v>
      </c>
      <c r="S1842" s="108" t="str">
        <f t="shared" si="5"/>
        <v>2024-Q3</v>
      </c>
      <c r="T1842" s="111" t="str">
        <f t="shared" si="6"/>
        <v>2024-08</v>
      </c>
      <c r="U1842" s="112" t="str">
        <f t="shared" si="7"/>
        <v>2024-H2</v>
      </c>
      <c r="V1842" s="1" t="str">
        <f>VLOOKUP(B1842,Bounties!A:E,2,FALSE)</f>
        <v>Events Bounty</v>
      </c>
    </row>
    <row r="1843" hidden="1">
      <c r="A1843" s="109">
        <f>HYPERLINK("https://polkadot.subsquare.io/treasury/child-bounties/1850", 1850)</f>
        <v>1850</v>
      </c>
      <c r="B1843" s="183">
        <v>19.0</v>
      </c>
      <c r="C1843" s="27" t="s">
        <v>3404</v>
      </c>
      <c r="D1843" s="27" t="s">
        <v>1303</v>
      </c>
      <c r="E1843" s="129">
        <v>7762.0</v>
      </c>
      <c r="F1843" s="66">
        <v>33339.21185684204</v>
      </c>
      <c r="G1843" s="27" t="s">
        <v>3620</v>
      </c>
      <c r="H1843" s="167">
        <v>45517.0</v>
      </c>
      <c r="I1843" s="167">
        <v>45526.0</v>
      </c>
      <c r="J1843" s="66">
        <v>37447.83257198334</v>
      </c>
      <c r="M1843" s="1" t="str">
        <f>VLOOKUP(B1843,Bounties!A:D,3,FALSE)</f>
        <v>Development</v>
      </c>
      <c r="N1843" s="1" t="str">
        <f>VLOOKUP(B1843,Bounties!A:D,4,FALSE)</f>
        <v>Smart Contracts</v>
      </c>
      <c r="O1843" s="1" t="str">
        <f t="shared" ref="O1843:P1843" si="1847">IF(ISBLANK(K1843),M1843,K1843)</f>
        <v>Development</v>
      </c>
      <c r="P1843" s="1" t="str">
        <f t="shared" si="1847"/>
        <v>Smart Contracts</v>
      </c>
      <c r="Q1843" s="108" t="str">
        <f t="shared" si="3"/>
        <v>2024</v>
      </c>
      <c r="R1843" s="110">
        <f t="shared" si="4"/>
        <v>8</v>
      </c>
      <c r="S1843" s="108" t="str">
        <f t="shared" si="5"/>
        <v>2024-Q3</v>
      </c>
      <c r="T1843" s="111" t="str">
        <f t="shared" si="6"/>
        <v>2024-08</v>
      </c>
      <c r="U1843" s="112" t="str">
        <f t="shared" si="7"/>
        <v>2024-H2</v>
      </c>
      <c r="V1843" s="1" t="str">
        <f>VLOOKUP(B1843,Bounties!A:E,2,FALSE)</f>
        <v>Wasm Smart Contracts Bounty</v>
      </c>
    </row>
    <row r="1844" hidden="1">
      <c r="A1844" s="109">
        <f>HYPERLINK("https://polkadot.subsquare.io/treasury/child-bounties/1852", 1852)</f>
        <v>1852</v>
      </c>
      <c r="B1844" s="183">
        <v>31.0</v>
      </c>
      <c r="C1844" s="27" t="s">
        <v>3404</v>
      </c>
      <c r="D1844" s="27" t="s">
        <v>2287</v>
      </c>
      <c r="E1844" s="129">
        <v>482.84</v>
      </c>
      <c r="F1844" s="66">
        <v>2107.473082962036</v>
      </c>
      <c r="G1844" s="27" t="s">
        <v>3653</v>
      </c>
      <c r="H1844" s="167">
        <v>45518.0</v>
      </c>
      <c r="I1844" s="167">
        <v>45530.0</v>
      </c>
      <c r="J1844" s="66">
        <v>2056.3164737701413</v>
      </c>
      <c r="M1844" s="1" t="str">
        <f>VLOOKUP(B1844,Bounties!A:D,3,FALSE)</f>
        <v>Operations</v>
      </c>
      <c r="N1844" s="1" t="str">
        <f>VLOOKUP(B1844,Bounties!A:D,4,FALSE)</f>
        <v>RPCs and Nodes</v>
      </c>
      <c r="O1844" s="1" t="str">
        <f t="shared" ref="O1844:P1844" si="1848">IF(ISBLANK(K1844),M1844,K1844)</f>
        <v>Operations</v>
      </c>
      <c r="P1844" s="1" t="str">
        <f t="shared" si="1848"/>
        <v>RPCs and Nodes</v>
      </c>
      <c r="Q1844" s="108" t="str">
        <f t="shared" si="3"/>
        <v>2024</v>
      </c>
      <c r="R1844" s="110">
        <f t="shared" si="4"/>
        <v>8</v>
      </c>
      <c r="S1844" s="108" t="str">
        <f t="shared" si="5"/>
        <v>2024-Q3</v>
      </c>
      <c r="T1844" s="111" t="str">
        <f t="shared" si="6"/>
        <v>2024-08</v>
      </c>
      <c r="U1844" s="112" t="str">
        <f t="shared" si="7"/>
        <v>2024-H2</v>
      </c>
      <c r="V1844" s="1" t="str">
        <f>VLOOKUP(B1844,Bounties!A:E,2,FALSE)</f>
        <v>Public RPCs for Relay and System Chains</v>
      </c>
    </row>
    <row r="1845" hidden="1">
      <c r="A1845" s="109">
        <f>HYPERLINK("https://polkadot.subsquare.io/treasury/child-bounties/1853", 1853)</f>
        <v>1853</v>
      </c>
      <c r="B1845" s="183">
        <v>31.0</v>
      </c>
      <c r="C1845" s="27" t="s">
        <v>3404</v>
      </c>
      <c r="D1845" s="27" t="s">
        <v>2288</v>
      </c>
      <c r="E1845" s="129">
        <v>833.7</v>
      </c>
      <c r="F1845" s="66">
        <v>3638.88722820282</v>
      </c>
      <c r="G1845" s="27" t="s">
        <v>3654</v>
      </c>
      <c r="H1845" s="167">
        <v>45518.0</v>
      </c>
      <c r="I1845" s="167">
        <v>45535.0</v>
      </c>
      <c r="J1845" s="66">
        <v>3508.7174101352693</v>
      </c>
      <c r="M1845" s="1" t="str">
        <f>VLOOKUP(B1845,Bounties!A:D,3,FALSE)</f>
        <v>Operations</v>
      </c>
      <c r="N1845" s="1" t="str">
        <f>VLOOKUP(B1845,Bounties!A:D,4,FALSE)</f>
        <v>RPCs and Nodes</v>
      </c>
      <c r="O1845" s="1" t="str">
        <f t="shared" ref="O1845:P1845" si="1849">IF(ISBLANK(K1845),M1845,K1845)</f>
        <v>Operations</v>
      </c>
      <c r="P1845" s="1" t="str">
        <f t="shared" si="1849"/>
        <v>RPCs and Nodes</v>
      </c>
      <c r="Q1845" s="108" t="str">
        <f t="shared" si="3"/>
        <v>2024</v>
      </c>
      <c r="R1845" s="110">
        <f t="shared" si="4"/>
        <v>8</v>
      </c>
      <c r="S1845" s="108" t="str">
        <f t="shared" si="5"/>
        <v>2024-Q3</v>
      </c>
      <c r="T1845" s="111" t="str">
        <f t="shared" si="6"/>
        <v>2024-08</v>
      </c>
      <c r="U1845" s="112" t="str">
        <f t="shared" si="7"/>
        <v>2024-H2</v>
      </c>
      <c r="V1845" s="1" t="str">
        <f>VLOOKUP(B1845,Bounties!A:E,2,FALSE)</f>
        <v>Public RPCs for Relay and System Chains</v>
      </c>
    </row>
    <row r="1846" hidden="1">
      <c r="A1846" s="109">
        <f>HYPERLINK("https://polkadot.subsquare.io/treasury/child-bounties/1854", 1854)</f>
        <v>1854</v>
      </c>
      <c r="B1846" s="183">
        <v>31.0</v>
      </c>
      <c r="C1846" s="27" t="s">
        <v>3404</v>
      </c>
      <c r="D1846" s="27" t="s">
        <v>2289</v>
      </c>
      <c r="E1846" s="129">
        <v>1096.97</v>
      </c>
      <c r="F1846" s="66">
        <v>4787.993430156708</v>
      </c>
      <c r="G1846" s="27" t="s">
        <v>3589</v>
      </c>
      <c r="H1846" s="167">
        <v>45518.0</v>
      </c>
      <c r="I1846" s="167">
        <v>45531.0</v>
      </c>
      <c r="J1846" s="66">
        <v>4693.370540595055</v>
      </c>
      <c r="M1846" s="1" t="str">
        <f>VLOOKUP(B1846,Bounties!A:D,3,FALSE)</f>
        <v>Operations</v>
      </c>
      <c r="N1846" s="1" t="str">
        <f>VLOOKUP(B1846,Bounties!A:D,4,FALSE)</f>
        <v>RPCs and Nodes</v>
      </c>
      <c r="O1846" s="1" t="str">
        <f t="shared" ref="O1846:P1846" si="1850">IF(ISBLANK(K1846),M1846,K1846)</f>
        <v>Operations</v>
      </c>
      <c r="P1846" s="1" t="str">
        <f t="shared" si="1850"/>
        <v>RPCs and Nodes</v>
      </c>
      <c r="Q1846" s="108" t="str">
        <f t="shared" si="3"/>
        <v>2024</v>
      </c>
      <c r="R1846" s="110">
        <f t="shared" si="4"/>
        <v>8</v>
      </c>
      <c r="S1846" s="108" t="str">
        <f t="shared" si="5"/>
        <v>2024-Q3</v>
      </c>
      <c r="T1846" s="111" t="str">
        <f t="shared" si="6"/>
        <v>2024-08</v>
      </c>
      <c r="U1846" s="112" t="str">
        <f t="shared" si="7"/>
        <v>2024-H2</v>
      </c>
      <c r="V1846" s="1" t="str">
        <f>VLOOKUP(B1846,Bounties!A:E,2,FALSE)</f>
        <v>Public RPCs for Relay and System Chains</v>
      </c>
    </row>
    <row r="1847" hidden="1">
      <c r="A1847" s="109">
        <f>HYPERLINK("https://polkadot.subsquare.io/treasury/child-bounties/1856", 1856)</f>
        <v>1856</v>
      </c>
      <c r="B1847" s="183">
        <v>31.0</v>
      </c>
      <c r="C1847" s="27" t="s">
        <v>3404</v>
      </c>
      <c r="D1847" s="27" t="s">
        <v>2290</v>
      </c>
      <c r="E1847" s="129">
        <v>767.88</v>
      </c>
      <c r="F1847" s="66">
        <v>3351.5997658538818</v>
      </c>
      <c r="G1847" s="27" t="s">
        <v>3658</v>
      </c>
      <c r="H1847" s="167">
        <v>45518.0</v>
      </c>
      <c r="I1847" s="167">
        <v>45529.0</v>
      </c>
      <c r="J1847" s="66">
        <v>3363.980155334473</v>
      </c>
      <c r="M1847" s="1" t="str">
        <f>VLOOKUP(B1847,Bounties!A:D,3,FALSE)</f>
        <v>Operations</v>
      </c>
      <c r="N1847" s="1" t="str">
        <f>VLOOKUP(B1847,Bounties!A:D,4,FALSE)</f>
        <v>RPCs and Nodes</v>
      </c>
      <c r="O1847" s="1" t="str">
        <f t="shared" ref="O1847:P1847" si="1851">IF(ISBLANK(K1847),M1847,K1847)</f>
        <v>Operations</v>
      </c>
      <c r="P1847" s="1" t="str">
        <f t="shared" si="1851"/>
        <v>RPCs and Nodes</v>
      </c>
      <c r="Q1847" s="108" t="str">
        <f t="shared" si="3"/>
        <v>2024</v>
      </c>
      <c r="R1847" s="110">
        <f t="shared" si="4"/>
        <v>8</v>
      </c>
      <c r="S1847" s="108" t="str">
        <f t="shared" si="5"/>
        <v>2024-Q3</v>
      </c>
      <c r="T1847" s="111" t="str">
        <f t="shared" si="6"/>
        <v>2024-08</v>
      </c>
      <c r="U1847" s="112" t="str">
        <f t="shared" si="7"/>
        <v>2024-H2</v>
      </c>
      <c r="V1847" s="1" t="str">
        <f>VLOOKUP(B1847,Bounties!A:E,2,FALSE)</f>
        <v>Public RPCs for Relay and System Chains</v>
      </c>
    </row>
    <row r="1848" hidden="1">
      <c r="A1848" s="109">
        <f>HYPERLINK("https://polkadot.subsquare.io/treasury/child-bounties/1857", 1857)</f>
        <v>1857</v>
      </c>
      <c r="B1848" s="183">
        <v>31.0</v>
      </c>
      <c r="C1848" s="27" t="s">
        <v>3404</v>
      </c>
      <c r="D1848" s="27" t="s">
        <v>2291</v>
      </c>
      <c r="E1848" s="129">
        <v>866.61</v>
      </c>
      <c r="F1848" s="66">
        <v>3782.530959377289</v>
      </c>
      <c r="G1848" s="27" t="s">
        <v>3659</v>
      </c>
      <c r="H1848" s="167">
        <v>45518.0</v>
      </c>
      <c r="I1848" s="167">
        <v>45530.0</v>
      </c>
      <c r="J1848" s="66">
        <v>3690.7141482353213</v>
      </c>
      <c r="M1848" s="1" t="str">
        <f>VLOOKUP(B1848,Bounties!A:D,3,FALSE)</f>
        <v>Operations</v>
      </c>
      <c r="N1848" s="1" t="str">
        <f>VLOOKUP(B1848,Bounties!A:D,4,FALSE)</f>
        <v>RPCs and Nodes</v>
      </c>
      <c r="O1848" s="1" t="str">
        <f t="shared" ref="O1848:P1848" si="1852">IF(ISBLANK(K1848),M1848,K1848)</f>
        <v>Operations</v>
      </c>
      <c r="P1848" s="1" t="str">
        <f t="shared" si="1852"/>
        <v>RPCs and Nodes</v>
      </c>
      <c r="Q1848" s="108" t="str">
        <f t="shared" si="3"/>
        <v>2024</v>
      </c>
      <c r="R1848" s="110">
        <f t="shared" si="4"/>
        <v>8</v>
      </c>
      <c r="S1848" s="108" t="str">
        <f t="shared" si="5"/>
        <v>2024-Q3</v>
      </c>
      <c r="T1848" s="111" t="str">
        <f t="shared" si="6"/>
        <v>2024-08</v>
      </c>
      <c r="U1848" s="112" t="str">
        <f t="shared" si="7"/>
        <v>2024-H2</v>
      </c>
      <c r="V1848" s="1" t="str">
        <f>VLOOKUP(B1848,Bounties!A:E,2,FALSE)</f>
        <v>Public RPCs for Relay and System Chains</v>
      </c>
    </row>
    <row r="1849" hidden="1">
      <c r="A1849" s="109">
        <f>HYPERLINK("https://polkadot.subsquare.io/treasury/child-bounties/1858", 1858)</f>
        <v>1858</v>
      </c>
      <c r="B1849" s="183">
        <v>31.0</v>
      </c>
      <c r="C1849" s="27" t="s">
        <v>3404</v>
      </c>
      <c r="D1849" s="27" t="s">
        <v>2292</v>
      </c>
      <c r="E1849" s="129">
        <v>76.79</v>
      </c>
      <c r="F1849" s="66">
        <v>335.16870607376103</v>
      </c>
      <c r="G1849" s="27" t="s">
        <v>3748</v>
      </c>
      <c r="H1849" s="167">
        <v>45518.0</v>
      </c>
      <c r="I1849" s="167">
        <v>45532.0</v>
      </c>
      <c r="J1849" s="66">
        <v>327.00897766113286</v>
      </c>
      <c r="M1849" s="1" t="str">
        <f>VLOOKUP(B1849,Bounties!A:D,3,FALSE)</f>
        <v>Operations</v>
      </c>
      <c r="N1849" s="1" t="str">
        <f>VLOOKUP(B1849,Bounties!A:D,4,FALSE)</f>
        <v>RPCs and Nodes</v>
      </c>
      <c r="O1849" s="1" t="str">
        <f t="shared" ref="O1849:P1849" si="1853">IF(ISBLANK(K1849),M1849,K1849)</f>
        <v>Operations</v>
      </c>
      <c r="P1849" s="1" t="str">
        <f t="shared" si="1853"/>
        <v>RPCs and Nodes</v>
      </c>
      <c r="Q1849" s="108" t="str">
        <f t="shared" si="3"/>
        <v>2024</v>
      </c>
      <c r="R1849" s="110">
        <f t="shared" si="4"/>
        <v>8</v>
      </c>
      <c r="S1849" s="108" t="str">
        <f t="shared" si="5"/>
        <v>2024-Q3</v>
      </c>
      <c r="T1849" s="111" t="str">
        <f t="shared" si="6"/>
        <v>2024-08</v>
      </c>
      <c r="U1849" s="112" t="str">
        <f t="shared" si="7"/>
        <v>2024-H2</v>
      </c>
      <c r="V1849" s="1" t="str">
        <f>VLOOKUP(B1849,Bounties!A:E,2,FALSE)</f>
        <v>Public RPCs for Relay and System Chains</v>
      </c>
    </row>
    <row r="1850" hidden="1">
      <c r="A1850" s="109">
        <f>HYPERLINK("https://polkadot.subsquare.io/treasury/child-bounties/1859", 1859)</f>
        <v>1859</v>
      </c>
      <c r="B1850" s="183">
        <v>31.0</v>
      </c>
      <c r="C1850" s="27" t="s">
        <v>3404</v>
      </c>
      <c r="D1850" s="27" t="s">
        <v>2293</v>
      </c>
      <c r="E1850" s="129">
        <v>76.79</v>
      </c>
      <c r="F1850" s="66">
        <v>335.16870607376103</v>
      </c>
      <c r="G1850" s="27" t="s">
        <v>3749</v>
      </c>
      <c r="H1850" s="167">
        <v>45518.0</v>
      </c>
      <c r="I1850" s="167">
        <v>45530.0</v>
      </c>
      <c r="J1850" s="66">
        <v>327.03285150527955</v>
      </c>
      <c r="M1850" s="1" t="str">
        <f>VLOOKUP(B1850,Bounties!A:D,3,FALSE)</f>
        <v>Operations</v>
      </c>
      <c r="N1850" s="1" t="str">
        <f>VLOOKUP(B1850,Bounties!A:D,4,FALSE)</f>
        <v>RPCs and Nodes</v>
      </c>
      <c r="O1850" s="1" t="str">
        <f t="shared" ref="O1850:P1850" si="1854">IF(ISBLANK(K1850),M1850,K1850)</f>
        <v>Operations</v>
      </c>
      <c r="P1850" s="1" t="str">
        <f t="shared" si="1854"/>
        <v>RPCs and Nodes</v>
      </c>
      <c r="Q1850" s="108" t="str">
        <f t="shared" si="3"/>
        <v>2024</v>
      </c>
      <c r="R1850" s="110">
        <f t="shared" si="4"/>
        <v>8</v>
      </c>
      <c r="S1850" s="108" t="str">
        <f t="shared" si="5"/>
        <v>2024-Q3</v>
      </c>
      <c r="T1850" s="111" t="str">
        <f t="shared" si="6"/>
        <v>2024-08</v>
      </c>
      <c r="U1850" s="112" t="str">
        <f t="shared" si="7"/>
        <v>2024-H2</v>
      </c>
      <c r="V1850" s="1" t="str">
        <f>VLOOKUP(B1850,Bounties!A:E,2,FALSE)</f>
        <v>Public RPCs for Relay and System Chains</v>
      </c>
    </row>
    <row r="1851" hidden="1">
      <c r="A1851" s="109">
        <f>HYPERLINK("https://polkadot.subsquare.io/treasury/child-bounties/1861", 1861)</f>
        <v>1861</v>
      </c>
      <c r="B1851" s="183">
        <v>32.0</v>
      </c>
      <c r="C1851" s="27" t="s">
        <v>3404</v>
      </c>
      <c r="D1851" s="27" t="s">
        <v>2294</v>
      </c>
      <c r="E1851" s="129">
        <v>8.2278028189</v>
      </c>
      <c r="F1851" s="66">
        <v>35.912254520650556</v>
      </c>
      <c r="G1851" s="27" t="s">
        <v>3587</v>
      </c>
      <c r="H1851" s="167">
        <v>45518.0</v>
      </c>
      <c r="I1851" s="167">
        <v>45526.0</v>
      </c>
      <c r="J1851" s="66">
        <v>39.69510208676369</v>
      </c>
      <c r="M1851" s="1" t="str">
        <f>VLOOKUP(B1851,Bounties!A:D,3,FALSE)</f>
        <v>Operations</v>
      </c>
      <c r="N1851" s="1" t="str">
        <f>VLOOKUP(B1851,Bounties!A:D,4,FALSE)</f>
        <v>RPCs and Nodes</v>
      </c>
      <c r="O1851" s="1" t="str">
        <f t="shared" ref="O1851:P1851" si="1855">IF(ISBLANK(K1851),M1851,K1851)</f>
        <v>Operations</v>
      </c>
      <c r="P1851" s="1" t="str">
        <f t="shared" si="1855"/>
        <v>RPCs and Nodes</v>
      </c>
      <c r="Q1851" s="108" t="str">
        <f t="shared" si="3"/>
        <v>2024</v>
      </c>
      <c r="R1851" s="110">
        <f t="shared" si="4"/>
        <v>8</v>
      </c>
      <c r="S1851" s="108" t="str">
        <f t="shared" si="5"/>
        <v>2024-Q3</v>
      </c>
      <c r="T1851" s="111" t="str">
        <f t="shared" si="6"/>
        <v>2024-08</v>
      </c>
      <c r="U1851" s="112" t="str">
        <f t="shared" si="7"/>
        <v>2024-H2</v>
      </c>
      <c r="V1851" s="1" t="str">
        <f>VLOOKUP(B1851,Bounties!A:E,2,FALSE)</f>
        <v>System Parachains Collator Bounty</v>
      </c>
    </row>
    <row r="1852" hidden="1">
      <c r="A1852" s="109">
        <f>HYPERLINK("https://polkadot.subsquare.io/treasury/child-bounties/1862", 1862)</f>
        <v>1862</v>
      </c>
      <c r="B1852" s="183">
        <v>32.0</v>
      </c>
      <c r="C1852" s="27" t="s">
        <v>3404</v>
      </c>
      <c r="D1852" s="27" t="s">
        <v>2295</v>
      </c>
      <c r="E1852" s="129">
        <v>64.3146994113</v>
      </c>
      <c r="F1852" s="66">
        <v>280.7172103556231</v>
      </c>
      <c r="G1852" s="27" t="s">
        <v>3601</v>
      </c>
      <c r="H1852" s="167">
        <v>45518.0</v>
      </c>
      <c r="I1852" s="167">
        <v>45551.0</v>
      </c>
      <c r="J1852" s="66">
        <v>268.13023015162327</v>
      </c>
      <c r="M1852" s="1" t="str">
        <f>VLOOKUP(B1852,Bounties!A:D,3,FALSE)</f>
        <v>Operations</v>
      </c>
      <c r="N1852" s="1" t="str">
        <f>VLOOKUP(B1852,Bounties!A:D,4,FALSE)</f>
        <v>RPCs and Nodes</v>
      </c>
      <c r="O1852" s="1" t="str">
        <f t="shared" ref="O1852:P1852" si="1856">IF(ISBLANK(K1852),M1852,K1852)</f>
        <v>Operations</v>
      </c>
      <c r="P1852" s="1" t="str">
        <f t="shared" si="1856"/>
        <v>RPCs and Nodes</v>
      </c>
      <c r="Q1852" s="108" t="str">
        <f t="shared" si="3"/>
        <v>2024</v>
      </c>
      <c r="R1852" s="110">
        <f t="shared" si="4"/>
        <v>9</v>
      </c>
      <c r="S1852" s="108" t="str">
        <f t="shared" si="5"/>
        <v>2024-Q3</v>
      </c>
      <c r="T1852" s="111" t="str">
        <f t="shared" si="6"/>
        <v>2024-09</v>
      </c>
      <c r="U1852" s="112" t="str">
        <f t="shared" si="7"/>
        <v>2024-H2</v>
      </c>
      <c r="V1852" s="1" t="str">
        <f>VLOOKUP(B1852,Bounties!A:E,2,FALSE)</f>
        <v>System Parachains Collator Bounty</v>
      </c>
    </row>
    <row r="1853" hidden="1">
      <c r="A1853" s="109">
        <f>HYPERLINK("https://polkadot.subsquare.io/treasury/child-bounties/1863", 1863)</f>
        <v>1863</v>
      </c>
      <c r="B1853" s="183">
        <v>32.0</v>
      </c>
      <c r="C1853" s="27" t="s">
        <v>3404</v>
      </c>
      <c r="D1853" s="27" t="s">
        <v>2296</v>
      </c>
      <c r="E1853" s="129">
        <v>64.3551209432</v>
      </c>
      <c r="F1853" s="66">
        <v>280.89364000198907</v>
      </c>
      <c r="G1853" s="27" t="s">
        <v>3602</v>
      </c>
      <c r="H1853" s="167">
        <v>45518.0</v>
      </c>
      <c r="I1853" s="167">
        <v>45543.0</v>
      </c>
      <c r="J1853" s="66">
        <v>269.7542599010224</v>
      </c>
      <c r="M1853" s="1" t="str">
        <f>VLOOKUP(B1853,Bounties!A:D,3,FALSE)</f>
        <v>Operations</v>
      </c>
      <c r="N1853" s="1" t="str">
        <f>VLOOKUP(B1853,Bounties!A:D,4,FALSE)</f>
        <v>RPCs and Nodes</v>
      </c>
      <c r="O1853" s="1" t="str">
        <f t="shared" ref="O1853:P1853" si="1857">IF(ISBLANK(K1853),M1853,K1853)</f>
        <v>Operations</v>
      </c>
      <c r="P1853" s="1" t="str">
        <f t="shared" si="1857"/>
        <v>RPCs and Nodes</v>
      </c>
      <c r="Q1853" s="108" t="str">
        <f t="shared" si="3"/>
        <v>2024</v>
      </c>
      <c r="R1853" s="110">
        <f t="shared" si="4"/>
        <v>9</v>
      </c>
      <c r="S1853" s="108" t="str">
        <f t="shared" si="5"/>
        <v>2024-Q3</v>
      </c>
      <c r="T1853" s="111" t="str">
        <f t="shared" si="6"/>
        <v>2024-09</v>
      </c>
      <c r="U1853" s="112" t="str">
        <f t="shared" si="7"/>
        <v>2024-H2</v>
      </c>
      <c r="V1853" s="1" t="str">
        <f>VLOOKUP(B1853,Bounties!A:E,2,FALSE)</f>
        <v>System Parachains Collator Bounty</v>
      </c>
    </row>
    <row r="1854" hidden="1">
      <c r="A1854" s="109">
        <f>HYPERLINK("https://polkadot.subsquare.io/treasury/child-bounties/1864", 1864)</f>
        <v>1864</v>
      </c>
      <c r="B1854" s="183">
        <v>32.0</v>
      </c>
      <c r="C1854" s="27" t="s">
        <v>3404</v>
      </c>
      <c r="D1854" s="27" t="s">
        <v>2297</v>
      </c>
      <c r="E1854" s="129">
        <v>64.2702357262</v>
      </c>
      <c r="F1854" s="66">
        <v>280.5231377445769</v>
      </c>
      <c r="G1854" s="27" t="s">
        <v>3589</v>
      </c>
      <c r="H1854" s="167">
        <v>45518.0</v>
      </c>
      <c r="I1854" s="167">
        <v>45531.0</v>
      </c>
      <c r="J1854" s="66">
        <v>274.97928931005123</v>
      </c>
      <c r="M1854" s="1" t="str">
        <f>VLOOKUP(B1854,Bounties!A:D,3,FALSE)</f>
        <v>Operations</v>
      </c>
      <c r="N1854" s="1" t="str">
        <f>VLOOKUP(B1854,Bounties!A:D,4,FALSE)</f>
        <v>RPCs and Nodes</v>
      </c>
      <c r="O1854" s="1" t="str">
        <f t="shared" ref="O1854:P1854" si="1858">IF(ISBLANK(K1854),M1854,K1854)</f>
        <v>Operations</v>
      </c>
      <c r="P1854" s="1" t="str">
        <f t="shared" si="1858"/>
        <v>RPCs and Nodes</v>
      </c>
      <c r="Q1854" s="108" t="str">
        <f t="shared" si="3"/>
        <v>2024</v>
      </c>
      <c r="R1854" s="110">
        <f t="shared" si="4"/>
        <v>8</v>
      </c>
      <c r="S1854" s="108" t="str">
        <f t="shared" si="5"/>
        <v>2024-Q3</v>
      </c>
      <c r="T1854" s="111" t="str">
        <f t="shared" si="6"/>
        <v>2024-08</v>
      </c>
      <c r="U1854" s="112" t="str">
        <f t="shared" si="7"/>
        <v>2024-H2</v>
      </c>
      <c r="V1854" s="1" t="str">
        <f>VLOOKUP(B1854,Bounties!A:E,2,FALSE)</f>
        <v>System Parachains Collator Bounty</v>
      </c>
    </row>
    <row r="1855" hidden="1">
      <c r="A1855" s="109">
        <f>HYPERLINK("https://polkadot.subsquare.io/treasury/child-bounties/1865", 1865)</f>
        <v>1865</v>
      </c>
      <c r="B1855" s="183">
        <v>32.0</v>
      </c>
      <c r="C1855" s="27" t="s">
        <v>3404</v>
      </c>
      <c r="D1855" s="27" t="s">
        <v>2298</v>
      </c>
      <c r="E1855" s="129">
        <v>64.2944886454</v>
      </c>
      <c r="F1855" s="66">
        <v>280.62899553265834</v>
      </c>
      <c r="G1855" s="27" t="s">
        <v>3592</v>
      </c>
      <c r="H1855" s="167">
        <v>45518.0</v>
      </c>
      <c r="I1855" s="167">
        <v>45527.0</v>
      </c>
      <c r="J1855" s="66">
        <v>293.3441869466613</v>
      </c>
      <c r="M1855" s="1" t="str">
        <f>VLOOKUP(B1855,Bounties!A:D,3,FALSE)</f>
        <v>Operations</v>
      </c>
      <c r="N1855" s="1" t="str">
        <f>VLOOKUP(B1855,Bounties!A:D,4,FALSE)</f>
        <v>RPCs and Nodes</v>
      </c>
      <c r="O1855" s="1" t="str">
        <f t="shared" ref="O1855:P1855" si="1859">IF(ISBLANK(K1855),M1855,K1855)</f>
        <v>Operations</v>
      </c>
      <c r="P1855" s="1" t="str">
        <f t="shared" si="1859"/>
        <v>RPCs and Nodes</v>
      </c>
      <c r="Q1855" s="108" t="str">
        <f t="shared" si="3"/>
        <v>2024</v>
      </c>
      <c r="R1855" s="110">
        <f t="shared" si="4"/>
        <v>8</v>
      </c>
      <c r="S1855" s="108" t="str">
        <f t="shared" si="5"/>
        <v>2024-Q3</v>
      </c>
      <c r="T1855" s="111" t="str">
        <f t="shared" si="6"/>
        <v>2024-08</v>
      </c>
      <c r="U1855" s="112" t="str">
        <f t="shared" si="7"/>
        <v>2024-H2</v>
      </c>
      <c r="V1855" s="1" t="str">
        <f>VLOOKUP(B1855,Bounties!A:E,2,FALSE)</f>
        <v>System Parachains Collator Bounty</v>
      </c>
    </row>
    <row r="1856" hidden="1">
      <c r="A1856" s="109">
        <f>HYPERLINK("https://polkadot.subsquare.io/treasury/child-bounties/1866", 1866)</f>
        <v>1866</v>
      </c>
      <c r="B1856" s="183">
        <v>32.0</v>
      </c>
      <c r="C1856" s="27" t="s">
        <v>3404</v>
      </c>
      <c r="D1856" s="27" t="s">
        <v>2299</v>
      </c>
      <c r="E1856" s="129">
        <v>78.6230348277</v>
      </c>
      <c r="F1856" s="66">
        <v>343.1694341814358</v>
      </c>
      <c r="G1856" s="27" t="s">
        <v>3600</v>
      </c>
      <c r="H1856" s="167">
        <v>45518.0</v>
      </c>
      <c r="I1856" s="167">
        <v>45526.0</v>
      </c>
      <c r="J1856" s="66">
        <v>379.3174754610827</v>
      </c>
      <c r="M1856" s="1" t="str">
        <f>VLOOKUP(B1856,Bounties!A:D,3,FALSE)</f>
        <v>Operations</v>
      </c>
      <c r="N1856" s="1" t="str">
        <f>VLOOKUP(B1856,Bounties!A:D,4,FALSE)</f>
        <v>RPCs and Nodes</v>
      </c>
      <c r="O1856" s="1" t="str">
        <f t="shared" ref="O1856:P1856" si="1860">IF(ISBLANK(K1856),M1856,K1856)</f>
        <v>Operations</v>
      </c>
      <c r="P1856" s="1" t="str">
        <f t="shared" si="1860"/>
        <v>RPCs and Nodes</v>
      </c>
      <c r="Q1856" s="108" t="str">
        <f t="shared" si="3"/>
        <v>2024</v>
      </c>
      <c r="R1856" s="110">
        <f t="shared" si="4"/>
        <v>8</v>
      </c>
      <c r="S1856" s="108" t="str">
        <f t="shared" si="5"/>
        <v>2024-Q3</v>
      </c>
      <c r="T1856" s="111" t="str">
        <f t="shared" si="6"/>
        <v>2024-08</v>
      </c>
      <c r="U1856" s="112" t="str">
        <f t="shared" si="7"/>
        <v>2024-H2</v>
      </c>
      <c r="V1856" s="1" t="str">
        <f>VLOOKUP(B1856,Bounties!A:E,2,FALSE)</f>
        <v>System Parachains Collator Bounty</v>
      </c>
    </row>
    <row r="1857" hidden="1">
      <c r="A1857" s="109">
        <f>HYPERLINK("https://polkadot.subsquare.io/treasury/child-bounties/1868", 1868)</f>
        <v>1868</v>
      </c>
      <c r="B1857" s="183">
        <v>32.0</v>
      </c>
      <c r="C1857" s="27" t="s">
        <v>3404</v>
      </c>
      <c r="D1857" s="27" t="s">
        <v>2300</v>
      </c>
      <c r="E1857" s="129">
        <v>79.1497058143</v>
      </c>
      <c r="F1857" s="66">
        <v>345.46821830834443</v>
      </c>
      <c r="G1857" s="27" t="s">
        <v>3595</v>
      </c>
      <c r="H1857" s="167">
        <v>45518.0</v>
      </c>
      <c r="I1857" s="167">
        <v>45527.0</v>
      </c>
      <c r="J1857" s="66">
        <v>361.12124986663883</v>
      </c>
      <c r="M1857" s="1" t="str">
        <f>VLOOKUP(B1857,Bounties!A:D,3,FALSE)</f>
        <v>Operations</v>
      </c>
      <c r="N1857" s="1" t="str">
        <f>VLOOKUP(B1857,Bounties!A:D,4,FALSE)</f>
        <v>RPCs and Nodes</v>
      </c>
      <c r="O1857" s="1" t="str">
        <f t="shared" ref="O1857:P1857" si="1861">IF(ISBLANK(K1857),M1857,K1857)</f>
        <v>Operations</v>
      </c>
      <c r="P1857" s="1" t="str">
        <f t="shared" si="1861"/>
        <v>RPCs and Nodes</v>
      </c>
      <c r="Q1857" s="108" t="str">
        <f t="shared" si="3"/>
        <v>2024</v>
      </c>
      <c r="R1857" s="110">
        <f t="shared" si="4"/>
        <v>8</v>
      </c>
      <c r="S1857" s="108" t="str">
        <f t="shared" si="5"/>
        <v>2024-Q3</v>
      </c>
      <c r="T1857" s="111" t="str">
        <f t="shared" si="6"/>
        <v>2024-08</v>
      </c>
      <c r="U1857" s="112" t="str">
        <f t="shared" si="7"/>
        <v>2024-H2</v>
      </c>
      <c r="V1857" s="1" t="str">
        <f>VLOOKUP(B1857,Bounties!A:E,2,FALSE)</f>
        <v>System Parachains Collator Bounty</v>
      </c>
    </row>
    <row r="1858" hidden="1">
      <c r="A1858" s="109">
        <f>HYPERLINK("https://polkadot.subsquare.io/treasury/child-bounties/1869", 1869)</f>
        <v>1869</v>
      </c>
      <c r="B1858" s="183">
        <v>32.0</v>
      </c>
      <c r="C1858" s="27" t="s">
        <v>3404</v>
      </c>
      <c r="D1858" s="27" t="s">
        <v>2301</v>
      </c>
      <c r="E1858" s="129">
        <v>18.3192068636</v>
      </c>
      <c r="F1858" s="66">
        <v>79.95865165738213</v>
      </c>
      <c r="G1858" s="27" t="s">
        <v>3594</v>
      </c>
      <c r="H1858" s="167">
        <v>45518.0</v>
      </c>
      <c r="I1858" s="167">
        <v>45529.0</v>
      </c>
      <c r="J1858" s="66">
        <v>78.01774264771711</v>
      </c>
      <c r="M1858" s="1" t="str">
        <f>VLOOKUP(B1858,Bounties!A:D,3,FALSE)</f>
        <v>Operations</v>
      </c>
      <c r="N1858" s="1" t="str">
        <f>VLOOKUP(B1858,Bounties!A:D,4,FALSE)</f>
        <v>RPCs and Nodes</v>
      </c>
      <c r="O1858" s="1" t="str">
        <f t="shared" ref="O1858:P1858" si="1862">IF(ISBLANK(K1858),M1858,K1858)</f>
        <v>Operations</v>
      </c>
      <c r="P1858" s="1" t="str">
        <f t="shared" si="1862"/>
        <v>RPCs and Nodes</v>
      </c>
      <c r="Q1858" s="108" t="str">
        <f t="shared" si="3"/>
        <v>2024</v>
      </c>
      <c r="R1858" s="110">
        <f t="shared" si="4"/>
        <v>8</v>
      </c>
      <c r="S1858" s="108" t="str">
        <f t="shared" si="5"/>
        <v>2024-Q3</v>
      </c>
      <c r="T1858" s="111" t="str">
        <f t="shared" si="6"/>
        <v>2024-08</v>
      </c>
      <c r="U1858" s="112" t="str">
        <f t="shared" si="7"/>
        <v>2024-H2</v>
      </c>
      <c r="V1858" s="1" t="str">
        <f>VLOOKUP(B1858,Bounties!A:E,2,FALSE)</f>
        <v>System Parachains Collator Bounty</v>
      </c>
    </row>
    <row r="1859" hidden="1">
      <c r="A1859" s="109">
        <f>HYPERLINK("https://polkadot.subsquare.io/treasury/child-bounties/1870", 1870)</f>
        <v>1870</v>
      </c>
      <c r="B1859" s="183">
        <v>32.0</v>
      </c>
      <c r="C1859" s="27" t="s">
        <v>3404</v>
      </c>
      <c r="D1859" s="27" t="s">
        <v>2302</v>
      </c>
      <c r="E1859" s="129">
        <v>78.9459934516</v>
      </c>
      <c r="F1859" s="66">
        <v>344.5790659575515</v>
      </c>
      <c r="G1859" s="27" t="s">
        <v>3590</v>
      </c>
      <c r="H1859" s="167">
        <v>45518.0</v>
      </c>
      <c r="I1859" s="167">
        <v>45530.0</v>
      </c>
      <c r="J1859" s="66">
        <v>336.21478517246874</v>
      </c>
      <c r="M1859" s="1" t="str">
        <f>VLOOKUP(B1859,Bounties!A:D,3,FALSE)</f>
        <v>Operations</v>
      </c>
      <c r="N1859" s="1" t="str">
        <f>VLOOKUP(B1859,Bounties!A:D,4,FALSE)</f>
        <v>RPCs and Nodes</v>
      </c>
      <c r="O1859" s="1" t="str">
        <f t="shared" ref="O1859:P1859" si="1863">IF(ISBLANK(K1859),M1859,K1859)</f>
        <v>Operations</v>
      </c>
      <c r="P1859" s="1" t="str">
        <f t="shared" si="1863"/>
        <v>RPCs and Nodes</v>
      </c>
      <c r="Q1859" s="108" t="str">
        <f t="shared" si="3"/>
        <v>2024</v>
      </c>
      <c r="R1859" s="110">
        <f t="shared" si="4"/>
        <v>8</v>
      </c>
      <c r="S1859" s="108" t="str">
        <f t="shared" si="5"/>
        <v>2024-Q3</v>
      </c>
      <c r="T1859" s="111" t="str">
        <f t="shared" si="6"/>
        <v>2024-08</v>
      </c>
      <c r="U1859" s="112" t="str">
        <f t="shared" si="7"/>
        <v>2024-H2</v>
      </c>
      <c r="V1859" s="1" t="str">
        <f>VLOOKUP(B1859,Bounties!A:E,2,FALSE)</f>
        <v>System Parachains Collator Bounty</v>
      </c>
    </row>
    <row r="1860" hidden="1">
      <c r="A1860" s="109">
        <f>HYPERLINK("https://polkadot.subsquare.io/treasury/child-bounties/1871", 1871)</f>
        <v>1871</v>
      </c>
      <c r="B1860" s="183">
        <v>32.0</v>
      </c>
      <c r="C1860" s="27" t="s">
        <v>3404</v>
      </c>
      <c r="D1860" s="27" t="s">
        <v>2303</v>
      </c>
      <c r="E1860" s="129">
        <v>76.5213194756</v>
      </c>
      <c r="F1860" s="66">
        <v>333.9959843168868</v>
      </c>
      <c r="G1860" s="27" t="s">
        <v>3593</v>
      </c>
      <c r="H1860" s="167">
        <v>45518.0</v>
      </c>
      <c r="I1860" s="167">
        <v>45532.0</v>
      </c>
      <c r="J1860" s="66">
        <v>325.86480597730025</v>
      </c>
      <c r="M1860" s="1" t="str">
        <f>VLOOKUP(B1860,Bounties!A:D,3,FALSE)</f>
        <v>Operations</v>
      </c>
      <c r="N1860" s="1" t="str">
        <f>VLOOKUP(B1860,Bounties!A:D,4,FALSE)</f>
        <v>RPCs and Nodes</v>
      </c>
      <c r="O1860" s="1" t="str">
        <f t="shared" ref="O1860:P1860" si="1864">IF(ISBLANK(K1860),M1860,K1860)</f>
        <v>Operations</v>
      </c>
      <c r="P1860" s="1" t="str">
        <f t="shared" si="1864"/>
        <v>RPCs and Nodes</v>
      </c>
      <c r="Q1860" s="108" t="str">
        <f t="shared" si="3"/>
        <v>2024</v>
      </c>
      <c r="R1860" s="110">
        <f t="shared" si="4"/>
        <v>8</v>
      </c>
      <c r="S1860" s="108" t="str">
        <f t="shared" si="5"/>
        <v>2024-Q3</v>
      </c>
      <c r="T1860" s="111" t="str">
        <f t="shared" si="6"/>
        <v>2024-08</v>
      </c>
      <c r="U1860" s="112" t="str">
        <f t="shared" si="7"/>
        <v>2024-H2</v>
      </c>
      <c r="V1860" s="1" t="str">
        <f>VLOOKUP(B1860,Bounties!A:E,2,FALSE)</f>
        <v>System Parachains Collator Bounty</v>
      </c>
    </row>
    <row r="1861" hidden="1">
      <c r="A1861" s="109">
        <f>HYPERLINK("https://polkadot.subsquare.io/treasury/child-bounties/1872", 1872)</f>
        <v>1872</v>
      </c>
      <c r="B1861" s="183">
        <v>32.0</v>
      </c>
      <c r="C1861" s="27" t="s">
        <v>3404</v>
      </c>
      <c r="D1861" s="27" t="s">
        <v>2304</v>
      </c>
      <c r="E1861" s="129">
        <v>64.3308680241</v>
      </c>
      <c r="F1861" s="66">
        <v>280.7877822143441</v>
      </c>
      <c r="G1861" s="27" t="s">
        <v>3587</v>
      </c>
      <c r="H1861" s="167">
        <v>45518.0</v>
      </c>
      <c r="I1861" s="167">
        <v>45526.0</v>
      </c>
      <c r="J1861" s="66">
        <v>310.36479966205275</v>
      </c>
      <c r="M1861" s="1" t="str">
        <f>VLOOKUP(B1861,Bounties!A:D,3,FALSE)</f>
        <v>Operations</v>
      </c>
      <c r="N1861" s="1" t="str">
        <f>VLOOKUP(B1861,Bounties!A:D,4,FALSE)</f>
        <v>RPCs and Nodes</v>
      </c>
      <c r="O1861" s="1" t="str">
        <f t="shared" ref="O1861:P1861" si="1865">IF(ISBLANK(K1861),M1861,K1861)</f>
        <v>Operations</v>
      </c>
      <c r="P1861" s="1" t="str">
        <f t="shared" si="1865"/>
        <v>RPCs and Nodes</v>
      </c>
      <c r="Q1861" s="108" t="str">
        <f t="shared" si="3"/>
        <v>2024</v>
      </c>
      <c r="R1861" s="110">
        <f t="shared" si="4"/>
        <v>8</v>
      </c>
      <c r="S1861" s="108" t="str">
        <f t="shared" si="5"/>
        <v>2024-Q3</v>
      </c>
      <c r="T1861" s="111" t="str">
        <f t="shared" si="6"/>
        <v>2024-08</v>
      </c>
      <c r="U1861" s="112" t="str">
        <f t="shared" si="7"/>
        <v>2024-H2</v>
      </c>
      <c r="V1861" s="1" t="str">
        <f>VLOOKUP(B1861,Bounties!A:E,2,FALSE)</f>
        <v>System Parachains Collator Bounty</v>
      </c>
    </row>
    <row r="1862" hidden="1">
      <c r="A1862" s="109">
        <f>HYPERLINK("https://polkadot.subsquare.io/treasury/child-bounties/1873", 1873)</f>
        <v>1873</v>
      </c>
      <c r="B1862" s="183">
        <v>32.0</v>
      </c>
      <c r="C1862" s="27" t="s">
        <v>3404</v>
      </c>
      <c r="D1862" s="27" t="s">
        <v>2305</v>
      </c>
      <c r="E1862" s="129">
        <v>72.402354873</v>
      </c>
      <c r="F1862" s="66">
        <v>316.0177575136954</v>
      </c>
      <c r="G1862" s="27" t="s">
        <v>3591</v>
      </c>
      <c r="H1862" s="167">
        <v>45518.0</v>
      </c>
      <c r="I1862" s="167">
        <v>45530.0</v>
      </c>
      <c r="J1862" s="66">
        <v>308.3467713219737</v>
      </c>
      <c r="M1862" s="1" t="str">
        <f>VLOOKUP(B1862,Bounties!A:D,3,FALSE)</f>
        <v>Operations</v>
      </c>
      <c r="N1862" s="1" t="str">
        <f>VLOOKUP(B1862,Bounties!A:D,4,FALSE)</f>
        <v>RPCs and Nodes</v>
      </c>
      <c r="O1862" s="1" t="str">
        <f t="shared" ref="O1862:P1862" si="1866">IF(ISBLANK(K1862),M1862,K1862)</f>
        <v>Operations</v>
      </c>
      <c r="P1862" s="1" t="str">
        <f t="shared" si="1866"/>
        <v>RPCs and Nodes</v>
      </c>
      <c r="Q1862" s="108" t="str">
        <f t="shared" si="3"/>
        <v>2024</v>
      </c>
      <c r="R1862" s="110">
        <f t="shared" si="4"/>
        <v>8</v>
      </c>
      <c r="S1862" s="108" t="str">
        <f t="shared" si="5"/>
        <v>2024-Q3</v>
      </c>
      <c r="T1862" s="111" t="str">
        <f t="shared" si="6"/>
        <v>2024-08</v>
      </c>
      <c r="U1862" s="112" t="str">
        <f t="shared" si="7"/>
        <v>2024-H2</v>
      </c>
      <c r="V1862" s="1" t="str">
        <f>VLOOKUP(B1862,Bounties!A:E,2,FALSE)</f>
        <v>System Parachains Collator Bounty</v>
      </c>
    </row>
    <row r="1863" hidden="1">
      <c r="A1863" s="109">
        <f>HYPERLINK("https://polkadot.subsquare.io/treasury/child-bounties/1875", 1875)</f>
        <v>1875</v>
      </c>
      <c r="B1863" s="183">
        <v>32.0</v>
      </c>
      <c r="C1863" s="27" t="s">
        <v>3404</v>
      </c>
      <c r="D1863" s="27" t="s">
        <v>2306</v>
      </c>
      <c r="E1863" s="129">
        <v>14.4902887878</v>
      </c>
      <c r="F1863" s="66">
        <v>63.24640374582697</v>
      </c>
      <c r="G1863" s="27" t="s">
        <v>3407</v>
      </c>
      <c r="H1863" s="167">
        <v>45518.0</v>
      </c>
      <c r="I1863" s="167">
        <v>45542.0</v>
      </c>
      <c r="J1863" s="66">
        <v>61.67423499510711</v>
      </c>
      <c r="M1863" s="1" t="str">
        <f>VLOOKUP(B1863,Bounties!A:D,3,FALSE)</f>
        <v>Operations</v>
      </c>
      <c r="N1863" s="1" t="str">
        <f>VLOOKUP(B1863,Bounties!A:D,4,FALSE)</f>
        <v>RPCs and Nodes</v>
      </c>
      <c r="O1863" s="1" t="str">
        <f t="shared" ref="O1863:P1863" si="1867">IF(ISBLANK(K1863),M1863,K1863)</f>
        <v>Operations</v>
      </c>
      <c r="P1863" s="1" t="str">
        <f t="shared" si="1867"/>
        <v>RPCs and Nodes</v>
      </c>
      <c r="Q1863" s="108" t="str">
        <f t="shared" si="3"/>
        <v>2024</v>
      </c>
      <c r="R1863" s="110">
        <f t="shared" si="4"/>
        <v>9</v>
      </c>
      <c r="S1863" s="108" t="str">
        <f t="shared" si="5"/>
        <v>2024-Q3</v>
      </c>
      <c r="T1863" s="111" t="str">
        <f t="shared" si="6"/>
        <v>2024-09</v>
      </c>
      <c r="U1863" s="112" t="str">
        <f t="shared" si="7"/>
        <v>2024-H2</v>
      </c>
      <c r="V1863" s="1" t="str">
        <f>VLOOKUP(B1863,Bounties!A:E,2,FALSE)</f>
        <v>System Parachains Collator Bounty</v>
      </c>
    </row>
    <row r="1864" hidden="1">
      <c r="A1864" s="109">
        <f>HYPERLINK("https://polkadot.subsquare.io/treasury/child-bounties/1876", 1876)</f>
        <v>1876</v>
      </c>
      <c r="B1864" s="183">
        <v>32.0</v>
      </c>
      <c r="C1864" s="27" t="s">
        <v>3404</v>
      </c>
      <c r="D1864" s="27" t="s">
        <v>2307</v>
      </c>
      <c r="E1864" s="129">
        <v>14.4902887878</v>
      </c>
      <c r="F1864" s="66">
        <v>63.24640374582697</v>
      </c>
      <c r="G1864" s="27" t="s">
        <v>3406</v>
      </c>
      <c r="H1864" s="167">
        <v>45518.0</v>
      </c>
      <c r="I1864" s="167">
        <v>45549.0</v>
      </c>
      <c r="J1864" s="66">
        <v>60.83707208091747</v>
      </c>
      <c r="M1864" s="1" t="str">
        <f>VLOOKUP(B1864,Bounties!A:D,3,FALSE)</f>
        <v>Operations</v>
      </c>
      <c r="N1864" s="1" t="str">
        <f>VLOOKUP(B1864,Bounties!A:D,4,FALSE)</f>
        <v>RPCs and Nodes</v>
      </c>
      <c r="O1864" s="1" t="str">
        <f t="shared" ref="O1864:P1864" si="1868">IF(ISBLANK(K1864),M1864,K1864)</f>
        <v>Operations</v>
      </c>
      <c r="P1864" s="1" t="str">
        <f t="shared" si="1868"/>
        <v>RPCs and Nodes</v>
      </c>
      <c r="Q1864" s="108" t="str">
        <f t="shared" si="3"/>
        <v>2024</v>
      </c>
      <c r="R1864" s="110">
        <f t="shared" si="4"/>
        <v>9</v>
      </c>
      <c r="S1864" s="108" t="str">
        <f t="shared" si="5"/>
        <v>2024-Q3</v>
      </c>
      <c r="T1864" s="111" t="str">
        <f t="shared" si="6"/>
        <v>2024-09</v>
      </c>
      <c r="U1864" s="112" t="str">
        <f t="shared" si="7"/>
        <v>2024-H2</v>
      </c>
      <c r="V1864" s="1" t="str">
        <f>VLOOKUP(B1864,Bounties!A:E,2,FALSE)</f>
        <v>System Parachains Collator Bounty</v>
      </c>
    </row>
    <row r="1865" hidden="1">
      <c r="A1865" s="109">
        <f>HYPERLINK("https://polkadot.subsquare.io/treasury/child-bounties/1877", 1877)</f>
        <v>1877</v>
      </c>
      <c r="B1865" s="183">
        <v>32.0</v>
      </c>
      <c r="C1865" s="27" t="s">
        <v>3404</v>
      </c>
      <c r="D1865" s="27" t="s">
        <v>2308</v>
      </c>
      <c r="E1865" s="129">
        <v>14.4902887878</v>
      </c>
      <c r="F1865" s="66">
        <v>63.24640374582697</v>
      </c>
      <c r="G1865" s="27" t="s">
        <v>3411</v>
      </c>
      <c r="H1865" s="167">
        <v>45518.0</v>
      </c>
      <c r="I1865" s="167">
        <v>45526.0</v>
      </c>
      <c r="J1865" s="66">
        <v>69.90851693445269</v>
      </c>
      <c r="M1865" s="1" t="str">
        <f>VLOOKUP(B1865,Bounties!A:D,3,FALSE)</f>
        <v>Operations</v>
      </c>
      <c r="N1865" s="1" t="str">
        <f>VLOOKUP(B1865,Bounties!A:D,4,FALSE)</f>
        <v>RPCs and Nodes</v>
      </c>
      <c r="O1865" s="1" t="str">
        <f t="shared" ref="O1865:P1865" si="1869">IF(ISBLANK(K1865),M1865,K1865)</f>
        <v>Operations</v>
      </c>
      <c r="P1865" s="1" t="str">
        <f t="shared" si="1869"/>
        <v>RPCs and Nodes</v>
      </c>
      <c r="Q1865" s="108" t="str">
        <f t="shared" si="3"/>
        <v>2024</v>
      </c>
      <c r="R1865" s="110">
        <f t="shared" si="4"/>
        <v>8</v>
      </c>
      <c r="S1865" s="108" t="str">
        <f t="shared" si="5"/>
        <v>2024-Q3</v>
      </c>
      <c r="T1865" s="111" t="str">
        <f t="shared" si="6"/>
        <v>2024-08</v>
      </c>
      <c r="U1865" s="112" t="str">
        <f t="shared" si="7"/>
        <v>2024-H2</v>
      </c>
      <c r="V1865" s="1" t="str">
        <f>VLOOKUP(B1865,Bounties!A:E,2,FALSE)</f>
        <v>System Parachains Collator Bounty</v>
      </c>
    </row>
    <row r="1866" hidden="1">
      <c r="A1866" s="109">
        <f>HYPERLINK("https://polkadot.subsquare.io/treasury/child-bounties/1878", 1878)</f>
        <v>1878</v>
      </c>
      <c r="B1866" s="183">
        <v>32.0</v>
      </c>
      <c r="C1866" s="27" t="s">
        <v>3404</v>
      </c>
      <c r="D1866" s="27" t="s">
        <v>2294</v>
      </c>
      <c r="E1866" s="129">
        <v>8.2278028189</v>
      </c>
      <c r="F1866" s="66">
        <v>35.912254520650556</v>
      </c>
      <c r="G1866" s="27" t="s">
        <v>3587</v>
      </c>
      <c r="H1866" s="167">
        <v>45518.0</v>
      </c>
      <c r="I1866" s="167">
        <v>45526.0</v>
      </c>
      <c r="J1866" s="66">
        <v>39.69510208676369</v>
      </c>
      <c r="M1866" s="1" t="str">
        <f>VLOOKUP(B1866,Bounties!A:D,3,FALSE)</f>
        <v>Operations</v>
      </c>
      <c r="N1866" s="1" t="str">
        <f>VLOOKUP(B1866,Bounties!A:D,4,FALSE)</f>
        <v>RPCs and Nodes</v>
      </c>
      <c r="O1866" s="1" t="str">
        <f t="shared" ref="O1866:P1866" si="1870">IF(ISBLANK(K1866),M1866,K1866)</f>
        <v>Operations</v>
      </c>
      <c r="P1866" s="1" t="str">
        <f t="shared" si="1870"/>
        <v>RPCs and Nodes</v>
      </c>
      <c r="Q1866" s="108" t="str">
        <f t="shared" si="3"/>
        <v>2024</v>
      </c>
      <c r="R1866" s="110">
        <f t="shared" si="4"/>
        <v>8</v>
      </c>
      <c r="S1866" s="108" t="str">
        <f t="shared" si="5"/>
        <v>2024-Q3</v>
      </c>
      <c r="T1866" s="111" t="str">
        <f t="shared" si="6"/>
        <v>2024-08</v>
      </c>
      <c r="U1866" s="112" t="str">
        <f t="shared" si="7"/>
        <v>2024-H2</v>
      </c>
      <c r="V1866" s="1" t="str">
        <f>VLOOKUP(B1866,Bounties!A:E,2,FALSE)</f>
        <v>System Parachains Collator Bounty</v>
      </c>
    </row>
    <row r="1867" hidden="1">
      <c r="A1867" s="109">
        <f>HYPERLINK("https://polkadot.subsquare.io/treasury/child-bounties/1879", 1879)</f>
        <v>1879</v>
      </c>
      <c r="B1867" s="183">
        <v>32.0</v>
      </c>
      <c r="C1867" s="27" t="s">
        <v>3404</v>
      </c>
      <c r="D1867" s="27" t="s">
        <v>2309</v>
      </c>
      <c r="E1867" s="129">
        <v>64.2984899277</v>
      </c>
      <c r="F1867" s="66">
        <v>280.64646010631543</v>
      </c>
      <c r="G1867" s="27" t="s">
        <v>3595</v>
      </c>
      <c r="H1867" s="167">
        <v>45518.0</v>
      </c>
      <c r="I1867" s="167">
        <v>45527.0</v>
      </c>
      <c r="J1867" s="66">
        <v>293.3624428334063</v>
      </c>
      <c r="M1867" s="1" t="str">
        <f>VLOOKUP(B1867,Bounties!A:D,3,FALSE)</f>
        <v>Operations</v>
      </c>
      <c r="N1867" s="1" t="str">
        <f>VLOOKUP(B1867,Bounties!A:D,4,FALSE)</f>
        <v>RPCs and Nodes</v>
      </c>
      <c r="O1867" s="1" t="str">
        <f t="shared" ref="O1867:P1867" si="1871">IF(ISBLANK(K1867),M1867,K1867)</f>
        <v>Operations</v>
      </c>
      <c r="P1867" s="1" t="str">
        <f t="shared" si="1871"/>
        <v>RPCs and Nodes</v>
      </c>
      <c r="Q1867" s="108" t="str">
        <f t="shared" si="3"/>
        <v>2024</v>
      </c>
      <c r="R1867" s="110">
        <f t="shared" si="4"/>
        <v>8</v>
      </c>
      <c r="S1867" s="108" t="str">
        <f t="shared" si="5"/>
        <v>2024-Q3</v>
      </c>
      <c r="T1867" s="111" t="str">
        <f t="shared" si="6"/>
        <v>2024-08</v>
      </c>
      <c r="U1867" s="112" t="str">
        <f t="shared" si="7"/>
        <v>2024-H2</v>
      </c>
      <c r="V1867" s="1" t="str">
        <f>VLOOKUP(B1867,Bounties!A:E,2,FALSE)</f>
        <v>System Parachains Collator Bounty</v>
      </c>
    </row>
    <row r="1868" hidden="1">
      <c r="A1868" s="109">
        <f>HYPERLINK("https://polkadot.subsquare.io/treasury/child-bounties/1883", 1883)</f>
        <v>1883</v>
      </c>
      <c r="B1868" s="183">
        <v>32.0</v>
      </c>
      <c r="C1868" s="27" t="s">
        <v>3404</v>
      </c>
      <c r="D1868" s="27" t="s">
        <v>2310</v>
      </c>
      <c r="E1868" s="129">
        <v>79.104968808</v>
      </c>
      <c r="F1868" s="66">
        <v>345.2729527201795</v>
      </c>
      <c r="G1868" s="27" t="s">
        <v>3588</v>
      </c>
      <c r="H1868" s="167">
        <v>45518.0</v>
      </c>
      <c r="I1868" s="167">
        <v>45551.0</v>
      </c>
      <c r="J1868" s="66">
        <v>329.7913803030132</v>
      </c>
      <c r="M1868" s="1" t="str">
        <f>VLOOKUP(B1868,Bounties!A:D,3,FALSE)</f>
        <v>Operations</v>
      </c>
      <c r="N1868" s="1" t="str">
        <f>VLOOKUP(B1868,Bounties!A:D,4,FALSE)</f>
        <v>RPCs and Nodes</v>
      </c>
      <c r="O1868" s="1" t="str">
        <f t="shared" ref="O1868:P1868" si="1872">IF(ISBLANK(K1868),M1868,K1868)</f>
        <v>Operations</v>
      </c>
      <c r="P1868" s="1" t="str">
        <f t="shared" si="1872"/>
        <v>RPCs and Nodes</v>
      </c>
      <c r="Q1868" s="108" t="str">
        <f t="shared" si="3"/>
        <v>2024</v>
      </c>
      <c r="R1868" s="110">
        <f t="shared" si="4"/>
        <v>9</v>
      </c>
      <c r="S1868" s="108" t="str">
        <f t="shared" si="5"/>
        <v>2024-Q3</v>
      </c>
      <c r="T1868" s="111" t="str">
        <f t="shared" si="6"/>
        <v>2024-09</v>
      </c>
      <c r="U1868" s="112" t="str">
        <f t="shared" si="7"/>
        <v>2024-H2</v>
      </c>
      <c r="V1868" s="1" t="str">
        <f>VLOOKUP(B1868,Bounties!A:E,2,FALSE)</f>
        <v>System Parachains Collator Bounty</v>
      </c>
    </row>
    <row r="1869" hidden="1">
      <c r="A1869" s="109">
        <f>HYPERLINK("https://polkadot.subsquare.io/treasury/child-bounties/1884", 1884)</f>
        <v>1884</v>
      </c>
      <c r="B1869" s="183">
        <v>32.0</v>
      </c>
      <c r="C1869" s="27" t="s">
        <v>3404</v>
      </c>
      <c r="D1869" s="27" t="s">
        <v>2311</v>
      </c>
      <c r="E1869" s="129">
        <v>76.8134399264</v>
      </c>
      <c r="F1869" s="66">
        <v>335.271015356245</v>
      </c>
      <c r="G1869" s="27" t="s">
        <v>3591</v>
      </c>
      <c r="H1869" s="167">
        <v>45518.0</v>
      </c>
      <c r="I1869" s="167">
        <v>45530.0</v>
      </c>
      <c r="J1869" s="66">
        <v>327.132677341582</v>
      </c>
      <c r="M1869" s="1" t="str">
        <f>VLOOKUP(B1869,Bounties!A:D,3,FALSE)</f>
        <v>Operations</v>
      </c>
      <c r="N1869" s="1" t="str">
        <f>VLOOKUP(B1869,Bounties!A:D,4,FALSE)</f>
        <v>RPCs and Nodes</v>
      </c>
      <c r="O1869" s="1" t="str">
        <f t="shared" ref="O1869:P1869" si="1873">IF(ISBLANK(K1869),M1869,K1869)</f>
        <v>Operations</v>
      </c>
      <c r="P1869" s="1" t="str">
        <f t="shared" si="1873"/>
        <v>RPCs and Nodes</v>
      </c>
      <c r="Q1869" s="108" t="str">
        <f t="shared" si="3"/>
        <v>2024</v>
      </c>
      <c r="R1869" s="110">
        <f t="shared" si="4"/>
        <v>8</v>
      </c>
      <c r="S1869" s="108" t="str">
        <f t="shared" si="5"/>
        <v>2024-Q3</v>
      </c>
      <c r="T1869" s="111" t="str">
        <f t="shared" si="6"/>
        <v>2024-08</v>
      </c>
      <c r="U1869" s="112" t="str">
        <f t="shared" si="7"/>
        <v>2024-H2</v>
      </c>
      <c r="V1869" s="1" t="str">
        <f>VLOOKUP(B1869,Bounties!A:E,2,FALSE)</f>
        <v>System Parachains Collator Bounty</v>
      </c>
    </row>
    <row r="1870" hidden="1">
      <c r="A1870" s="109">
        <f>HYPERLINK("https://polkadot.subsquare.io/treasury/child-bounties/1885", 1885)</f>
        <v>1885</v>
      </c>
      <c r="B1870" s="183">
        <v>32.0</v>
      </c>
      <c r="C1870" s="27" t="s">
        <v>3404</v>
      </c>
      <c r="D1870" s="27" t="s">
        <v>2312</v>
      </c>
      <c r="E1870" s="129">
        <v>78.3146150289</v>
      </c>
      <c r="F1870" s="66">
        <v>341.8232606576524</v>
      </c>
      <c r="G1870" s="27" t="s">
        <v>3672</v>
      </c>
      <c r="H1870" s="167">
        <v>45518.0</v>
      </c>
      <c r="I1870" s="167">
        <v>45528.0</v>
      </c>
      <c r="J1870" s="66">
        <v>357.31114059240724</v>
      </c>
      <c r="M1870" s="1" t="str">
        <f>VLOOKUP(B1870,Bounties!A:D,3,FALSE)</f>
        <v>Operations</v>
      </c>
      <c r="N1870" s="1" t="str">
        <f>VLOOKUP(B1870,Bounties!A:D,4,FALSE)</f>
        <v>RPCs and Nodes</v>
      </c>
      <c r="O1870" s="1" t="str">
        <f t="shared" ref="O1870:P1870" si="1874">IF(ISBLANK(K1870),M1870,K1870)</f>
        <v>Operations</v>
      </c>
      <c r="P1870" s="1" t="str">
        <f t="shared" si="1874"/>
        <v>RPCs and Nodes</v>
      </c>
      <c r="Q1870" s="108" t="str">
        <f t="shared" si="3"/>
        <v>2024</v>
      </c>
      <c r="R1870" s="110">
        <f t="shared" si="4"/>
        <v>8</v>
      </c>
      <c r="S1870" s="108" t="str">
        <f t="shared" si="5"/>
        <v>2024-Q3</v>
      </c>
      <c r="T1870" s="111" t="str">
        <f t="shared" si="6"/>
        <v>2024-08</v>
      </c>
      <c r="U1870" s="112" t="str">
        <f t="shared" si="7"/>
        <v>2024-H2</v>
      </c>
      <c r="V1870" s="1" t="str">
        <f>VLOOKUP(B1870,Bounties!A:E,2,FALSE)</f>
        <v>System Parachains Collator Bounty</v>
      </c>
    </row>
    <row r="1871" hidden="1">
      <c r="A1871" s="109">
        <f>HYPERLINK("https://polkadot.subsquare.io/treasury/child-bounties/1886", 1886)</f>
        <v>1886</v>
      </c>
      <c r="B1871" s="183">
        <v>32.0</v>
      </c>
      <c r="C1871" s="27" t="s">
        <v>3404</v>
      </c>
      <c r="D1871" s="27" t="s">
        <v>2313</v>
      </c>
      <c r="E1871" s="129">
        <v>79.1497058143</v>
      </c>
      <c r="F1871" s="66">
        <v>345.46821830834443</v>
      </c>
      <c r="G1871" s="27" t="s">
        <v>3590</v>
      </c>
      <c r="H1871" s="167">
        <v>45518.0</v>
      </c>
      <c r="I1871" s="167">
        <v>45530.0</v>
      </c>
      <c r="J1871" s="66">
        <v>337.08235432028306</v>
      </c>
      <c r="M1871" s="1" t="str">
        <f>VLOOKUP(B1871,Bounties!A:D,3,FALSE)</f>
        <v>Operations</v>
      </c>
      <c r="N1871" s="1" t="str">
        <f>VLOOKUP(B1871,Bounties!A:D,4,FALSE)</f>
        <v>RPCs and Nodes</v>
      </c>
      <c r="O1871" s="1" t="str">
        <f t="shared" ref="O1871:P1871" si="1875">IF(ISBLANK(K1871),M1871,K1871)</f>
        <v>Operations</v>
      </c>
      <c r="P1871" s="1" t="str">
        <f t="shared" si="1875"/>
        <v>RPCs and Nodes</v>
      </c>
      <c r="Q1871" s="108" t="str">
        <f t="shared" si="3"/>
        <v>2024</v>
      </c>
      <c r="R1871" s="110">
        <f t="shared" si="4"/>
        <v>8</v>
      </c>
      <c r="S1871" s="108" t="str">
        <f t="shared" si="5"/>
        <v>2024-Q3</v>
      </c>
      <c r="T1871" s="111" t="str">
        <f t="shared" si="6"/>
        <v>2024-08</v>
      </c>
      <c r="U1871" s="112" t="str">
        <f t="shared" si="7"/>
        <v>2024-H2</v>
      </c>
      <c r="V1871" s="1" t="str">
        <f>VLOOKUP(B1871,Bounties!A:E,2,FALSE)</f>
        <v>System Parachains Collator Bounty</v>
      </c>
    </row>
    <row r="1872" hidden="1">
      <c r="A1872" s="109">
        <f>HYPERLINK("https://polkadot.subsquare.io/treasury/child-bounties/1887", 1887)</f>
        <v>1887</v>
      </c>
      <c r="B1872" s="183">
        <v>32.0</v>
      </c>
      <c r="C1872" s="27" t="s">
        <v>3404</v>
      </c>
      <c r="D1872" s="27" t="s">
        <v>2314</v>
      </c>
      <c r="E1872" s="129">
        <v>78.9160792255</v>
      </c>
      <c r="F1872" s="66">
        <v>344.44849801309084</v>
      </c>
      <c r="G1872" s="27" t="s">
        <v>3587</v>
      </c>
      <c r="H1872" s="167">
        <v>45518.0</v>
      </c>
      <c r="I1872" s="167">
        <v>45526.0</v>
      </c>
      <c r="J1872" s="66">
        <v>380.7312705583479</v>
      </c>
      <c r="M1872" s="1" t="str">
        <f>VLOOKUP(B1872,Bounties!A:D,3,FALSE)</f>
        <v>Operations</v>
      </c>
      <c r="N1872" s="1" t="str">
        <f>VLOOKUP(B1872,Bounties!A:D,4,FALSE)</f>
        <v>RPCs and Nodes</v>
      </c>
      <c r="O1872" s="1" t="str">
        <f t="shared" ref="O1872:P1872" si="1876">IF(ISBLANK(K1872),M1872,K1872)</f>
        <v>Operations</v>
      </c>
      <c r="P1872" s="1" t="str">
        <f t="shared" si="1876"/>
        <v>RPCs and Nodes</v>
      </c>
      <c r="Q1872" s="108" t="str">
        <f t="shared" si="3"/>
        <v>2024</v>
      </c>
      <c r="R1872" s="110">
        <f t="shared" si="4"/>
        <v>8</v>
      </c>
      <c r="S1872" s="108" t="str">
        <f t="shared" si="5"/>
        <v>2024-Q3</v>
      </c>
      <c r="T1872" s="111" t="str">
        <f t="shared" si="6"/>
        <v>2024-08</v>
      </c>
      <c r="U1872" s="112" t="str">
        <f t="shared" si="7"/>
        <v>2024-H2</v>
      </c>
      <c r="V1872" s="1" t="str">
        <f>VLOOKUP(B1872,Bounties!A:E,2,FALSE)</f>
        <v>System Parachains Collator Bounty</v>
      </c>
    </row>
    <row r="1873" hidden="1">
      <c r="A1873" s="109">
        <f>HYPERLINK("https://polkadot.subsquare.io/treasury/child-bounties/1888", 1888)</f>
        <v>1888</v>
      </c>
      <c r="B1873" s="183">
        <v>32.0</v>
      </c>
      <c r="C1873" s="27" t="s">
        <v>3404</v>
      </c>
      <c r="D1873" s="27" t="s">
        <v>2315</v>
      </c>
      <c r="E1873" s="129">
        <v>79.0204655737</v>
      </c>
      <c r="F1873" s="66">
        <v>344.90411771953643</v>
      </c>
      <c r="G1873" s="27" t="s">
        <v>3589</v>
      </c>
      <c r="H1873" s="167">
        <v>45518.0</v>
      </c>
      <c r="I1873" s="167">
        <v>45531.0</v>
      </c>
      <c r="J1873" s="66">
        <v>338.08793789047036</v>
      </c>
      <c r="M1873" s="1" t="str">
        <f>VLOOKUP(B1873,Bounties!A:D,3,FALSE)</f>
        <v>Operations</v>
      </c>
      <c r="N1873" s="1" t="str">
        <f>VLOOKUP(B1873,Bounties!A:D,4,FALSE)</f>
        <v>RPCs and Nodes</v>
      </c>
      <c r="O1873" s="1" t="str">
        <f t="shared" ref="O1873:P1873" si="1877">IF(ISBLANK(K1873),M1873,K1873)</f>
        <v>Operations</v>
      </c>
      <c r="P1873" s="1" t="str">
        <f t="shared" si="1877"/>
        <v>RPCs and Nodes</v>
      </c>
      <c r="Q1873" s="108" t="str">
        <f t="shared" si="3"/>
        <v>2024</v>
      </c>
      <c r="R1873" s="110">
        <f t="shared" si="4"/>
        <v>8</v>
      </c>
      <c r="S1873" s="108" t="str">
        <f t="shared" si="5"/>
        <v>2024-Q3</v>
      </c>
      <c r="T1873" s="111" t="str">
        <f t="shared" si="6"/>
        <v>2024-08</v>
      </c>
      <c r="U1873" s="112" t="str">
        <f t="shared" si="7"/>
        <v>2024-H2</v>
      </c>
      <c r="V1873" s="1" t="str">
        <f>VLOOKUP(B1873,Bounties!A:E,2,FALSE)</f>
        <v>System Parachains Collator Bounty</v>
      </c>
    </row>
    <row r="1874" hidden="1">
      <c r="A1874" s="109">
        <f>HYPERLINK("https://polkadot.subsquare.io/treasury/child-bounties/1889", 1889)</f>
        <v>1889</v>
      </c>
      <c r="B1874" s="183">
        <v>32.0</v>
      </c>
      <c r="C1874" s="27" t="s">
        <v>3404</v>
      </c>
      <c r="D1874" s="27" t="s">
        <v>2316</v>
      </c>
      <c r="E1874" s="129">
        <v>78.8862545546</v>
      </c>
      <c r="F1874" s="66">
        <v>344.3183209541687</v>
      </c>
      <c r="G1874" s="27" t="s">
        <v>3592</v>
      </c>
      <c r="H1874" s="167">
        <v>45518.0</v>
      </c>
      <c r="I1874" s="167">
        <v>45527.0</v>
      </c>
      <c r="J1874" s="66">
        <v>359.9192511074139</v>
      </c>
      <c r="M1874" s="1" t="str">
        <f>VLOOKUP(B1874,Bounties!A:D,3,FALSE)</f>
        <v>Operations</v>
      </c>
      <c r="N1874" s="1" t="str">
        <f>VLOOKUP(B1874,Bounties!A:D,4,FALSE)</f>
        <v>RPCs and Nodes</v>
      </c>
      <c r="O1874" s="1" t="str">
        <f t="shared" ref="O1874:P1874" si="1878">IF(ISBLANK(K1874),M1874,K1874)</f>
        <v>Operations</v>
      </c>
      <c r="P1874" s="1" t="str">
        <f t="shared" si="1878"/>
        <v>RPCs and Nodes</v>
      </c>
      <c r="Q1874" s="108" t="str">
        <f t="shared" si="3"/>
        <v>2024</v>
      </c>
      <c r="R1874" s="110">
        <f t="shared" si="4"/>
        <v>8</v>
      </c>
      <c r="S1874" s="108" t="str">
        <f t="shared" si="5"/>
        <v>2024-Q3</v>
      </c>
      <c r="T1874" s="111" t="str">
        <f t="shared" si="6"/>
        <v>2024-08</v>
      </c>
      <c r="U1874" s="112" t="str">
        <f t="shared" si="7"/>
        <v>2024-H2</v>
      </c>
      <c r="V1874" s="1" t="str">
        <f>VLOOKUP(B1874,Bounties!A:E,2,FALSE)</f>
        <v>System Parachains Collator Bounty</v>
      </c>
    </row>
    <row r="1875" hidden="1">
      <c r="A1875" s="109">
        <f>HYPERLINK("https://polkadot.subsquare.io/treasury/child-bounties/1890", 1890)</f>
        <v>1890</v>
      </c>
      <c r="B1875" s="183">
        <v>32.0</v>
      </c>
      <c r="C1875" s="27" t="s">
        <v>3404</v>
      </c>
      <c r="D1875" s="27" t="s">
        <v>2317</v>
      </c>
      <c r="E1875" s="129">
        <v>64.0356344658</v>
      </c>
      <c r="F1875" s="66">
        <v>279.4991632571236</v>
      </c>
      <c r="G1875" s="27" t="s">
        <v>3594</v>
      </c>
      <c r="H1875" s="167">
        <v>45518.0</v>
      </c>
      <c r="I1875" s="167">
        <v>45529.0</v>
      </c>
      <c r="J1875" s="66">
        <v>272.71462608803665</v>
      </c>
      <c r="M1875" s="1" t="str">
        <f>VLOOKUP(B1875,Bounties!A:D,3,FALSE)</f>
        <v>Operations</v>
      </c>
      <c r="N1875" s="1" t="str">
        <f>VLOOKUP(B1875,Bounties!A:D,4,FALSE)</f>
        <v>RPCs and Nodes</v>
      </c>
      <c r="O1875" s="1" t="str">
        <f t="shared" ref="O1875:P1875" si="1879">IF(ISBLANK(K1875),M1875,K1875)</f>
        <v>Operations</v>
      </c>
      <c r="P1875" s="1" t="str">
        <f t="shared" si="1879"/>
        <v>RPCs and Nodes</v>
      </c>
      <c r="Q1875" s="108" t="str">
        <f t="shared" si="3"/>
        <v>2024</v>
      </c>
      <c r="R1875" s="110">
        <f t="shared" si="4"/>
        <v>8</v>
      </c>
      <c r="S1875" s="108" t="str">
        <f t="shared" si="5"/>
        <v>2024-Q3</v>
      </c>
      <c r="T1875" s="111" t="str">
        <f t="shared" si="6"/>
        <v>2024-08</v>
      </c>
      <c r="U1875" s="112" t="str">
        <f t="shared" si="7"/>
        <v>2024-H2</v>
      </c>
      <c r="V1875" s="1" t="str">
        <f>VLOOKUP(B1875,Bounties!A:E,2,FALSE)</f>
        <v>System Parachains Collator Bounty</v>
      </c>
    </row>
    <row r="1876" hidden="1">
      <c r="A1876" s="109">
        <f>HYPERLINK("https://polkadot.subsquare.io/treasury/child-bounties/1891", 1891)</f>
        <v>1891</v>
      </c>
      <c r="B1876" s="183">
        <v>32.0</v>
      </c>
      <c r="C1876" s="27" t="s">
        <v>3404</v>
      </c>
      <c r="D1876" s="27" t="s">
        <v>2318</v>
      </c>
      <c r="E1876" s="129">
        <v>14.5358217274</v>
      </c>
      <c r="F1876" s="66">
        <v>63.44514337923583</v>
      </c>
      <c r="G1876" s="27" t="s">
        <v>3407</v>
      </c>
      <c r="H1876" s="167">
        <v>45518.0</v>
      </c>
      <c r="I1876" s="167">
        <v>45542.0</v>
      </c>
      <c r="J1876" s="66">
        <v>61.868034391242865</v>
      </c>
      <c r="M1876" s="1" t="str">
        <f>VLOOKUP(B1876,Bounties!A:D,3,FALSE)</f>
        <v>Operations</v>
      </c>
      <c r="N1876" s="1" t="str">
        <f>VLOOKUP(B1876,Bounties!A:D,4,FALSE)</f>
        <v>RPCs and Nodes</v>
      </c>
      <c r="O1876" s="1" t="str">
        <f t="shared" ref="O1876:P1876" si="1880">IF(ISBLANK(K1876),M1876,K1876)</f>
        <v>Operations</v>
      </c>
      <c r="P1876" s="1" t="str">
        <f t="shared" si="1880"/>
        <v>RPCs and Nodes</v>
      </c>
      <c r="Q1876" s="108" t="str">
        <f t="shared" si="3"/>
        <v>2024</v>
      </c>
      <c r="R1876" s="110">
        <f t="shared" si="4"/>
        <v>9</v>
      </c>
      <c r="S1876" s="108" t="str">
        <f t="shared" si="5"/>
        <v>2024-Q3</v>
      </c>
      <c r="T1876" s="111" t="str">
        <f t="shared" si="6"/>
        <v>2024-09</v>
      </c>
      <c r="U1876" s="112" t="str">
        <f t="shared" si="7"/>
        <v>2024-H2</v>
      </c>
      <c r="V1876" s="1" t="str">
        <f>VLOOKUP(B1876,Bounties!A:E,2,FALSE)</f>
        <v>System Parachains Collator Bounty</v>
      </c>
    </row>
    <row r="1877" hidden="1">
      <c r="A1877" s="109">
        <f>HYPERLINK("https://polkadot.subsquare.io/treasury/child-bounties/1892", 1892)</f>
        <v>1892</v>
      </c>
      <c r="B1877" s="183">
        <v>32.0</v>
      </c>
      <c r="C1877" s="27" t="s">
        <v>3404</v>
      </c>
      <c r="D1877" s="27" t="s">
        <v>2319</v>
      </c>
      <c r="E1877" s="129">
        <v>14.5358217274</v>
      </c>
      <c r="F1877" s="66">
        <v>63.44514337923583</v>
      </c>
      <c r="G1877" s="27" t="s">
        <v>3406</v>
      </c>
      <c r="H1877" s="167">
        <v>45518.0</v>
      </c>
      <c r="I1877" s="167">
        <v>45549.0</v>
      </c>
      <c r="J1877" s="66">
        <v>61.028240853953484</v>
      </c>
      <c r="M1877" s="1" t="str">
        <f>VLOOKUP(B1877,Bounties!A:D,3,FALSE)</f>
        <v>Operations</v>
      </c>
      <c r="N1877" s="1" t="str">
        <f>VLOOKUP(B1877,Bounties!A:D,4,FALSE)</f>
        <v>RPCs and Nodes</v>
      </c>
      <c r="O1877" s="1" t="str">
        <f t="shared" ref="O1877:P1877" si="1881">IF(ISBLANK(K1877),M1877,K1877)</f>
        <v>Operations</v>
      </c>
      <c r="P1877" s="1" t="str">
        <f t="shared" si="1881"/>
        <v>RPCs and Nodes</v>
      </c>
      <c r="Q1877" s="108" t="str">
        <f t="shared" si="3"/>
        <v>2024</v>
      </c>
      <c r="R1877" s="110">
        <f t="shared" si="4"/>
        <v>9</v>
      </c>
      <c r="S1877" s="108" t="str">
        <f t="shared" si="5"/>
        <v>2024-Q3</v>
      </c>
      <c r="T1877" s="111" t="str">
        <f t="shared" si="6"/>
        <v>2024-09</v>
      </c>
      <c r="U1877" s="112" t="str">
        <f t="shared" si="7"/>
        <v>2024-H2</v>
      </c>
      <c r="V1877" s="1" t="str">
        <f>VLOOKUP(B1877,Bounties!A:E,2,FALSE)</f>
        <v>System Parachains Collator Bounty</v>
      </c>
    </row>
    <row r="1878" hidden="1">
      <c r="A1878" s="109">
        <f>HYPERLINK("https://polkadot.subsquare.io/treasury/child-bounties/1893", 1893)</f>
        <v>1893</v>
      </c>
      <c r="B1878" s="183">
        <v>32.0</v>
      </c>
      <c r="C1878" s="27" t="s">
        <v>3404</v>
      </c>
      <c r="D1878" s="27" t="s">
        <v>2320</v>
      </c>
      <c r="E1878" s="129">
        <v>14.5358217274</v>
      </c>
      <c r="F1878" s="66">
        <v>63.44514337923583</v>
      </c>
      <c r="G1878" s="27" t="s">
        <v>3411</v>
      </c>
      <c r="H1878" s="167">
        <v>45518.0</v>
      </c>
      <c r="I1878" s="167">
        <v>45526.0</v>
      </c>
      <c r="J1878" s="66">
        <v>70.12819097447472</v>
      </c>
      <c r="M1878" s="1" t="str">
        <f>VLOOKUP(B1878,Bounties!A:D,3,FALSE)</f>
        <v>Operations</v>
      </c>
      <c r="N1878" s="1" t="str">
        <f>VLOOKUP(B1878,Bounties!A:D,4,FALSE)</f>
        <v>RPCs and Nodes</v>
      </c>
      <c r="O1878" s="1" t="str">
        <f t="shared" ref="O1878:P1878" si="1882">IF(ISBLANK(K1878),M1878,K1878)</f>
        <v>Operations</v>
      </c>
      <c r="P1878" s="1" t="str">
        <f t="shared" si="1882"/>
        <v>RPCs and Nodes</v>
      </c>
      <c r="Q1878" s="108" t="str">
        <f t="shared" si="3"/>
        <v>2024</v>
      </c>
      <c r="R1878" s="110">
        <f t="shared" si="4"/>
        <v>8</v>
      </c>
      <c r="S1878" s="108" t="str">
        <f t="shared" si="5"/>
        <v>2024-Q3</v>
      </c>
      <c r="T1878" s="111" t="str">
        <f t="shared" si="6"/>
        <v>2024-08</v>
      </c>
      <c r="U1878" s="112" t="str">
        <f t="shared" si="7"/>
        <v>2024-H2</v>
      </c>
      <c r="V1878" s="1" t="str">
        <f>VLOOKUP(B1878,Bounties!A:E,2,FALSE)</f>
        <v>System Parachains Collator Bounty</v>
      </c>
    </row>
    <row r="1879" hidden="1">
      <c r="A1879" s="109">
        <f>HYPERLINK("https://polkadot.subsquare.io/treasury/child-bounties/1894", 1894)</f>
        <v>1894</v>
      </c>
      <c r="B1879" s="183">
        <v>32.0</v>
      </c>
      <c r="C1879" s="27" t="s">
        <v>3404</v>
      </c>
      <c r="D1879" s="27" t="s">
        <v>2294</v>
      </c>
      <c r="E1879" s="129">
        <v>8.2278028189</v>
      </c>
      <c r="F1879" s="66">
        <v>35.912254520650556</v>
      </c>
      <c r="G1879" s="27" t="s">
        <v>3587</v>
      </c>
      <c r="H1879" s="167">
        <v>45518.0</v>
      </c>
      <c r="I1879" s="167">
        <v>45526.0</v>
      </c>
      <c r="J1879" s="66">
        <v>39.69510208676369</v>
      </c>
      <c r="M1879" s="1" t="str">
        <f>VLOOKUP(B1879,Bounties!A:D,3,FALSE)</f>
        <v>Operations</v>
      </c>
      <c r="N1879" s="1" t="str">
        <f>VLOOKUP(B1879,Bounties!A:D,4,FALSE)</f>
        <v>RPCs and Nodes</v>
      </c>
      <c r="O1879" s="1" t="str">
        <f t="shared" ref="O1879:P1879" si="1883">IF(ISBLANK(K1879),M1879,K1879)</f>
        <v>Operations</v>
      </c>
      <c r="P1879" s="1" t="str">
        <f t="shared" si="1883"/>
        <v>RPCs and Nodes</v>
      </c>
      <c r="Q1879" s="108" t="str">
        <f t="shared" si="3"/>
        <v>2024</v>
      </c>
      <c r="R1879" s="110">
        <f t="shared" si="4"/>
        <v>8</v>
      </c>
      <c r="S1879" s="108" t="str">
        <f t="shared" si="5"/>
        <v>2024-Q3</v>
      </c>
      <c r="T1879" s="111" t="str">
        <f t="shared" si="6"/>
        <v>2024-08</v>
      </c>
      <c r="U1879" s="112" t="str">
        <f t="shared" si="7"/>
        <v>2024-H2</v>
      </c>
      <c r="V1879" s="1" t="str">
        <f>VLOOKUP(B1879,Bounties!A:E,2,FALSE)</f>
        <v>System Parachains Collator Bounty</v>
      </c>
    </row>
    <row r="1880" hidden="1">
      <c r="A1880" s="109">
        <f>HYPERLINK("https://polkadot.subsquare.io/treasury/child-bounties/1895", 1895)</f>
        <v>1895</v>
      </c>
      <c r="B1880" s="183">
        <v>32.0</v>
      </c>
      <c r="C1880" s="27" t="s">
        <v>3404</v>
      </c>
      <c r="D1880" s="27" t="s">
        <v>2321</v>
      </c>
      <c r="E1880" s="129">
        <v>62.7000752522</v>
      </c>
      <c r="F1880" s="66">
        <v>273.6697889439682</v>
      </c>
      <c r="G1880" s="27" t="s">
        <v>3591</v>
      </c>
      <c r="H1880" s="167">
        <v>45518.0</v>
      </c>
      <c r="I1880" s="167">
        <v>45530.0</v>
      </c>
      <c r="J1880" s="66">
        <v>267.0267534747047</v>
      </c>
      <c r="M1880" s="1" t="str">
        <f>VLOOKUP(B1880,Bounties!A:D,3,FALSE)</f>
        <v>Operations</v>
      </c>
      <c r="N1880" s="1" t="str">
        <f>VLOOKUP(B1880,Bounties!A:D,4,FALSE)</f>
        <v>RPCs and Nodes</v>
      </c>
      <c r="O1880" s="1" t="str">
        <f t="shared" ref="O1880:P1880" si="1884">IF(ISBLANK(K1880),M1880,K1880)</f>
        <v>Operations</v>
      </c>
      <c r="P1880" s="1" t="str">
        <f t="shared" si="1884"/>
        <v>RPCs and Nodes</v>
      </c>
      <c r="Q1880" s="108" t="str">
        <f t="shared" si="3"/>
        <v>2024</v>
      </c>
      <c r="R1880" s="110">
        <f t="shared" si="4"/>
        <v>8</v>
      </c>
      <c r="S1880" s="108" t="str">
        <f t="shared" si="5"/>
        <v>2024-Q3</v>
      </c>
      <c r="T1880" s="111" t="str">
        <f t="shared" si="6"/>
        <v>2024-08</v>
      </c>
      <c r="U1880" s="112" t="str">
        <f t="shared" si="7"/>
        <v>2024-H2</v>
      </c>
      <c r="V1880" s="1" t="str">
        <f>VLOOKUP(B1880,Bounties!A:E,2,FALSE)</f>
        <v>System Parachains Collator Bounty</v>
      </c>
    </row>
    <row r="1881" hidden="1">
      <c r="A1881" s="109">
        <f>HYPERLINK("https://polkadot.subsquare.io/treasury/child-bounties/1897", 1897)</f>
        <v>1897</v>
      </c>
      <c r="B1881" s="183">
        <v>32.0</v>
      </c>
      <c r="C1881" s="27" t="s">
        <v>3404</v>
      </c>
      <c r="D1881" s="27" t="s">
        <v>2322</v>
      </c>
      <c r="E1881" s="129">
        <v>64.2903385355</v>
      </c>
      <c r="F1881" s="66">
        <v>280.6108813645994</v>
      </c>
      <c r="G1881" s="27" t="s">
        <v>3590</v>
      </c>
      <c r="H1881" s="167">
        <v>45518.0</v>
      </c>
      <c r="I1881" s="167">
        <v>45530.0</v>
      </c>
      <c r="J1881" s="66">
        <v>273.79935845167756</v>
      </c>
      <c r="M1881" s="1" t="str">
        <f>VLOOKUP(B1881,Bounties!A:D,3,FALSE)</f>
        <v>Operations</v>
      </c>
      <c r="N1881" s="1" t="str">
        <f>VLOOKUP(B1881,Bounties!A:D,4,FALSE)</f>
        <v>RPCs and Nodes</v>
      </c>
      <c r="O1881" s="1" t="str">
        <f t="shared" ref="O1881:P1881" si="1885">IF(ISBLANK(K1881),M1881,K1881)</f>
        <v>Operations</v>
      </c>
      <c r="P1881" s="1" t="str">
        <f t="shared" si="1885"/>
        <v>RPCs and Nodes</v>
      </c>
      <c r="Q1881" s="108" t="str">
        <f t="shared" si="3"/>
        <v>2024</v>
      </c>
      <c r="R1881" s="110">
        <f t="shared" si="4"/>
        <v>8</v>
      </c>
      <c r="S1881" s="108" t="str">
        <f t="shared" si="5"/>
        <v>2024-Q3</v>
      </c>
      <c r="T1881" s="111" t="str">
        <f t="shared" si="6"/>
        <v>2024-08</v>
      </c>
      <c r="U1881" s="112" t="str">
        <f t="shared" si="7"/>
        <v>2024-H2</v>
      </c>
      <c r="V1881" s="1" t="str">
        <f>VLOOKUP(B1881,Bounties!A:E,2,FALSE)</f>
        <v>System Parachains Collator Bounty</v>
      </c>
    </row>
    <row r="1882" hidden="1">
      <c r="A1882" s="109">
        <f>HYPERLINK("https://polkadot.subsquare.io/treasury/child-bounties/1898", 1898)</f>
        <v>1898</v>
      </c>
      <c r="B1882" s="183">
        <v>32.0</v>
      </c>
      <c r="C1882" s="27" t="s">
        <v>3404</v>
      </c>
      <c r="D1882" s="27" t="s">
        <v>2323</v>
      </c>
      <c r="E1882" s="129">
        <v>64.3874538505</v>
      </c>
      <c r="F1882" s="66">
        <v>281.0347648711562</v>
      </c>
      <c r="G1882" s="27" t="s">
        <v>3605</v>
      </c>
      <c r="H1882" s="167">
        <v>45518.0</v>
      </c>
      <c r="I1882" s="167">
        <v>45532.0</v>
      </c>
      <c r="J1882" s="66">
        <v>274.19293472920134</v>
      </c>
      <c r="M1882" s="1" t="str">
        <f>VLOOKUP(B1882,Bounties!A:D,3,FALSE)</f>
        <v>Operations</v>
      </c>
      <c r="N1882" s="1" t="str">
        <f>VLOOKUP(B1882,Bounties!A:D,4,FALSE)</f>
        <v>RPCs and Nodes</v>
      </c>
      <c r="O1882" s="1" t="str">
        <f t="shared" ref="O1882:P1882" si="1886">IF(ISBLANK(K1882),M1882,K1882)</f>
        <v>Operations</v>
      </c>
      <c r="P1882" s="1" t="str">
        <f t="shared" si="1886"/>
        <v>RPCs and Nodes</v>
      </c>
      <c r="Q1882" s="108" t="str">
        <f t="shared" si="3"/>
        <v>2024</v>
      </c>
      <c r="R1882" s="110">
        <f t="shared" si="4"/>
        <v>8</v>
      </c>
      <c r="S1882" s="108" t="str">
        <f t="shared" si="5"/>
        <v>2024-Q3</v>
      </c>
      <c r="T1882" s="111" t="str">
        <f t="shared" si="6"/>
        <v>2024-08</v>
      </c>
      <c r="U1882" s="112" t="str">
        <f t="shared" si="7"/>
        <v>2024-H2</v>
      </c>
      <c r="V1882" s="1" t="str">
        <f>VLOOKUP(B1882,Bounties!A:E,2,FALSE)</f>
        <v>System Parachains Collator Bounty</v>
      </c>
    </row>
    <row r="1883" hidden="1">
      <c r="A1883" s="109">
        <f>HYPERLINK("https://polkadot.subsquare.io/treasury/child-bounties/1899", 1899)</f>
        <v>1899</v>
      </c>
      <c r="B1883" s="183">
        <v>32.0</v>
      </c>
      <c r="C1883" s="27" t="s">
        <v>3404</v>
      </c>
      <c r="D1883" s="27" t="s">
        <v>2324</v>
      </c>
      <c r="E1883" s="129">
        <v>79.1497058143</v>
      </c>
      <c r="F1883" s="66">
        <v>345.46821830834443</v>
      </c>
      <c r="G1883" s="27" t="s">
        <v>3595</v>
      </c>
      <c r="H1883" s="167">
        <v>45518.0</v>
      </c>
      <c r="I1883" s="167">
        <v>45527.0</v>
      </c>
      <c r="J1883" s="66">
        <v>361.12124986663883</v>
      </c>
      <c r="M1883" s="1" t="str">
        <f>VLOOKUP(B1883,Bounties!A:D,3,FALSE)</f>
        <v>Operations</v>
      </c>
      <c r="N1883" s="1" t="str">
        <f>VLOOKUP(B1883,Bounties!A:D,4,FALSE)</f>
        <v>RPCs and Nodes</v>
      </c>
      <c r="O1883" s="1" t="str">
        <f t="shared" ref="O1883:P1883" si="1887">IF(ISBLANK(K1883),M1883,K1883)</f>
        <v>Operations</v>
      </c>
      <c r="P1883" s="1" t="str">
        <f t="shared" si="1887"/>
        <v>RPCs and Nodes</v>
      </c>
      <c r="Q1883" s="108" t="str">
        <f t="shared" si="3"/>
        <v>2024</v>
      </c>
      <c r="R1883" s="110">
        <f t="shared" si="4"/>
        <v>8</v>
      </c>
      <c r="S1883" s="108" t="str">
        <f t="shared" si="5"/>
        <v>2024-Q3</v>
      </c>
      <c r="T1883" s="111" t="str">
        <f t="shared" si="6"/>
        <v>2024-08</v>
      </c>
      <c r="U1883" s="112" t="str">
        <f t="shared" si="7"/>
        <v>2024-H2</v>
      </c>
      <c r="V1883" s="1" t="str">
        <f>VLOOKUP(B1883,Bounties!A:E,2,FALSE)</f>
        <v>System Parachains Collator Bounty</v>
      </c>
    </row>
    <row r="1884" hidden="1">
      <c r="A1884" s="109">
        <f>HYPERLINK("https://polkadot.subsquare.io/treasury/child-bounties/1900", 1900)</f>
        <v>1900</v>
      </c>
      <c r="B1884" s="183">
        <v>32.0</v>
      </c>
      <c r="C1884" s="27" t="s">
        <v>3404</v>
      </c>
      <c r="D1884" s="27" t="s">
        <v>2325</v>
      </c>
      <c r="E1884" s="129">
        <v>79.1148884989</v>
      </c>
      <c r="F1884" s="66">
        <v>345.31624963336617</v>
      </c>
      <c r="G1884" s="27" t="s">
        <v>3594</v>
      </c>
      <c r="H1884" s="167">
        <v>45518.0</v>
      </c>
      <c r="I1884" s="167">
        <v>45529.0</v>
      </c>
      <c r="J1884" s="66">
        <v>336.9340745190456</v>
      </c>
      <c r="M1884" s="1" t="str">
        <f>VLOOKUP(B1884,Bounties!A:D,3,FALSE)</f>
        <v>Operations</v>
      </c>
      <c r="N1884" s="1" t="str">
        <f>VLOOKUP(B1884,Bounties!A:D,4,FALSE)</f>
        <v>RPCs and Nodes</v>
      </c>
      <c r="O1884" s="1" t="str">
        <f t="shared" ref="O1884:P1884" si="1888">IF(ISBLANK(K1884),M1884,K1884)</f>
        <v>Operations</v>
      </c>
      <c r="P1884" s="1" t="str">
        <f t="shared" si="1888"/>
        <v>RPCs and Nodes</v>
      </c>
      <c r="Q1884" s="108" t="str">
        <f t="shared" si="3"/>
        <v>2024</v>
      </c>
      <c r="R1884" s="110">
        <f t="shared" si="4"/>
        <v>8</v>
      </c>
      <c r="S1884" s="108" t="str">
        <f t="shared" si="5"/>
        <v>2024-Q3</v>
      </c>
      <c r="T1884" s="111" t="str">
        <f t="shared" si="6"/>
        <v>2024-08</v>
      </c>
      <c r="U1884" s="112" t="str">
        <f t="shared" si="7"/>
        <v>2024-H2</v>
      </c>
      <c r="V1884" s="1" t="str">
        <f>VLOOKUP(B1884,Bounties!A:E,2,FALSE)</f>
        <v>System Parachains Collator Bounty</v>
      </c>
    </row>
    <row r="1885" hidden="1">
      <c r="A1885" s="109">
        <f>HYPERLINK("https://polkadot.subsquare.io/treasury/child-bounties/1901", 1901)</f>
        <v>1901</v>
      </c>
      <c r="B1885" s="183">
        <v>32.0</v>
      </c>
      <c r="C1885" s="27" t="s">
        <v>3404</v>
      </c>
      <c r="D1885" s="27" t="s">
        <v>2326</v>
      </c>
      <c r="E1885" s="129">
        <v>79.0402799658</v>
      </c>
      <c r="F1885" s="66">
        <v>344.99060247226197</v>
      </c>
      <c r="G1885" s="27" t="s">
        <v>3587</v>
      </c>
      <c r="H1885" s="167">
        <v>45518.0</v>
      </c>
      <c r="I1885" s="167">
        <v>45526.0</v>
      </c>
      <c r="J1885" s="66">
        <v>381.3304780471486</v>
      </c>
      <c r="M1885" s="1" t="str">
        <f>VLOOKUP(B1885,Bounties!A:D,3,FALSE)</f>
        <v>Operations</v>
      </c>
      <c r="N1885" s="1" t="str">
        <f>VLOOKUP(B1885,Bounties!A:D,4,FALSE)</f>
        <v>RPCs and Nodes</v>
      </c>
      <c r="O1885" s="1" t="str">
        <f t="shared" ref="O1885:P1885" si="1889">IF(ISBLANK(K1885),M1885,K1885)</f>
        <v>Operations</v>
      </c>
      <c r="P1885" s="1" t="str">
        <f t="shared" si="1889"/>
        <v>RPCs and Nodes</v>
      </c>
      <c r="Q1885" s="108" t="str">
        <f t="shared" si="3"/>
        <v>2024</v>
      </c>
      <c r="R1885" s="110">
        <f t="shared" si="4"/>
        <v>8</v>
      </c>
      <c r="S1885" s="108" t="str">
        <f t="shared" si="5"/>
        <v>2024-Q3</v>
      </c>
      <c r="T1885" s="111" t="str">
        <f t="shared" si="6"/>
        <v>2024-08</v>
      </c>
      <c r="U1885" s="112" t="str">
        <f t="shared" si="7"/>
        <v>2024-H2</v>
      </c>
      <c r="V1885" s="1" t="str">
        <f>VLOOKUP(B1885,Bounties!A:E,2,FALSE)</f>
        <v>System Parachains Collator Bounty</v>
      </c>
    </row>
    <row r="1886" hidden="1">
      <c r="A1886" s="109">
        <f>HYPERLINK("https://polkadot.subsquare.io/treasury/child-bounties/1902", 1902)</f>
        <v>1902</v>
      </c>
      <c r="B1886" s="183">
        <v>32.0</v>
      </c>
      <c r="C1886" s="27" t="s">
        <v>3404</v>
      </c>
      <c r="D1886" s="27" t="s">
        <v>2327</v>
      </c>
      <c r="E1886" s="129">
        <v>78.9855670415</v>
      </c>
      <c r="F1886" s="66">
        <v>344.7517945540026</v>
      </c>
      <c r="G1886" s="27" t="s">
        <v>3589</v>
      </c>
      <c r="H1886" s="167">
        <v>45518.0</v>
      </c>
      <c r="I1886" s="167">
        <v>45531.0</v>
      </c>
      <c r="J1886" s="66">
        <v>337.93862501688454</v>
      </c>
      <c r="M1886" s="1" t="str">
        <f>VLOOKUP(B1886,Bounties!A:D,3,FALSE)</f>
        <v>Operations</v>
      </c>
      <c r="N1886" s="1" t="str">
        <f>VLOOKUP(B1886,Bounties!A:D,4,FALSE)</f>
        <v>RPCs and Nodes</v>
      </c>
      <c r="O1886" s="1" t="str">
        <f t="shared" ref="O1886:P1886" si="1890">IF(ISBLANK(K1886),M1886,K1886)</f>
        <v>Operations</v>
      </c>
      <c r="P1886" s="1" t="str">
        <f t="shared" si="1890"/>
        <v>RPCs and Nodes</v>
      </c>
      <c r="Q1886" s="108" t="str">
        <f t="shared" si="3"/>
        <v>2024</v>
      </c>
      <c r="R1886" s="110">
        <f t="shared" si="4"/>
        <v>8</v>
      </c>
      <c r="S1886" s="108" t="str">
        <f t="shared" si="5"/>
        <v>2024-Q3</v>
      </c>
      <c r="T1886" s="111" t="str">
        <f t="shared" si="6"/>
        <v>2024-08</v>
      </c>
      <c r="U1886" s="112" t="str">
        <f t="shared" si="7"/>
        <v>2024-H2</v>
      </c>
      <c r="V1886" s="1" t="str">
        <f>VLOOKUP(B1886,Bounties!A:E,2,FALSE)</f>
        <v>System Parachains Collator Bounty</v>
      </c>
    </row>
    <row r="1887" hidden="1">
      <c r="A1887" s="109">
        <f>HYPERLINK("https://polkadot.subsquare.io/treasury/child-bounties/1904", 1904)</f>
        <v>1904</v>
      </c>
      <c r="B1887" s="183">
        <v>32.0</v>
      </c>
      <c r="C1887" s="27" t="s">
        <v>3404</v>
      </c>
      <c r="D1887" s="27" t="s">
        <v>2328</v>
      </c>
      <c r="E1887" s="129">
        <v>78.9905409437</v>
      </c>
      <c r="F1887" s="66">
        <v>344.77350436471374</v>
      </c>
      <c r="G1887" s="27" t="s">
        <v>3607</v>
      </c>
      <c r="H1887" s="167">
        <v>45518.0</v>
      </c>
      <c r="I1887" s="167">
        <v>45528.0</v>
      </c>
      <c r="J1887" s="66">
        <v>360.3950587025075</v>
      </c>
      <c r="M1887" s="1" t="str">
        <f>VLOOKUP(B1887,Bounties!A:D,3,FALSE)</f>
        <v>Operations</v>
      </c>
      <c r="N1887" s="1" t="str">
        <f>VLOOKUP(B1887,Bounties!A:D,4,FALSE)</f>
        <v>RPCs and Nodes</v>
      </c>
      <c r="O1887" s="1" t="str">
        <f t="shared" ref="O1887:P1887" si="1891">IF(ISBLANK(K1887),M1887,K1887)</f>
        <v>Operations</v>
      </c>
      <c r="P1887" s="1" t="str">
        <f t="shared" si="1891"/>
        <v>RPCs and Nodes</v>
      </c>
      <c r="Q1887" s="108" t="str">
        <f t="shared" si="3"/>
        <v>2024</v>
      </c>
      <c r="R1887" s="110">
        <f t="shared" si="4"/>
        <v>8</v>
      </c>
      <c r="S1887" s="108" t="str">
        <f t="shared" si="5"/>
        <v>2024-Q3</v>
      </c>
      <c r="T1887" s="111" t="str">
        <f t="shared" si="6"/>
        <v>2024-08</v>
      </c>
      <c r="U1887" s="112" t="str">
        <f t="shared" si="7"/>
        <v>2024-H2</v>
      </c>
      <c r="V1887" s="1" t="str">
        <f>VLOOKUP(B1887,Bounties!A:E,2,FALSE)</f>
        <v>System Parachains Collator Bounty</v>
      </c>
    </row>
    <row r="1888" hidden="1">
      <c r="A1888" s="109">
        <f>HYPERLINK("https://polkadot.subsquare.io/treasury/child-bounties/1907", 1907)</f>
        <v>1907</v>
      </c>
      <c r="B1888" s="183">
        <v>32.0</v>
      </c>
      <c r="C1888" s="27" t="s">
        <v>3404</v>
      </c>
      <c r="D1888" s="27" t="s">
        <v>2329</v>
      </c>
      <c r="E1888" s="129">
        <v>14.5239268298</v>
      </c>
      <c r="F1888" s="66">
        <v>63.393225194088394</v>
      </c>
      <c r="G1888" s="27" t="s">
        <v>3407</v>
      </c>
      <c r="H1888" s="167">
        <v>45518.0</v>
      </c>
      <c r="I1888" s="167">
        <v>45542.0</v>
      </c>
      <c r="J1888" s="66">
        <v>61.81740677984269</v>
      </c>
      <c r="M1888" s="1" t="str">
        <f>VLOOKUP(B1888,Bounties!A:D,3,FALSE)</f>
        <v>Operations</v>
      </c>
      <c r="N1888" s="1" t="str">
        <f>VLOOKUP(B1888,Bounties!A:D,4,FALSE)</f>
        <v>RPCs and Nodes</v>
      </c>
      <c r="O1888" s="1" t="str">
        <f t="shared" ref="O1888:P1888" si="1892">IF(ISBLANK(K1888),M1888,K1888)</f>
        <v>Operations</v>
      </c>
      <c r="P1888" s="1" t="str">
        <f t="shared" si="1892"/>
        <v>RPCs and Nodes</v>
      </c>
      <c r="Q1888" s="108" t="str">
        <f t="shared" si="3"/>
        <v>2024</v>
      </c>
      <c r="R1888" s="110">
        <f t="shared" si="4"/>
        <v>9</v>
      </c>
      <c r="S1888" s="108" t="str">
        <f t="shared" si="5"/>
        <v>2024-Q3</v>
      </c>
      <c r="T1888" s="111" t="str">
        <f t="shared" si="6"/>
        <v>2024-09</v>
      </c>
      <c r="U1888" s="112" t="str">
        <f t="shared" si="7"/>
        <v>2024-H2</v>
      </c>
      <c r="V1888" s="1" t="str">
        <f>VLOOKUP(B1888,Bounties!A:E,2,FALSE)</f>
        <v>System Parachains Collator Bounty</v>
      </c>
    </row>
    <row r="1889" hidden="1">
      <c r="A1889" s="109">
        <f>HYPERLINK("https://polkadot.subsquare.io/treasury/child-bounties/1908", 1908)</f>
        <v>1908</v>
      </c>
      <c r="B1889" s="183">
        <v>32.0</v>
      </c>
      <c r="C1889" s="27" t="s">
        <v>3404</v>
      </c>
      <c r="D1889" s="27" t="s">
        <v>2330</v>
      </c>
      <c r="E1889" s="129">
        <v>14.5239268298</v>
      </c>
      <c r="F1889" s="66">
        <v>63.393225194088394</v>
      </c>
      <c r="G1889" s="27" t="s">
        <v>3406</v>
      </c>
      <c r="H1889" s="167">
        <v>45518.0</v>
      </c>
      <c r="I1889" s="167">
        <v>45549.0</v>
      </c>
      <c r="J1889" s="66">
        <v>60.978300459163314</v>
      </c>
      <c r="M1889" s="1" t="str">
        <f>VLOOKUP(B1889,Bounties!A:D,3,FALSE)</f>
        <v>Operations</v>
      </c>
      <c r="N1889" s="1" t="str">
        <f>VLOOKUP(B1889,Bounties!A:D,4,FALSE)</f>
        <v>RPCs and Nodes</v>
      </c>
      <c r="O1889" s="1" t="str">
        <f t="shared" ref="O1889:P1889" si="1893">IF(ISBLANK(K1889),M1889,K1889)</f>
        <v>Operations</v>
      </c>
      <c r="P1889" s="1" t="str">
        <f t="shared" si="1893"/>
        <v>RPCs and Nodes</v>
      </c>
      <c r="Q1889" s="108" t="str">
        <f t="shared" si="3"/>
        <v>2024</v>
      </c>
      <c r="R1889" s="110">
        <f t="shared" si="4"/>
        <v>9</v>
      </c>
      <c r="S1889" s="108" t="str">
        <f t="shared" si="5"/>
        <v>2024-Q3</v>
      </c>
      <c r="T1889" s="111" t="str">
        <f t="shared" si="6"/>
        <v>2024-09</v>
      </c>
      <c r="U1889" s="112" t="str">
        <f t="shared" si="7"/>
        <v>2024-H2</v>
      </c>
      <c r="V1889" s="1" t="str">
        <f>VLOOKUP(B1889,Bounties!A:E,2,FALSE)</f>
        <v>System Parachains Collator Bounty</v>
      </c>
    </row>
    <row r="1890" hidden="1">
      <c r="A1890" s="109">
        <f>HYPERLINK("https://polkadot.subsquare.io/treasury/child-bounties/1909", 1909)</f>
        <v>1909</v>
      </c>
      <c r="B1890" s="183">
        <v>32.0</v>
      </c>
      <c r="C1890" s="27" t="s">
        <v>3404</v>
      </c>
      <c r="D1890" s="27" t="s">
        <v>2331</v>
      </c>
      <c r="E1890" s="129">
        <v>14.5239268298</v>
      </c>
      <c r="F1890" s="66">
        <v>63.393225194088394</v>
      </c>
      <c r="G1890" s="27" t="s">
        <v>3411</v>
      </c>
      <c r="H1890" s="167">
        <v>45518.0</v>
      </c>
      <c r="I1890" s="167">
        <v>45526.0</v>
      </c>
      <c r="J1890" s="66">
        <v>70.07080394358248</v>
      </c>
      <c r="M1890" s="1" t="str">
        <f>VLOOKUP(B1890,Bounties!A:D,3,FALSE)</f>
        <v>Operations</v>
      </c>
      <c r="N1890" s="1" t="str">
        <f>VLOOKUP(B1890,Bounties!A:D,4,FALSE)</f>
        <v>RPCs and Nodes</v>
      </c>
      <c r="O1890" s="1" t="str">
        <f t="shared" ref="O1890:P1890" si="1894">IF(ISBLANK(K1890),M1890,K1890)</f>
        <v>Operations</v>
      </c>
      <c r="P1890" s="1" t="str">
        <f t="shared" si="1894"/>
        <v>RPCs and Nodes</v>
      </c>
      <c r="Q1890" s="108" t="str">
        <f t="shared" si="3"/>
        <v>2024</v>
      </c>
      <c r="R1890" s="110">
        <f t="shared" si="4"/>
        <v>8</v>
      </c>
      <c r="S1890" s="108" t="str">
        <f t="shared" si="5"/>
        <v>2024-Q3</v>
      </c>
      <c r="T1890" s="111" t="str">
        <f t="shared" si="6"/>
        <v>2024-08</v>
      </c>
      <c r="U1890" s="112" t="str">
        <f t="shared" si="7"/>
        <v>2024-H2</v>
      </c>
      <c r="V1890" s="1" t="str">
        <f>VLOOKUP(B1890,Bounties!A:E,2,FALSE)</f>
        <v>System Parachains Collator Bounty</v>
      </c>
    </row>
    <row r="1891" hidden="1">
      <c r="A1891" s="109">
        <f>HYPERLINK("https://polkadot.subsquare.io/treasury/child-bounties/1910", 1910)</f>
        <v>1910</v>
      </c>
      <c r="B1891" s="183">
        <v>32.0</v>
      </c>
      <c r="C1891" s="27" t="s">
        <v>3404</v>
      </c>
      <c r="D1891" s="27" t="s">
        <v>2294</v>
      </c>
      <c r="E1891" s="129">
        <v>8.2278028189</v>
      </c>
      <c r="F1891" s="66">
        <v>35.912254520650556</v>
      </c>
      <c r="G1891" s="27" t="s">
        <v>3587</v>
      </c>
      <c r="H1891" s="167">
        <v>45518.0</v>
      </c>
      <c r="I1891" s="167">
        <v>45526.0</v>
      </c>
      <c r="J1891" s="66">
        <v>39.69510208676369</v>
      </c>
      <c r="M1891" s="1" t="str">
        <f>VLOOKUP(B1891,Bounties!A:D,3,FALSE)</f>
        <v>Operations</v>
      </c>
      <c r="N1891" s="1" t="str">
        <f>VLOOKUP(B1891,Bounties!A:D,4,FALSE)</f>
        <v>RPCs and Nodes</v>
      </c>
      <c r="O1891" s="1" t="str">
        <f t="shared" ref="O1891:P1891" si="1895">IF(ISBLANK(K1891),M1891,K1891)</f>
        <v>Operations</v>
      </c>
      <c r="P1891" s="1" t="str">
        <f t="shared" si="1895"/>
        <v>RPCs and Nodes</v>
      </c>
      <c r="Q1891" s="108" t="str">
        <f t="shared" si="3"/>
        <v>2024</v>
      </c>
      <c r="R1891" s="110">
        <f t="shared" si="4"/>
        <v>8</v>
      </c>
      <c r="S1891" s="108" t="str">
        <f t="shared" si="5"/>
        <v>2024-Q3</v>
      </c>
      <c r="T1891" s="111" t="str">
        <f t="shared" si="6"/>
        <v>2024-08</v>
      </c>
      <c r="U1891" s="112" t="str">
        <f t="shared" si="7"/>
        <v>2024-H2</v>
      </c>
      <c r="V1891" s="1" t="str">
        <f>VLOOKUP(B1891,Bounties!A:E,2,FALSE)</f>
        <v>System Parachains Collator Bounty</v>
      </c>
    </row>
    <row r="1892" hidden="1">
      <c r="A1892" s="109">
        <f>HYPERLINK("https://polkadot.subsquare.io/treasury/child-bounties/1912", 1912)</f>
        <v>1912</v>
      </c>
      <c r="B1892" s="183">
        <v>32.0</v>
      </c>
      <c r="C1892" s="27" t="s">
        <v>3404</v>
      </c>
      <c r="D1892" s="27" t="s">
        <v>2332</v>
      </c>
      <c r="E1892" s="129">
        <v>64.2249395339</v>
      </c>
      <c r="F1892" s="66">
        <v>280.3254314525694</v>
      </c>
      <c r="G1892" s="27" t="s">
        <v>3607</v>
      </c>
      <c r="H1892" s="167">
        <v>45518.0</v>
      </c>
      <c r="I1892" s="167">
        <v>45528.0</v>
      </c>
      <c r="J1892" s="66">
        <v>293.02686849533416</v>
      </c>
      <c r="M1892" s="1" t="str">
        <f>VLOOKUP(B1892,Bounties!A:D,3,FALSE)</f>
        <v>Operations</v>
      </c>
      <c r="N1892" s="1" t="str">
        <f>VLOOKUP(B1892,Bounties!A:D,4,FALSE)</f>
        <v>RPCs and Nodes</v>
      </c>
      <c r="O1892" s="1" t="str">
        <f t="shared" ref="O1892:P1892" si="1896">IF(ISBLANK(K1892),M1892,K1892)</f>
        <v>Operations</v>
      </c>
      <c r="P1892" s="1" t="str">
        <f t="shared" si="1896"/>
        <v>RPCs and Nodes</v>
      </c>
      <c r="Q1892" s="108" t="str">
        <f t="shared" si="3"/>
        <v>2024</v>
      </c>
      <c r="R1892" s="110">
        <f t="shared" si="4"/>
        <v>8</v>
      </c>
      <c r="S1892" s="108" t="str">
        <f t="shared" si="5"/>
        <v>2024-Q3</v>
      </c>
      <c r="T1892" s="111" t="str">
        <f t="shared" si="6"/>
        <v>2024-08</v>
      </c>
      <c r="U1892" s="112" t="str">
        <f t="shared" si="7"/>
        <v>2024-H2</v>
      </c>
      <c r="V1892" s="1" t="str">
        <f>VLOOKUP(B1892,Bounties!A:E,2,FALSE)</f>
        <v>System Parachains Collator Bounty</v>
      </c>
    </row>
    <row r="1893" hidden="1">
      <c r="A1893" s="109">
        <f>HYPERLINK("https://polkadot.subsquare.io/treasury/child-bounties/1913", 1913)</f>
        <v>1913</v>
      </c>
      <c r="B1893" s="183">
        <v>32.0</v>
      </c>
      <c r="C1893" s="27" t="s">
        <v>3404</v>
      </c>
      <c r="D1893" s="27" t="s">
        <v>2333</v>
      </c>
      <c r="E1893" s="129">
        <v>64.2474477485</v>
      </c>
      <c r="F1893" s="66">
        <v>280.42367405139095</v>
      </c>
      <c r="G1893" s="27" t="s">
        <v>3787</v>
      </c>
      <c r="H1893" s="167">
        <v>45518.0</v>
      </c>
      <c r="I1893" s="167">
        <v>45526.0</v>
      </c>
      <c r="J1893" s="66">
        <v>309.96233785919554</v>
      </c>
      <c r="M1893" s="1" t="str">
        <f>VLOOKUP(B1893,Bounties!A:D,3,FALSE)</f>
        <v>Operations</v>
      </c>
      <c r="N1893" s="1" t="str">
        <f>VLOOKUP(B1893,Bounties!A:D,4,FALSE)</f>
        <v>RPCs and Nodes</v>
      </c>
      <c r="O1893" s="1" t="str">
        <f t="shared" ref="O1893:P1893" si="1897">IF(ISBLANK(K1893),M1893,K1893)</f>
        <v>Operations</v>
      </c>
      <c r="P1893" s="1" t="str">
        <f t="shared" si="1897"/>
        <v>RPCs and Nodes</v>
      </c>
      <c r="Q1893" s="108" t="str">
        <f t="shared" si="3"/>
        <v>2024</v>
      </c>
      <c r="R1893" s="110">
        <f t="shared" si="4"/>
        <v>8</v>
      </c>
      <c r="S1893" s="108" t="str">
        <f t="shared" si="5"/>
        <v>2024-Q3</v>
      </c>
      <c r="T1893" s="111" t="str">
        <f t="shared" si="6"/>
        <v>2024-08</v>
      </c>
      <c r="U1893" s="112" t="str">
        <f t="shared" si="7"/>
        <v>2024-H2</v>
      </c>
      <c r="V1893" s="1" t="str">
        <f>VLOOKUP(B1893,Bounties!A:E,2,FALSE)</f>
        <v>System Parachains Collator Bounty</v>
      </c>
    </row>
    <row r="1894" hidden="1">
      <c r="A1894" s="109">
        <f>HYPERLINK("https://polkadot.subsquare.io/treasury/child-bounties/1917", 1917)</f>
        <v>1917</v>
      </c>
      <c r="B1894" s="183">
        <v>32.0</v>
      </c>
      <c r="C1894" s="27" t="s">
        <v>3404</v>
      </c>
      <c r="D1894" s="27" t="s">
        <v>2334</v>
      </c>
      <c r="E1894" s="129">
        <v>6.5684022041</v>
      </c>
      <c r="F1894" s="66">
        <v>28.6693953342914</v>
      </c>
      <c r="G1894" s="27" t="s">
        <v>3407</v>
      </c>
      <c r="H1894" s="167">
        <v>45518.0</v>
      </c>
      <c r="I1894" s="167">
        <v>45542.0</v>
      </c>
      <c r="J1894" s="66">
        <v>27.95673619832305</v>
      </c>
      <c r="M1894" s="1" t="str">
        <f>VLOOKUP(B1894,Bounties!A:D,3,FALSE)</f>
        <v>Operations</v>
      </c>
      <c r="N1894" s="1" t="str">
        <f>VLOOKUP(B1894,Bounties!A:D,4,FALSE)</f>
        <v>RPCs and Nodes</v>
      </c>
      <c r="O1894" s="1" t="str">
        <f t="shared" ref="O1894:P1894" si="1898">IF(ISBLANK(K1894),M1894,K1894)</f>
        <v>Operations</v>
      </c>
      <c r="P1894" s="1" t="str">
        <f t="shared" si="1898"/>
        <v>RPCs and Nodes</v>
      </c>
      <c r="Q1894" s="108" t="str">
        <f t="shared" si="3"/>
        <v>2024</v>
      </c>
      <c r="R1894" s="110">
        <f t="shared" si="4"/>
        <v>9</v>
      </c>
      <c r="S1894" s="108" t="str">
        <f t="shared" si="5"/>
        <v>2024-Q3</v>
      </c>
      <c r="T1894" s="111" t="str">
        <f t="shared" si="6"/>
        <v>2024-09</v>
      </c>
      <c r="U1894" s="112" t="str">
        <f t="shared" si="7"/>
        <v>2024-H2</v>
      </c>
      <c r="V1894" s="1" t="str">
        <f>VLOOKUP(B1894,Bounties!A:E,2,FALSE)</f>
        <v>System Parachains Collator Bounty</v>
      </c>
    </row>
    <row r="1895" hidden="1">
      <c r="A1895" s="109">
        <f>HYPERLINK("https://polkadot.subsquare.io/treasury/child-bounties/1918", 1918)</f>
        <v>1918</v>
      </c>
      <c r="B1895" s="183">
        <v>32.0</v>
      </c>
      <c r="C1895" s="27" t="s">
        <v>3404</v>
      </c>
      <c r="D1895" s="27" t="s">
        <v>2335</v>
      </c>
      <c r="E1895" s="129">
        <v>6.5684022041</v>
      </c>
      <c r="F1895" s="66">
        <v>28.6693953342914</v>
      </c>
      <c r="G1895" s="27" t="s">
        <v>3406</v>
      </c>
      <c r="H1895" s="167">
        <v>45518.0</v>
      </c>
      <c r="I1895" s="167">
        <v>45549.0</v>
      </c>
      <c r="J1895" s="66">
        <v>27.57725288979274</v>
      </c>
      <c r="M1895" s="1" t="str">
        <f>VLOOKUP(B1895,Bounties!A:D,3,FALSE)</f>
        <v>Operations</v>
      </c>
      <c r="N1895" s="1" t="str">
        <f>VLOOKUP(B1895,Bounties!A:D,4,FALSE)</f>
        <v>RPCs and Nodes</v>
      </c>
      <c r="O1895" s="1" t="str">
        <f t="shared" ref="O1895:P1895" si="1899">IF(ISBLANK(K1895),M1895,K1895)</f>
        <v>Operations</v>
      </c>
      <c r="P1895" s="1" t="str">
        <f t="shared" si="1899"/>
        <v>RPCs and Nodes</v>
      </c>
      <c r="Q1895" s="108" t="str">
        <f t="shared" si="3"/>
        <v>2024</v>
      </c>
      <c r="R1895" s="110">
        <f t="shared" si="4"/>
        <v>9</v>
      </c>
      <c r="S1895" s="108" t="str">
        <f t="shared" si="5"/>
        <v>2024-Q3</v>
      </c>
      <c r="T1895" s="111" t="str">
        <f t="shared" si="6"/>
        <v>2024-09</v>
      </c>
      <c r="U1895" s="112" t="str">
        <f t="shared" si="7"/>
        <v>2024-H2</v>
      </c>
      <c r="V1895" s="1" t="str">
        <f>VLOOKUP(B1895,Bounties!A:E,2,FALSE)</f>
        <v>System Parachains Collator Bounty</v>
      </c>
    </row>
    <row r="1896" hidden="1">
      <c r="A1896" s="109">
        <f>HYPERLINK("https://polkadot.subsquare.io/treasury/child-bounties/1919", 1919)</f>
        <v>1919</v>
      </c>
      <c r="B1896" s="183">
        <v>32.0</v>
      </c>
      <c r="C1896" s="27" t="s">
        <v>3404</v>
      </c>
      <c r="D1896" s="27" t="s">
        <v>2336</v>
      </c>
      <c r="E1896" s="129">
        <v>6.5684022041</v>
      </c>
      <c r="F1896" s="66">
        <v>28.6693953342914</v>
      </c>
      <c r="G1896" s="27" t="s">
        <v>3411</v>
      </c>
      <c r="H1896" s="167">
        <v>45518.0</v>
      </c>
      <c r="I1896" s="167">
        <v>45526.0</v>
      </c>
      <c r="J1896" s="66">
        <v>31.689310229912795</v>
      </c>
      <c r="M1896" s="1" t="str">
        <f>VLOOKUP(B1896,Bounties!A:D,3,FALSE)</f>
        <v>Operations</v>
      </c>
      <c r="N1896" s="1" t="str">
        <f>VLOOKUP(B1896,Bounties!A:D,4,FALSE)</f>
        <v>RPCs and Nodes</v>
      </c>
      <c r="O1896" s="1" t="str">
        <f t="shared" ref="O1896:P1896" si="1900">IF(ISBLANK(K1896),M1896,K1896)</f>
        <v>Operations</v>
      </c>
      <c r="P1896" s="1" t="str">
        <f t="shared" si="1900"/>
        <v>RPCs and Nodes</v>
      </c>
      <c r="Q1896" s="108" t="str">
        <f t="shared" si="3"/>
        <v>2024</v>
      </c>
      <c r="R1896" s="110">
        <f t="shared" si="4"/>
        <v>8</v>
      </c>
      <c r="S1896" s="108" t="str">
        <f t="shared" si="5"/>
        <v>2024-Q3</v>
      </c>
      <c r="T1896" s="111" t="str">
        <f t="shared" si="6"/>
        <v>2024-08</v>
      </c>
      <c r="U1896" s="112" t="str">
        <f t="shared" si="7"/>
        <v>2024-H2</v>
      </c>
      <c r="V1896" s="1" t="str">
        <f>VLOOKUP(B1896,Bounties!A:E,2,FALSE)</f>
        <v>System Parachains Collator Bounty</v>
      </c>
    </row>
    <row r="1897" hidden="1">
      <c r="A1897" s="109">
        <f>HYPERLINK("https://polkadot.subsquare.io/treasury/child-bounties/1920", 1920)</f>
        <v>1920</v>
      </c>
      <c r="B1897" s="183">
        <v>42.0</v>
      </c>
      <c r="C1897" s="27" t="s">
        <v>3404</v>
      </c>
      <c r="D1897" s="27" t="s">
        <v>2337</v>
      </c>
      <c r="E1897" s="129">
        <v>7.4</v>
      </c>
      <c r="F1897" s="66">
        <v>34.73331174850464</v>
      </c>
      <c r="G1897" s="27" t="s">
        <v>3788</v>
      </c>
      <c r="H1897" s="167">
        <v>45523.0</v>
      </c>
      <c r="I1897" s="167">
        <v>45531.0</v>
      </c>
      <c r="J1897" s="66">
        <v>31.660794734954834</v>
      </c>
      <c r="M1897" s="1" t="str">
        <f>VLOOKUP(B1897,Bounties!A:D,3,FALSE)</f>
        <v>Outreach</v>
      </c>
      <c r="N1897" s="1" t="str">
        <f>VLOOKUP(B1897,Bounties!A:D,4,FALSE)</f>
        <v>Media</v>
      </c>
      <c r="O1897" s="1" t="str">
        <f t="shared" ref="O1897:P1897" si="1901">IF(ISBLANK(K1897),M1897,K1897)</f>
        <v>Outreach</v>
      </c>
      <c r="P1897" s="1" t="str">
        <f t="shared" si="1901"/>
        <v>Media</v>
      </c>
      <c r="Q1897" s="108" t="str">
        <f t="shared" si="3"/>
        <v>2024</v>
      </c>
      <c r="R1897" s="110">
        <f t="shared" si="4"/>
        <v>8</v>
      </c>
      <c r="S1897" s="108" t="str">
        <f t="shared" si="5"/>
        <v>2024-Q3</v>
      </c>
      <c r="T1897" s="111" t="str">
        <f t="shared" si="6"/>
        <v>2024-08</v>
      </c>
      <c r="U1897" s="112" t="str">
        <f t="shared" si="7"/>
        <v>2024-H2</v>
      </c>
      <c r="V1897" s="1" t="str">
        <f>VLOOKUP(B1897,Bounties!A:E,2,FALSE)</f>
        <v>Spanish Bounty</v>
      </c>
    </row>
    <row r="1898" hidden="1">
      <c r="A1898" s="109">
        <f>HYPERLINK("https://polkadot.subsquare.io/treasury/child-bounties/1921", 1921)</f>
        <v>1921</v>
      </c>
      <c r="B1898" s="183">
        <v>42.0</v>
      </c>
      <c r="C1898" s="27" t="s">
        <v>3404</v>
      </c>
      <c r="D1898" s="27" t="s">
        <v>2338</v>
      </c>
      <c r="E1898" s="129">
        <v>12.74</v>
      </c>
      <c r="F1898" s="66">
        <v>59.79762049674988</v>
      </c>
      <c r="G1898" s="27" t="s">
        <v>3778</v>
      </c>
      <c r="H1898" s="167">
        <v>45523.0</v>
      </c>
      <c r="I1898" s="167">
        <v>45531.0</v>
      </c>
      <c r="J1898" s="66">
        <v>54.507908773422244</v>
      </c>
      <c r="M1898" s="1" t="str">
        <f>VLOOKUP(B1898,Bounties!A:D,3,FALSE)</f>
        <v>Outreach</v>
      </c>
      <c r="N1898" s="1" t="str">
        <f>VLOOKUP(B1898,Bounties!A:D,4,FALSE)</f>
        <v>Media</v>
      </c>
      <c r="O1898" s="1" t="str">
        <f t="shared" ref="O1898:P1898" si="1902">IF(ISBLANK(K1898),M1898,K1898)</f>
        <v>Outreach</v>
      </c>
      <c r="P1898" s="1" t="str">
        <f t="shared" si="1902"/>
        <v>Media</v>
      </c>
      <c r="Q1898" s="108" t="str">
        <f t="shared" si="3"/>
        <v>2024</v>
      </c>
      <c r="R1898" s="110">
        <f t="shared" si="4"/>
        <v>8</v>
      </c>
      <c r="S1898" s="108" t="str">
        <f t="shared" si="5"/>
        <v>2024-Q3</v>
      </c>
      <c r="T1898" s="111" t="str">
        <f t="shared" si="6"/>
        <v>2024-08</v>
      </c>
      <c r="U1898" s="112" t="str">
        <f t="shared" si="7"/>
        <v>2024-H2</v>
      </c>
      <c r="V1898" s="1" t="str">
        <f>VLOOKUP(B1898,Bounties!A:E,2,FALSE)</f>
        <v>Spanish Bounty</v>
      </c>
    </row>
    <row r="1899" hidden="1">
      <c r="A1899" s="109">
        <f>HYPERLINK("https://polkadot.subsquare.io/treasury/child-bounties/1922", 1922)</f>
        <v>1922</v>
      </c>
      <c r="B1899" s="183">
        <v>42.0</v>
      </c>
      <c r="C1899" s="27" t="s">
        <v>3404</v>
      </c>
      <c r="D1899" s="27" t="s">
        <v>2339</v>
      </c>
      <c r="E1899" s="129">
        <v>17.06</v>
      </c>
      <c r="F1899" s="66">
        <v>80.07436465263366</v>
      </c>
      <c r="G1899" s="27" t="s">
        <v>3789</v>
      </c>
      <c r="H1899" s="167">
        <v>45523.0</v>
      </c>
      <c r="I1899" s="167">
        <v>45531.0</v>
      </c>
      <c r="J1899" s="66">
        <v>72.99096732139587</v>
      </c>
      <c r="M1899" s="1" t="str">
        <f>VLOOKUP(B1899,Bounties!A:D,3,FALSE)</f>
        <v>Outreach</v>
      </c>
      <c r="N1899" s="1" t="str">
        <f>VLOOKUP(B1899,Bounties!A:D,4,FALSE)</f>
        <v>Media</v>
      </c>
      <c r="O1899" s="1" t="str">
        <f t="shared" ref="O1899:P1899" si="1903">IF(ISBLANK(K1899),M1899,K1899)</f>
        <v>Outreach</v>
      </c>
      <c r="P1899" s="1" t="str">
        <f t="shared" si="1903"/>
        <v>Media</v>
      </c>
      <c r="Q1899" s="108" t="str">
        <f t="shared" si="3"/>
        <v>2024</v>
      </c>
      <c r="R1899" s="110">
        <f t="shared" si="4"/>
        <v>8</v>
      </c>
      <c r="S1899" s="108" t="str">
        <f t="shared" si="5"/>
        <v>2024-Q3</v>
      </c>
      <c r="T1899" s="111" t="str">
        <f t="shared" si="6"/>
        <v>2024-08</v>
      </c>
      <c r="U1899" s="112" t="str">
        <f t="shared" si="7"/>
        <v>2024-H2</v>
      </c>
      <c r="V1899" s="1" t="str">
        <f>VLOOKUP(B1899,Bounties!A:E,2,FALSE)</f>
        <v>Spanish Bounty</v>
      </c>
    </row>
    <row r="1900" hidden="1">
      <c r="A1900" s="109">
        <f>HYPERLINK("https://polkadot.subsquare.io/treasury/child-bounties/1923", 1923)</f>
        <v>1923</v>
      </c>
      <c r="B1900" s="183">
        <v>42.0</v>
      </c>
      <c r="C1900" s="27" t="s">
        <v>3404</v>
      </c>
      <c r="D1900" s="27" t="s">
        <v>2340</v>
      </c>
      <c r="E1900" s="129">
        <v>7.18</v>
      </c>
      <c r="F1900" s="66">
        <v>33.70069977760315</v>
      </c>
      <c r="G1900" s="27" t="s">
        <v>3751</v>
      </c>
      <c r="H1900" s="167">
        <v>45523.0</v>
      </c>
      <c r="I1900" s="167">
        <v>45538.0</v>
      </c>
      <c r="J1900" s="66">
        <v>28.429001688957214</v>
      </c>
      <c r="M1900" s="1" t="str">
        <f>VLOOKUP(B1900,Bounties!A:D,3,FALSE)</f>
        <v>Outreach</v>
      </c>
      <c r="N1900" s="1" t="str">
        <f>VLOOKUP(B1900,Bounties!A:D,4,FALSE)</f>
        <v>Media</v>
      </c>
      <c r="O1900" s="1" t="str">
        <f t="shared" ref="O1900:P1900" si="1904">IF(ISBLANK(K1900),M1900,K1900)</f>
        <v>Outreach</v>
      </c>
      <c r="P1900" s="1" t="str">
        <f t="shared" si="1904"/>
        <v>Media</v>
      </c>
      <c r="Q1900" s="108" t="str">
        <f t="shared" si="3"/>
        <v>2024</v>
      </c>
      <c r="R1900" s="110">
        <f t="shared" si="4"/>
        <v>9</v>
      </c>
      <c r="S1900" s="108" t="str">
        <f t="shared" si="5"/>
        <v>2024-Q3</v>
      </c>
      <c r="T1900" s="111" t="str">
        <f t="shared" si="6"/>
        <v>2024-09</v>
      </c>
      <c r="U1900" s="112" t="str">
        <f t="shared" si="7"/>
        <v>2024-H2</v>
      </c>
      <c r="V1900" s="1" t="str">
        <f>VLOOKUP(B1900,Bounties!A:E,2,FALSE)</f>
        <v>Spanish Bounty</v>
      </c>
    </row>
    <row r="1901" hidden="1">
      <c r="A1901" s="109">
        <f>HYPERLINK("https://polkadot.subsquare.io/treasury/child-bounties/1924", 1924)</f>
        <v>1924</v>
      </c>
      <c r="B1901" s="183">
        <v>42.0</v>
      </c>
      <c r="C1901" s="27" t="s">
        <v>3404</v>
      </c>
      <c r="D1901" s="27" t="s">
        <v>2341</v>
      </c>
      <c r="E1901" s="129">
        <v>9.94</v>
      </c>
      <c r="F1901" s="66">
        <v>46.65528632164001</v>
      </c>
      <c r="G1901" s="27" t="s">
        <v>3687</v>
      </c>
      <c r="H1901" s="167">
        <v>45523.0</v>
      </c>
      <c r="I1901" s="167">
        <v>45531.0</v>
      </c>
      <c r="J1901" s="66">
        <v>42.52814860343933</v>
      </c>
      <c r="M1901" s="1" t="str">
        <f>VLOOKUP(B1901,Bounties!A:D,3,FALSE)</f>
        <v>Outreach</v>
      </c>
      <c r="N1901" s="1" t="str">
        <f>VLOOKUP(B1901,Bounties!A:D,4,FALSE)</f>
        <v>Media</v>
      </c>
      <c r="O1901" s="1" t="str">
        <f t="shared" ref="O1901:P1901" si="1905">IF(ISBLANK(K1901),M1901,K1901)</f>
        <v>Outreach</v>
      </c>
      <c r="P1901" s="1" t="str">
        <f t="shared" si="1905"/>
        <v>Media</v>
      </c>
      <c r="Q1901" s="108" t="str">
        <f t="shared" si="3"/>
        <v>2024</v>
      </c>
      <c r="R1901" s="110">
        <f t="shared" si="4"/>
        <v>8</v>
      </c>
      <c r="S1901" s="108" t="str">
        <f t="shared" si="5"/>
        <v>2024-Q3</v>
      </c>
      <c r="T1901" s="111" t="str">
        <f t="shared" si="6"/>
        <v>2024-08</v>
      </c>
      <c r="U1901" s="112" t="str">
        <f t="shared" si="7"/>
        <v>2024-H2</v>
      </c>
      <c r="V1901" s="1" t="str">
        <f>VLOOKUP(B1901,Bounties!A:E,2,FALSE)</f>
        <v>Spanish Bounty</v>
      </c>
    </row>
    <row r="1902" hidden="1">
      <c r="A1902" s="109">
        <f>HYPERLINK("https://polkadot.subsquare.io/treasury/child-bounties/1925", 1925)</f>
        <v>1925</v>
      </c>
      <c r="B1902" s="183">
        <v>42.0</v>
      </c>
      <c r="C1902" s="27" t="s">
        <v>3404</v>
      </c>
      <c r="D1902" s="27" t="s">
        <v>2342</v>
      </c>
      <c r="E1902" s="129">
        <v>29.87</v>
      </c>
      <c r="F1902" s="66">
        <v>140.2005435037613</v>
      </c>
      <c r="G1902" s="27" t="s">
        <v>3703</v>
      </c>
      <c r="H1902" s="167">
        <v>45523.0</v>
      </c>
      <c r="I1902" s="167">
        <v>45531.0</v>
      </c>
      <c r="J1902" s="66">
        <v>127.7983700990677</v>
      </c>
      <c r="M1902" s="1" t="str">
        <f>VLOOKUP(B1902,Bounties!A:D,3,FALSE)</f>
        <v>Outreach</v>
      </c>
      <c r="N1902" s="1" t="str">
        <f>VLOOKUP(B1902,Bounties!A:D,4,FALSE)</f>
        <v>Media</v>
      </c>
      <c r="O1902" s="1" t="str">
        <f t="shared" ref="O1902:P1902" si="1906">IF(ISBLANK(K1902),M1902,K1902)</f>
        <v>Outreach</v>
      </c>
      <c r="P1902" s="1" t="str">
        <f t="shared" si="1906"/>
        <v>Media</v>
      </c>
      <c r="Q1902" s="108" t="str">
        <f t="shared" si="3"/>
        <v>2024</v>
      </c>
      <c r="R1902" s="110">
        <f t="shared" si="4"/>
        <v>8</v>
      </c>
      <c r="S1902" s="108" t="str">
        <f t="shared" si="5"/>
        <v>2024-Q3</v>
      </c>
      <c r="T1902" s="111" t="str">
        <f t="shared" si="6"/>
        <v>2024-08</v>
      </c>
      <c r="U1902" s="112" t="str">
        <f t="shared" si="7"/>
        <v>2024-H2</v>
      </c>
      <c r="V1902" s="1" t="str">
        <f>VLOOKUP(B1902,Bounties!A:E,2,FALSE)</f>
        <v>Spanish Bounty</v>
      </c>
    </row>
    <row r="1903" hidden="1">
      <c r="A1903" s="109">
        <f>HYPERLINK("https://polkadot.subsquare.io/treasury/child-bounties/1926", 1926)</f>
        <v>1926</v>
      </c>
      <c r="B1903" s="183">
        <v>42.0</v>
      </c>
      <c r="C1903" s="27" t="s">
        <v>3404</v>
      </c>
      <c r="D1903" s="27" t="s">
        <v>2343</v>
      </c>
      <c r="E1903" s="129">
        <v>7.66</v>
      </c>
      <c r="F1903" s="66">
        <v>35.95367135047913</v>
      </c>
      <c r="G1903" s="27" t="s">
        <v>3702</v>
      </c>
      <c r="H1903" s="167">
        <v>45523.0</v>
      </c>
      <c r="I1903" s="167">
        <v>45531.0</v>
      </c>
      <c r="J1903" s="66">
        <v>32.773201036453244</v>
      </c>
      <c r="M1903" s="1" t="str">
        <f>VLOOKUP(B1903,Bounties!A:D,3,FALSE)</f>
        <v>Outreach</v>
      </c>
      <c r="N1903" s="1" t="str">
        <f>VLOOKUP(B1903,Bounties!A:D,4,FALSE)</f>
        <v>Media</v>
      </c>
      <c r="O1903" s="1" t="str">
        <f t="shared" ref="O1903:P1903" si="1907">IF(ISBLANK(K1903),M1903,K1903)</f>
        <v>Outreach</v>
      </c>
      <c r="P1903" s="1" t="str">
        <f t="shared" si="1907"/>
        <v>Media</v>
      </c>
      <c r="Q1903" s="108" t="str">
        <f t="shared" si="3"/>
        <v>2024</v>
      </c>
      <c r="R1903" s="110">
        <f t="shared" si="4"/>
        <v>8</v>
      </c>
      <c r="S1903" s="108" t="str">
        <f t="shared" si="5"/>
        <v>2024-Q3</v>
      </c>
      <c r="T1903" s="111" t="str">
        <f t="shared" si="6"/>
        <v>2024-08</v>
      </c>
      <c r="U1903" s="112" t="str">
        <f t="shared" si="7"/>
        <v>2024-H2</v>
      </c>
      <c r="V1903" s="1" t="str">
        <f>VLOOKUP(B1903,Bounties!A:E,2,FALSE)</f>
        <v>Spanish Bounty</v>
      </c>
    </row>
    <row r="1904" hidden="1">
      <c r="A1904" s="109">
        <f>HYPERLINK("https://polkadot.subsquare.io/treasury/child-bounties/1927", 1927)</f>
        <v>1927</v>
      </c>
      <c r="B1904" s="183">
        <v>42.0</v>
      </c>
      <c r="C1904" s="27" t="s">
        <v>3404</v>
      </c>
      <c r="D1904" s="27" t="s">
        <v>2344</v>
      </c>
      <c r="E1904" s="129">
        <v>26.25</v>
      </c>
      <c r="F1904" s="66">
        <v>123.20938289165497</v>
      </c>
      <c r="G1904" s="27" t="s">
        <v>3704</v>
      </c>
      <c r="H1904" s="167">
        <v>45523.0</v>
      </c>
      <c r="I1904" s="167">
        <v>45533.0</v>
      </c>
      <c r="J1904" s="66">
        <v>106.93273365497589</v>
      </c>
      <c r="M1904" s="1" t="str">
        <f>VLOOKUP(B1904,Bounties!A:D,3,FALSE)</f>
        <v>Outreach</v>
      </c>
      <c r="N1904" s="1" t="str">
        <f>VLOOKUP(B1904,Bounties!A:D,4,FALSE)</f>
        <v>Media</v>
      </c>
      <c r="O1904" s="1" t="str">
        <f t="shared" ref="O1904:P1904" si="1908">IF(ISBLANK(K1904),M1904,K1904)</f>
        <v>Outreach</v>
      </c>
      <c r="P1904" s="1" t="str">
        <f t="shared" si="1908"/>
        <v>Media</v>
      </c>
      <c r="Q1904" s="108" t="str">
        <f t="shared" si="3"/>
        <v>2024</v>
      </c>
      <c r="R1904" s="110">
        <f t="shared" si="4"/>
        <v>8</v>
      </c>
      <c r="S1904" s="108" t="str">
        <f t="shared" si="5"/>
        <v>2024-Q3</v>
      </c>
      <c r="T1904" s="111" t="str">
        <f t="shared" si="6"/>
        <v>2024-08</v>
      </c>
      <c r="U1904" s="112" t="str">
        <f t="shared" si="7"/>
        <v>2024-H2</v>
      </c>
      <c r="V1904" s="1" t="str">
        <f>VLOOKUP(B1904,Bounties!A:E,2,FALSE)</f>
        <v>Spanish Bounty</v>
      </c>
    </row>
    <row r="1905" hidden="1">
      <c r="A1905" s="109">
        <f>HYPERLINK("https://polkadot.subsquare.io/treasury/child-bounties/1928", 1928)</f>
        <v>1928</v>
      </c>
      <c r="B1905" s="183">
        <v>42.0</v>
      </c>
      <c r="C1905" s="27" t="s">
        <v>3404</v>
      </c>
      <c r="D1905" s="27" t="s">
        <v>2345</v>
      </c>
      <c r="E1905" s="129">
        <v>91.21</v>
      </c>
      <c r="F1905" s="66">
        <v>428.11153575420377</v>
      </c>
      <c r="G1905" s="27" t="s">
        <v>3675</v>
      </c>
      <c r="H1905" s="167">
        <v>45523.0</v>
      </c>
      <c r="I1905" s="167">
        <v>45536.0</v>
      </c>
      <c r="J1905" s="66">
        <v>370.57802839279174</v>
      </c>
      <c r="M1905" s="1" t="str">
        <f>VLOOKUP(B1905,Bounties!A:D,3,FALSE)</f>
        <v>Outreach</v>
      </c>
      <c r="N1905" s="1" t="str">
        <f>VLOOKUP(B1905,Bounties!A:D,4,FALSE)</f>
        <v>Media</v>
      </c>
      <c r="O1905" s="1" t="str">
        <f t="shared" ref="O1905:P1905" si="1909">IF(ISBLANK(K1905),M1905,K1905)</f>
        <v>Outreach</v>
      </c>
      <c r="P1905" s="1" t="str">
        <f t="shared" si="1909"/>
        <v>Media</v>
      </c>
      <c r="Q1905" s="108" t="str">
        <f t="shared" si="3"/>
        <v>2024</v>
      </c>
      <c r="R1905" s="110">
        <f t="shared" si="4"/>
        <v>9</v>
      </c>
      <c r="S1905" s="108" t="str">
        <f t="shared" si="5"/>
        <v>2024-Q3</v>
      </c>
      <c r="T1905" s="111" t="str">
        <f t="shared" si="6"/>
        <v>2024-09</v>
      </c>
      <c r="U1905" s="112" t="str">
        <f t="shared" si="7"/>
        <v>2024-H2</v>
      </c>
      <c r="V1905" s="1" t="str">
        <f>VLOOKUP(B1905,Bounties!A:E,2,FALSE)</f>
        <v>Spanish Bounty</v>
      </c>
    </row>
    <row r="1906" hidden="1">
      <c r="A1906" s="109">
        <f>HYPERLINK("https://polkadot.subsquare.io/treasury/child-bounties/1929", 1929)</f>
        <v>1929</v>
      </c>
      <c r="B1906" s="183">
        <v>42.0</v>
      </c>
      <c r="C1906" s="27" t="s">
        <v>3404</v>
      </c>
      <c r="D1906" s="27" t="s">
        <v>2346</v>
      </c>
      <c r="E1906" s="129">
        <v>28.36</v>
      </c>
      <c r="F1906" s="66">
        <v>133.1130704307556</v>
      </c>
      <c r="G1906" s="27" t="s">
        <v>3763</v>
      </c>
      <c r="H1906" s="167">
        <v>45523.0</v>
      </c>
      <c r="I1906" s="167">
        <v>45536.0</v>
      </c>
      <c r="J1906" s="66">
        <v>115.22412986755371</v>
      </c>
      <c r="M1906" s="1" t="str">
        <f>VLOOKUP(B1906,Bounties!A:D,3,FALSE)</f>
        <v>Outreach</v>
      </c>
      <c r="N1906" s="1" t="str">
        <f>VLOOKUP(B1906,Bounties!A:D,4,FALSE)</f>
        <v>Media</v>
      </c>
      <c r="O1906" s="1" t="str">
        <f t="shared" ref="O1906:P1906" si="1910">IF(ISBLANK(K1906),M1906,K1906)</f>
        <v>Outreach</v>
      </c>
      <c r="P1906" s="1" t="str">
        <f t="shared" si="1910"/>
        <v>Media</v>
      </c>
      <c r="Q1906" s="108" t="str">
        <f t="shared" si="3"/>
        <v>2024</v>
      </c>
      <c r="R1906" s="110">
        <f t="shared" si="4"/>
        <v>9</v>
      </c>
      <c r="S1906" s="108" t="str">
        <f t="shared" si="5"/>
        <v>2024-Q3</v>
      </c>
      <c r="T1906" s="111" t="str">
        <f t="shared" si="6"/>
        <v>2024-09</v>
      </c>
      <c r="U1906" s="112" t="str">
        <f t="shared" si="7"/>
        <v>2024-H2</v>
      </c>
      <c r="V1906" s="1" t="str">
        <f>VLOOKUP(B1906,Bounties!A:E,2,FALSE)</f>
        <v>Spanish Bounty</v>
      </c>
    </row>
    <row r="1907" hidden="1">
      <c r="A1907" s="109">
        <f>HYPERLINK("https://polkadot.subsquare.io/treasury/child-bounties/1930", 1930)</f>
        <v>1930</v>
      </c>
      <c r="B1907" s="183">
        <v>42.0</v>
      </c>
      <c r="C1907" s="27" t="s">
        <v>3404</v>
      </c>
      <c r="D1907" s="27" t="s">
        <v>2347</v>
      </c>
      <c r="E1907" s="129">
        <v>9.77</v>
      </c>
      <c r="F1907" s="66">
        <v>45.85735888957977</v>
      </c>
      <c r="G1907" s="27" t="s">
        <v>3687</v>
      </c>
      <c r="H1907" s="167">
        <v>45523.0</v>
      </c>
      <c r="I1907" s="167">
        <v>45536.0</v>
      </c>
      <c r="J1907" s="66">
        <v>39.69463148117065</v>
      </c>
      <c r="M1907" s="1" t="str">
        <f>VLOOKUP(B1907,Bounties!A:D,3,FALSE)</f>
        <v>Outreach</v>
      </c>
      <c r="N1907" s="1" t="str">
        <f>VLOOKUP(B1907,Bounties!A:D,4,FALSE)</f>
        <v>Media</v>
      </c>
      <c r="O1907" s="1" t="str">
        <f t="shared" ref="O1907:P1907" si="1911">IF(ISBLANK(K1907),M1907,K1907)</f>
        <v>Outreach</v>
      </c>
      <c r="P1907" s="1" t="str">
        <f t="shared" si="1911"/>
        <v>Media</v>
      </c>
      <c r="Q1907" s="108" t="str">
        <f t="shared" si="3"/>
        <v>2024</v>
      </c>
      <c r="R1907" s="110">
        <f t="shared" si="4"/>
        <v>9</v>
      </c>
      <c r="S1907" s="108" t="str">
        <f t="shared" si="5"/>
        <v>2024-Q3</v>
      </c>
      <c r="T1907" s="111" t="str">
        <f t="shared" si="6"/>
        <v>2024-09</v>
      </c>
      <c r="U1907" s="112" t="str">
        <f t="shared" si="7"/>
        <v>2024-H2</v>
      </c>
      <c r="V1907" s="1" t="str">
        <f>VLOOKUP(B1907,Bounties!A:E,2,FALSE)</f>
        <v>Spanish Bounty</v>
      </c>
    </row>
    <row r="1908" hidden="1">
      <c r="A1908" s="109">
        <f>HYPERLINK("https://polkadot.subsquare.io/treasury/child-bounties/1931", 1931)</f>
        <v>1931</v>
      </c>
      <c r="B1908" s="183">
        <v>42.0</v>
      </c>
      <c r="C1908" s="27" t="s">
        <v>3404</v>
      </c>
      <c r="D1908" s="27" t="s">
        <v>2348</v>
      </c>
      <c r="E1908" s="129">
        <v>23.49</v>
      </c>
      <c r="F1908" s="66">
        <v>110.2547963476181</v>
      </c>
      <c r="G1908" s="27" t="s">
        <v>3777</v>
      </c>
      <c r="H1908" s="167">
        <v>45523.0</v>
      </c>
      <c r="I1908" s="167">
        <v>45536.0</v>
      </c>
      <c r="J1908" s="66">
        <v>96.54277184486388</v>
      </c>
      <c r="M1908" s="1" t="str">
        <f>VLOOKUP(B1908,Bounties!A:D,3,FALSE)</f>
        <v>Outreach</v>
      </c>
      <c r="N1908" s="1" t="str">
        <f>VLOOKUP(B1908,Bounties!A:D,4,FALSE)</f>
        <v>Media</v>
      </c>
      <c r="O1908" s="1" t="str">
        <f t="shared" ref="O1908:P1908" si="1912">IF(ISBLANK(K1908),M1908,K1908)</f>
        <v>Outreach</v>
      </c>
      <c r="P1908" s="1" t="str">
        <f t="shared" si="1912"/>
        <v>Media</v>
      </c>
      <c r="Q1908" s="108" t="str">
        <f t="shared" si="3"/>
        <v>2024</v>
      </c>
      <c r="R1908" s="110">
        <f t="shared" si="4"/>
        <v>9</v>
      </c>
      <c r="S1908" s="108" t="str">
        <f t="shared" si="5"/>
        <v>2024-Q3</v>
      </c>
      <c r="T1908" s="111" t="str">
        <f t="shared" si="6"/>
        <v>2024-09</v>
      </c>
      <c r="U1908" s="112" t="str">
        <f t="shared" si="7"/>
        <v>2024-H2</v>
      </c>
      <c r="V1908" s="1" t="str">
        <f>VLOOKUP(B1908,Bounties!A:E,2,FALSE)</f>
        <v>Spanish Bounty</v>
      </c>
    </row>
    <row r="1909" hidden="1">
      <c r="A1909" s="109">
        <f>HYPERLINK("https://polkadot.subsquare.io/treasury/child-bounties/1932", 1932)</f>
        <v>1932</v>
      </c>
      <c r="B1909" s="183">
        <v>42.0</v>
      </c>
      <c r="C1909" s="27" t="s">
        <v>3404</v>
      </c>
      <c r="D1909" s="27" t="s">
        <v>2349</v>
      </c>
      <c r="E1909" s="129">
        <v>107.12</v>
      </c>
      <c r="F1909" s="66">
        <v>502.7881560134888</v>
      </c>
      <c r="G1909" s="27" t="s">
        <v>3676</v>
      </c>
      <c r="H1909" s="167">
        <v>45523.0</v>
      </c>
      <c r="I1909" s="167">
        <v>45536.0</v>
      </c>
      <c r="J1909" s="66">
        <v>440.258055343628</v>
      </c>
      <c r="M1909" s="1" t="str">
        <f>VLOOKUP(B1909,Bounties!A:D,3,FALSE)</f>
        <v>Outreach</v>
      </c>
      <c r="N1909" s="1" t="str">
        <f>VLOOKUP(B1909,Bounties!A:D,4,FALSE)</f>
        <v>Media</v>
      </c>
      <c r="O1909" s="1" t="str">
        <f t="shared" ref="O1909:P1909" si="1913">IF(ISBLANK(K1909),M1909,K1909)</f>
        <v>Outreach</v>
      </c>
      <c r="P1909" s="1" t="str">
        <f t="shared" si="1913"/>
        <v>Media</v>
      </c>
      <c r="Q1909" s="108" t="str">
        <f t="shared" si="3"/>
        <v>2024</v>
      </c>
      <c r="R1909" s="110">
        <f t="shared" si="4"/>
        <v>9</v>
      </c>
      <c r="S1909" s="108" t="str">
        <f t="shared" si="5"/>
        <v>2024-Q3</v>
      </c>
      <c r="T1909" s="111" t="str">
        <f t="shared" si="6"/>
        <v>2024-09</v>
      </c>
      <c r="U1909" s="112" t="str">
        <f t="shared" si="7"/>
        <v>2024-H2</v>
      </c>
      <c r="V1909" s="1" t="str">
        <f>VLOOKUP(B1909,Bounties!A:E,2,FALSE)</f>
        <v>Spanish Bounty</v>
      </c>
    </row>
    <row r="1910" hidden="1">
      <c r="A1910" s="109">
        <f>HYPERLINK("https://polkadot.subsquare.io/treasury/child-bounties/1933", 1933)</f>
        <v>1933</v>
      </c>
      <c r="B1910" s="183">
        <v>42.0</v>
      </c>
      <c r="C1910" s="27" t="s">
        <v>3404</v>
      </c>
      <c r="D1910" s="27" t="s">
        <v>2350</v>
      </c>
      <c r="E1910" s="129">
        <v>114.8</v>
      </c>
      <c r="F1910" s="66">
        <v>538.8357011795043</v>
      </c>
      <c r="G1910" s="27" t="s">
        <v>3751</v>
      </c>
      <c r="H1910" s="167">
        <v>45523.0</v>
      </c>
      <c r="I1910" s="167">
        <v>45555.0</v>
      </c>
      <c r="J1910" s="66">
        <v>511.4879657745361</v>
      </c>
      <c r="M1910" s="1" t="str">
        <f>VLOOKUP(B1910,Bounties!A:D,3,FALSE)</f>
        <v>Outreach</v>
      </c>
      <c r="N1910" s="1" t="str">
        <f>VLOOKUP(B1910,Bounties!A:D,4,FALSE)</f>
        <v>Media</v>
      </c>
      <c r="O1910" s="1" t="str">
        <f t="shared" ref="O1910:P1910" si="1914">IF(ISBLANK(K1910),M1910,K1910)</f>
        <v>Outreach</v>
      </c>
      <c r="P1910" s="1" t="str">
        <f t="shared" si="1914"/>
        <v>Media</v>
      </c>
      <c r="Q1910" s="108" t="str">
        <f t="shared" si="3"/>
        <v>2024</v>
      </c>
      <c r="R1910" s="110">
        <f t="shared" si="4"/>
        <v>9</v>
      </c>
      <c r="S1910" s="108" t="str">
        <f t="shared" si="5"/>
        <v>2024-Q3</v>
      </c>
      <c r="T1910" s="111" t="str">
        <f t="shared" si="6"/>
        <v>2024-09</v>
      </c>
      <c r="U1910" s="112" t="str">
        <f t="shared" si="7"/>
        <v>2024-H2</v>
      </c>
      <c r="V1910" s="1" t="str">
        <f>VLOOKUP(B1910,Bounties!A:E,2,FALSE)</f>
        <v>Spanish Bounty</v>
      </c>
    </row>
    <row r="1911" hidden="1">
      <c r="A1911" s="109">
        <f>HYPERLINK("https://polkadot.subsquare.io/treasury/child-bounties/1934", 1934)</f>
        <v>1934</v>
      </c>
      <c r="B1911" s="183">
        <v>42.0</v>
      </c>
      <c r="C1911" s="27" t="s">
        <v>3404</v>
      </c>
      <c r="D1911" s="27" t="s">
        <v>2351</v>
      </c>
      <c r="E1911" s="129">
        <v>37.16</v>
      </c>
      <c r="F1911" s="66">
        <v>174.41754926681517</v>
      </c>
      <c r="G1911" s="27" t="s">
        <v>3702</v>
      </c>
      <c r="H1911" s="167">
        <v>45523.0</v>
      </c>
      <c r="I1911" s="167">
        <v>45536.0</v>
      </c>
      <c r="J1911" s="66">
        <v>150.97773857116698</v>
      </c>
      <c r="M1911" s="1" t="str">
        <f>VLOOKUP(B1911,Bounties!A:D,3,FALSE)</f>
        <v>Outreach</v>
      </c>
      <c r="N1911" s="1" t="str">
        <f>VLOOKUP(B1911,Bounties!A:D,4,FALSE)</f>
        <v>Media</v>
      </c>
      <c r="O1911" s="1" t="str">
        <f t="shared" ref="O1911:P1911" si="1915">IF(ISBLANK(K1911),M1911,K1911)</f>
        <v>Outreach</v>
      </c>
      <c r="P1911" s="1" t="str">
        <f t="shared" si="1915"/>
        <v>Media</v>
      </c>
      <c r="Q1911" s="108" t="str">
        <f t="shared" si="3"/>
        <v>2024</v>
      </c>
      <c r="R1911" s="110">
        <f t="shared" si="4"/>
        <v>9</v>
      </c>
      <c r="S1911" s="108" t="str">
        <f t="shared" si="5"/>
        <v>2024-Q3</v>
      </c>
      <c r="T1911" s="111" t="str">
        <f t="shared" si="6"/>
        <v>2024-09</v>
      </c>
      <c r="U1911" s="112" t="str">
        <f t="shared" si="7"/>
        <v>2024-H2</v>
      </c>
      <c r="V1911" s="1" t="str">
        <f>VLOOKUP(B1911,Bounties!A:E,2,FALSE)</f>
        <v>Spanish Bounty</v>
      </c>
    </row>
    <row r="1912" hidden="1">
      <c r="A1912" s="109">
        <f>HYPERLINK("https://polkadot.subsquare.io/treasury/child-bounties/1935", 1935)</f>
        <v>1935</v>
      </c>
      <c r="B1912" s="183">
        <v>42.0</v>
      </c>
      <c r="C1912" s="27" t="s">
        <v>3404</v>
      </c>
      <c r="D1912" s="27" t="s">
        <v>2352</v>
      </c>
      <c r="E1912" s="129">
        <v>312.02</v>
      </c>
      <c r="F1912" s="66">
        <v>1464.5253961849212</v>
      </c>
      <c r="G1912" s="27" t="s">
        <v>3768</v>
      </c>
      <c r="H1912" s="167">
        <v>45523.0</v>
      </c>
      <c r="I1912" s="167">
        <v>45531.0</v>
      </c>
      <c r="J1912" s="66">
        <v>1334.9731315135955</v>
      </c>
      <c r="M1912" s="1" t="str">
        <f>VLOOKUP(B1912,Bounties!A:D,3,FALSE)</f>
        <v>Outreach</v>
      </c>
      <c r="N1912" s="1" t="str">
        <f>VLOOKUP(B1912,Bounties!A:D,4,FALSE)</f>
        <v>Media</v>
      </c>
      <c r="O1912" s="1" t="str">
        <f t="shared" ref="O1912:P1912" si="1916">IF(ISBLANK(K1912),M1912,K1912)</f>
        <v>Outreach</v>
      </c>
      <c r="P1912" s="1" t="str">
        <f t="shared" si="1916"/>
        <v>Media</v>
      </c>
      <c r="Q1912" s="108" t="str">
        <f t="shared" si="3"/>
        <v>2024</v>
      </c>
      <c r="R1912" s="110">
        <f t="shared" si="4"/>
        <v>8</v>
      </c>
      <c r="S1912" s="108" t="str">
        <f t="shared" si="5"/>
        <v>2024-Q3</v>
      </c>
      <c r="T1912" s="111" t="str">
        <f t="shared" si="6"/>
        <v>2024-08</v>
      </c>
      <c r="U1912" s="112" t="str">
        <f t="shared" si="7"/>
        <v>2024-H2</v>
      </c>
      <c r="V1912" s="1" t="str">
        <f>VLOOKUP(B1912,Bounties!A:E,2,FALSE)</f>
        <v>Spanish Bounty</v>
      </c>
    </row>
    <row r="1913" hidden="1">
      <c r="A1913" s="109">
        <f>HYPERLINK("https://polkadot.subsquare.io/treasury/child-bounties/1936", 1936)</f>
        <v>1936</v>
      </c>
      <c r="B1913" s="183">
        <v>42.0</v>
      </c>
      <c r="C1913" s="27" t="s">
        <v>3404</v>
      </c>
      <c r="D1913" s="27" t="s">
        <v>2353</v>
      </c>
      <c r="E1913" s="129">
        <v>312.02</v>
      </c>
      <c r="F1913" s="66">
        <v>1464.5253961849212</v>
      </c>
      <c r="G1913" s="27" t="s">
        <v>3695</v>
      </c>
      <c r="H1913" s="167">
        <v>45523.0</v>
      </c>
      <c r="I1913" s="167">
        <v>45531.0</v>
      </c>
      <c r="J1913" s="66">
        <v>1334.9731315135955</v>
      </c>
      <c r="M1913" s="1" t="str">
        <f>VLOOKUP(B1913,Bounties!A:D,3,FALSE)</f>
        <v>Outreach</v>
      </c>
      <c r="N1913" s="1" t="str">
        <f>VLOOKUP(B1913,Bounties!A:D,4,FALSE)</f>
        <v>Media</v>
      </c>
      <c r="O1913" s="1" t="str">
        <f t="shared" ref="O1913:P1913" si="1917">IF(ISBLANK(K1913),M1913,K1913)</f>
        <v>Outreach</v>
      </c>
      <c r="P1913" s="1" t="str">
        <f t="shared" si="1917"/>
        <v>Media</v>
      </c>
      <c r="Q1913" s="108" t="str">
        <f t="shared" si="3"/>
        <v>2024</v>
      </c>
      <c r="R1913" s="110">
        <f t="shared" si="4"/>
        <v>8</v>
      </c>
      <c r="S1913" s="108" t="str">
        <f t="shared" si="5"/>
        <v>2024-Q3</v>
      </c>
      <c r="T1913" s="111" t="str">
        <f t="shared" si="6"/>
        <v>2024-08</v>
      </c>
      <c r="U1913" s="112" t="str">
        <f t="shared" si="7"/>
        <v>2024-H2</v>
      </c>
      <c r="V1913" s="1" t="str">
        <f>VLOOKUP(B1913,Bounties!A:E,2,FALSE)</f>
        <v>Spanish Bounty</v>
      </c>
    </row>
    <row r="1914" hidden="1">
      <c r="A1914" s="109">
        <f>HYPERLINK("https://polkadot.subsquare.io/treasury/child-bounties/1937", 1937)</f>
        <v>1937</v>
      </c>
      <c r="B1914" s="183">
        <v>42.0</v>
      </c>
      <c r="C1914" s="27" t="s">
        <v>3404</v>
      </c>
      <c r="D1914" s="27" t="s">
        <v>2354</v>
      </c>
      <c r="E1914" s="129">
        <v>312.02</v>
      </c>
      <c r="F1914" s="66">
        <v>1464.5253961849212</v>
      </c>
      <c r="G1914" s="27" t="s">
        <v>3693</v>
      </c>
      <c r="H1914" s="167">
        <v>45523.0</v>
      </c>
      <c r="I1914" s="167">
        <v>45531.0</v>
      </c>
      <c r="J1914" s="66">
        <v>1334.9731315135955</v>
      </c>
      <c r="M1914" s="1" t="str">
        <f>VLOOKUP(B1914,Bounties!A:D,3,FALSE)</f>
        <v>Outreach</v>
      </c>
      <c r="N1914" s="1" t="str">
        <f>VLOOKUP(B1914,Bounties!A:D,4,FALSE)</f>
        <v>Media</v>
      </c>
      <c r="O1914" s="1" t="str">
        <f t="shared" ref="O1914:P1914" si="1918">IF(ISBLANK(K1914),M1914,K1914)</f>
        <v>Outreach</v>
      </c>
      <c r="P1914" s="1" t="str">
        <f t="shared" si="1918"/>
        <v>Media</v>
      </c>
      <c r="Q1914" s="108" t="str">
        <f t="shared" si="3"/>
        <v>2024</v>
      </c>
      <c r="R1914" s="110">
        <f t="shared" si="4"/>
        <v>8</v>
      </c>
      <c r="S1914" s="108" t="str">
        <f t="shared" si="5"/>
        <v>2024-Q3</v>
      </c>
      <c r="T1914" s="111" t="str">
        <f t="shared" si="6"/>
        <v>2024-08</v>
      </c>
      <c r="U1914" s="112" t="str">
        <f t="shared" si="7"/>
        <v>2024-H2</v>
      </c>
      <c r="V1914" s="1" t="str">
        <f>VLOOKUP(B1914,Bounties!A:E,2,FALSE)</f>
        <v>Spanish Bounty</v>
      </c>
    </row>
    <row r="1915" hidden="1">
      <c r="A1915" s="109">
        <f>HYPERLINK("https://polkadot.subsquare.io/treasury/child-bounties/1938", 1938)</f>
        <v>1938</v>
      </c>
      <c r="B1915" s="183">
        <v>42.0</v>
      </c>
      <c r="C1915" s="27" t="s">
        <v>3404</v>
      </c>
      <c r="D1915" s="27" t="s">
        <v>2355</v>
      </c>
      <c r="E1915" s="129">
        <v>111.44</v>
      </c>
      <c r="F1915" s="66">
        <v>523.0649001693725</v>
      </c>
      <c r="G1915" s="27" t="s">
        <v>3691</v>
      </c>
      <c r="H1915" s="167">
        <v>45523.0</v>
      </c>
      <c r="I1915" s="167">
        <v>45531.0</v>
      </c>
      <c r="J1915" s="66">
        <v>476.7944547653198</v>
      </c>
      <c r="M1915" s="1" t="str">
        <f>VLOOKUP(B1915,Bounties!A:D,3,FALSE)</f>
        <v>Outreach</v>
      </c>
      <c r="N1915" s="1" t="str">
        <f>VLOOKUP(B1915,Bounties!A:D,4,FALSE)</f>
        <v>Media</v>
      </c>
      <c r="O1915" s="1" t="str">
        <f t="shared" ref="O1915:P1915" si="1919">IF(ISBLANK(K1915),M1915,K1915)</f>
        <v>Outreach</v>
      </c>
      <c r="P1915" s="1" t="str">
        <f t="shared" si="1919"/>
        <v>Media</v>
      </c>
      <c r="Q1915" s="108" t="str">
        <f t="shared" si="3"/>
        <v>2024</v>
      </c>
      <c r="R1915" s="110">
        <f t="shared" si="4"/>
        <v>8</v>
      </c>
      <c r="S1915" s="108" t="str">
        <f t="shared" si="5"/>
        <v>2024-Q3</v>
      </c>
      <c r="T1915" s="111" t="str">
        <f t="shared" si="6"/>
        <v>2024-08</v>
      </c>
      <c r="U1915" s="112" t="str">
        <f t="shared" si="7"/>
        <v>2024-H2</v>
      </c>
      <c r="V1915" s="1" t="str">
        <f>VLOOKUP(B1915,Bounties!A:E,2,FALSE)</f>
        <v>Spanish Bounty</v>
      </c>
    </row>
    <row r="1916" hidden="1">
      <c r="A1916" s="109">
        <f>HYPERLINK("https://polkadot.subsquare.io/treasury/child-bounties/1939", 1939)</f>
        <v>1939</v>
      </c>
      <c r="B1916" s="183">
        <v>42.0</v>
      </c>
      <c r="C1916" s="27" t="s">
        <v>3404</v>
      </c>
      <c r="D1916" s="27" t="s">
        <v>2356</v>
      </c>
      <c r="E1916" s="129">
        <v>312.02</v>
      </c>
      <c r="F1916" s="66">
        <v>1464.5253961849212</v>
      </c>
      <c r="G1916" s="27" t="s">
        <v>3677</v>
      </c>
      <c r="H1916" s="167">
        <v>45523.0</v>
      </c>
      <c r="I1916" s="167">
        <v>45531.0</v>
      </c>
      <c r="J1916" s="66">
        <v>1334.9731315135955</v>
      </c>
      <c r="M1916" s="1" t="str">
        <f>VLOOKUP(B1916,Bounties!A:D,3,FALSE)</f>
        <v>Outreach</v>
      </c>
      <c r="N1916" s="1" t="str">
        <f>VLOOKUP(B1916,Bounties!A:D,4,FALSE)</f>
        <v>Media</v>
      </c>
      <c r="O1916" s="1" t="str">
        <f t="shared" ref="O1916:P1916" si="1920">IF(ISBLANK(K1916),M1916,K1916)</f>
        <v>Outreach</v>
      </c>
      <c r="P1916" s="1" t="str">
        <f t="shared" si="1920"/>
        <v>Media</v>
      </c>
      <c r="Q1916" s="108" t="str">
        <f t="shared" si="3"/>
        <v>2024</v>
      </c>
      <c r="R1916" s="110">
        <f t="shared" si="4"/>
        <v>8</v>
      </c>
      <c r="S1916" s="108" t="str">
        <f t="shared" si="5"/>
        <v>2024-Q3</v>
      </c>
      <c r="T1916" s="111" t="str">
        <f t="shared" si="6"/>
        <v>2024-08</v>
      </c>
      <c r="U1916" s="112" t="str">
        <f t="shared" si="7"/>
        <v>2024-H2</v>
      </c>
      <c r="V1916" s="1" t="str">
        <f>VLOOKUP(B1916,Bounties!A:E,2,FALSE)</f>
        <v>Spanish Bounty</v>
      </c>
    </row>
    <row r="1917" hidden="1">
      <c r="A1917" s="109">
        <f>HYPERLINK("https://polkadot.subsquare.io/treasury/child-bounties/1940", 1940)</f>
        <v>1940</v>
      </c>
      <c r="B1917" s="183">
        <v>42.0</v>
      </c>
      <c r="C1917" s="27" t="s">
        <v>3404</v>
      </c>
      <c r="D1917" s="27" t="s">
        <v>2357</v>
      </c>
      <c r="E1917" s="129">
        <v>312.02</v>
      </c>
      <c r="F1917" s="66">
        <v>1464.5253961849212</v>
      </c>
      <c r="G1917" s="27" t="s">
        <v>3694</v>
      </c>
      <c r="H1917" s="167">
        <v>45523.0</v>
      </c>
      <c r="I1917" s="167">
        <v>45531.0</v>
      </c>
      <c r="J1917" s="66">
        <v>1334.9731315135955</v>
      </c>
      <c r="M1917" s="1" t="str">
        <f>VLOOKUP(B1917,Bounties!A:D,3,FALSE)</f>
        <v>Outreach</v>
      </c>
      <c r="N1917" s="1" t="str">
        <f>VLOOKUP(B1917,Bounties!A:D,4,FALSE)</f>
        <v>Media</v>
      </c>
      <c r="O1917" s="1" t="str">
        <f t="shared" ref="O1917:P1917" si="1921">IF(ISBLANK(K1917),M1917,K1917)</f>
        <v>Outreach</v>
      </c>
      <c r="P1917" s="1" t="str">
        <f t="shared" si="1921"/>
        <v>Media</v>
      </c>
      <c r="Q1917" s="108" t="str">
        <f t="shared" si="3"/>
        <v>2024</v>
      </c>
      <c r="R1917" s="110">
        <f t="shared" si="4"/>
        <v>8</v>
      </c>
      <c r="S1917" s="108" t="str">
        <f t="shared" si="5"/>
        <v>2024-Q3</v>
      </c>
      <c r="T1917" s="111" t="str">
        <f t="shared" si="6"/>
        <v>2024-08</v>
      </c>
      <c r="U1917" s="112" t="str">
        <f t="shared" si="7"/>
        <v>2024-H2</v>
      </c>
      <c r="V1917" s="1" t="str">
        <f>VLOOKUP(B1917,Bounties!A:E,2,FALSE)</f>
        <v>Spanish Bounty</v>
      </c>
    </row>
    <row r="1918" hidden="1">
      <c r="A1918" s="109">
        <f>HYPERLINK("https://polkadot.subsquare.io/treasury/child-bounties/1941", 1941)</f>
        <v>1941</v>
      </c>
      <c r="B1918" s="183">
        <v>42.0</v>
      </c>
      <c r="C1918" s="27" t="s">
        <v>3404</v>
      </c>
      <c r="D1918" s="27" t="s">
        <v>2358</v>
      </c>
      <c r="E1918" s="129">
        <v>312.02</v>
      </c>
      <c r="F1918" s="66">
        <v>1464.5253961849212</v>
      </c>
      <c r="G1918" s="27" t="s">
        <v>3493</v>
      </c>
      <c r="H1918" s="167">
        <v>45523.0</v>
      </c>
      <c r="I1918" s="167">
        <v>45531.0</v>
      </c>
      <c r="J1918" s="66">
        <v>1334.9731315135955</v>
      </c>
      <c r="M1918" s="1" t="str">
        <f>VLOOKUP(B1918,Bounties!A:D,3,FALSE)</f>
        <v>Outreach</v>
      </c>
      <c r="N1918" s="1" t="str">
        <f>VLOOKUP(B1918,Bounties!A:D,4,FALSE)</f>
        <v>Media</v>
      </c>
      <c r="O1918" s="1" t="str">
        <f t="shared" ref="O1918:P1918" si="1922">IF(ISBLANK(K1918),M1918,K1918)</f>
        <v>Outreach</v>
      </c>
      <c r="P1918" s="1" t="str">
        <f t="shared" si="1922"/>
        <v>Media</v>
      </c>
      <c r="Q1918" s="108" t="str">
        <f t="shared" si="3"/>
        <v>2024</v>
      </c>
      <c r="R1918" s="110">
        <f t="shared" si="4"/>
        <v>8</v>
      </c>
      <c r="S1918" s="108" t="str">
        <f t="shared" si="5"/>
        <v>2024-Q3</v>
      </c>
      <c r="T1918" s="111" t="str">
        <f t="shared" si="6"/>
        <v>2024-08</v>
      </c>
      <c r="U1918" s="112" t="str">
        <f t="shared" si="7"/>
        <v>2024-H2</v>
      </c>
      <c r="V1918" s="1" t="str">
        <f>VLOOKUP(B1918,Bounties!A:E,2,FALSE)</f>
        <v>Spanish Bounty</v>
      </c>
    </row>
    <row r="1919" hidden="1">
      <c r="A1919" s="109">
        <f>HYPERLINK("https://polkadot.subsquare.io/treasury/child-bounties/1942", 1942)</f>
        <v>1942</v>
      </c>
      <c r="B1919" s="183">
        <v>42.0</v>
      </c>
      <c r="C1919" s="27" t="s">
        <v>3404</v>
      </c>
      <c r="D1919" s="27" t="s">
        <v>2359</v>
      </c>
      <c r="E1919" s="129">
        <v>312.02</v>
      </c>
      <c r="F1919" s="66">
        <v>1464.5253961849212</v>
      </c>
      <c r="G1919" s="27" t="s">
        <v>3690</v>
      </c>
      <c r="H1919" s="167">
        <v>45523.0</v>
      </c>
      <c r="I1919" s="167">
        <v>45531.0</v>
      </c>
      <c r="J1919" s="66">
        <v>1334.9731315135955</v>
      </c>
      <c r="M1919" s="1" t="str">
        <f>VLOOKUP(B1919,Bounties!A:D,3,FALSE)</f>
        <v>Outreach</v>
      </c>
      <c r="N1919" s="1" t="str">
        <f>VLOOKUP(B1919,Bounties!A:D,4,FALSE)</f>
        <v>Media</v>
      </c>
      <c r="O1919" s="1" t="str">
        <f t="shared" ref="O1919:P1919" si="1923">IF(ISBLANK(K1919),M1919,K1919)</f>
        <v>Outreach</v>
      </c>
      <c r="P1919" s="1" t="str">
        <f t="shared" si="1923"/>
        <v>Media</v>
      </c>
      <c r="Q1919" s="108" t="str">
        <f t="shared" si="3"/>
        <v>2024</v>
      </c>
      <c r="R1919" s="110">
        <f t="shared" si="4"/>
        <v>8</v>
      </c>
      <c r="S1919" s="108" t="str">
        <f t="shared" si="5"/>
        <v>2024-Q3</v>
      </c>
      <c r="T1919" s="111" t="str">
        <f t="shared" si="6"/>
        <v>2024-08</v>
      </c>
      <c r="U1919" s="112" t="str">
        <f t="shared" si="7"/>
        <v>2024-H2</v>
      </c>
      <c r="V1919" s="1" t="str">
        <f>VLOOKUP(B1919,Bounties!A:E,2,FALSE)</f>
        <v>Spanish Bounty</v>
      </c>
    </row>
    <row r="1920" hidden="1">
      <c r="A1920" s="109">
        <f>HYPERLINK("https://polkadot.subsquare.io/treasury/child-bounties/1943", 1943)</f>
        <v>1943</v>
      </c>
      <c r="B1920" s="183">
        <v>50.0</v>
      </c>
      <c r="C1920" s="27" t="s">
        <v>3404</v>
      </c>
      <c r="D1920" s="27" t="s">
        <v>1843</v>
      </c>
      <c r="E1920" s="129">
        <v>4931.22</v>
      </c>
      <c r="F1920" s="66">
        <v>24156.42985210419</v>
      </c>
      <c r="G1920" s="27" t="s">
        <v>3725</v>
      </c>
      <c r="H1920" s="167">
        <v>45525.0</v>
      </c>
      <c r="I1920" s="167">
        <v>45534.0</v>
      </c>
      <c r="J1920" s="66">
        <v>20753.577386598587</v>
      </c>
      <c r="M1920" s="1" t="str">
        <f>VLOOKUP(B1920,Bounties!A:D,3,FALSE)</f>
        <v>Operations</v>
      </c>
      <c r="N1920" s="1" t="str">
        <f>VLOOKUP(B1920,Bounties!A:D,4,FALSE)</f>
        <v>RPCs and Nodes</v>
      </c>
      <c r="O1920" s="1" t="str">
        <f t="shared" ref="O1920:P1920" si="1924">IF(ISBLANK(K1920),M1920,K1920)</f>
        <v>Operations</v>
      </c>
      <c r="P1920" s="1" t="str">
        <f t="shared" si="1924"/>
        <v>RPCs and Nodes</v>
      </c>
      <c r="Q1920" s="108" t="str">
        <f t="shared" si="3"/>
        <v>2024</v>
      </c>
      <c r="R1920" s="110">
        <f t="shared" si="4"/>
        <v>8</v>
      </c>
      <c r="S1920" s="108" t="str">
        <f t="shared" si="5"/>
        <v>2024-Q3</v>
      </c>
      <c r="T1920" s="111" t="str">
        <f t="shared" si="6"/>
        <v>2024-08</v>
      </c>
      <c r="U1920" s="112" t="str">
        <f t="shared" si="7"/>
        <v>2024-H2</v>
      </c>
      <c r="V1920" s="1" t="str">
        <f>VLOOKUP(B1920,Bounties!A:E,2,FALSE)</f>
        <v>Infrastructure Builders Program</v>
      </c>
    </row>
    <row r="1921" hidden="1">
      <c r="A1921" s="109">
        <f>HYPERLINK("https://polkadot.subsquare.io/treasury/child-bounties/1944", 1944)</f>
        <v>1944</v>
      </c>
      <c r="B1921" s="183">
        <v>50.0</v>
      </c>
      <c r="C1921" s="27" t="s">
        <v>3404</v>
      </c>
      <c r="D1921" s="27" t="s">
        <v>1844</v>
      </c>
      <c r="E1921" s="129">
        <v>3280.27</v>
      </c>
      <c r="F1921" s="66">
        <v>16068.96714220047</v>
      </c>
      <c r="G1921" s="27" t="s">
        <v>3650</v>
      </c>
      <c r="H1921" s="167">
        <v>45525.0</v>
      </c>
      <c r="I1921" s="167">
        <v>45535.0</v>
      </c>
      <c r="J1921" s="66">
        <v>13327.442047977447</v>
      </c>
      <c r="M1921" s="1" t="str">
        <f>VLOOKUP(B1921,Bounties!A:D,3,FALSE)</f>
        <v>Operations</v>
      </c>
      <c r="N1921" s="1" t="str">
        <f>VLOOKUP(B1921,Bounties!A:D,4,FALSE)</f>
        <v>RPCs and Nodes</v>
      </c>
      <c r="O1921" s="1" t="str">
        <f t="shared" ref="O1921:P1921" si="1925">IF(ISBLANK(K1921),M1921,K1921)</f>
        <v>Operations</v>
      </c>
      <c r="P1921" s="1" t="str">
        <f t="shared" si="1925"/>
        <v>RPCs and Nodes</v>
      </c>
      <c r="Q1921" s="108" t="str">
        <f t="shared" si="3"/>
        <v>2024</v>
      </c>
      <c r="R1921" s="110">
        <f t="shared" si="4"/>
        <v>8</v>
      </c>
      <c r="S1921" s="108" t="str">
        <f t="shared" si="5"/>
        <v>2024-Q3</v>
      </c>
      <c r="T1921" s="111" t="str">
        <f t="shared" si="6"/>
        <v>2024-08</v>
      </c>
      <c r="U1921" s="112" t="str">
        <f t="shared" si="7"/>
        <v>2024-H2</v>
      </c>
      <c r="V1921" s="1" t="str">
        <f>VLOOKUP(B1921,Bounties!A:E,2,FALSE)</f>
        <v>Infrastructure Builders Program</v>
      </c>
    </row>
    <row r="1922" hidden="1">
      <c r="A1922" s="109">
        <f>HYPERLINK("https://polkadot.subsquare.io/treasury/child-bounties/1945", 1945)</f>
        <v>1945</v>
      </c>
      <c r="B1922" s="183">
        <v>50.0</v>
      </c>
      <c r="C1922" s="27" t="s">
        <v>3404</v>
      </c>
      <c r="D1922" s="27" t="s">
        <v>1845</v>
      </c>
      <c r="E1922" s="129">
        <v>3272.07</v>
      </c>
      <c r="F1922" s="66">
        <v>16028.79803094864</v>
      </c>
      <c r="G1922" s="27" t="s">
        <v>3726</v>
      </c>
      <c r="H1922" s="167">
        <v>45525.0</v>
      </c>
      <c r="I1922" s="167">
        <v>45533.0</v>
      </c>
      <c r="J1922" s="66">
        <v>13329.195802302362</v>
      </c>
      <c r="M1922" s="1" t="str">
        <f>VLOOKUP(B1922,Bounties!A:D,3,FALSE)</f>
        <v>Operations</v>
      </c>
      <c r="N1922" s="1" t="str">
        <f>VLOOKUP(B1922,Bounties!A:D,4,FALSE)</f>
        <v>RPCs and Nodes</v>
      </c>
      <c r="O1922" s="1" t="str">
        <f t="shared" ref="O1922:P1922" si="1926">IF(ISBLANK(K1922),M1922,K1922)</f>
        <v>Operations</v>
      </c>
      <c r="P1922" s="1" t="str">
        <f t="shared" si="1926"/>
        <v>RPCs and Nodes</v>
      </c>
      <c r="Q1922" s="108" t="str">
        <f t="shared" si="3"/>
        <v>2024</v>
      </c>
      <c r="R1922" s="110">
        <f t="shared" si="4"/>
        <v>8</v>
      </c>
      <c r="S1922" s="108" t="str">
        <f t="shared" si="5"/>
        <v>2024-Q3</v>
      </c>
      <c r="T1922" s="111" t="str">
        <f t="shared" si="6"/>
        <v>2024-08</v>
      </c>
      <c r="U1922" s="112" t="str">
        <f t="shared" si="7"/>
        <v>2024-H2</v>
      </c>
      <c r="V1922" s="1" t="str">
        <f>VLOOKUP(B1922,Bounties!A:E,2,FALSE)</f>
        <v>Infrastructure Builders Program</v>
      </c>
    </row>
    <row r="1923" hidden="1">
      <c r="A1923" s="109">
        <f>HYPERLINK("https://polkadot.subsquare.io/treasury/child-bounties/1946", 1946)</f>
        <v>1946</v>
      </c>
      <c r="B1923" s="183">
        <v>50.0</v>
      </c>
      <c r="C1923" s="27" t="s">
        <v>3404</v>
      </c>
      <c r="D1923" s="27" t="s">
        <v>1846</v>
      </c>
      <c r="E1923" s="129">
        <v>4954.91</v>
      </c>
      <c r="F1923" s="66">
        <v>24272.479394245147</v>
      </c>
      <c r="G1923" s="27" t="s">
        <v>3727</v>
      </c>
      <c r="H1923" s="167">
        <v>45525.0</v>
      </c>
      <c r="I1923" s="167">
        <v>45533.0</v>
      </c>
      <c r="J1923" s="66">
        <v>20184.4598595953</v>
      </c>
      <c r="M1923" s="1" t="str">
        <f>VLOOKUP(B1923,Bounties!A:D,3,FALSE)</f>
        <v>Operations</v>
      </c>
      <c r="N1923" s="1" t="str">
        <f>VLOOKUP(B1923,Bounties!A:D,4,FALSE)</f>
        <v>RPCs and Nodes</v>
      </c>
      <c r="O1923" s="1" t="str">
        <f t="shared" ref="O1923:P1923" si="1927">IF(ISBLANK(K1923),M1923,K1923)</f>
        <v>Operations</v>
      </c>
      <c r="P1923" s="1" t="str">
        <f t="shared" si="1927"/>
        <v>RPCs and Nodes</v>
      </c>
      <c r="Q1923" s="108" t="str">
        <f t="shared" si="3"/>
        <v>2024</v>
      </c>
      <c r="R1923" s="110">
        <f t="shared" si="4"/>
        <v>8</v>
      </c>
      <c r="S1923" s="108" t="str">
        <f t="shared" si="5"/>
        <v>2024-Q3</v>
      </c>
      <c r="T1923" s="111" t="str">
        <f t="shared" si="6"/>
        <v>2024-08</v>
      </c>
      <c r="U1923" s="112" t="str">
        <f t="shared" si="7"/>
        <v>2024-H2</v>
      </c>
      <c r="V1923" s="1" t="str">
        <f>VLOOKUP(B1923,Bounties!A:E,2,FALSE)</f>
        <v>Infrastructure Builders Program</v>
      </c>
    </row>
    <row r="1924" hidden="1">
      <c r="A1924" s="109">
        <f>HYPERLINK("https://polkadot.subsquare.io/treasury/child-bounties/1947", 1947)</f>
        <v>1947</v>
      </c>
      <c r="B1924" s="183">
        <v>50.0</v>
      </c>
      <c r="C1924" s="27" t="s">
        <v>3404</v>
      </c>
      <c r="D1924" s="27" t="s">
        <v>1847</v>
      </c>
      <c r="E1924" s="129">
        <v>4695.5</v>
      </c>
      <c r="F1924" s="66">
        <v>23001.71486377716</v>
      </c>
      <c r="G1924" s="27" t="s">
        <v>3728</v>
      </c>
      <c r="H1924" s="167">
        <v>45525.0</v>
      </c>
      <c r="I1924" s="167">
        <v>45549.0</v>
      </c>
      <c r="J1924" s="66">
        <v>19516.493583917618</v>
      </c>
      <c r="M1924" s="1" t="str">
        <f>VLOOKUP(B1924,Bounties!A:D,3,FALSE)</f>
        <v>Operations</v>
      </c>
      <c r="N1924" s="1" t="str">
        <f>VLOOKUP(B1924,Bounties!A:D,4,FALSE)</f>
        <v>RPCs and Nodes</v>
      </c>
      <c r="O1924" s="1" t="str">
        <f t="shared" ref="O1924:P1924" si="1928">IF(ISBLANK(K1924),M1924,K1924)</f>
        <v>Operations</v>
      </c>
      <c r="P1924" s="1" t="str">
        <f t="shared" si="1928"/>
        <v>RPCs and Nodes</v>
      </c>
      <c r="Q1924" s="108" t="str">
        <f t="shared" si="3"/>
        <v>2024</v>
      </c>
      <c r="R1924" s="110">
        <f t="shared" si="4"/>
        <v>9</v>
      </c>
      <c r="S1924" s="108" t="str">
        <f t="shared" si="5"/>
        <v>2024-Q3</v>
      </c>
      <c r="T1924" s="111" t="str">
        <f t="shared" si="6"/>
        <v>2024-09</v>
      </c>
      <c r="U1924" s="112" t="str">
        <f t="shared" si="7"/>
        <v>2024-H2</v>
      </c>
      <c r="V1924" s="1" t="str">
        <f>VLOOKUP(B1924,Bounties!A:E,2,FALSE)</f>
        <v>Infrastructure Builders Program</v>
      </c>
    </row>
    <row r="1925" hidden="1">
      <c r="A1925" s="109">
        <f>HYPERLINK("https://polkadot.subsquare.io/treasury/child-bounties/1948", 1948)</f>
        <v>1948</v>
      </c>
      <c r="B1925" s="183">
        <v>50.0</v>
      </c>
      <c r="C1925" s="27" t="s">
        <v>3404</v>
      </c>
      <c r="D1925" s="27" t="s">
        <v>1848</v>
      </c>
      <c r="E1925" s="129">
        <v>964.99</v>
      </c>
      <c r="F1925" s="66">
        <v>4727.169593524933</v>
      </c>
      <c r="G1925" s="27" t="s">
        <v>3729</v>
      </c>
      <c r="H1925" s="167">
        <v>45525.0</v>
      </c>
      <c r="I1925" s="167">
        <v>45534.0</v>
      </c>
      <c r="J1925" s="66">
        <v>4061.265699419975</v>
      </c>
      <c r="M1925" s="1" t="str">
        <f>VLOOKUP(B1925,Bounties!A:D,3,FALSE)</f>
        <v>Operations</v>
      </c>
      <c r="N1925" s="1" t="str">
        <f>VLOOKUP(B1925,Bounties!A:D,4,FALSE)</f>
        <v>RPCs and Nodes</v>
      </c>
      <c r="O1925" s="1" t="str">
        <f t="shared" ref="O1925:P1925" si="1929">IF(ISBLANK(K1925),M1925,K1925)</f>
        <v>Operations</v>
      </c>
      <c r="P1925" s="1" t="str">
        <f t="shared" si="1929"/>
        <v>RPCs and Nodes</v>
      </c>
      <c r="Q1925" s="108" t="str">
        <f t="shared" si="3"/>
        <v>2024</v>
      </c>
      <c r="R1925" s="110">
        <f t="shared" si="4"/>
        <v>8</v>
      </c>
      <c r="S1925" s="108" t="str">
        <f t="shared" si="5"/>
        <v>2024-Q3</v>
      </c>
      <c r="T1925" s="111" t="str">
        <f t="shared" si="6"/>
        <v>2024-08</v>
      </c>
      <c r="U1925" s="112" t="str">
        <f t="shared" si="7"/>
        <v>2024-H2</v>
      </c>
      <c r="V1925" s="1" t="str">
        <f>VLOOKUP(B1925,Bounties!A:E,2,FALSE)</f>
        <v>Infrastructure Builders Program</v>
      </c>
    </row>
    <row r="1926" hidden="1">
      <c r="A1926" s="109">
        <f>HYPERLINK("https://polkadot.subsquare.io/treasury/child-bounties/1949", 1949)</f>
        <v>1949</v>
      </c>
      <c r="B1926" s="183">
        <v>50.0</v>
      </c>
      <c r="C1926" s="27" t="s">
        <v>3404</v>
      </c>
      <c r="D1926" s="27" t="s">
        <v>1849</v>
      </c>
      <c r="E1926" s="129">
        <v>3280.27</v>
      </c>
      <c r="F1926" s="66">
        <v>16068.96714220047</v>
      </c>
      <c r="G1926" s="27" t="s">
        <v>3730</v>
      </c>
      <c r="H1926" s="167">
        <v>45525.0</v>
      </c>
      <c r="I1926" s="167">
        <v>45537.0</v>
      </c>
      <c r="J1926" s="66">
        <v>13173.754471149445</v>
      </c>
      <c r="M1926" s="1" t="str">
        <f>VLOOKUP(B1926,Bounties!A:D,3,FALSE)</f>
        <v>Operations</v>
      </c>
      <c r="N1926" s="1" t="str">
        <f>VLOOKUP(B1926,Bounties!A:D,4,FALSE)</f>
        <v>RPCs and Nodes</v>
      </c>
      <c r="O1926" s="1" t="str">
        <f t="shared" ref="O1926:P1926" si="1930">IF(ISBLANK(K1926),M1926,K1926)</f>
        <v>Operations</v>
      </c>
      <c r="P1926" s="1" t="str">
        <f t="shared" si="1930"/>
        <v>RPCs and Nodes</v>
      </c>
      <c r="Q1926" s="108" t="str">
        <f t="shared" si="3"/>
        <v>2024</v>
      </c>
      <c r="R1926" s="110">
        <f t="shared" si="4"/>
        <v>9</v>
      </c>
      <c r="S1926" s="108" t="str">
        <f t="shared" si="5"/>
        <v>2024-Q3</v>
      </c>
      <c r="T1926" s="111" t="str">
        <f t="shared" si="6"/>
        <v>2024-09</v>
      </c>
      <c r="U1926" s="112" t="str">
        <f t="shared" si="7"/>
        <v>2024-H2</v>
      </c>
      <c r="V1926" s="1" t="str">
        <f>VLOOKUP(B1926,Bounties!A:E,2,FALSE)</f>
        <v>Infrastructure Builders Program</v>
      </c>
    </row>
    <row r="1927" hidden="1">
      <c r="A1927" s="109">
        <f>HYPERLINK("https://polkadot.subsquare.io/treasury/child-bounties/1950", 1950)</f>
        <v>1950</v>
      </c>
      <c r="B1927" s="183">
        <v>50.0</v>
      </c>
      <c r="C1927" s="27" t="s">
        <v>3404</v>
      </c>
      <c r="D1927" s="27" t="s">
        <v>1850</v>
      </c>
      <c r="E1927" s="129">
        <v>3839.22</v>
      </c>
      <c r="F1927" s="66">
        <v>18807.07991466522</v>
      </c>
      <c r="G1927" s="27" t="s">
        <v>3653</v>
      </c>
      <c r="H1927" s="167">
        <v>45525.0</v>
      </c>
      <c r="I1927" s="167">
        <v>45535.0</v>
      </c>
      <c r="J1927" s="66">
        <v>16157.776244859695</v>
      </c>
      <c r="M1927" s="1" t="str">
        <f>VLOOKUP(B1927,Bounties!A:D,3,FALSE)</f>
        <v>Operations</v>
      </c>
      <c r="N1927" s="1" t="str">
        <f>VLOOKUP(B1927,Bounties!A:D,4,FALSE)</f>
        <v>RPCs and Nodes</v>
      </c>
      <c r="O1927" s="1" t="str">
        <f t="shared" ref="O1927:P1927" si="1931">IF(ISBLANK(K1927),M1927,K1927)</f>
        <v>Operations</v>
      </c>
      <c r="P1927" s="1" t="str">
        <f t="shared" si="1931"/>
        <v>RPCs and Nodes</v>
      </c>
      <c r="Q1927" s="108" t="str">
        <f t="shared" si="3"/>
        <v>2024</v>
      </c>
      <c r="R1927" s="110">
        <f t="shared" si="4"/>
        <v>8</v>
      </c>
      <c r="S1927" s="108" t="str">
        <f t="shared" si="5"/>
        <v>2024-Q3</v>
      </c>
      <c r="T1927" s="111" t="str">
        <f t="shared" si="6"/>
        <v>2024-08</v>
      </c>
      <c r="U1927" s="112" t="str">
        <f t="shared" si="7"/>
        <v>2024-H2</v>
      </c>
      <c r="V1927" s="1" t="str">
        <f>VLOOKUP(B1927,Bounties!A:E,2,FALSE)</f>
        <v>Infrastructure Builders Program</v>
      </c>
    </row>
    <row r="1928" hidden="1">
      <c r="A1928" s="109">
        <f>HYPERLINK("https://polkadot.subsquare.io/treasury/child-bounties/1951", 1951)</f>
        <v>1951</v>
      </c>
      <c r="B1928" s="183">
        <v>50.0</v>
      </c>
      <c r="C1928" s="27" t="s">
        <v>3404</v>
      </c>
      <c r="D1928" s="27" t="s">
        <v>1851</v>
      </c>
      <c r="E1928" s="129">
        <v>3302.98</v>
      </c>
      <c r="F1928" s="66">
        <v>16180.215985679626</v>
      </c>
      <c r="G1928" s="27" t="s">
        <v>3721</v>
      </c>
      <c r="H1928" s="167">
        <v>45525.0</v>
      </c>
      <c r="I1928" s="167">
        <v>45533.0</v>
      </c>
      <c r="J1928" s="66">
        <v>13455.111642198563</v>
      </c>
      <c r="M1928" s="1" t="str">
        <f>VLOOKUP(B1928,Bounties!A:D,3,FALSE)</f>
        <v>Operations</v>
      </c>
      <c r="N1928" s="1" t="str">
        <f>VLOOKUP(B1928,Bounties!A:D,4,FALSE)</f>
        <v>RPCs and Nodes</v>
      </c>
      <c r="O1928" s="1" t="str">
        <f t="shared" ref="O1928:P1928" si="1932">IF(ISBLANK(K1928),M1928,K1928)</f>
        <v>Operations</v>
      </c>
      <c r="P1928" s="1" t="str">
        <f t="shared" si="1932"/>
        <v>RPCs and Nodes</v>
      </c>
      <c r="Q1928" s="108" t="str">
        <f t="shared" si="3"/>
        <v>2024</v>
      </c>
      <c r="R1928" s="110">
        <f t="shared" si="4"/>
        <v>8</v>
      </c>
      <c r="S1928" s="108" t="str">
        <f t="shared" si="5"/>
        <v>2024-Q3</v>
      </c>
      <c r="T1928" s="111" t="str">
        <f t="shared" si="6"/>
        <v>2024-08</v>
      </c>
      <c r="U1928" s="112" t="str">
        <f t="shared" si="7"/>
        <v>2024-H2</v>
      </c>
      <c r="V1928" s="1" t="str">
        <f>VLOOKUP(B1928,Bounties!A:E,2,FALSE)</f>
        <v>Infrastructure Builders Program</v>
      </c>
    </row>
    <row r="1929" hidden="1">
      <c r="A1929" s="109">
        <f>HYPERLINK("https://polkadot.subsquare.io/treasury/child-bounties/1952", 1952)</f>
        <v>1952</v>
      </c>
      <c r="B1929" s="183">
        <v>50.0</v>
      </c>
      <c r="C1929" s="27" t="s">
        <v>3404</v>
      </c>
      <c r="D1929" s="27" t="s">
        <v>1852</v>
      </c>
      <c r="E1929" s="129">
        <v>3302.98</v>
      </c>
      <c r="F1929" s="66">
        <v>16180.215985679626</v>
      </c>
      <c r="G1929" s="27" t="s">
        <v>3731</v>
      </c>
      <c r="H1929" s="167">
        <v>45525.0</v>
      </c>
      <c r="I1929" s="167">
        <v>45535.0</v>
      </c>
      <c r="J1929" s="66">
        <v>13900.951698846817</v>
      </c>
      <c r="M1929" s="1" t="str">
        <f>VLOOKUP(B1929,Bounties!A:D,3,FALSE)</f>
        <v>Operations</v>
      </c>
      <c r="N1929" s="1" t="str">
        <f>VLOOKUP(B1929,Bounties!A:D,4,FALSE)</f>
        <v>RPCs and Nodes</v>
      </c>
      <c r="O1929" s="1" t="str">
        <f t="shared" ref="O1929:P1929" si="1933">IF(ISBLANK(K1929),M1929,K1929)</f>
        <v>Operations</v>
      </c>
      <c r="P1929" s="1" t="str">
        <f t="shared" si="1933"/>
        <v>RPCs and Nodes</v>
      </c>
      <c r="Q1929" s="108" t="str">
        <f t="shared" si="3"/>
        <v>2024</v>
      </c>
      <c r="R1929" s="110">
        <f t="shared" si="4"/>
        <v>8</v>
      </c>
      <c r="S1929" s="108" t="str">
        <f t="shared" si="5"/>
        <v>2024-Q3</v>
      </c>
      <c r="T1929" s="111" t="str">
        <f t="shared" si="6"/>
        <v>2024-08</v>
      </c>
      <c r="U1929" s="112" t="str">
        <f t="shared" si="7"/>
        <v>2024-H2</v>
      </c>
      <c r="V1929" s="1" t="str">
        <f>VLOOKUP(B1929,Bounties!A:E,2,FALSE)</f>
        <v>Infrastructure Builders Program</v>
      </c>
    </row>
    <row r="1930" hidden="1">
      <c r="A1930" s="109">
        <f>HYPERLINK("https://polkadot.subsquare.io/treasury/child-bounties/1953", 1953)</f>
        <v>1953</v>
      </c>
      <c r="B1930" s="183">
        <v>50.0</v>
      </c>
      <c r="C1930" s="27" t="s">
        <v>3404</v>
      </c>
      <c r="D1930" s="27" t="s">
        <v>1853</v>
      </c>
      <c r="E1930" s="129">
        <v>3646.23</v>
      </c>
      <c r="F1930" s="66">
        <v>17861.685185337068</v>
      </c>
      <c r="G1930" s="27" t="s">
        <v>3594</v>
      </c>
      <c r="H1930" s="167">
        <v>45525.0</v>
      </c>
      <c r="I1930" s="167">
        <v>45536.0</v>
      </c>
      <c r="J1930" s="66">
        <v>14814.304620838166</v>
      </c>
      <c r="M1930" s="1" t="str">
        <f>VLOOKUP(B1930,Bounties!A:D,3,FALSE)</f>
        <v>Operations</v>
      </c>
      <c r="N1930" s="1" t="str">
        <f>VLOOKUP(B1930,Bounties!A:D,4,FALSE)</f>
        <v>RPCs and Nodes</v>
      </c>
      <c r="O1930" s="1" t="str">
        <f t="shared" ref="O1930:P1930" si="1934">IF(ISBLANK(K1930),M1930,K1930)</f>
        <v>Operations</v>
      </c>
      <c r="P1930" s="1" t="str">
        <f t="shared" si="1934"/>
        <v>RPCs and Nodes</v>
      </c>
      <c r="Q1930" s="108" t="str">
        <f t="shared" si="3"/>
        <v>2024</v>
      </c>
      <c r="R1930" s="110">
        <f t="shared" si="4"/>
        <v>9</v>
      </c>
      <c r="S1930" s="108" t="str">
        <f t="shared" si="5"/>
        <v>2024-Q3</v>
      </c>
      <c r="T1930" s="111" t="str">
        <f t="shared" si="6"/>
        <v>2024-09</v>
      </c>
      <c r="U1930" s="112" t="str">
        <f t="shared" si="7"/>
        <v>2024-H2</v>
      </c>
      <c r="V1930" s="1" t="str">
        <f>VLOOKUP(B1930,Bounties!A:E,2,FALSE)</f>
        <v>Infrastructure Builders Program</v>
      </c>
    </row>
    <row r="1931" hidden="1">
      <c r="A1931" s="109">
        <f>HYPERLINK("https://polkadot.subsquare.io/treasury/child-bounties/1954", 1954)</f>
        <v>1954</v>
      </c>
      <c r="B1931" s="183">
        <v>50.0</v>
      </c>
      <c r="C1931" s="27" t="s">
        <v>3404</v>
      </c>
      <c r="D1931" s="27" t="s">
        <v>1854</v>
      </c>
      <c r="E1931" s="129">
        <v>3142.11</v>
      </c>
      <c r="F1931" s="66">
        <v>15392.166604328157</v>
      </c>
      <c r="G1931" s="27" t="s">
        <v>3732</v>
      </c>
      <c r="H1931" s="167">
        <v>45525.0</v>
      </c>
      <c r="I1931" s="167">
        <v>45536.0</v>
      </c>
      <c r="J1931" s="66">
        <v>12913.921193761826</v>
      </c>
      <c r="M1931" s="1" t="str">
        <f>VLOOKUP(B1931,Bounties!A:D,3,FALSE)</f>
        <v>Operations</v>
      </c>
      <c r="N1931" s="1" t="str">
        <f>VLOOKUP(B1931,Bounties!A:D,4,FALSE)</f>
        <v>RPCs and Nodes</v>
      </c>
      <c r="O1931" s="1" t="str">
        <f t="shared" ref="O1931:P1931" si="1935">IF(ISBLANK(K1931),M1931,K1931)</f>
        <v>Operations</v>
      </c>
      <c r="P1931" s="1" t="str">
        <f t="shared" si="1935"/>
        <v>RPCs and Nodes</v>
      </c>
      <c r="Q1931" s="108" t="str">
        <f t="shared" si="3"/>
        <v>2024</v>
      </c>
      <c r="R1931" s="110">
        <f t="shared" si="4"/>
        <v>9</v>
      </c>
      <c r="S1931" s="108" t="str">
        <f t="shared" si="5"/>
        <v>2024-Q3</v>
      </c>
      <c r="T1931" s="111" t="str">
        <f t="shared" si="6"/>
        <v>2024-09</v>
      </c>
      <c r="U1931" s="112" t="str">
        <f t="shared" si="7"/>
        <v>2024-H2</v>
      </c>
      <c r="V1931" s="1" t="str">
        <f>VLOOKUP(B1931,Bounties!A:E,2,FALSE)</f>
        <v>Infrastructure Builders Program</v>
      </c>
    </row>
    <row r="1932" hidden="1">
      <c r="A1932" s="109">
        <f>HYPERLINK("https://polkadot.subsquare.io/treasury/child-bounties/1955", 1955)</f>
        <v>1955</v>
      </c>
      <c r="B1932" s="183">
        <v>50.0</v>
      </c>
      <c r="C1932" s="27" t="s">
        <v>3404</v>
      </c>
      <c r="D1932" s="27" t="s">
        <v>2170</v>
      </c>
      <c r="E1932" s="129">
        <v>29.15</v>
      </c>
      <c r="F1932" s="66">
        <v>142.79629182815552</v>
      </c>
      <c r="G1932" s="27" t="s">
        <v>3771</v>
      </c>
      <c r="H1932" s="167">
        <v>45525.0</v>
      </c>
      <c r="I1932" s="167">
        <v>45551.0</v>
      </c>
      <c r="J1932" s="66">
        <v>124.04068973064422</v>
      </c>
      <c r="M1932" s="1" t="str">
        <f>VLOOKUP(B1932,Bounties!A:D,3,FALSE)</f>
        <v>Operations</v>
      </c>
      <c r="N1932" s="1" t="str">
        <f>VLOOKUP(B1932,Bounties!A:D,4,FALSE)</f>
        <v>RPCs and Nodes</v>
      </c>
      <c r="O1932" s="1" t="str">
        <f t="shared" ref="O1932:P1932" si="1936">IF(ISBLANK(K1932),M1932,K1932)</f>
        <v>Operations</v>
      </c>
      <c r="P1932" s="1" t="str">
        <f t="shared" si="1936"/>
        <v>RPCs and Nodes</v>
      </c>
      <c r="Q1932" s="108" t="str">
        <f t="shared" si="3"/>
        <v>2024</v>
      </c>
      <c r="R1932" s="110">
        <f t="shared" si="4"/>
        <v>9</v>
      </c>
      <c r="S1932" s="108" t="str">
        <f t="shared" si="5"/>
        <v>2024-Q3</v>
      </c>
      <c r="T1932" s="111" t="str">
        <f t="shared" si="6"/>
        <v>2024-09</v>
      </c>
      <c r="U1932" s="112" t="str">
        <f t="shared" si="7"/>
        <v>2024-H2</v>
      </c>
      <c r="V1932" s="1" t="str">
        <f>VLOOKUP(B1932,Bounties!A:E,2,FALSE)</f>
        <v>Infrastructure Builders Program</v>
      </c>
    </row>
    <row r="1933" hidden="1">
      <c r="A1933" s="109">
        <f>HYPERLINK("https://polkadot.subsquare.io/treasury/child-bounties/1956", 1956)</f>
        <v>1956</v>
      </c>
      <c r="B1933" s="183">
        <v>43.0</v>
      </c>
      <c r="C1933" s="27" t="s">
        <v>3404</v>
      </c>
      <c r="D1933" s="27" t="s">
        <v>2360</v>
      </c>
      <c r="E1933" s="129">
        <v>185.71</v>
      </c>
      <c r="F1933" s="66">
        <v>813.5708113861084</v>
      </c>
      <c r="G1933" s="27" t="s">
        <v>3790</v>
      </c>
      <c r="H1933" s="167">
        <v>45528.0</v>
      </c>
      <c r="I1933" s="167">
        <v>45538.0</v>
      </c>
      <c r="J1933" s="66">
        <v>745.8221252632142</v>
      </c>
      <c r="M1933" s="1" t="str">
        <f>VLOOKUP(B1933,Bounties!A:D,3,FALSE)</f>
        <v>Outreach</v>
      </c>
      <c r="N1933" s="1" t="str">
        <f>VLOOKUP(B1933,Bounties!A:D,4,FALSE)</f>
        <v>Events/Meetups</v>
      </c>
      <c r="O1933" s="1" t="str">
        <f t="shared" ref="O1933:P1933" si="1937">IF(ISBLANK(K1933),M1933,K1933)</f>
        <v>Outreach</v>
      </c>
      <c r="P1933" s="1" t="str">
        <f t="shared" si="1937"/>
        <v>Events/Meetups</v>
      </c>
      <c r="Q1933" s="108" t="str">
        <f t="shared" si="3"/>
        <v>2024</v>
      </c>
      <c r="R1933" s="110">
        <f t="shared" si="4"/>
        <v>9</v>
      </c>
      <c r="S1933" s="108" t="str">
        <f t="shared" si="5"/>
        <v>2024-Q3</v>
      </c>
      <c r="T1933" s="111" t="str">
        <f t="shared" si="6"/>
        <v>2024-09</v>
      </c>
      <c r="U1933" s="112" t="str">
        <f t="shared" si="7"/>
        <v>2024-H2</v>
      </c>
      <c r="V1933" s="1" t="str">
        <f>VLOOKUP(B1933,Bounties!A:E,2,FALSE)</f>
        <v>Meetups Bounty</v>
      </c>
    </row>
    <row r="1934" hidden="1">
      <c r="A1934" s="109">
        <f>HYPERLINK("https://polkadot.subsquare.io/treasury/child-bounties/1957", 1957)</f>
        <v>1957</v>
      </c>
      <c r="B1934" s="183">
        <v>24.0</v>
      </c>
      <c r="C1934" s="27" t="s">
        <v>3404</v>
      </c>
      <c r="D1934" s="27" t="s">
        <v>2361</v>
      </c>
      <c r="E1934" s="129">
        <v>352.26</v>
      </c>
      <c r="F1934" s="66">
        <v>1543.2042109680176</v>
      </c>
      <c r="G1934" s="27" t="s">
        <v>3550</v>
      </c>
      <c r="H1934" s="167">
        <v>45528.0</v>
      </c>
      <c r="I1934" s="167">
        <v>45539.0</v>
      </c>
      <c r="J1934" s="66">
        <v>1394.7632499933243</v>
      </c>
      <c r="M1934" s="1" t="str">
        <f>VLOOKUP(B1934,Bounties!A:D,3,FALSE)</f>
        <v>Outreach</v>
      </c>
      <c r="N1934" s="1" t="str">
        <f>VLOOKUP(B1934,Bounties!A:D,4,FALSE)</f>
        <v>Community Building</v>
      </c>
      <c r="O1934" s="1" t="str">
        <f t="shared" ref="O1934:P1934" si="1938">IF(ISBLANK(K1934),M1934,K1934)</f>
        <v>Outreach</v>
      </c>
      <c r="P1934" s="1" t="str">
        <f t="shared" si="1938"/>
        <v>Community Building</v>
      </c>
      <c r="Q1934" s="108" t="str">
        <f t="shared" si="3"/>
        <v>2024</v>
      </c>
      <c r="R1934" s="110">
        <f t="shared" si="4"/>
        <v>9</v>
      </c>
      <c r="S1934" s="108" t="str">
        <f t="shared" si="5"/>
        <v>2024-Q3</v>
      </c>
      <c r="T1934" s="111" t="str">
        <f t="shared" si="6"/>
        <v>2024-09</v>
      </c>
      <c r="U1934" s="112" t="str">
        <f t="shared" si="7"/>
        <v>2024-H2</v>
      </c>
      <c r="V1934" s="1" t="str">
        <f>VLOOKUP(B1934,Bounties!A:E,2,FALSE)</f>
        <v>Moderation Team Bounty</v>
      </c>
    </row>
    <row r="1935" hidden="1">
      <c r="A1935" s="109">
        <f>HYPERLINK("https://polkadot.subsquare.io/treasury/child-bounties/1958", 1958)</f>
        <v>1958</v>
      </c>
      <c r="B1935" s="183">
        <v>24.0</v>
      </c>
      <c r="C1935" s="27" t="s">
        <v>3404</v>
      </c>
      <c r="D1935" s="27" t="s">
        <v>2362</v>
      </c>
      <c r="E1935" s="129">
        <v>327.71</v>
      </c>
      <c r="F1935" s="66">
        <v>1435.6539260101317</v>
      </c>
      <c r="G1935" s="27" t="s">
        <v>3409</v>
      </c>
      <c r="H1935" s="167">
        <v>45528.0</v>
      </c>
      <c r="I1935" s="167">
        <v>45538.0</v>
      </c>
      <c r="J1935" s="66">
        <v>1297.5582372546196</v>
      </c>
      <c r="M1935" s="1" t="str">
        <f>VLOOKUP(B1935,Bounties!A:D,3,FALSE)</f>
        <v>Outreach</v>
      </c>
      <c r="N1935" s="1" t="str">
        <f>VLOOKUP(B1935,Bounties!A:D,4,FALSE)</f>
        <v>Community Building</v>
      </c>
      <c r="O1935" s="1" t="str">
        <f t="shared" ref="O1935:P1935" si="1939">IF(ISBLANK(K1935),M1935,K1935)</f>
        <v>Outreach</v>
      </c>
      <c r="P1935" s="1" t="str">
        <f t="shared" si="1939"/>
        <v>Community Building</v>
      </c>
      <c r="Q1935" s="108" t="str">
        <f t="shared" si="3"/>
        <v>2024</v>
      </c>
      <c r="R1935" s="110">
        <f t="shared" si="4"/>
        <v>9</v>
      </c>
      <c r="S1935" s="108" t="str">
        <f t="shared" si="5"/>
        <v>2024-Q3</v>
      </c>
      <c r="T1935" s="111" t="str">
        <f t="shared" si="6"/>
        <v>2024-09</v>
      </c>
      <c r="U1935" s="112" t="str">
        <f t="shared" si="7"/>
        <v>2024-H2</v>
      </c>
      <c r="V1935" s="1" t="str">
        <f>VLOOKUP(B1935,Bounties!A:E,2,FALSE)</f>
        <v>Moderation Team Bounty</v>
      </c>
    </row>
    <row r="1936" hidden="1">
      <c r="A1936" s="109">
        <f>HYPERLINK("https://polkadot.subsquare.io/treasury/child-bounties/1959", 1959)</f>
        <v>1959</v>
      </c>
      <c r="B1936" s="183">
        <v>24.0</v>
      </c>
      <c r="C1936" s="27" t="s">
        <v>3404</v>
      </c>
      <c r="D1936" s="27" t="s">
        <v>2363</v>
      </c>
      <c r="E1936" s="129">
        <v>327.71</v>
      </c>
      <c r="F1936" s="66">
        <v>1435.6539260101317</v>
      </c>
      <c r="G1936" s="27" t="s">
        <v>3486</v>
      </c>
      <c r="H1936" s="167">
        <v>45528.0</v>
      </c>
      <c r="I1936" s="167">
        <v>45538.0</v>
      </c>
      <c r="J1936" s="66">
        <v>1297.5582372546196</v>
      </c>
      <c r="M1936" s="1" t="str">
        <f>VLOOKUP(B1936,Bounties!A:D,3,FALSE)</f>
        <v>Outreach</v>
      </c>
      <c r="N1936" s="1" t="str">
        <f>VLOOKUP(B1936,Bounties!A:D,4,FALSE)</f>
        <v>Community Building</v>
      </c>
      <c r="O1936" s="1" t="str">
        <f t="shared" ref="O1936:P1936" si="1940">IF(ISBLANK(K1936),M1936,K1936)</f>
        <v>Outreach</v>
      </c>
      <c r="P1936" s="1" t="str">
        <f t="shared" si="1940"/>
        <v>Community Building</v>
      </c>
      <c r="Q1936" s="108" t="str">
        <f t="shared" si="3"/>
        <v>2024</v>
      </c>
      <c r="R1936" s="110">
        <f t="shared" si="4"/>
        <v>9</v>
      </c>
      <c r="S1936" s="108" t="str">
        <f t="shared" si="5"/>
        <v>2024-Q3</v>
      </c>
      <c r="T1936" s="111" t="str">
        <f t="shared" si="6"/>
        <v>2024-09</v>
      </c>
      <c r="U1936" s="112" t="str">
        <f t="shared" si="7"/>
        <v>2024-H2</v>
      </c>
      <c r="V1936" s="1" t="str">
        <f>VLOOKUP(B1936,Bounties!A:E,2,FALSE)</f>
        <v>Moderation Team Bounty</v>
      </c>
    </row>
    <row r="1937" hidden="1">
      <c r="A1937" s="109">
        <f>HYPERLINK("https://polkadot.subsquare.io/treasury/child-bounties/1960", 1960)</f>
        <v>1960</v>
      </c>
      <c r="B1937" s="183">
        <v>24.0</v>
      </c>
      <c r="C1937" s="27" t="s">
        <v>3404</v>
      </c>
      <c r="D1937" s="27" t="s">
        <v>2364</v>
      </c>
      <c r="E1937" s="129">
        <v>298.89</v>
      </c>
      <c r="F1937" s="66">
        <v>1309.3973389434814</v>
      </c>
      <c r="G1937" s="27" t="s">
        <v>3469</v>
      </c>
      <c r="H1937" s="167">
        <v>45528.0</v>
      </c>
      <c r="I1937" s="167">
        <v>45538.0</v>
      </c>
      <c r="J1937" s="66">
        <v>1183.4462834000587</v>
      </c>
      <c r="M1937" s="1" t="str">
        <f>VLOOKUP(B1937,Bounties!A:D,3,FALSE)</f>
        <v>Outreach</v>
      </c>
      <c r="N1937" s="1" t="str">
        <f>VLOOKUP(B1937,Bounties!A:D,4,FALSE)</f>
        <v>Community Building</v>
      </c>
      <c r="O1937" s="1" t="str">
        <f t="shared" ref="O1937:P1937" si="1941">IF(ISBLANK(K1937),M1937,K1937)</f>
        <v>Outreach</v>
      </c>
      <c r="P1937" s="1" t="str">
        <f t="shared" si="1941"/>
        <v>Community Building</v>
      </c>
      <c r="Q1937" s="108" t="str">
        <f t="shared" si="3"/>
        <v>2024</v>
      </c>
      <c r="R1937" s="110">
        <f t="shared" si="4"/>
        <v>9</v>
      </c>
      <c r="S1937" s="108" t="str">
        <f t="shared" si="5"/>
        <v>2024-Q3</v>
      </c>
      <c r="T1937" s="111" t="str">
        <f t="shared" si="6"/>
        <v>2024-09</v>
      </c>
      <c r="U1937" s="112" t="str">
        <f t="shared" si="7"/>
        <v>2024-H2</v>
      </c>
      <c r="V1937" s="1" t="str">
        <f>VLOOKUP(B1937,Bounties!A:E,2,FALSE)</f>
        <v>Moderation Team Bounty</v>
      </c>
    </row>
    <row r="1938" hidden="1">
      <c r="A1938" s="109">
        <f>HYPERLINK("https://polkadot.subsquare.io/treasury/child-bounties/1961", 1961)</f>
        <v>1961</v>
      </c>
      <c r="B1938" s="183">
        <v>24.0</v>
      </c>
      <c r="C1938" s="27" t="s">
        <v>3404</v>
      </c>
      <c r="D1938" s="27" t="s">
        <v>2365</v>
      </c>
      <c r="E1938" s="129">
        <v>298.89</v>
      </c>
      <c r="F1938" s="66">
        <v>1309.3973389434814</v>
      </c>
      <c r="G1938" s="27" t="s">
        <v>3407</v>
      </c>
      <c r="H1938" s="167">
        <v>45528.0</v>
      </c>
      <c r="I1938" s="167">
        <v>45538.0</v>
      </c>
      <c r="J1938" s="66">
        <v>1183.4462834000587</v>
      </c>
      <c r="M1938" s="1" t="str">
        <f>VLOOKUP(B1938,Bounties!A:D,3,FALSE)</f>
        <v>Outreach</v>
      </c>
      <c r="N1938" s="1" t="str">
        <f>VLOOKUP(B1938,Bounties!A:D,4,FALSE)</f>
        <v>Community Building</v>
      </c>
      <c r="O1938" s="1" t="str">
        <f t="shared" ref="O1938:P1938" si="1942">IF(ISBLANK(K1938),M1938,K1938)</f>
        <v>Outreach</v>
      </c>
      <c r="P1938" s="1" t="str">
        <f t="shared" si="1942"/>
        <v>Community Building</v>
      </c>
      <c r="Q1938" s="108" t="str">
        <f t="shared" si="3"/>
        <v>2024</v>
      </c>
      <c r="R1938" s="110">
        <f t="shared" si="4"/>
        <v>9</v>
      </c>
      <c r="S1938" s="108" t="str">
        <f t="shared" si="5"/>
        <v>2024-Q3</v>
      </c>
      <c r="T1938" s="111" t="str">
        <f t="shared" si="6"/>
        <v>2024-09</v>
      </c>
      <c r="U1938" s="112" t="str">
        <f t="shared" si="7"/>
        <v>2024-H2</v>
      </c>
      <c r="V1938" s="1" t="str">
        <f>VLOOKUP(B1938,Bounties!A:E,2,FALSE)</f>
        <v>Moderation Team Bounty</v>
      </c>
    </row>
    <row r="1939" hidden="1">
      <c r="A1939" s="109">
        <f>HYPERLINK("https://polkadot.subsquare.io/treasury/child-bounties/1962", 1962)</f>
        <v>1962</v>
      </c>
      <c r="B1939" s="183">
        <v>24.0</v>
      </c>
      <c r="C1939" s="27" t="s">
        <v>3404</v>
      </c>
      <c r="D1939" s="27" t="s">
        <v>2366</v>
      </c>
      <c r="E1939" s="129">
        <v>298.89</v>
      </c>
      <c r="F1939" s="66">
        <v>1309.3973389434814</v>
      </c>
      <c r="G1939" s="27" t="s">
        <v>3408</v>
      </c>
      <c r="H1939" s="167">
        <v>45528.0</v>
      </c>
      <c r="I1939" s="167">
        <v>45538.0</v>
      </c>
      <c r="J1939" s="66">
        <v>1183.4462834000587</v>
      </c>
      <c r="M1939" s="1" t="str">
        <f>VLOOKUP(B1939,Bounties!A:D,3,FALSE)</f>
        <v>Outreach</v>
      </c>
      <c r="N1939" s="1" t="str">
        <f>VLOOKUP(B1939,Bounties!A:D,4,FALSE)</f>
        <v>Community Building</v>
      </c>
      <c r="O1939" s="1" t="str">
        <f t="shared" ref="O1939:P1939" si="1943">IF(ISBLANK(K1939),M1939,K1939)</f>
        <v>Outreach</v>
      </c>
      <c r="P1939" s="1" t="str">
        <f t="shared" si="1943"/>
        <v>Community Building</v>
      </c>
      <c r="Q1939" s="108" t="str">
        <f t="shared" si="3"/>
        <v>2024</v>
      </c>
      <c r="R1939" s="110">
        <f t="shared" si="4"/>
        <v>9</v>
      </c>
      <c r="S1939" s="108" t="str">
        <f t="shared" si="5"/>
        <v>2024-Q3</v>
      </c>
      <c r="T1939" s="111" t="str">
        <f t="shared" si="6"/>
        <v>2024-09</v>
      </c>
      <c r="U1939" s="112" t="str">
        <f t="shared" si="7"/>
        <v>2024-H2</v>
      </c>
      <c r="V1939" s="1" t="str">
        <f>VLOOKUP(B1939,Bounties!A:E,2,FALSE)</f>
        <v>Moderation Team Bounty</v>
      </c>
    </row>
    <row r="1940" hidden="1">
      <c r="A1940" s="109">
        <f>HYPERLINK("https://polkadot.subsquare.io/treasury/child-bounties/1963", 1963)</f>
        <v>1963</v>
      </c>
      <c r="B1940" s="183">
        <v>24.0</v>
      </c>
      <c r="C1940" s="27" t="s">
        <v>3404</v>
      </c>
      <c r="D1940" s="27" t="s">
        <v>2367</v>
      </c>
      <c r="E1940" s="129">
        <v>298.89</v>
      </c>
      <c r="F1940" s="66">
        <v>1309.3973389434814</v>
      </c>
      <c r="G1940" s="27" t="s">
        <v>3411</v>
      </c>
      <c r="H1940" s="167">
        <v>45528.0</v>
      </c>
      <c r="I1940" s="167">
        <v>45538.0</v>
      </c>
      <c r="J1940" s="66">
        <v>1183.4462834000587</v>
      </c>
      <c r="M1940" s="1" t="str">
        <f>VLOOKUP(B1940,Bounties!A:D,3,FALSE)</f>
        <v>Outreach</v>
      </c>
      <c r="N1940" s="1" t="str">
        <f>VLOOKUP(B1940,Bounties!A:D,4,FALSE)</f>
        <v>Community Building</v>
      </c>
      <c r="O1940" s="1" t="str">
        <f t="shared" ref="O1940:P1940" si="1944">IF(ISBLANK(K1940),M1940,K1940)</f>
        <v>Outreach</v>
      </c>
      <c r="P1940" s="1" t="str">
        <f t="shared" si="1944"/>
        <v>Community Building</v>
      </c>
      <c r="Q1940" s="108" t="str">
        <f t="shared" si="3"/>
        <v>2024</v>
      </c>
      <c r="R1940" s="110">
        <f t="shared" si="4"/>
        <v>9</v>
      </c>
      <c r="S1940" s="108" t="str">
        <f t="shared" si="5"/>
        <v>2024-Q3</v>
      </c>
      <c r="T1940" s="111" t="str">
        <f t="shared" si="6"/>
        <v>2024-09</v>
      </c>
      <c r="U1940" s="112" t="str">
        <f t="shared" si="7"/>
        <v>2024-H2</v>
      </c>
      <c r="V1940" s="1" t="str">
        <f>VLOOKUP(B1940,Bounties!A:E,2,FALSE)</f>
        <v>Moderation Team Bounty</v>
      </c>
    </row>
    <row r="1941" hidden="1">
      <c r="A1941" s="109">
        <f>HYPERLINK("https://polkadot.subsquare.io/treasury/child-bounties/1964", 1964)</f>
        <v>1964</v>
      </c>
      <c r="B1941" s="183">
        <v>24.0</v>
      </c>
      <c r="C1941" s="27" t="s">
        <v>3404</v>
      </c>
      <c r="D1941" s="27" t="s">
        <v>2368</v>
      </c>
      <c r="E1941" s="129">
        <v>298.89</v>
      </c>
      <c r="F1941" s="66">
        <v>1309.3973389434814</v>
      </c>
      <c r="G1941" s="27" t="s">
        <v>3549</v>
      </c>
      <c r="H1941" s="167">
        <v>45528.0</v>
      </c>
      <c r="I1941" s="167">
        <v>45538.0</v>
      </c>
      <c r="J1941" s="66">
        <v>1183.4462834000587</v>
      </c>
      <c r="M1941" s="1" t="str">
        <f>VLOOKUP(B1941,Bounties!A:D,3,FALSE)</f>
        <v>Outreach</v>
      </c>
      <c r="N1941" s="1" t="str">
        <f>VLOOKUP(B1941,Bounties!A:D,4,FALSE)</f>
        <v>Community Building</v>
      </c>
      <c r="O1941" s="1" t="str">
        <f t="shared" ref="O1941:P1941" si="1945">IF(ISBLANK(K1941),M1941,K1941)</f>
        <v>Outreach</v>
      </c>
      <c r="P1941" s="1" t="str">
        <f t="shared" si="1945"/>
        <v>Community Building</v>
      </c>
      <c r="Q1941" s="108" t="str">
        <f t="shared" si="3"/>
        <v>2024</v>
      </c>
      <c r="R1941" s="110">
        <f t="shared" si="4"/>
        <v>9</v>
      </c>
      <c r="S1941" s="108" t="str">
        <f t="shared" si="5"/>
        <v>2024-Q3</v>
      </c>
      <c r="T1941" s="111" t="str">
        <f t="shared" si="6"/>
        <v>2024-09</v>
      </c>
      <c r="U1941" s="112" t="str">
        <f t="shared" si="7"/>
        <v>2024-H2</v>
      </c>
      <c r="V1941" s="1" t="str">
        <f>VLOOKUP(B1941,Bounties!A:E,2,FALSE)</f>
        <v>Moderation Team Bounty</v>
      </c>
    </row>
    <row r="1942" hidden="1">
      <c r="A1942" s="109">
        <f>HYPERLINK("https://polkadot.subsquare.io/treasury/child-bounties/1965", 1965)</f>
        <v>1965</v>
      </c>
      <c r="B1942" s="183">
        <v>24.0</v>
      </c>
      <c r="C1942" s="27" t="s">
        <v>3404</v>
      </c>
      <c r="D1942" s="27" t="s">
        <v>2369</v>
      </c>
      <c r="E1942" s="129">
        <v>298.89</v>
      </c>
      <c r="F1942" s="66">
        <v>1309.3973389434814</v>
      </c>
      <c r="G1942" s="27" t="s">
        <v>3457</v>
      </c>
      <c r="H1942" s="167">
        <v>45528.0</v>
      </c>
      <c r="I1942" s="167">
        <v>45538.0</v>
      </c>
      <c r="J1942" s="66">
        <v>1183.4462834000587</v>
      </c>
      <c r="M1942" s="1" t="str">
        <f>VLOOKUP(B1942,Bounties!A:D,3,FALSE)</f>
        <v>Outreach</v>
      </c>
      <c r="N1942" s="1" t="str">
        <f>VLOOKUP(B1942,Bounties!A:D,4,FALSE)</f>
        <v>Community Building</v>
      </c>
      <c r="O1942" s="1" t="str">
        <f t="shared" ref="O1942:P1942" si="1946">IF(ISBLANK(K1942),M1942,K1942)</f>
        <v>Outreach</v>
      </c>
      <c r="P1942" s="1" t="str">
        <f t="shared" si="1946"/>
        <v>Community Building</v>
      </c>
      <c r="Q1942" s="108" t="str">
        <f t="shared" si="3"/>
        <v>2024</v>
      </c>
      <c r="R1942" s="110">
        <f t="shared" si="4"/>
        <v>9</v>
      </c>
      <c r="S1942" s="108" t="str">
        <f t="shared" si="5"/>
        <v>2024-Q3</v>
      </c>
      <c r="T1942" s="111" t="str">
        <f t="shared" si="6"/>
        <v>2024-09</v>
      </c>
      <c r="U1942" s="112" t="str">
        <f t="shared" si="7"/>
        <v>2024-H2</v>
      </c>
      <c r="V1942" s="1" t="str">
        <f>VLOOKUP(B1942,Bounties!A:E,2,FALSE)</f>
        <v>Moderation Team Bounty</v>
      </c>
    </row>
    <row r="1943" hidden="1">
      <c r="A1943" s="109">
        <f>HYPERLINK("https://polkadot.subsquare.io/treasury/child-bounties/1967", 1967)</f>
        <v>1967</v>
      </c>
      <c r="B1943" s="183">
        <v>24.0</v>
      </c>
      <c r="C1943" s="27" t="s">
        <v>3404</v>
      </c>
      <c r="D1943" s="27" t="s">
        <v>2370</v>
      </c>
      <c r="E1943" s="129">
        <v>298.89</v>
      </c>
      <c r="F1943" s="66">
        <v>1309.3973389434814</v>
      </c>
      <c r="G1943" s="27" t="s">
        <v>3406</v>
      </c>
      <c r="H1943" s="167">
        <v>45528.0</v>
      </c>
      <c r="I1943" s="167">
        <v>45540.0</v>
      </c>
      <c r="J1943" s="66">
        <v>1218.4648303556442</v>
      </c>
      <c r="M1943" s="1" t="str">
        <f>VLOOKUP(B1943,Bounties!A:D,3,FALSE)</f>
        <v>Outreach</v>
      </c>
      <c r="N1943" s="1" t="str">
        <f>VLOOKUP(B1943,Bounties!A:D,4,FALSE)</f>
        <v>Community Building</v>
      </c>
      <c r="O1943" s="1" t="str">
        <f t="shared" ref="O1943:P1943" si="1947">IF(ISBLANK(K1943),M1943,K1943)</f>
        <v>Outreach</v>
      </c>
      <c r="P1943" s="1" t="str">
        <f t="shared" si="1947"/>
        <v>Community Building</v>
      </c>
      <c r="Q1943" s="108" t="str">
        <f t="shared" si="3"/>
        <v>2024</v>
      </c>
      <c r="R1943" s="110">
        <f t="shared" si="4"/>
        <v>9</v>
      </c>
      <c r="S1943" s="108" t="str">
        <f t="shared" si="5"/>
        <v>2024-Q3</v>
      </c>
      <c r="T1943" s="111" t="str">
        <f t="shared" si="6"/>
        <v>2024-09</v>
      </c>
      <c r="U1943" s="112" t="str">
        <f t="shared" si="7"/>
        <v>2024-H2</v>
      </c>
      <c r="V1943" s="1" t="str">
        <f>VLOOKUP(B1943,Bounties!A:E,2,FALSE)</f>
        <v>Moderation Team Bounty</v>
      </c>
    </row>
    <row r="1944" hidden="1">
      <c r="A1944" s="109">
        <f>HYPERLINK("https://polkadot.subsquare.io/treasury/child-bounties/1968", 1968)</f>
        <v>1968</v>
      </c>
      <c r="B1944" s="183">
        <v>24.0</v>
      </c>
      <c r="C1944" s="27" t="s">
        <v>3404</v>
      </c>
      <c r="D1944" s="27" t="s">
        <v>2371</v>
      </c>
      <c r="E1944" s="129">
        <v>298.89</v>
      </c>
      <c r="F1944" s="66">
        <v>1309.3973389434814</v>
      </c>
      <c r="G1944" s="27" t="s">
        <v>3548</v>
      </c>
      <c r="H1944" s="167">
        <v>45528.0</v>
      </c>
      <c r="I1944" s="167">
        <v>45538.0</v>
      </c>
      <c r="J1944" s="66">
        <v>1183.4462834000587</v>
      </c>
      <c r="M1944" s="1" t="str">
        <f>VLOOKUP(B1944,Bounties!A:D,3,FALSE)</f>
        <v>Outreach</v>
      </c>
      <c r="N1944" s="1" t="str">
        <f>VLOOKUP(B1944,Bounties!A:D,4,FALSE)</f>
        <v>Community Building</v>
      </c>
      <c r="O1944" s="1" t="str">
        <f t="shared" ref="O1944:P1944" si="1948">IF(ISBLANK(K1944),M1944,K1944)</f>
        <v>Outreach</v>
      </c>
      <c r="P1944" s="1" t="str">
        <f t="shared" si="1948"/>
        <v>Community Building</v>
      </c>
      <c r="Q1944" s="108" t="str">
        <f t="shared" si="3"/>
        <v>2024</v>
      </c>
      <c r="R1944" s="110">
        <f t="shared" si="4"/>
        <v>9</v>
      </c>
      <c r="S1944" s="108" t="str">
        <f t="shared" si="5"/>
        <v>2024-Q3</v>
      </c>
      <c r="T1944" s="111" t="str">
        <f t="shared" si="6"/>
        <v>2024-09</v>
      </c>
      <c r="U1944" s="112" t="str">
        <f t="shared" si="7"/>
        <v>2024-H2</v>
      </c>
      <c r="V1944" s="1" t="str">
        <f>VLOOKUP(B1944,Bounties!A:E,2,FALSE)</f>
        <v>Moderation Team Bounty</v>
      </c>
    </row>
    <row r="1945" hidden="1">
      <c r="A1945" s="109">
        <f>HYPERLINK("https://polkadot.subsquare.io/treasury/child-bounties/1969", 1969)</f>
        <v>1969</v>
      </c>
      <c r="B1945" s="183">
        <v>24.0</v>
      </c>
      <c r="C1945" s="27" t="s">
        <v>3404</v>
      </c>
      <c r="D1945" s="27" t="s">
        <v>2372</v>
      </c>
      <c r="E1945" s="129">
        <v>298.89</v>
      </c>
      <c r="F1945" s="66">
        <v>1309.3973389434814</v>
      </c>
      <c r="G1945" s="27" t="s">
        <v>3526</v>
      </c>
      <c r="H1945" s="167">
        <v>45528.0</v>
      </c>
      <c r="I1945" s="167">
        <v>45539.0</v>
      </c>
      <c r="J1945" s="66">
        <v>1183.4462834000587</v>
      </c>
      <c r="M1945" s="1" t="str">
        <f>VLOOKUP(B1945,Bounties!A:D,3,FALSE)</f>
        <v>Outreach</v>
      </c>
      <c r="N1945" s="1" t="str">
        <f>VLOOKUP(B1945,Bounties!A:D,4,FALSE)</f>
        <v>Community Building</v>
      </c>
      <c r="O1945" s="1" t="str">
        <f t="shared" ref="O1945:P1945" si="1949">IF(ISBLANK(K1945),M1945,K1945)</f>
        <v>Outreach</v>
      </c>
      <c r="P1945" s="1" t="str">
        <f t="shared" si="1949"/>
        <v>Community Building</v>
      </c>
      <c r="Q1945" s="108" t="str">
        <f t="shared" si="3"/>
        <v>2024</v>
      </c>
      <c r="R1945" s="110">
        <f t="shared" si="4"/>
        <v>9</v>
      </c>
      <c r="S1945" s="108" t="str">
        <f t="shared" si="5"/>
        <v>2024-Q3</v>
      </c>
      <c r="T1945" s="111" t="str">
        <f t="shared" si="6"/>
        <v>2024-09</v>
      </c>
      <c r="U1945" s="112" t="str">
        <f t="shared" si="7"/>
        <v>2024-H2</v>
      </c>
      <c r="V1945" s="1" t="str">
        <f>VLOOKUP(B1945,Bounties!A:E,2,FALSE)</f>
        <v>Moderation Team Bounty</v>
      </c>
    </row>
    <row r="1946" hidden="1">
      <c r="A1946" s="109">
        <f>HYPERLINK("https://polkadot.subsquare.io/treasury/child-bounties/1970", 1970)</f>
        <v>1970</v>
      </c>
      <c r="B1946" s="183">
        <v>24.0</v>
      </c>
      <c r="C1946" s="27" t="s">
        <v>3427</v>
      </c>
      <c r="D1946" s="27" t="s">
        <v>3791</v>
      </c>
      <c r="E1946" s="129">
        <v>298.89</v>
      </c>
      <c r="F1946" s="66">
        <v>1309.3973389434814</v>
      </c>
      <c r="H1946" s="167">
        <v>45528.0</v>
      </c>
      <c r="I1946" s="167">
        <v>45529.0</v>
      </c>
      <c r="J1946" s="66">
        <v>1272.9111731529235</v>
      </c>
      <c r="M1946" s="1" t="str">
        <f>VLOOKUP(B1946,Bounties!A:D,3,FALSE)</f>
        <v>Outreach</v>
      </c>
      <c r="N1946" s="1" t="str">
        <f>VLOOKUP(B1946,Bounties!A:D,4,FALSE)</f>
        <v>Community Building</v>
      </c>
      <c r="O1946" s="1" t="str">
        <f t="shared" ref="O1946:P1946" si="1950">IF(ISBLANK(K1946),M1946,K1946)</f>
        <v>Outreach</v>
      </c>
      <c r="P1946" s="1" t="str">
        <f t="shared" si="1950"/>
        <v>Community Building</v>
      </c>
      <c r="Q1946" s="108" t="str">
        <f t="shared" si="3"/>
        <v>2024</v>
      </c>
      <c r="R1946" s="110">
        <f t="shared" si="4"/>
        <v>8</v>
      </c>
      <c r="S1946" s="108" t="str">
        <f t="shared" si="5"/>
        <v>2024-Q3</v>
      </c>
      <c r="T1946" s="111" t="str">
        <f t="shared" si="6"/>
        <v>2024-08</v>
      </c>
      <c r="U1946" s="112" t="str">
        <f t="shared" si="7"/>
        <v>2024-H2</v>
      </c>
      <c r="V1946" s="1" t="str">
        <f>VLOOKUP(B1946,Bounties!A:E,2,FALSE)</f>
        <v>Moderation Team Bounty</v>
      </c>
    </row>
    <row r="1947" hidden="1">
      <c r="A1947" s="109">
        <f>HYPERLINK("https://polkadot.subsquare.io/treasury/child-bounties/1971", 1971)</f>
        <v>1971</v>
      </c>
      <c r="B1947" s="183">
        <v>43.0</v>
      </c>
      <c r="C1947" s="27" t="s">
        <v>3404</v>
      </c>
      <c r="D1947" s="27" t="s">
        <v>2373</v>
      </c>
      <c r="E1947" s="129">
        <v>52.0</v>
      </c>
      <c r="F1947" s="66">
        <v>227.80508422851562</v>
      </c>
      <c r="G1947" s="27" t="s">
        <v>3792</v>
      </c>
      <c r="H1947" s="167">
        <v>45529.0</v>
      </c>
      <c r="I1947" s="167">
        <v>45547.0</v>
      </c>
      <c r="J1947" s="66">
        <v>228.89717864990234</v>
      </c>
      <c r="M1947" s="1" t="str">
        <f>VLOOKUP(B1947,Bounties!A:D,3,FALSE)</f>
        <v>Outreach</v>
      </c>
      <c r="N1947" s="1" t="str">
        <f>VLOOKUP(B1947,Bounties!A:D,4,FALSE)</f>
        <v>Events/Meetups</v>
      </c>
      <c r="O1947" s="1" t="str">
        <f t="shared" ref="O1947:P1947" si="1951">IF(ISBLANK(K1947),M1947,K1947)</f>
        <v>Outreach</v>
      </c>
      <c r="P1947" s="1" t="str">
        <f t="shared" si="1951"/>
        <v>Events/Meetups</v>
      </c>
      <c r="Q1947" s="108" t="str">
        <f t="shared" si="3"/>
        <v>2024</v>
      </c>
      <c r="R1947" s="110">
        <f t="shared" si="4"/>
        <v>9</v>
      </c>
      <c r="S1947" s="108" t="str">
        <f t="shared" si="5"/>
        <v>2024-Q3</v>
      </c>
      <c r="T1947" s="111" t="str">
        <f t="shared" si="6"/>
        <v>2024-09</v>
      </c>
      <c r="U1947" s="112" t="str">
        <f t="shared" si="7"/>
        <v>2024-H2</v>
      </c>
      <c r="V1947" s="1" t="str">
        <f>VLOOKUP(B1947,Bounties!A:E,2,FALSE)</f>
        <v>Meetups Bounty</v>
      </c>
    </row>
    <row r="1948" hidden="1">
      <c r="A1948" s="109">
        <f>HYPERLINK("https://polkadot.subsquare.io/treasury/child-bounties/1973", 1973)</f>
        <v>1973</v>
      </c>
      <c r="B1948" s="183">
        <v>17.0</v>
      </c>
      <c r="C1948" s="27" t="s">
        <v>3404</v>
      </c>
      <c r="D1948" s="27" t="s">
        <v>2374</v>
      </c>
      <c r="E1948" s="129">
        <v>75.76</v>
      </c>
      <c r="F1948" s="66">
        <v>322.6462928771973</v>
      </c>
      <c r="G1948" s="27" t="s">
        <v>3578</v>
      </c>
      <c r="H1948" s="167">
        <v>45530.0</v>
      </c>
      <c r="I1948" s="167">
        <v>45538.0</v>
      </c>
      <c r="J1948" s="66">
        <v>299.96952199935913</v>
      </c>
      <c r="M1948" s="1" t="str">
        <f>VLOOKUP(B1948,Bounties!A:D,3,FALSE)</f>
        <v>Outreach</v>
      </c>
      <c r="N1948" s="1" t="str">
        <f>VLOOKUP(B1948,Bounties!A:D,4,FALSE)</f>
        <v>Events/Meetups</v>
      </c>
      <c r="O1948" s="1" t="str">
        <f t="shared" ref="O1948:P1948" si="1952">IF(ISBLANK(K1948),M1948,K1948)</f>
        <v>Outreach</v>
      </c>
      <c r="P1948" s="1" t="str">
        <f t="shared" si="1952"/>
        <v>Events/Meetups</v>
      </c>
      <c r="Q1948" s="108" t="str">
        <f t="shared" si="3"/>
        <v>2024</v>
      </c>
      <c r="R1948" s="110">
        <f t="shared" si="4"/>
        <v>9</v>
      </c>
      <c r="S1948" s="108" t="str">
        <f t="shared" si="5"/>
        <v>2024-Q3</v>
      </c>
      <c r="T1948" s="111" t="str">
        <f t="shared" si="6"/>
        <v>2024-09</v>
      </c>
      <c r="U1948" s="112" t="str">
        <f t="shared" si="7"/>
        <v>2024-H2</v>
      </c>
      <c r="V1948" s="1" t="str">
        <f>VLOOKUP(B1948,Bounties!A:E,2,FALSE)</f>
        <v>Events Bounty</v>
      </c>
    </row>
    <row r="1949" hidden="1">
      <c r="A1949" s="109">
        <f>HYPERLINK("https://polkadot.subsquare.io/treasury/child-bounties/1974", 1974)</f>
        <v>1974</v>
      </c>
      <c r="B1949" s="183">
        <v>17.0</v>
      </c>
      <c r="C1949" s="27" t="s">
        <v>3404</v>
      </c>
      <c r="D1949" s="27" t="s">
        <v>2375</v>
      </c>
      <c r="E1949" s="129">
        <v>75.76</v>
      </c>
      <c r="F1949" s="66">
        <v>322.6462928771973</v>
      </c>
      <c r="G1949" s="27" t="s">
        <v>3774</v>
      </c>
      <c r="H1949" s="167">
        <v>45530.0</v>
      </c>
      <c r="I1949" s="167">
        <v>45539.0</v>
      </c>
      <c r="J1949" s="66">
        <v>308.845714302063</v>
      </c>
      <c r="L1949" s="1" t="s">
        <v>266</v>
      </c>
      <c r="M1949" s="1" t="str">
        <f>VLOOKUP(B1949,Bounties!A:D,3,FALSE)</f>
        <v>Outreach</v>
      </c>
      <c r="N1949" s="1" t="str">
        <f>VLOOKUP(B1949,Bounties!A:D,4,FALSE)</f>
        <v>Events/Meetups</v>
      </c>
      <c r="O1949" s="1" t="str">
        <f t="shared" ref="O1949:P1949" si="1953">IF(ISBLANK(K1949),M1949,K1949)</f>
        <v>Outreach</v>
      </c>
      <c r="P1949" s="1" t="str">
        <f t="shared" si="1953"/>
        <v>Events/Conference Attendance &amp; Side Events</v>
      </c>
      <c r="Q1949" s="108" t="str">
        <f t="shared" si="3"/>
        <v>2024</v>
      </c>
      <c r="R1949" s="110">
        <f t="shared" si="4"/>
        <v>9</v>
      </c>
      <c r="S1949" s="108" t="str">
        <f t="shared" si="5"/>
        <v>2024-Q3</v>
      </c>
      <c r="T1949" s="111" t="str">
        <f t="shared" si="6"/>
        <v>2024-09</v>
      </c>
      <c r="U1949" s="112" t="str">
        <f t="shared" si="7"/>
        <v>2024-H2</v>
      </c>
      <c r="V1949" s="1" t="str">
        <f>VLOOKUP(B1949,Bounties!A:E,2,FALSE)</f>
        <v>Events Bounty</v>
      </c>
    </row>
    <row r="1950" hidden="1">
      <c r="A1950" s="109">
        <f>HYPERLINK("https://polkadot.subsquare.io/treasury/child-bounties/1975", 1975)</f>
        <v>1975</v>
      </c>
      <c r="B1950" s="183">
        <v>42.0</v>
      </c>
      <c r="C1950" s="27" t="s">
        <v>3404</v>
      </c>
      <c r="D1950" s="27" t="s">
        <v>2376</v>
      </c>
      <c r="E1950" s="129">
        <v>16.55</v>
      </c>
      <c r="F1950" s="66">
        <v>70.34962947368622</v>
      </c>
      <c r="G1950" s="27" t="s">
        <v>3778</v>
      </c>
      <c r="H1950" s="167">
        <v>45530.0</v>
      </c>
      <c r="I1950" s="167">
        <v>45539.0</v>
      </c>
      <c r="J1950" s="66">
        <v>65.52924484014511</v>
      </c>
      <c r="M1950" s="1" t="str">
        <f>VLOOKUP(B1950,Bounties!A:D,3,FALSE)</f>
        <v>Outreach</v>
      </c>
      <c r="N1950" s="1" t="str">
        <f>VLOOKUP(B1950,Bounties!A:D,4,FALSE)</f>
        <v>Media</v>
      </c>
      <c r="O1950" s="1" t="str">
        <f t="shared" ref="O1950:P1950" si="1954">IF(ISBLANK(K1950),M1950,K1950)</f>
        <v>Outreach</v>
      </c>
      <c r="P1950" s="1" t="str">
        <f t="shared" si="1954"/>
        <v>Media</v>
      </c>
      <c r="Q1950" s="108" t="str">
        <f t="shared" si="3"/>
        <v>2024</v>
      </c>
      <c r="R1950" s="110">
        <f t="shared" si="4"/>
        <v>9</v>
      </c>
      <c r="S1950" s="108" t="str">
        <f t="shared" si="5"/>
        <v>2024-Q3</v>
      </c>
      <c r="T1950" s="111" t="str">
        <f t="shared" si="6"/>
        <v>2024-09</v>
      </c>
      <c r="U1950" s="112" t="str">
        <f t="shared" si="7"/>
        <v>2024-H2</v>
      </c>
      <c r="V1950" s="1" t="str">
        <f>VLOOKUP(B1950,Bounties!A:E,2,FALSE)</f>
        <v>Spanish Bounty</v>
      </c>
    </row>
    <row r="1951" hidden="1">
      <c r="A1951" s="109">
        <f>HYPERLINK("https://polkadot.subsquare.io/treasury/child-bounties/1976", 1976)</f>
        <v>1976</v>
      </c>
      <c r="B1951" s="183">
        <v>42.0</v>
      </c>
      <c r="C1951" s="27" t="s">
        <v>3404</v>
      </c>
      <c r="D1951" s="27" t="s">
        <v>2377</v>
      </c>
      <c r="E1951" s="129">
        <v>13.71</v>
      </c>
      <c r="F1951" s="66">
        <v>58.27754804134369</v>
      </c>
      <c r="G1951" s="27" t="s">
        <v>3789</v>
      </c>
      <c r="H1951" s="167">
        <v>45530.0</v>
      </c>
      <c r="I1951" s="167">
        <v>45540.0</v>
      </c>
      <c r="J1951" s="66">
        <v>57.08989178180695</v>
      </c>
      <c r="M1951" s="1" t="str">
        <f>VLOOKUP(B1951,Bounties!A:D,3,FALSE)</f>
        <v>Outreach</v>
      </c>
      <c r="N1951" s="1" t="str">
        <f>VLOOKUP(B1951,Bounties!A:D,4,FALSE)</f>
        <v>Media</v>
      </c>
      <c r="O1951" s="1" t="str">
        <f t="shared" ref="O1951:P1951" si="1955">IF(ISBLANK(K1951),M1951,K1951)</f>
        <v>Outreach</v>
      </c>
      <c r="P1951" s="1" t="str">
        <f t="shared" si="1955"/>
        <v>Media</v>
      </c>
      <c r="Q1951" s="108" t="str">
        <f t="shared" si="3"/>
        <v>2024</v>
      </c>
      <c r="R1951" s="110">
        <f t="shared" si="4"/>
        <v>9</v>
      </c>
      <c r="S1951" s="108" t="str">
        <f t="shared" si="5"/>
        <v>2024-Q3</v>
      </c>
      <c r="T1951" s="111" t="str">
        <f t="shared" si="6"/>
        <v>2024-09</v>
      </c>
      <c r="U1951" s="112" t="str">
        <f t="shared" si="7"/>
        <v>2024-H2</v>
      </c>
      <c r="V1951" s="1" t="str">
        <f>VLOOKUP(B1951,Bounties!A:E,2,FALSE)</f>
        <v>Spanish Bounty</v>
      </c>
    </row>
    <row r="1952" hidden="1">
      <c r="A1952" s="109">
        <f>HYPERLINK("https://polkadot.subsquare.io/treasury/child-bounties/1977", 1977)</f>
        <v>1977</v>
      </c>
      <c r="B1952" s="183">
        <v>42.0</v>
      </c>
      <c r="C1952" s="27" t="s">
        <v>3404</v>
      </c>
      <c r="D1952" s="27" t="s">
        <v>2378</v>
      </c>
      <c r="E1952" s="129">
        <v>42.4</v>
      </c>
      <c r="F1952" s="66">
        <v>180.2310749053955</v>
      </c>
      <c r="G1952" s="27" t="s">
        <v>3704</v>
      </c>
      <c r="H1952" s="167">
        <v>45530.0</v>
      </c>
      <c r="I1952" s="167">
        <v>45540.0</v>
      </c>
      <c r="J1952" s="66">
        <v>172.84923820495604</v>
      </c>
      <c r="M1952" s="1" t="str">
        <f>VLOOKUP(B1952,Bounties!A:D,3,FALSE)</f>
        <v>Outreach</v>
      </c>
      <c r="N1952" s="1" t="str">
        <f>VLOOKUP(B1952,Bounties!A:D,4,FALSE)</f>
        <v>Media</v>
      </c>
      <c r="O1952" s="1" t="str">
        <f t="shared" ref="O1952:P1952" si="1956">IF(ISBLANK(K1952),M1952,K1952)</f>
        <v>Outreach</v>
      </c>
      <c r="P1952" s="1" t="str">
        <f t="shared" si="1956"/>
        <v>Media</v>
      </c>
      <c r="Q1952" s="108" t="str">
        <f t="shared" si="3"/>
        <v>2024</v>
      </c>
      <c r="R1952" s="110">
        <f t="shared" si="4"/>
        <v>9</v>
      </c>
      <c r="S1952" s="108" t="str">
        <f t="shared" si="5"/>
        <v>2024-Q3</v>
      </c>
      <c r="T1952" s="111" t="str">
        <f t="shared" si="6"/>
        <v>2024-09</v>
      </c>
      <c r="U1952" s="112" t="str">
        <f t="shared" si="7"/>
        <v>2024-H2</v>
      </c>
      <c r="V1952" s="1" t="str">
        <f>VLOOKUP(B1952,Bounties!A:E,2,FALSE)</f>
        <v>Spanish Bounty</v>
      </c>
    </row>
    <row r="1953" hidden="1">
      <c r="A1953" s="109">
        <f>HYPERLINK("https://polkadot.subsquare.io/treasury/child-bounties/1978", 1978)</f>
        <v>1978</v>
      </c>
      <c r="B1953" s="183">
        <v>42.0</v>
      </c>
      <c r="C1953" s="27" t="s">
        <v>3404</v>
      </c>
      <c r="D1953" s="27" t="s">
        <v>2379</v>
      </c>
      <c r="E1953" s="129">
        <v>7.42</v>
      </c>
      <c r="F1953" s="66">
        <v>31.540438108444214</v>
      </c>
      <c r="G1953" s="27" t="s">
        <v>3702</v>
      </c>
      <c r="H1953" s="167">
        <v>45530.0</v>
      </c>
      <c r="I1953" s="167">
        <v>45538.0</v>
      </c>
      <c r="J1953" s="66">
        <v>29.379274725914</v>
      </c>
      <c r="M1953" s="1" t="str">
        <f>VLOOKUP(B1953,Bounties!A:D,3,FALSE)</f>
        <v>Outreach</v>
      </c>
      <c r="N1953" s="1" t="str">
        <f>VLOOKUP(B1953,Bounties!A:D,4,FALSE)</f>
        <v>Media</v>
      </c>
      <c r="O1953" s="1" t="str">
        <f t="shared" ref="O1953:P1953" si="1957">IF(ISBLANK(K1953),M1953,K1953)</f>
        <v>Outreach</v>
      </c>
      <c r="P1953" s="1" t="str">
        <f t="shared" si="1957"/>
        <v>Media</v>
      </c>
      <c r="Q1953" s="108" t="str">
        <f t="shared" si="3"/>
        <v>2024</v>
      </c>
      <c r="R1953" s="110">
        <f t="shared" si="4"/>
        <v>9</v>
      </c>
      <c r="S1953" s="108" t="str">
        <f t="shared" si="5"/>
        <v>2024-Q3</v>
      </c>
      <c r="T1953" s="111" t="str">
        <f t="shared" si="6"/>
        <v>2024-09</v>
      </c>
      <c r="U1953" s="112" t="str">
        <f t="shared" si="7"/>
        <v>2024-H2</v>
      </c>
      <c r="V1953" s="1" t="str">
        <f>VLOOKUP(B1953,Bounties!A:E,2,FALSE)</f>
        <v>Spanish Bounty</v>
      </c>
    </row>
    <row r="1954" hidden="1">
      <c r="A1954" s="109">
        <f>HYPERLINK("https://polkadot.subsquare.io/treasury/child-bounties/1979", 1979)</f>
        <v>1979</v>
      </c>
      <c r="B1954" s="183">
        <v>42.0</v>
      </c>
      <c r="C1954" s="27" t="s">
        <v>3404</v>
      </c>
      <c r="D1954" s="27" t="s">
        <v>2380</v>
      </c>
      <c r="E1954" s="129">
        <v>27.46</v>
      </c>
      <c r="F1954" s="66">
        <v>116.72512539863587</v>
      </c>
      <c r="G1954" s="27" t="s">
        <v>3703</v>
      </c>
      <c r="H1954" s="167">
        <v>45530.0</v>
      </c>
      <c r="I1954" s="167">
        <v>45538.0</v>
      </c>
      <c r="J1954" s="66">
        <v>108.72707331180573</v>
      </c>
      <c r="M1954" s="1" t="str">
        <f>VLOOKUP(B1954,Bounties!A:D,3,FALSE)</f>
        <v>Outreach</v>
      </c>
      <c r="N1954" s="1" t="str">
        <f>VLOOKUP(B1954,Bounties!A:D,4,FALSE)</f>
        <v>Media</v>
      </c>
      <c r="O1954" s="1" t="str">
        <f t="shared" ref="O1954:P1954" si="1958">IF(ISBLANK(K1954),M1954,K1954)</f>
        <v>Outreach</v>
      </c>
      <c r="P1954" s="1" t="str">
        <f t="shared" si="1958"/>
        <v>Media</v>
      </c>
      <c r="Q1954" s="108" t="str">
        <f t="shared" si="3"/>
        <v>2024</v>
      </c>
      <c r="R1954" s="110">
        <f t="shared" si="4"/>
        <v>9</v>
      </c>
      <c r="S1954" s="108" t="str">
        <f t="shared" si="5"/>
        <v>2024-Q3</v>
      </c>
      <c r="T1954" s="111" t="str">
        <f t="shared" si="6"/>
        <v>2024-09</v>
      </c>
      <c r="U1954" s="112" t="str">
        <f t="shared" si="7"/>
        <v>2024-H2</v>
      </c>
      <c r="V1954" s="1" t="str">
        <f>VLOOKUP(B1954,Bounties!A:E,2,FALSE)</f>
        <v>Spanish Bounty</v>
      </c>
    </row>
    <row r="1955" hidden="1">
      <c r="A1955" s="109">
        <f>HYPERLINK("https://polkadot.subsquare.io/treasury/child-bounties/1980", 1980)</f>
        <v>1980</v>
      </c>
      <c r="B1955" s="183">
        <v>42.0</v>
      </c>
      <c r="C1955" s="27" t="s">
        <v>3404</v>
      </c>
      <c r="D1955" s="27" t="s">
        <v>2381</v>
      </c>
      <c r="E1955" s="129">
        <v>6.0</v>
      </c>
      <c r="F1955" s="66">
        <v>25.50439739227295</v>
      </c>
      <c r="G1955" s="27" t="s">
        <v>3793</v>
      </c>
      <c r="H1955" s="167">
        <v>45530.0</v>
      </c>
      <c r="I1955" s="167">
        <v>45538.0</v>
      </c>
      <c r="J1955" s="66">
        <v>23.756825923919678</v>
      </c>
      <c r="M1955" s="1" t="str">
        <f>VLOOKUP(B1955,Bounties!A:D,3,FALSE)</f>
        <v>Outreach</v>
      </c>
      <c r="N1955" s="1" t="str">
        <f>VLOOKUP(B1955,Bounties!A:D,4,FALSE)</f>
        <v>Media</v>
      </c>
      <c r="O1955" s="1" t="str">
        <f t="shared" ref="O1955:P1955" si="1959">IF(ISBLANK(K1955),M1955,K1955)</f>
        <v>Outreach</v>
      </c>
      <c r="P1955" s="1" t="str">
        <f t="shared" si="1959"/>
        <v>Media</v>
      </c>
      <c r="Q1955" s="108" t="str">
        <f t="shared" si="3"/>
        <v>2024</v>
      </c>
      <c r="R1955" s="110">
        <f t="shared" si="4"/>
        <v>9</v>
      </c>
      <c r="S1955" s="108" t="str">
        <f t="shared" si="5"/>
        <v>2024-Q3</v>
      </c>
      <c r="T1955" s="111" t="str">
        <f t="shared" si="6"/>
        <v>2024-09</v>
      </c>
      <c r="U1955" s="112" t="str">
        <f t="shared" si="7"/>
        <v>2024-H2</v>
      </c>
      <c r="V1955" s="1" t="str">
        <f>VLOOKUP(B1955,Bounties!A:E,2,FALSE)</f>
        <v>Spanish Bounty</v>
      </c>
    </row>
    <row r="1956" hidden="1">
      <c r="A1956" s="109">
        <f>HYPERLINK("https://polkadot.subsquare.io/treasury/child-bounties/1981", 1981)</f>
        <v>1981</v>
      </c>
      <c r="B1956" s="183">
        <v>42.0</v>
      </c>
      <c r="C1956" s="27" t="s">
        <v>3404</v>
      </c>
      <c r="D1956" s="27" t="s">
        <v>2382</v>
      </c>
      <c r="E1956" s="129">
        <v>11.82</v>
      </c>
      <c r="F1956" s="66">
        <v>50.24366286277771</v>
      </c>
      <c r="G1956" s="27" t="s">
        <v>3687</v>
      </c>
      <c r="H1956" s="167">
        <v>45530.0</v>
      </c>
      <c r="I1956" s="167">
        <v>45559.0</v>
      </c>
      <c r="J1956" s="66">
        <v>56.928479003906254</v>
      </c>
      <c r="M1956" s="1" t="str">
        <f>VLOOKUP(B1956,Bounties!A:D,3,FALSE)</f>
        <v>Outreach</v>
      </c>
      <c r="N1956" s="1" t="str">
        <f>VLOOKUP(B1956,Bounties!A:D,4,FALSE)</f>
        <v>Media</v>
      </c>
      <c r="O1956" s="1" t="str">
        <f t="shared" ref="O1956:P1956" si="1960">IF(ISBLANK(K1956),M1956,K1956)</f>
        <v>Outreach</v>
      </c>
      <c r="P1956" s="1" t="str">
        <f t="shared" si="1960"/>
        <v>Media</v>
      </c>
      <c r="Q1956" s="108" t="str">
        <f t="shared" si="3"/>
        <v>2024</v>
      </c>
      <c r="R1956" s="110">
        <f t="shared" si="4"/>
        <v>9</v>
      </c>
      <c r="S1956" s="108" t="str">
        <f t="shared" si="5"/>
        <v>2024-Q3</v>
      </c>
      <c r="T1956" s="111" t="str">
        <f t="shared" si="6"/>
        <v>2024-09</v>
      </c>
      <c r="U1956" s="112" t="str">
        <f t="shared" si="7"/>
        <v>2024-H2</v>
      </c>
      <c r="V1956" s="1" t="str">
        <f>VLOOKUP(B1956,Bounties!A:E,2,FALSE)</f>
        <v>Spanish Bounty</v>
      </c>
    </row>
    <row r="1957" hidden="1">
      <c r="A1957" s="109">
        <f>HYPERLINK("https://polkadot.subsquare.io/treasury/child-bounties/1982", 1982)</f>
        <v>1982</v>
      </c>
      <c r="B1957" s="183">
        <v>42.0</v>
      </c>
      <c r="C1957" s="27" t="s">
        <v>3404</v>
      </c>
      <c r="D1957" s="27" t="s">
        <v>2383</v>
      </c>
      <c r="E1957" s="129">
        <v>40.22</v>
      </c>
      <c r="F1957" s="66">
        <v>170.964477186203</v>
      </c>
      <c r="G1957" s="27" t="s">
        <v>3763</v>
      </c>
      <c r="H1957" s="167">
        <v>45530.0</v>
      </c>
      <c r="I1957" s="167">
        <v>45540.0</v>
      </c>
      <c r="J1957" s="66">
        <v>163.96217831611634</v>
      </c>
      <c r="M1957" s="1" t="str">
        <f>VLOOKUP(B1957,Bounties!A:D,3,FALSE)</f>
        <v>Outreach</v>
      </c>
      <c r="N1957" s="1" t="str">
        <f>VLOOKUP(B1957,Bounties!A:D,4,FALSE)</f>
        <v>Media</v>
      </c>
      <c r="O1957" s="1" t="str">
        <f t="shared" ref="O1957:P1957" si="1961">IF(ISBLANK(K1957),M1957,K1957)</f>
        <v>Outreach</v>
      </c>
      <c r="P1957" s="1" t="str">
        <f t="shared" si="1961"/>
        <v>Media</v>
      </c>
      <c r="Q1957" s="108" t="str">
        <f t="shared" si="3"/>
        <v>2024</v>
      </c>
      <c r="R1957" s="110">
        <f t="shared" si="4"/>
        <v>9</v>
      </c>
      <c r="S1957" s="108" t="str">
        <f t="shared" si="5"/>
        <v>2024-Q3</v>
      </c>
      <c r="T1957" s="111" t="str">
        <f t="shared" si="6"/>
        <v>2024-09</v>
      </c>
      <c r="U1957" s="112" t="str">
        <f t="shared" si="7"/>
        <v>2024-H2</v>
      </c>
      <c r="V1957" s="1" t="str">
        <f>VLOOKUP(B1957,Bounties!A:E,2,FALSE)</f>
        <v>Spanish Bounty</v>
      </c>
    </row>
    <row r="1958" hidden="1">
      <c r="A1958" s="109">
        <f>HYPERLINK("https://polkadot.subsquare.io/treasury/child-bounties/1983", 1983)</f>
        <v>1983</v>
      </c>
      <c r="B1958" s="183">
        <v>42.0</v>
      </c>
      <c r="C1958" s="27" t="s">
        <v>3404</v>
      </c>
      <c r="D1958" s="27" t="s">
        <v>2384</v>
      </c>
      <c r="E1958" s="129">
        <v>22.39</v>
      </c>
      <c r="F1958" s="66">
        <v>95.17390960216522</v>
      </c>
      <c r="G1958" s="27" t="s">
        <v>3777</v>
      </c>
      <c r="H1958" s="167">
        <v>45530.0</v>
      </c>
      <c r="I1958" s="167">
        <v>45542.0</v>
      </c>
      <c r="J1958" s="66">
        <v>95.29734995365143</v>
      </c>
      <c r="M1958" s="1" t="str">
        <f>VLOOKUP(B1958,Bounties!A:D,3,FALSE)</f>
        <v>Outreach</v>
      </c>
      <c r="N1958" s="1" t="str">
        <f>VLOOKUP(B1958,Bounties!A:D,4,FALSE)</f>
        <v>Media</v>
      </c>
      <c r="O1958" s="1" t="str">
        <f t="shared" ref="O1958:P1958" si="1962">IF(ISBLANK(K1958),M1958,K1958)</f>
        <v>Outreach</v>
      </c>
      <c r="P1958" s="1" t="str">
        <f t="shared" si="1962"/>
        <v>Media</v>
      </c>
      <c r="Q1958" s="108" t="str">
        <f t="shared" si="3"/>
        <v>2024</v>
      </c>
      <c r="R1958" s="110">
        <f t="shared" si="4"/>
        <v>9</v>
      </c>
      <c r="S1958" s="108" t="str">
        <f t="shared" si="5"/>
        <v>2024-Q3</v>
      </c>
      <c r="T1958" s="111" t="str">
        <f t="shared" si="6"/>
        <v>2024-09</v>
      </c>
      <c r="U1958" s="112" t="str">
        <f t="shared" si="7"/>
        <v>2024-H2</v>
      </c>
      <c r="V1958" s="1" t="str">
        <f>VLOOKUP(B1958,Bounties!A:E,2,FALSE)</f>
        <v>Spanish Bounty</v>
      </c>
    </row>
    <row r="1959" hidden="1">
      <c r="A1959" s="109">
        <f>HYPERLINK("https://polkadot.subsquare.io/treasury/child-bounties/1984", 1984)</f>
        <v>1984</v>
      </c>
      <c r="B1959" s="183">
        <v>42.0</v>
      </c>
      <c r="C1959" s="27" t="s">
        <v>3404</v>
      </c>
      <c r="D1959" s="27" t="s">
        <v>2385</v>
      </c>
      <c r="E1959" s="129">
        <v>94.86</v>
      </c>
      <c r="F1959" s="66">
        <v>403.2245227718353</v>
      </c>
      <c r="G1959" s="27" t="s">
        <v>3644</v>
      </c>
      <c r="H1959" s="167">
        <v>45530.0</v>
      </c>
      <c r="I1959" s="167">
        <v>45538.0</v>
      </c>
      <c r="J1959" s="66">
        <v>375.5954178571701</v>
      </c>
      <c r="M1959" s="1" t="str">
        <f>VLOOKUP(B1959,Bounties!A:D,3,FALSE)</f>
        <v>Outreach</v>
      </c>
      <c r="N1959" s="1" t="str">
        <f>VLOOKUP(B1959,Bounties!A:D,4,FALSE)</f>
        <v>Media</v>
      </c>
      <c r="O1959" s="1" t="str">
        <f t="shared" ref="O1959:P1959" si="1963">IF(ISBLANK(K1959),M1959,K1959)</f>
        <v>Outreach</v>
      </c>
      <c r="P1959" s="1" t="str">
        <f t="shared" si="1963"/>
        <v>Media</v>
      </c>
      <c r="Q1959" s="108" t="str">
        <f t="shared" si="3"/>
        <v>2024</v>
      </c>
      <c r="R1959" s="110">
        <f t="shared" si="4"/>
        <v>9</v>
      </c>
      <c r="S1959" s="108" t="str">
        <f t="shared" si="5"/>
        <v>2024-Q3</v>
      </c>
      <c r="T1959" s="111" t="str">
        <f t="shared" si="6"/>
        <v>2024-09</v>
      </c>
      <c r="U1959" s="112" t="str">
        <f t="shared" si="7"/>
        <v>2024-H2</v>
      </c>
      <c r="V1959" s="1" t="str">
        <f>VLOOKUP(B1959,Bounties!A:E,2,FALSE)</f>
        <v>Spanish Bounty</v>
      </c>
    </row>
    <row r="1960" hidden="1">
      <c r="A1960" s="109">
        <f>HYPERLINK("https://polkadot.subsquare.io/treasury/child-bounties/1985", 1985)</f>
        <v>1985</v>
      </c>
      <c r="B1960" s="183">
        <v>42.0</v>
      </c>
      <c r="C1960" s="27" t="s">
        <v>3404</v>
      </c>
      <c r="D1960" s="27" t="s">
        <v>2386</v>
      </c>
      <c r="E1960" s="129">
        <v>85.57</v>
      </c>
      <c r="F1960" s="66">
        <v>363.73521414279935</v>
      </c>
      <c r="G1960" s="27" t="s">
        <v>3676</v>
      </c>
      <c r="H1960" s="167">
        <v>45530.0</v>
      </c>
      <c r="I1960" s="167">
        <v>45538.0</v>
      </c>
      <c r="J1960" s="66">
        <v>338.8119323849678</v>
      </c>
      <c r="M1960" s="1" t="str">
        <f>VLOOKUP(B1960,Bounties!A:D,3,FALSE)</f>
        <v>Outreach</v>
      </c>
      <c r="N1960" s="1" t="str">
        <f>VLOOKUP(B1960,Bounties!A:D,4,FALSE)</f>
        <v>Media</v>
      </c>
      <c r="O1960" s="1" t="str">
        <f t="shared" ref="O1960:P1960" si="1964">IF(ISBLANK(K1960),M1960,K1960)</f>
        <v>Outreach</v>
      </c>
      <c r="P1960" s="1" t="str">
        <f t="shared" si="1964"/>
        <v>Media</v>
      </c>
      <c r="Q1960" s="108" t="str">
        <f t="shared" si="3"/>
        <v>2024</v>
      </c>
      <c r="R1960" s="110">
        <f t="shared" si="4"/>
        <v>9</v>
      </c>
      <c r="S1960" s="108" t="str">
        <f t="shared" si="5"/>
        <v>2024-Q3</v>
      </c>
      <c r="T1960" s="111" t="str">
        <f t="shared" si="6"/>
        <v>2024-09</v>
      </c>
      <c r="U1960" s="112" t="str">
        <f t="shared" si="7"/>
        <v>2024-H2</v>
      </c>
      <c r="V1960" s="1" t="str">
        <f>VLOOKUP(B1960,Bounties!A:E,2,FALSE)</f>
        <v>Spanish Bounty</v>
      </c>
    </row>
    <row r="1961" hidden="1">
      <c r="A1961" s="109">
        <f>HYPERLINK("https://polkadot.subsquare.io/treasury/child-bounties/1986", 1986)</f>
        <v>1986</v>
      </c>
      <c r="B1961" s="183">
        <v>42.0</v>
      </c>
      <c r="C1961" s="27" t="s">
        <v>3404</v>
      </c>
      <c r="D1961" s="27" t="s">
        <v>2387</v>
      </c>
      <c r="E1961" s="129">
        <v>154.7</v>
      </c>
      <c r="F1961" s="66">
        <v>657.5883794307708</v>
      </c>
      <c r="G1961" s="27" t="s">
        <v>3794</v>
      </c>
      <c r="H1961" s="167">
        <v>45530.0</v>
      </c>
      <c r="I1961" s="167">
        <v>45542.0</v>
      </c>
      <c r="J1961" s="66">
        <v>663.0352394104003</v>
      </c>
      <c r="M1961" s="1" t="str">
        <f>VLOOKUP(B1961,Bounties!A:D,3,FALSE)</f>
        <v>Outreach</v>
      </c>
      <c r="N1961" s="1" t="str">
        <f>VLOOKUP(B1961,Bounties!A:D,4,FALSE)</f>
        <v>Media</v>
      </c>
      <c r="O1961" s="1" t="str">
        <f t="shared" ref="O1961:P1961" si="1965">IF(ISBLANK(K1961),M1961,K1961)</f>
        <v>Outreach</v>
      </c>
      <c r="P1961" s="1" t="str">
        <f t="shared" si="1965"/>
        <v>Media</v>
      </c>
      <c r="Q1961" s="108" t="str">
        <f t="shared" si="3"/>
        <v>2024</v>
      </c>
      <c r="R1961" s="110">
        <f t="shared" si="4"/>
        <v>9</v>
      </c>
      <c r="S1961" s="108" t="str">
        <f t="shared" si="5"/>
        <v>2024-Q3</v>
      </c>
      <c r="T1961" s="111" t="str">
        <f t="shared" si="6"/>
        <v>2024-09</v>
      </c>
      <c r="U1961" s="112" t="str">
        <f t="shared" si="7"/>
        <v>2024-H2</v>
      </c>
      <c r="V1961" s="1" t="str">
        <f>VLOOKUP(B1961,Bounties!A:E,2,FALSE)</f>
        <v>Spanish Bounty</v>
      </c>
    </row>
    <row r="1962" hidden="1">
      <c r="A1962" s="109">
        <f>HYPERLINK("https://polkadot.subsquare.io/treasury/child-bounties/1987", 1987)</f>
        <v>1987</v>
      </c>
      <c r="B1962" s="183">
        <v>42.0</v>
      </c>
      <c r="C1962" s="27" t="s">
        <v>3404</v>
      </c>
      <c r="D1962" s="27" t="s">
        <v>2388</v>
      </c>
      <c r="E1962" s="129">
        <v>4992.08</v>
      </c>
      <c r="F1962" s="66">
        <v>21219.99868900299</v>
      </c>
      <c r="G1962" s="27" t="s">
        <v>3795</v>
      </c>
      <c r="H1962" s="167">
        <v>45530.0</v>
      </c>
      <c r="I1962" s="167">
        <v>45538.0</v>
      </c>
      <c r="J1962" s="66">
        <v>19765.995926380157</v>
      </c>
      <c r="M1962" s="1" t="str">
        <f>VLOOKUP(B1962,Bounties!A:D,3,FALSE)</f>
        <v>Outreach</v>
      </c>
      <c r="N1962" s="1" t="str">
        <f>VLOOKUP(B1962,Bounties!A:D,4,FALSE)</f>
        <v>Media</v>
      </c>
      <c r="O1962" s="1" t="str">
        <f t="shared" ref="O1962:P1962" si="1966">IF(ISBLANK(K1962),M1962,K1962)</f>
        <v>Outreach</v>
      </c>
      <c r="P1962" s="1" t="str">
        <f t="shared" si="1966"/>
        <v>Media</v>
      </c>
      <c r="Q1962" s="108" t="str">
        <f t="shared" si="3"/>
        <v>2024</v>
      </c>
      <c r="R1962" s="110">
        <f t="shared" si="4"/>
        <v>9</v>
      </c>
      <c r="S1962" s="108" t="str">
        <f t="shared" si="5"/>
        <v>2024-Q3</v>
      </c>
      <c r="T1962" s="111" t="str">
        <f t="shared" si="6"/>
        <v>2024-09</v>
      </c>
      <c r="U1962" s="112" t="str">
        <f t="shared" si="7"/>
        <v>2024-H2</v>
      </c>
      <c r="V1962" s="1" t="str">
        <f>VLOOKUP(B1962,Bounties!A:E,2,FALSE)</f>
        <v>Spanish Bounty</v>
      </c>
    </row>
    <row r="1963" hidden="1">
      <c r="A1963" s="109">
        <f>HYPERLINK("https://polkadot.subsquare.io/treasury/child-bounties/1988", 1988)</f>
        <v>1988</v>
      </c>
      <c r="B1963" s="183">
        <v>42.0</v>
      </c>
      <c r="C1963" s="27" t="s">
        <v>3404</v>
      </c>
      <c r="D1963" s="27" t="s">
        <v>2389</v>
      </c>
      <c r="E1963" s="129">
        <v>4306.5</v>
      </c>
      <c r="F1963" s="66">
        <v>18305.78122830391</v>
      </c>
      <c r="G1963" s="27" t="s">
        <v>3481</v>
      </c>
      <c r="H1963" s="167">
        <v>45530.0</v>
      </c>
      <c r="I1963" s="167">
        <v>45538.0</v>
      </c>
      <c r="J1963" s="66">
        <v>17051.46180689335</v>
      </c>
      <c r="M1963" s="1" t="str">
        <f>VLOOKUP(B1963,Bounties!A:D,3,FALSE)</f>
        <v>Outreach</v>
      </c>
      <c r="N1963" s="1" t="str">
        <f>VLOOKUP(B1963,Bounties!A:D,4,FALSE)</f>
        <v>Media</v>
      </c>
      <c r="O1963" s="1" t="str">
        <f t="shared" ref="O1963:P1963" si="1967">IF(ISBLANK(K1963),M1963,K1963)</f>
        <v>Outreach</v>
      </c>
      <c r="P1963" s="1" t="str">
        <f t="shared" si="1967"/>
        <v>Media</v>
      </c>
      <c r="Q1963" s="108" t="str">
        <f t="shared" si="3"/>
        <v>2024</v>
      </c>
      <c r="R1963" s="110">
        <f t="shared" si="4"/>
        <v>9</v>
      </c>
      <c r="S1963" s="108" t="str">
        <f t="shared" si="5"/>
        <v>2024-Q3</v>
      </c>
      <c r="T1963" s="111" t="str">
        <f t="shared" si="6"/>
        <v>2024-09</v>
      </c>
      <c r="U1963" s="112" t="str">
        <f t="shared" si="7"/>
        <v>2024-H2</v>
      </c>
      <c r="V1963" s="1" t="str">
        <f>VLOOKUP(B1963,Bounties!A:E,2,FALSE)</f>
        <v>Spanish Bounty</v>
      </c>
    </row>
    <row r="1964" hidden="1">
      <c r="A1964" s="109">
        <f>HYPERLINK("https://polkadot.subsquare.io/treasury/child-bounties/1989", 1989)</f>
        <v>1989</v>
      </c>
      <c r="B1964" s="183">
        <v>40.0</v>
      </c>
      <c r="C1964" s="27" t="s">
        <v>3404</v>
      </c>
      <c r="D1964" s="27" t="s">
        <v>2390</v>
      </c>
      <c r="E1964" s="129">
        <v>1350.0</v>
      </c>
      <c r="F1964" s="66">
        <v>5775.95579624176</v>
      </c>
      <c r="G1964" s="27" t="s">
        <v>3755</v>
      </c>
      <c r="H1964" s="167">
        <v>45531.0</v>
      </c>
      <c r="I1964" s="167">
        <v>45539.0</v>
      </c>
      <c r="J1964" s="66">
        <v>5503.454518318176</v>
      </c>
      <c r="M1964" s="1" t="str">
        <f>VLOOKUP(B1964,Bounties!A:D,3,FALSE)</f>
        <v>Outreach</v>
      </c>
      <c r="N1964" s="1" t="str">
        <f>VLOOKUP(B1964,Bounties!A:D,4,FALSE)</f>
        <v>Business Development</v>
      </c>
      <c r="O1964" s="1" t="str">
        <f t="shared" ref="O1964:P1964" si="1968">IF(ISBLANK(K1964),M1964,K1964)</f>
        <v>Outreach</v>
      </c>
      <c r="P1964" s="1" t="str">
        <f t="shared" si="1968"/>
        <v>Business Development</v>
      </c>
      <c r="Q1964" s="108" t="str">
        <f t="shared" si="3"/>
        <v>2024</v>
      </c>
      <c r="R1964" s="110">
        <f t="shared" si="4"/>
        <v>9</v>
      </c>
      <c r="S1964" s="108" t="str">
        <f t="shared" si="5"/>
        <v>2024-Q3</v>
      </c>
      <c r="T1964" s="111" t="str">
        <f t="shared" si="6"/>
        <v>2024-09</v>
      </c>
      <c r="U1964" s="112" t="str">
        <f t="shared" si="7"/>
        <v>2024-H2</v>
      </c>
      <c r="V1964" s="1" t="str">
        <f>VLOOKUP(B1964,Bounties!A:E,2,FALSE)</f>
        <v>BD Bounty in Spain &amp; Andorra</v>
      </c>
    </row>
    <row r="1965" hidden="1">
      <c r="A1965" s="109">
        <f>HYPERLINK("https://polkadot.subsquare.io/treasury/child-bounties/1990", 1990)</f>
        <v>1990</v>
      </c>
      <c r="B1965" s="183">
        <v>17.0</v>
      </c>
      <c r="C1965" s="27" t="s">
        <v>3404</v>
      </c>
      <c r="D1965" s="27" t="s">
        <v>2391</v>
      </c>
      <c r="E1965" s="129">
        <v>4832.49</v>
      </c>
      <c r="F1965" s="66">
        <v>19633.972332286834</v>
      </c>
      <c r="G1965" s="27" t="s">
        <v>3796</v>
      </c>
      <c r="H1965" s="167">
        <v>45535.0</v>
      </c>
      <c r="I1965" s="167">
        <v>45544.0</v>
      </c>
      <c r="J1965" s="66">
        <v>20744.530313072202</v>
      </c>
      <c r="L1965" s="1" t="s">
        <v>266</v>
      </c>
      <c r="M1965" s="1" t="str">
        <f>VLOOKUP(B1965,Bounties!A:D,3,FALSE)</f>
        <v>Outreach</v>
      </c>
      <c r="N1965" s="1" t="str">
        <f>VLOOKUP(B1965,Bounties!A:D,4,FALSE)</f>
        <v>Events/Meetups</v>
      </c>
      <c r="O1965" s="1" t="str">
        <f t="shared" ref="O1965:P1965" si="1969">IF(ISBLANK(K1965),M1965,K1965)</f>
        <v>Outreach</v>
      </c>
      <c r="P1965" s="1" t="str">
        <f t="shared" si="1969"/>
        <v>Events/Conference Attendance &amp; Side Events</v>
      </c>
      <c r="Q1965" s="108" t="str">
        <f t="shared" si="3"/>
        <v>2024</v>
      </c>
      <c r="R1965" s="110">
        <f t="shared" si="4"/>
        <v>9</v>
      </c>
      <c r="S1965" s="108" t="str">
        <f t="shared" si="5"/>
        <v>2024-Q3</v>
      </c>
      <c r="T1965" s="111" t="str">
        <f t="shared" si="6"/>
        <v>2024-09</v>
      </c>
      <c r="U1965" s="112" t="str">
        <f t="shared" si="7"/>
        <v>2024-H2</v>
      </c>
      <c r="V1965" s="1" t="str">
        <f>VLOOKUP(B1965,Bounties!A:E,2,FALSE)</f>
        <v>Events Bounty</v>
      </c>
    </row>
    <row r="1966">
      <c r="A1966" s="109">
        <f>HYPERLINK("https://polkadot.subsquare.io/treasury/child-bounties/1991", 1991)</f>
        <v>1991</v>
      </c>
      <c r="B1966" s="183">
        <v>37.0</v>
      </c>
      <c r="C1966" s="27" t="s">
        <v>3404</v>
      </c>
      <c r="D1966" s="27" t="s">
        <v>2392</v>
      </c>
      <c r="E1966" s="129">
        <v>330.93</v>
      </c>
      <c r="F1966" s="66">
        <v>1360.1064064121247</v>
      </c>
      <c r="G1966" s="27" t="s">
        <v>3607</v>
      </c>
      <c r="H1966" s="167">
        <v>45536.0</v>
      </c>
      <c r="I1966" s="167">
        <v>45552.0</v>
      </c>
      <c r="J1966" s="66">
        <v>1408.1916107225418</v>
      </c>
      <c r="M1966" s="1" t="str">
        <f>VLOOKUP(B1966,Bounties!A:D,3,FALSE)</f>
        <v>Operations</v>
      </c>
      <c r="N1966" s="1" t="str">
        <f>VLOOKUP(B1966,Bounties!A:D,4,FALSE)</f>
        <v>Infrastructure</v>
      </c>
      <c r="O1966" s="1" t="str">
        <f t="shared" ref="O1966:P1966" si="1970">IF(ISBLANK(K1966),M1966,K1966)</f>
        <v>Operations</v>
      </c>
      <c r="P1966" s="1" t="str">
        <f t="shared" si="1970"/>
        <v>Infrastructure</v>
      </c>
      <c r="Q1966" s="108" t="str">
        <f t="shared" si="3"/>
        <v>2024</v>
      </c>
      <c r="R1966" s="110">
        <f t="shared" si="4"/>
        <v>9</v>
      </c>
      <c r="S1966" s="108" t="str">
        <f t="shared" si="5"/>
        <v>2024-Q3</v>
      </c>
      <c r="T1966" s="111" t="str">
        <f t="shared" si="6"/>
        <v>2024-09</v>
      </c>
      <c r="U1966" s="112" t="str">
        <f t="shared" si="7"/>
        <v>2024-H2</v>
      </c>
      <c r="V1966" s="1" t="str">
        <f>VLOOKUP(B1966,Bounties!A:E,2,FALSE)</f>
        <v>Paseo Testnet Bounty</v>
      </c>
    </row>
    <row r="1967">
      <c r="A1967" s="109">
        <f>HYPERLINK("https://polkadot.subsquare.io/treasury/child-bounties/1992", 1992)</f>
        <v>1992</v>
      </c>
      <c r="B1967" s="183">
        <v>37.0</v>
      </c>
      <c r="C1967" s="27" t="s">
        <v>3404</v>
      </c>
      <c r="D1967" s="27" t="s">
        <v>2393</v>
      </c>
      <c r="E1967" s="129">
        <v>324.65</v>
      </c>
      <c r="F1967" s="66">
        <v>1334.2959080219268</v>
      </c>
      <c r="G1967" s="27" t="s">
        <v>3662</v>
      </c>
      <c r="H1967" s="167">
        <v>45536.0</v>
      </c>
      <c r="I1967" s="167">
        <v>45551.0</v>
      </c>
      <c r="J1967" s="66">
        <v>1381.4686079263686</v>
      </c>
      <c r="M1967" s="1" t="str">
        <f>VLOOKUP(B1967,Bounties!A:D,3,FALSE)</f>
        <v>Operations</v>
      </c>
      <c r="N1967" s="1" t="str">
        <f>VLOOKUP(B1967,Bounties!A:D,4,FALSE)</f>
        <v>Infrastructure</v>
      </c>
      <c r="O1967" s="1" t="str">
        <f t="shared" ref="O1967:P1967" si="1971">IF(ISBLANK(K1967),M1967,K1967)</f>
        <v>Operations</v>
      </c>
      <c r="P1967" s="1" t="str">
        <f t="shared" si="1971"/>
        <v>Infrastructure</v>
      </c>
      <c r="Q1967" s="108" t="str">
        <f t="shared" si="3"/>
        <v>2024</v>
      </c>
      <c r="R1967" s="110">
        <f t="shared" si="4"/>
        <v>9</v>
      </c>
      <c r="S1967" s="108" t="str">
        <f t="shared" si="5"/>
        <v>2024-Q3</v>
      </c>
      <c r="T1967" s="111" t="str">
        <f t="shared" si="6"/>
        <v>2024-09</v>
      </c>
      <c r="U1967" s="112" t="str">
        <f t="shared" si="7"/>
        <v>2024-H2</v>
      </c>
      <c r="V1967" s="1" t="str">
        <f>VLOOKUP(B1967,Bounties!A:E,2,FALSE)</f>
        <v>Paseo Testnet Bounty</v>
      </c>
    </row>
    <row r="1968">
      <c r="A1968" s="109">
        <f>HYPERLINK("https://polkadot.subsquare.io/treasury/child-bounties/1993", 1993)</f>
        <v>1993</v>
      </c>
      <c r="B1968" s="183">
        <v>37.0</v>
      </c>
      <c r="C1968" s="27" t="s">
        <v>3404</v>
      </c>
      <c r="D1968" s="27" t="s">
        <v>2394</v>
      </c>
      <c r="E1968" s="129">
        <v>262.74</v>
      </c>
      <c r="F1968" s="66">
        <v>1079.848781375885</v>
      </c>
      <c r="G1968" s="27" t="s">
        <v>3797</v>
      </c>
      <c r="H1968" s="167">
        <v>45536.0</v>
      </c>
      <c r="I1968" s="167">
        <v>45554.0</v>
      </c>
      <c r="J1968" s="66">
        <v>1173.403626394272</v>
      </c>
      <c r="M1968" s="1" t="str">
        <f>VLOOKUP(B1968,Bounties!A:D,3,FALSE)</f>
        <v>Operations</v>
      </c>
      <c r="N1968" s="1" t="str">
        <f>VLOOKUP(B1968,Bounties!A:D,4,FALSE)</f>
        <v>Infrastructure</v>
      </c>
      <c r="O1968" s="1" t="str">
        <f t="shared" ref="O1968:P1968" si="1972">IF(ISBLANK(K1968),M1968,K1968)</f>
        <v>Operations</v>
      </c>
      <c r="P1968" s="1" t="str">
        <f t="shared" si="1972"/>
        <v>Infrastructure</v>
      </c>
      <c r="Q1968" s="108" t="str">
        <f t="shared" si="3"/>
        <v>2024</v>
      </c>
      <c r="R1968" s="110">
        <f t="shared" si="4"/>
        <v>9</v>
      </c>
      <c r="S1968" s="108" t="str">
        <f t="shared" si="5"/>
        <v>2024-Q3</v>
      </c>
      <c r="T1968" s="111" t="str">
        <f t="shared" si="6"/>
        <v>2024-09</v>
      </c>
      <c r="U1968" s="112" t="str">
        <f t="shared" si="7"/>
        <v>2024-H2</v>
      </c>
      <c r="V1968" s="1" t="str">
        <f>VLOOKUP(B1968,Bounties!A:E,2,FALSE)</f>
        <v>Paseo Testnet Bounty</v>
      </c>
    </row>
    <row r="1969">
      <c r="A1969" s="109">
        <f>HYPERLINK("https://polkadot.subsquare.io/treasury/child-bounties/1994", 1994)</f>
        <v>1994</v>
      </c>
      <c r="B1969" s="183">
        <v>37.0</v>
      </c>
      <c r="C1969" s="27" t="s">
        <v>3404</v>
      </c>
      <c r="D1969" s="27" t="s">
        <v>2395</v>
      </c>
      <c r="E1969" s="129">
        <v>158.82</v>
      </c>
      <c r="F1969" s="66">
        <v>652.7425723457336</v>
      </c>
      <c r="G1969" s="27" t="s">
        <v>3797</v>
      </c>
      <c r="H1969" s="167">
        <v>45536.0</v>
      </c>
      <c r="I1969" s="167">
        <v>45554.0</v>
      </c>
      <c r="J1969" s="66">
        <v>709.2942222118378</v>
      </c>
      <c r="M1969" s="1" t="str">
        <f>VLOOKUP(B1969,Bounties!A:D,3,FALSE)</f>
        <v>Operations</v>
      </c>
      <c r="N1969" s="1" t="str">
        <f>VLOOKUP(B1969,Bounties!A:D,4,FALSE)</f>
        <v>Infrastructure</v>
      </c>
      <c r="O1969" s="1" t="str">
        <f t="shared" ref="O1969:P1969" si="1973">IF(ISBLANK(K1969),M1969,K1969)</f>
        <v>Operations</v>
      </c>
      <c r="P1969" s="1" t="str">
        <f t="shared" si="1973"/>
        <v>Infrastructure</v>
      </c>
      <c r="Q1969" s="108" t="str">
        <f t="shared" si="3"/>
        <v>2024</v>
      </c>
      <c r="R1969" s="110">
        <f t="shared" si="4"/>
        <v>9</v>
      </c>
      <c r="S1969" s="108" t="str">
        <f t="shared" si="5"/>
        <v>2024-Q3</v>
      </c>
      <c r="T1969" s="111" t="str">
        <f t="shared" si="6"/>
        <v>2024-09</v>
      </c>
      <c r="U1969" s="112" t="str">
        <f t="shared" si="7"/>
        <v>2024-H2</v>
      </c>
      <c r="V1969" s="1" t="str">
        <f>VLOOKUP(B1969,Bounties!A:E,2,FALSE)</f>
        <v>Paseo Testnet Bounty</v>
      </c>
    </row>
    <row r="1970">
      <c r="A1970" s="109">
        <f>HYPERLINK("https://polkadot.subsquare.io/treasury/child-bounties/1996", 1996)</f>
        <v>1996</v>
      </c>
      <c r="B1970" s="183">
        <v>37.0</v>
      </c>
      <c r="C1970" s="27" t="s">
        <v>3404</v>
      </c>
      <c r="D1970" s="27" t="s">
        <v>2396</v>
      </c>
      <c r="E1970" s="129">
        <v>264.72</v>
      </c>
      <c r="F1970" s="66">
        <v>1087.9864862823488</v>
      </c>
      <c r="G1970" s="27" t="s">
        <v>3798</v>
      </c>
      <c r="H1970" s="167">
        <v>45536.0</v>
      </c>
      <c r="I1970" s="167">
        <v>45551.0</v>
      </c>
      <c r="J1970" s="66">
        <v>1126.4511624526979</v>
      </c>
      <c r="M1970" s="1" t="str">
        <f>VLOOKUP(B1970,Bounties!A:D,3,FALSE)</f>
        <v>Operations</v>
      </c>
      <c r="N1970" s="1" t="str">
        <f>VLOOKUP(B1970,Bounties!A:D,4,FALSE)</f>
        <v>Infrastructure</v>
      </c>
      <c r="O1970" s="1" t="str">
        <f t="shared" ref="O1970:P1970" si="1974">IF(ISBLANK(K1970),M1970,K1970)</f>
        <v>Operations</v>
      </c>
      <c r="P1970" s="1" t="str">
        <f t="shared" si="1974"/>
        <v>Infrastructure</v>
      </c>
      <c r="Q1970" s="108" t="str">
        <f t="shared" si="3"/>
        <v>2024</v>
      </c>
      <c r="R1970" s="110">
        <f t="shared" si="4"/>
        <v>9</v>
      </c>
      <c r="S1970" s="108" t="str">
        <f t="shared" si="5"/>
        <v>2024-Q3</v>
      </c>
      <c r="T1970" s="111" t="str">
        <f t="shared" si="6"/>
        <v>2024-09</v>
      </c>
      <c r="U1970" s="112" t="str">
        <f t="shared" si="7"/>
        <v>2024-H2</v>
      </c>
      <c r="V1970" s="1" t="str">
        <f>VLOOKUP(B1970,Bounties!A:E,2,FALSE)</f>
        <v>Paseo Testnet Bounty</v>
      </c>
    </row>
    <row r="1971">
      <c r="A1971" s="109">
        <f>HYPERLINK("https://polkadot.subsquare.io/treasury/child-bounties/1997", 1997)</f>
        <v>1997</v>
      </c>
      <c r="B1971" s="183">
        <v>37.0</v>
      </c>
      <c r="C1971" s="27" t="s">
        <v>3404</v>
      </c>
      <c r="D1971" s="27" t="s">
        <v>2397</v>
      </c>
      <c r="E1971" s="129">
        <v>156.56</v>
      </c>
      <c r="F1971" s="66">
        <v>643.4540808868409</v>
      </c>
      <c r="G1971" s="27" t="s">
        <v>3798</v>
      </c>
      <c r="H1971" s="167">
        <v>45536.0</v>
      </c>
      <c r="I1971" s="167">
        <v>45551.0</v>
      </c>
      <c r="J1971" s="66">
        <v>652.7041130065918</v>
      </c>
      <c r="M1971" s="1" t="str">
        <f>VLOOKUP(B1971,Bounties!A:D,3,FALSE)</f>
        <v>Operations</v>
      </c>
      <c r="N1971" s="1" t="str">
        <f>VLOOKUP(B1971,Bounties!A:D,4,FALSE)</f>
        <v>Infrastructure</v>
      </c>
      <c r="O1971" s="1" t="str">
        <f t="shared" ref="O1971:P1971" si="1975">IF(ISBLANK(K1971),M1971,K1971)</f>
        <v>Operations</v>
      </c>
      <c r="P1971" s="1" t="str">
        <f t="shared" si="1975"/>
        <v>Infrastructure</v>
      </c>
      <c r="Q1971" s="108" t="str">
        <f t="shared" si="3"/>
        <v>2024</v>
      </c>
      <c r="R1971" s="110">
        <f t="shared" si="4"/>
        <v>9</v>
      </c>
      <c r="S1971" s="108" t="str">
        <f t="shared" si="5"/>
        <v>2024-Q3</v>
      </c>
      <c r="T1971" s="111" t="str">
        <f t="shared" si="6"/>
        <v>2024-09</v>
      </c>
      <c r="U1971" s="112" t="str">
        <f t="shared" si="7"/>
        <v>2024-H2</v>
      </c>
      <c r="V1971" s="1" t="str">
        <f>VLOOKUP(B1971,Bounties!A:E,2,FALSE)</f>
        <v>Paseo Testnet Bounty</v>
      </c>
    </row>
    <row r="1972">
      <c r="A1972" s="109">
        <f>HYPERLINK("https://polkadot.subsquare.io/treasury/child-bounties/1998", 1998)</f>
        <v>1998</v>
      </c>
      <c r="B1972" s="183">
        <v>37.0</v>
      </c>
      <c r="C1972" s="27" t="s">
        <v>3404</v>
      </c>
      <c r="D1972" s="27" t="s">
        <v>2398</v>
      </c>
      <c r="E1972" s="129">
        <v>244.29</v>
      </c>
      <c r="F1972" s="66">
        <v>1004.0201674747467</v>
      </c>
      <c r="G1972" s="27" t="s">
        <v>3799</v>
      </c>
      <c r="H1972" s="167">
        <v>45536.0</v>
      </c>
      <c r="I1972" s="167">
        <v>45554.0</v>
      </c>
      <c r="J1972" s="66">
        <v>1091.0054498434067</v>
      </c>
      <c r="M1972" s="1" t="str">
        <f>VLOOKUP(B1972,Bounties!A:D,3,FALSE)</f>
        <v>Operations</v>
      </c>
      <c r="N1972" s="1" t="str">
        <f>VLOOKUP(B1972,Bounties!A:D,4,FALSE)</f>
        <v>Infrastructure</v>
      </c>
      <c r="O1972" s="1" t="str">
        <f t="shared" ref="O1972:P1972" si="1976">IF(ISBLANK(K1972),M1972,K1972)</f>
        <v>Operations</v>
      </c>
      <c r="P1972" s="1" t="str">
        <f t="shared" si="1976"/>
        <v>Infrastructure</v>
      </c>
      <c r="Q1972" s="108" t="str">
        <f t="shared" si="3"/>
        <v>2024</v>
      </c>
      <c r="R1972" s="110">
        <f t="shared" si="4"/>
        <v>9</v>
      </c>
      <c r="S1972" s="108" t="str">
        <f t="shared" si="5"/>
        <v>2024-Q3</v>
      </c>
      <c r="T1972" s="111" t="str">
        <f t="shared" si="6"/>
        <v>2024-09</v>
      </c>
      <c r="U1972" s="112" t="str">
        <f t="shared" si="7"/>
        <v>2024-H2</v>
      </c>
      <c r="V1972" s="1" t="str">
        <f>VLOOKUP(B1972,Bounties!A:E,2,FALSE)</f>
        <v>Paseo Testnet Bounty</v>
      </c>
    </row>
    <row r="1973">
      <c r="A1973" s="109">
        <f>HYPERLINK("https://polkadot.subsquare.io/treasury/child-bounties/1999", 1999)</f>
        <v>1999</v>
      </c>
      <c r="B1973" s="183">
        <v>37.0</v>
      </c>
      <c r="C1973" s="27" t="s">
        <v>3404</v>
      </c>
      <c r="D1973" s="27" t="s">
        <v>2399</v>
      </c>
      <c r="E1973" s="129">
        <v>289.72</v>
      </c>
      <c r="F1973" s="66">
        <v>1190.7352856063844</v>
      </c>
      <c r="G1973" s="27" t="s">
        <v>3594</v>
      </c>
      <c r="H1973" s="167">
        <v>45536.0</v>
      </c>
      <c r="I1973" s="167">
        <v>45551.0</v>
      </c>
      <c r="J1973" s="66">
        <v>1207.8528079986575</v>
      </c>
      <c r="M1973" s="1" t="str">
        <f>VLOOKUP(B1973,Bounties!A:D,3,FALSE)</f>
        <v>Operations</v>
      </c>
      <c r="N1973" s="1" t="str">
        <f>VLOOKUP(B1973,Bounties!A:D,4,FALSE)</f>
        <v>Infrastructure</v>
      </c>
      <c r="O1973" s="1" t="str">
        <f t="shared" ref="O1973:P1973" si="1977">IF(ISBLANK(K1973),M1973,K1973)</f>
        <v>Operations</v>
      </c>
      <c r="P1973" s="1" t="str">
        <f t="shared" si="1977"/>
        <v>Infrastructure</v>
      </c>
      <c r="Q1973" s="108" t="str">
        <f t="shared" si="3"/>
        <v>2024</v>
      </c>
      <c r="R1973" s="110">
        <f t="shared" si="4"/>
        <v>9</v>
      </c>
      <c r="S1973" s="108" t="str">
        <f t="shared" si="5"/>
        <v>2024-Q3</v>
      </c>
      <c r="T1973" s="111" t="str">
        <f t="shared" si="6"/>
        <v>2024-09</v>
      </c>
      <c r="U1973" s="112" t="str">
        <f t="shared" si="7"/>
        <v>2024-H2</v>
      </c>
      <c r="V1973" s="1" t="str">
        <f>VLOOKUP(B1973,Bounties!A:E,2,FALSE)</f>
        <v>Paseo Testnet Bounty</v>
      </c>
    </row>
    <row r="1974">
      <c r="A1974" s="109">
        <f>HYPERLINK("https://polkadot.subsquare.io/treasury/child-bounties/2000", 2000)</f>
        <v>2000</v>
      </c>
      <c r="B1974" s="183">
        <v>37.0</v>
      </c>
      <c r="C1974" s="27" t="s">
        <v>3404</v>
      </c>
      <c r="D1974" s="27" t="s">
        <v>2400</v>
      </c>
      <c r="E1974" s="129">
        <v>419.18</v>
      </c>
      <c r="F1974" s="66">
        <v>1722.8096680259705</v>
      </c>
      <c r="G1974" s="27" t="s">
        <v>3590</v>
      </c>
      <c r="H1974" s="167">
        <v>45536.0</v>
      </c>
      <c r="I1974" s="167">
        <v>45551.0</v>
      </c>
      <c r="J1974" s="66">
        <v>1747.5760736465454</v>
      </c>
      <c r="M1974" s="1" t="str">
        <f>VLOOKUP(B1974,Bounties!A:D,3,FALSE)</f>
        <v>Operations</v>
      </c>
      <c r="N1974" s="1" t="str">
        <f>VLOOKUP(B1974,Bounties!A:D,4,FALSE)</f>
        <v>Infrastructure</v>
      </c>
      <c r="O1974" s="1" t="str">
        <f t="shared" ref="O1974:P1974" si="1978">IF(ISBLANK(K1974),M1974,K1974)</f>
        <v>Operations</v>
      </c>
      <c r="P1974" s="1" t="str">
        <f t="shared" si="1978"/>
        <v>Infrastructure</v>
      </c>
      <c r="Q1974" s="108" t="str">
        <f t="shared" si="3"/>
        <v>2024</v>
      </c>
      <c r="R1974" s="110">
        <f t="shared" si="4"/>
        <v>9</v>
      </c>
      <c r="S1974" s="108" t="str">
        <f t="shared" si="5"/>
        <v>2024-Q3</v>
      </c>
      <c r="T1974" s="111" t="str">
        <f t="shared" si="6"/>
        <v>2024-09</v>
      </c>
      <c r="U1974" s="112" t="str">
        <f t="shared" si="7"/>
        <v>2024-H2</v>
      </c>
      <c r="V1974" s="1" t="str">
        <f>VLOOKUP(B1974,Bounties!A:E,2,FALSE)</f>
        <v>Paseo Testnet Bounty</v>
      </c>
    </row>
    <row r="1975">
      <c r="A1975" s="109">
        <f>HYPERLINK("https://polkadot.subsquare.io/treasury/child-bounties/2001", 2001)</f>
        <v>2001</v>
      </c>
      <c r="B1975" s="183">
        <v>37.0</v>
      </c>
      <c r="C1975" s="27" t="s">
        <v>3404</v>
      </c>
      <c r="D1975" s="27" t="s">
        <v>2401</v>
      </c>
      <c r="E1975" s="129">
        <v>419.17</v>
      </c>
      <c r="F1975" s="66">
        <v>1722.7685685062409</v>
      </c>
      <c r="G1975" s="27" t="s">
        <v>3800</v>
      </c>
      <c r="H1975" s="167">
        <v>45536.0</v>
      </c>
      <c r="I1975" s="167">
        <v>45551.0</v>
      </c>
      <c r="J1975" s="66">
        <v>1783.675331540108</v>
      </c>
      <c r="M1975" s="1" t="str">
        <f>VLOOKUP(B1975,Bounties!A:D,3,FALSE)</f>
        <v>Operations</v>
      </c>
      <c r="N1975" s="1" t="str">
        <f>VLOOKUP(B1975,Bounties!A:D,4,FALSE)</f>
        <v>Infrastructure</v>
      </c>
      <c r="O1975" s="1" t="str">
        <f t="shared" ref="O1975:P1975" si="1979">IF(ISBLANK(K1975),M1975,K1975)</f>
        <v>Operations</v>
      </c>
      <c r="P1975" s="1" t="str">
        <f t="shared" si="1979"/>
        <v>Infrastructure</v>
      </c>
      <c r="Q1975" s="108" t="str">
        <f t="shared" si="3"/>
        <v>2024</v>
      </c>
      <c r="R1975" s="110">
        <f t="shared" si="4"/>
        <v>9</v>
      </c>
      <c r="S1975" s="108" t="str">
        <f t="shared" si="5"/>
        <v>2024-Q3</v>
      </c>
      <c r="T1975" s="111" t="str">
        <f t="shared" si="6"/>
        <v>2024-09</v>
      </c>
      <c r="U1975" s="112" t="str">
        <f t="shared" si="7"/>
        <v>2024-H2</v>
      </c>
      <c r="V1975" s="1" t="str">
        <f>VLOOKUP(B1975,Bounties!A:E,2,FALSE)</f>
        <v>Paseo Testnet Bounty</v>
      </c>
    </row>
    <row r="1976">
      <c r="A1976" s="109">
        <f>HYPERLINK("https://polkadot.subsquare.io/treasury/child-bounties/2002", 2002)</f>
        <v>2002</v>
      </c>
      <c r="B1976" s="183">
        <v>37.0</v>
      </c>
      <c r="C1976" s="27" t="s">
        <v>3404</v>
      </c>
      <c r="D1976" s="27" t="s">
        <v>2402</v>
      </c>
      <c r="E1976" s="129">
        <v>264.0</v>
      </c>
      <c r="F1976" s="66">
        <v>1085.0273208618164</v>
      </c>
      <c r="G1976" s="27" t="s">
        <v>3663</v>
      </c>
      <c r="H1976" s="167">
        <v>45536.0</v>
      </c>
      <c r="I1976" s="167">
        <v>45551.0</v>
      </c>
      <c r="J1976" s="66">
        <v>1123.387378692627</v>
      </c>
      <c r="M1976" s="1" t="str">
        <f>VLOOKUP(B1976,Bounties!A:D,3,FALSE)</f>
        <v>Operations</v>
      </c>
      <c r="N1976" s="1" t="str">
        <f>VLOOKUP(B1976,Bounties!A:D,4,FALSE)</f>
        <v>Infrastructure</v>
      </c>
      <c r="O1976" s="1" t="str">
        <f t="shared" ref="O1976:P1976" si="1980">IF(ISBLANK(K1976),M1976,K1976)</f>
        <v>Operations</v>
      </c>
      <c r="P1976" s="1" t="str">
        <f t="shared" si="1980"/>
        <v>Infrastructure</v>
      </c>
      <c r="Q1976" s="108" t="str">
        <f t="shared" si="3"/>
        <v>2024</v>
      </c>
      <c r="R1976" s="110">
        <f t="shared" si="4"/>
        <v>9</v>
      </c>
      <c r="S1976" s="108" t="str">
        <f t="shared" si="5"/>
        <v>2024-Q3</v>
      </c>
      <c r="T1976" s="111" t="str">
        <f t="shared" si="6"/>
        <v>2024-09</v>
      </c>
      <c r="U1976" s="112" t="str">
        <f t="shared" si="7"/>
        <v>2024-H2</v>
      </c>
      <c r="V1976" s="1" t="str">
        <f>VLOOKUP(B1976,Bounties!A:E,2,FALSE)</f>
        <v>Paseo Testnet Bounty</v>
      </c>
    </row>
    <row r="1977">
      <c r="A1977" s="109">
        <f>HYPERLINK("https://polkadot.subsquare.io/treasury/child-bounties/2003", 2003)</f>
        <v>2003</v>
      </c>
      <c r="B1977" s="183">
        <v>37.0</v>
      </c>
      <c r="C1977" s="27" t="s">
        <v>3404</v>
      </c>
      <c r="D1977" s="27" t="s">
        <v>2403</v>
      </c>
      <c r="E1977" s="129">
        <v>154.43</v>
      </c>
      <c r="F1977" s="66">
        <v>634.699883184433</v>
      </c>
      <c r="G1977" s="27" t="s">
        <v>3595</v>
      </c>
      <c r="H1977" s="167">
        <v>45536.0</v>
      </c>
      <c r="I1977" s="167">
        <v>45551.0</v>
      </c>
      <c r="J1977" s="66">
        <v>643.8240685462952</v>
      </c>
      <c r="M1977" s="1" t="str">
        <f>VLOOKUP(B1977,Bounties!A:D,3,FALSE)</f>
        <v>Operations</v>
      </c>
      <c r="N1977" s="1" t="str">
        <f>VLOOKUP(B1977,Bounties!A:D,4,FALSE)</f>
        <v>Infrastructure</v>
      </c>
      <c r="O1977" s="1" t="str">
        <f t="shared" ref="O1977:P1977" si="1981">IF(ISBLANK(K1977),M1977,K1977)</f>
        <v>Operations</v>
      </c>
      <c r="P1977" s="1" t="str">
        <f t="shared" si="1981"/>
        <v>Infrastructure</v>
      </c>
      <c r="Q1977" s="108" t="str">
        <f t="shared" si="3"/>
        <v>2024</v>
      </c>
      <c r="R1977" s="110">
        <f t="shared" si="4"/>
        <v>9</v>
      </c>
      <c r="S1977" s="108" t="str">
        <f t="shared" si="5"/>
        <v>2024-Q3</v>
      </c>
      <c r="T1977" s="111" t="str">
        <f t="shared" si="6"/>
        <v>2024-09</v>
      </c>
      <c r="U1977" s="112" t="str">
        <f t="shared" si="7"/>
        <v>2024-H2</v>
      </c>
      <c r="V1977" s="1" t="str">
        <f>VLOOKUP(B1977,Bounties!A:E,2,FALSE)</f>
        <v>Paseo Testnet Bounty</v>
      </c>
    </row>
    <row r="1978">
      <c r="A1978" s="109">
        <f>HYPERLINK("https://polkadot.subsquare.io/treasury/child-bounties/2004", 2004)</f>
        <v>2004</v>
      </c>
      <c r="B1978" s="183">
        <v>37.0</v>
      </c>
      <c r="C1978" s="27" t="s">
        <v>3404</v>
      </c>
      <c r="D1978" s="27" t="s">
        <v>2404</v>
      </c>
      <c r="E1978" s="129">
        <v>367.64</v>
      </c>
      <c r="F1978" s="66">
        <v>1510.9827433395385</v>
      </c>
      <c r="G1978" s="27" t="s">
        <v>3607</v>
      </c>
      <c r="H1978" s="167">
        <v>45536.0</v>
      </c>
      <c r="I1978" s="167">
        <v>45551.0</v>
      </c>
      <c r="J1978" s="66">
        <v>1564.4020299339295</v>
      </c>
      <c r="M1978" s="1" t="str">
        <f>VLOOKUP(B1978,Bounties!A:D,3,FALSE)</f>
        <v>Operations</v>
      </c>
      <c r="N1978" s="1" t="str">
        <f>VLOOKUP(B1978,Bounties!A:D,4,FALSE)</f>
        <v>Infrastructure</v>
      </c>
      <c r="O1978" s="1" t="str">
        <f t="shared" ref="O1978:P1978" si="1982">IF(ISBLANK(K1978),M1978,K1978)</f>
        <v>Operations</v>
      </c>
      <c r="P1978" s="1" t="str">
        <f t="shared" si="1982"/>
        <v>Infrastructure</v>
      </c>
      <c r="Q1978" s="108" t="str">
        <f t="shared" si="3"/>
        <v>2024</v>
      </c>
      <c r="R1978" s="110">
        <f t="shared" si="4"/>
        <v>9</v>
      </c>
      <c r="S1978" s="108" t="str">
        <f t="shared" si="5"/>
        <v>2024-Q3</v>
      </c>
      <c r="T1978" s="111" t="str">
        <f t="shared" si="6"/>
        <v>2024-09</v>
      </c>
      <c r="U1978" s="112" t="str">
        <f t="shared" si="7"/>
        <v>2024-H2</v>
      </c>
      <c r="V1978" s="1" t="str">
        <f>VLOOKUP(B1978,Bounties!A:E,2,FALSE)</f>
        <v>Paseo Testnet Bounty</v>
      </c>
    </row>
    <row r="1979">
      <c r="A1979" s="109">
        <f>HYPERLINK("https://polkadot.subsquare.io/treasury/child-bounties/2005", 2005)</f>
        <v>2005</v>
      </c>
      <c r="B1979" s="183">
        <v>37.0</v>
      </c>
      <c r="C1979" s="27" t="s">
        <v>3404</v>
      </c>
      <c r="D1979" s="27" t="s">
        <v>2405</v>
      </c>
      <c r="E1979" s="129">
        <v>264.7</v>
      </c>
      <c r="F1979" s="66">
        <v>1087.9042872428893</v>
      </c>
      <c r="G1979" s="27" t="s">
        <v>3650</v>
      </c>
      <c r="H1979" s="167">
        <v>45536.0</v>
      </c>
      <c r="I1979" s="167">
        <v>45551.0</v>
      </c>
      <c r="J1979" s="66">
        <v>1126.3660573482514</v>
      </c>
      <c r="M1979" s="1" t="str">
        <f>VLOOKUP(B1979,Bounties!A:D,3,FALSE)</f>
        <v>Operations</v>
      </c>
      <c r="N1979" s="1" t="str">
        <f>VLOOKUP(B1979,Bounties!A:D,4,FALSE)</f>
        <v>Infrastructure</v>
      </c>
      <c r="O1979" s="1" t="str">
        <f t="shared" ref="O1979:P1979" si="1983">IF(ISBLANK(K1979),M1979,K1979)</f>
        <v>Operations</v>
      </c>
      <c r="P1979" s="1" t="str">
        <f t="shared" si="1983"/>
        <v>Infrastructure</v>
      </c>
      <c r="Q1979" s="108" t="str">
        <f t="shared" si="3"/>
        <v>2024</v>
      </c>
      <c r="R1979" s="110">
        <f t="shared" si="4"/>
        <v>9</v>
      </c>
      <c r="S1979" s="108" t="str">
        <f t="shared" si="5"/>
        <v>2024-Q3</v>
      </c>
      <c r="T1979" s="111" t="str">
        <f t="shared" si="6"/>
        <v>2024-09</v>
      </c>
      <c r="U1979" s="112" t="str">
        <f t="shared" si="7"/>
        <v>2024-H2</v>
      </c>
      <c r="V1979" s="1" t="str">
        <f>VLOOKUP(B1979,Bounties!A:E,2,FALSE)</f>
        <v>Paseo Testnet Bounty</v>
      </c>
    </row>
    <row r="1980">
      <c r="A1980" s="109">
        <f>HYPERLINK("https://polkadot.subsquare.io/treasury/child-bounties/2006", 2006)</f>
        <v>2006</v>
      </c>
      <c r="B1980" s="183">
        <v>37.0</v>
      </c>
      <c r="C1980" s="27" t="s">
        <v>3404</v>
      </c>
      <c r="D1980" s="27" t="s">
        <v>2406</v>
      </c>
      <c r="E1980" s="129">
        <v>264.7</v>
      </c>
      <c r="F1980" s="66">
        <v>1087.9042872428893</v>
      </c>
      <c r="G1980" s="27" t="s">
        <v>3595</v>
      </c>
      <c r="H1980" s="167">
        <v>45536.0</v>
      </c>
      <c r="I1980" s="167">
        <v>45551.0</v>
      </c>
      <c r="J1980" s="66">
        <v>1103.543553352356</v>
      </c>
      <c r="M1980" s="1" t="str">
        <f>VLOOKUP(B1980,Bounties!A:D,3,FALSE)</f>
        <v>Operations</v>
      </c>
      <c r="N1980" s="1" t="str">
        <f>VLOOKUP(B1980,Bounties!A:D,4,FALSE)</f>
        <v>Infrastructure</v>
      </c>
      <c r="O1980" s="1" t="str">
        <f t="shared" ref="O1980:P1980" si="1984">IF(ISBLANK(K1980),M1980,K1980)</f>
        <v>Operations</v>
      </c>
      <c r="P1980" s="1" t="str">
        <f t="shared" si="1984"/>
        <v>Infrastructure</v>
      </c>
      <c r="Q1980" s="108" t="str">
        <f t="shared" si="3"/>
        <v>2024</v>
      </c>
      <c r="R1980" s="110">
        <f t="shared" si="4"/>
        <v>9</v>
      </c>
      <c r="S1980" s="108" t="str">
        <f t="shared" si="5"/>
        <v>2024-Q3</v>
      </c>
      <c r="T1980" s="111" t="str">
        <f t="shared" si="6"/>
        <v>2024-09</v>
      </c>
      <c r="U1980" s="112" t="str">
        <f t="shared" si="7"/>
        <v>2024-H2</v>
      </c>
      <c r="V1980" s="1" t="str">
        <f>VLOOKUP(B1980,Bounties!A:E,2,FALSE)</f>
        <v>Paseo Testnet Bounty</v>
      </c>
    </row>
    <row r="1981">
      <c r="A1981" s="109">
        <f>HYPERLINK("https://polkadot.subsquare.io/treasury/child-bounties/2008", 2008)</f>
        <v>2008</v>
      </c>
      <c r="B1981" s="183">
        <v>37.0</v>
      </c>
      <c r="C1981" s="27" t="s">
        <v>3404</v>
      </c>
      <c r="D1981" s="27" t="s">
        <v>2407</v>
      </c>
      <c r="E1981" s="129">
        <v>17.06</v>
      </c>
      <c r="F1981" s="66">
        <v>70.11578065872192</v>
      </c>
      <c r="G1981" s="27" t="s">
        <v>3797</v>
      </c>
      <c r="H1981" s="167">
        <v>45536.0</v>
      </c>
      <c r="I1981" s="167">
        <v>45554.0</v>
      </c>
      <c r="J1981" s="66">
        <v>76.19040064811706</v>
      </c>
      <c r="M1981" s="1" t="str">
        <f>VLOOKUP(B1981,Bounties!A:D,3,FALSE)</f>
        <v>Operations</v>
      </c>
      <c r="N1981" s="1" t="str">
        <f>VLOOKUP(B1981,Bounties!A:D,4,FALSE)</f>
        <v>Infrastructure</v>
      </c>
      <c r="O1981" s="1" t="str">
        <f t="shared" ref="O1981:P1981" si="1985">IF(ISBLANK(K1981),M1981,K1981)</f>
        <v>Operations</v>
      </c>
      <c r="P1981" s="1" t="str">
        <f t="shared" si="1985"/>
        <v>Infrastructure</v>
      </c>
      <c r="Q1981" s="108" t="str">
        <f t="shared" si="3"/>
        <v>2024</v>
      </c>
      <c r="R1981" s="110">
        <f t="shared" si="4"/>
        <v>9</v>
      </c>
      <c r="S1981" s="108" t="str">
        <f t="shared" si="5"/>
        <v>2024-Q3</v>
      </c>
      <c r="T1981" s="111" t="str">
        <f t="shared" si="6"/>
        <v>2024-09</v>
      </c>
      <c r="U1981" s="112" t="str">
        <f t="shared" si="7"/>
        <v>2024-H2</v>
      </c>
      <c r="V1981" s="1" t="str">
        <f>VLOOKUP(B1981,Bounties!A:E,2,FALSE)</f>
        <v>Paseo Testnet Bounty</v>
      </c>
    </row>
    <row r="1982" hidden="1">
      <c r="A1982" s="109">
        <f>HYPERLINK("https://polkadot.subsquare.io/treasury/child-bounties/2009", 2009)</f>
        <v>2009</v>
      </c>
      <c r="B1982" s="183">
        <v>11.0</v>
      </c>
      <c r="C1982" s="27" t="s">
        <v>3404</v>
      </c>
      <c r="D1982" s="27" t="s">
        <v>2408</v>
      </c>
      <c r="E1982" s="129">
        <v>219.1780821918</v>
      </c>
      <c r="F1982" s="66">
        <v>900.81139133409</v>
      </c>
      <c r="G1982" s="27" t="s">
        <v>3407</v>
      </c>
      <c r="H1982" s="167">
        <v>45536.0</v>
      </c>
      <c r="I1982" s="167">
        <v>45548.0</v>
      </c>
      <c r="J1982" s="66">
        <v>964.7931660692198</v>
      </c>
      <c r="M1982" s="1" t="str">
        <f>VLOOKUP(B1982,Bounties!A:D,3,FALSE)</f>
        <v>Research</v>
      </c>
      <c r="N1982" s="1" t="str">
        <f>VLOOKUP(B1982,Bounties!A:D,4,FALSE)</f>
        <v>Anti-Scam</v>
      </c>
      <c r="O1982" s="1" t="str">
        <f t="shared" ref="O1982:P1982" si="1986">IF(ISBLANK(K1982),M1982,K1982)</f>
        <v>Research</v>
      </c>
      <c r="P1982" s="1" t="str">
        <f t="shared" si="1986"/>
        <v>Anti-Scam</v>
      </c>
      <c r="Q1982" s="108" t="str">
        <f t="shared" si="3"/>
        <v>2024</v>
      </c>
      <c r="R1982" s="110">
        <f t="shared" si="4"/>
        <v>9</v>
      </c>
      <c r="S1982" s="108" t="str">
        <f t="shared" si="5"/>
        <v>2024-Q3</v>
      </c>
      <c r="T1982" s="111" t="str">
        <f t="shared" si="6"/>
        <v>2024-09</v>
      </c>
      <c r="U1982" s="112" t="str">
        <f t="shared" si="7"/>
        <v>2024-H2</v>
      </c>
      <c r="V1982" s="1" t="str">
        <f>VLOOKUP(B1982,Bounties!A:E,2,FALSE)</f>
        <v>Anti-Scam Bounty</v>
      </c>
    </row>
    <row r="1983" hidden="1">
      <c r="A1983" s="109">
        <f>HYPERLINK("https://polkadot.subsquare.io/treasury/child-bounties/2012", 2012)</f>
        <v>2012</v>
      </c>
      <c r="B1983" s="183">
        <v>11.0</v>
      </c>
      <c r="C1983" s="27" t="s">
        <v>3404</v>
      </c>
      <c r="D1983" s="27" t="s">
        <v>2041</v>
      </c>
      <c r="E1983" s="129">
        <v>54.7945205479</v>
      </c>
      <c r="F1983" s="66">
        <v>225.20284783331698</v>
      </c>
      <c r="G1983" s="27" t="s">
        <v>3470</v>
      </c>
      <c r="H1983" s="167">
        <v>45536.0</v>
      </c>
      <c r="I1983" s="167">
        <v>45550.0</v>
      </c>
      <c r="J1983" s="66">
        <v>227.74931502650034</v>
      </c>
      <c r="M1983" s="1" t="str">
        <f>VLOOKUP(B1983,Bounties!A:D,3,FALSE)</f>
        <v>Research</v>
      </c>
      <c r="N1983" s="1" t="str">
        <f>VLOOKUP(B1983,Bounties!A:D,4,FALSE)</f>
        <v>Anti-Scam</v>
      </c>
      <c r="O1983" s="1" t="str">
        <f t="shared" ref="O1983:P1983" si="1987">IF(ISBLANK(K1983),M1983,K1983)</f>
        <v>Research</v>
      </c>
      <c r="P1983" s="1" t="str">
        <f t="shared" si="1987"/>
        <v>Anti-Scam</v>
      </c>
      <c r="Q1983" s="108" t="str">
        <f t="shared" si="3"/>
        <v>2024</v>
      </c>
      <c r="R1983" s="110">
        <f t="shared" si="4"/>
        <v>9</v>
      </c>
      <c r="S1983" s="108" t="str">
        <f t="shared" si="5"/>
        <v>2024-Q3</v>
      </c>
      <c r="T1983" s="111" t="str">
        <f t="shared" si="6"/>
        <v>2024-09</v>
      </c>
      <c r="U1983" s="112" t="str">
        <f t="shared" si="7"/>
        <v>2024-H2</v>
      </c>
      <c r="V1983" s="1" t="str">
        <f>VLOOKUP(B1983,Bounties!A:E,2,FALSE)</f>
        <v>Anti-Scam Bounty</v>
      </c>
    </row>
    <row r="1984" hidden="1">
      <c r="A1984" s="109">
        <f>HYPERLINK("https://polkadot.subsquare.io/treasury/child-bounties/2013", 2013)</f>
        <v>2013</v>
      </c>
      <c r="B1984" s="183">
        <v>43.0</v>
      </c>
      <c r="C1984" s="27" t="s">
        <v>3404</v>
      </c>
      <c r="D1984" s="27" t="s">
        <v>2409</v>
      </c>
      <c r="E1984" s="129">
        <v>270.0</v>
      </c>
      <c r="F1984" s="66">
        <v>1109.687032699585</v>
      </c>
      <c r="G1984" s="27" t="s">
        <v>3698</v>
      </c>
      <c r="H1984" s="167">
        <v>45536.0</v>
      </c>
      <c r="I1984" s="167">
        <v>45559.0</v>
      </c>
      <c r="J1984" s="66">
        <v>1320.8548593521118</v>
      </c>
      <c r="M1984" s="1" t="str">
        <f>VLOOKUP(B1984,Bounties!A:D,3,FALSE)</f>
        <v>Outreach</v>
      </c>
      <c r="N1984" s="1" t="str">
        <f>VLOOKUP(B1984,Bounties!A:D,4,FALSE)</f>
        <v>Events/Meetups</v>
      </c>
      <c r="O1984" s="1" t="str">
        <f t="shared" ref="O1984:P1984" si="1988">IF(ISBLANK(K1984),M1984,K1984)</f>
        <v>Outreach</v>
      </c>
      <c r="P1984" s="1" t="str">
        <f t="shared" si="1988"/>
        <v>Events/Meetups</v>
      </c>
      <c r="Q1984" s="108" t="str">
        <f t="shared" si="3"/>
        <v>2024</v>
      </c>
      <c r="R1984" s="110">
        <f t="shared" si="4"/>
        <v>9</v>
      </c>
      <c r="S1984" s="108" t="str">
        <f t="shared" si="5"/>
        <v>2024-Q3</v>
      </c>
      <c r="T1984" s="111" t="str">
        <f t="shared" si="6"/>
        <v>2024-09</v>
      </c>
      <c r="U1984" s="112" t="str">
        <f t="shared" si="7"/>
        <v>2024-H2</v>
      </c>
      <c r="V1984" s="1" t="str">
        <f>VLOOKUP(B1984,Bounties!A:E,2,FALSE)</f>
        <v>Meetups Bounty</v>
      </c>
    </row>
    <row r="1985" hidden="1">
      <c r="A1985" s="109">
        <f>HYPERLINK("https://polkadot.subsquare.io/treasury/child-bounties/2014", 2014)</f>
        <v>2014</v>
      </c>
      <c r="B1985" s="183">
        <v>43.0</v>
      </c>
      <c r="C1985" s="27" t="s">
        <v>3404</v>
      </c>
      <c r="D1985" s="27" t="s">
        <v>2410</v>
      </c>
      <c r="E1985" s="129">
        <v>161.0</v>
      </c>
      <c r="F1985" s="66">
        <v>646.5853328704834</v>
      </c>
      <c r="G1985" s="27" t="s">
        <v>3616</v>
      </c>
      <c r="H1985" s="167">
        <v>45537.0</v>
      </c>
      <c r="I1985" s="167">
        <v>45552.0</v>
      </c>
      <c r="J1985" s="66">
        <v>685.0960907936096</v>
      </c>
      <c r="M1985" s="1" t="str">
        <f>VLOOKUP(B1985,Bounties!A:D,3,FALSE)</f>
        <v>Outreach</v>
      </c>
      <c r="N1985" s="1" t="str">
        <f>VLOOKUP(B1985,Bounties!A:D,4,FALSE)</f>
        <v>Events/Meetups</v>
      </c>
      <c r="O1985" s="1" t="str">
        <f t="shared" ref="O1985:P1985" si="1989">IF(ISBLANK(K1985),M1985,K1985)</f>
        <v>Outreach</v>
      </c>
      <c r="P1985" s="1" t="str">
        <f t="shared" si="1989"/>
        <v>Events/Meetups</v>
      </c>
      <c r="Q1985" s="108" t="str">
        <f t="shared" si="3"/>
        <v>2024</v>
      </c>
      <c r="R1985" s="110">
        <f t="shared" si="4"/>
        <v>9</v>
      </c>
      <c r="S1985" s="108" t="str">
        <f t="shared" si="5"/>
        <v>2024-Q3</v>
      </c>
      <c r="T1985" s="111" t="str">
        <f t="shared" si="6"/>
        <v>2024-09</v>
      </c>
      <c r="U1985" s="112" t="str">
        <f t="shared" si="7"/>
        <v>2024-H2</v>
      </c>
      <c r="V1985" s="1" t="str">
        <f>VLOOKUP(B1985,Bounties!A:E,2,FALSE)</f>
        <v>Meetups Bounty</v>
      </c>
    </row>
    <row r="1986" hidden="1">
      <c r="A1986" s="109">
        <f>HYPERLINK("https://polkadot.subsquare.io/treasury/child-bounties/2015", 2015)</f>
        <v>2015</v>
      </c>
      <c r="B1986" s="183">
        <v>42.0</v>
      </c>
      <c r="C1986" s="27" t="s">
        <v>3404</v>
      </c>
      <c r="D1986" s="27" t="s">
        <v>2411</v>
      </c>
      <c r="E1986" s="129">
        <v>27.87</v>
      </c>
      <c r="F1986" s="66">
        <v>111.92753557205201</v>
      </c>
      <c r="G1986" s="27" t="s">
        <v>3704</v>
      </c>
      <c r="H1986" s="167">
        <v>45537.0</v>
      </c>
      <c r="I1986" s="167">
        <v>45550.0</v>
      </c>
      <c r="J1986" s="66">
        <v>116.19100427627563</v>
      </c>
      <c r="M1986" s="1" t="str">
        <f>VLOOKUP(B1986,Bounties!A:D,3,FALSE)</f>
        <v>Outreach</v>
      </c>
      <c r="N1986" s="1" t="str">
        <f>VLOOKUP(B1986,Bounties!A:D,4,FALSE)</f>
        <v>Media</v>
      </c>
      <c r="O1986" s="1" t="str">
        <f t="shared" ref="O1986:P1986" si="1990">IF(ISBLANK(K1986),M1986,K1986)</f>
        <v>Outreach</v>
      </c>
      <c r="P1986" s="1" t="str">
        <f t="shared" si="1990"/>
        <v>Media</v>
      </c>
      <c r="Q1986" s="108" t="str">
        <f t="shared" si="3"/>
        <v>2024</v>
      </c>
      <c r="R1986" s="110">
        <f t="shared" si="4"/>
        <v>9</v>
      </c>
      <c r="S1986" s="108" t="str">
        <f t="shared" si="5"/>
        <v>2024-Q3</v>
      </c>
      <c r="T1986" s="111" t="str">
        <f t="shared" si="6"/>
        <v>2024-09</v>
      </c>
      <c r="U1986" s="112" t="str">
        <f t="shared" si="7"/>
        <v>2024-H2</v>
      </c>
      <c r="V1986" s="1" t="str">
        <f>VLOOKUP(B1986,Bounties!A:E,2,FALSE)</f>
        <v>Spanish Bounty</v>
      </c>
    </row>
    <row r="1987" hidden="1">
      <c r="A1987" s="109">
        <f>HYPERLINK("https://polkadot.subsquare.io/treasury/child-bounties/2016", 2016)</f>
        <v>2016</v>
      </c>
      <c r="B1987" s="183">
        <v>42.0</v>
      </c>
      <c r="C1987" s="27" t="s">
        <v>3404</v>
      </c>
      <c r="D1987" s="27" t="s">
        <v>2412</v>
      </c>
      <c r="E1987" s="129">
        <v>20.22</v>
      </c>
      <c r="F1987" s="66">
        <v>81.20469211578369</v>
      </c>
      <c r="G1987" s="27" t="s">
        <v>3789</v>
      </c>
      <c r="H1987" s="167">
        <v>45537.0</v>
      </c>
      <c r="I1987" s="167">
        <v>45546.0</v>
      </c>
      <c r="J1987" s="66">
        <v>89.48403253555297</v>
      </c>
      <c r="M1987" s="1" t="str">
        <f>VLOOKUP(B1987,Bounties!A:D,3,FALSE)</f>
        <v>Outreach</v>
      </c>
      <c r="N1987" s="1" t="str">
        <f>VLOOKUP(B1987,Bounties!A:D,4,FALSE)</f>
        <v>Media</v>
      </c>
      <c r="O1987" s="1" t="str">
        <f t="shared" ref="O1987:P1987" si="1991">IF(ISBLANK(K1987),M1987,K1987)</f>
        <v>Outreach</v>
      </c>
      <c r="P1987" s="1" t="str">
        <f t="shared" si="1991"/>
        <v>Media</v>
      </c>
      <c r="Q1987" s="108" t="str">
        <f t="shared" si="3"/>
        <v>2024</v>
      </c>
      <c r="R1987" s="110">
        <f t="shared" si="4"/>
        <v>9</v>
      </c>
      <c r="S1987" s="108" t="str">
        <f t="shared" si="5"/>
        <v>2024-Q3</v>
      </c>
      <c r="T1987" s="111" t="str">
        <f t="shared" si="6"/>
        <v>2024-09</v>
      </c>
      <c r="U1987" s="112" t="str">
        <f t="shared" si="7"/>
        <v>2024-H2</v>
      </c>
      <c r="V1987" s="1" t="str">
        <f>VLOOKUP(B1987,Bounties!A:E,2,FALSE)</f>
        <v>Spanish Bounty</v>
      </c>
    </row>
    <row r="1988" hidden="1">
      <c r="A1988" s="109">
        <f>HYPERLINK("https://polkadot.subsquare.io/treasury/child-bounties/2017", 2017)</f>
        <v>2017</v>
      </c>
      <c r="B1988" s="183">
        <v>42.0</v>
      </c>
      <c r="C1988" s="27" t="s">
        <v>3404</v>
      </c>
      <c r="D1988" s="27" t="s">
        <v>2413</v>
      </c>
      <c r="E1988" s="129">
        <v>24.27</v>
      </c>
      <c r="F1988" s="66">
        <v>97.46972688674927</v>
      </c>
      <c r="G1988" s="27" t="s">
        <v>3703</v>
      </c>
      <c r="H1988" s="167">
        <v>45537.0</v>
      </c>
      <c r="I1988" s="167">
        <v>45546.0</v>
      </c>
      <c r="J1988" s="66">
        <v>107.73816701889038</v>
      </c>
      <c r="M1988" s="1" t="str">
        <f>VLOOKUP(B1988,Bounties!A:D,3,FALSE)</f>
        <v>Outreach</v>
      </c>
      <c r="N1988" s="1" t="str">
        <f>VLOOKUP(B1988,Bounties!A:D,4,FALSE)</f>
        <v>Media</v>
      </c>
      <c r="O1988" s="1" t="str">
        <f t="shared" ref="O1988:P1988" si="1992">IF(ISBLANK(K1988),M1988,K1988)</f>
        <v>Outreach</v>
      </c>
      <c r="P1988" s="1" t="str">
        <f t="shared" si="1992"/>
        <v>Media</v>
      </c>
      <c r="Q1988" s="108" t="str">
        <f t="shared" si="3"/>
        <v>2024</v>
      </c>
      <c r="R1988" s="110">
        <f t="shared" si="4"/>
        <v>9</v>
      </c>
      <c r="S1988" s="108" t="str">
        <f t="shared" si="5"/>
        <v>2024-Q3</v>
      </c>
      <c r="T1988" s="111" t="str">
        <f t="shared" si="6"/>
        <v>2024-09</v>
      </c>
      <c r="U1988" s="112" t="str">
        <f t="shared" si="7"/>
        <v>2024-H2</v>
      </c>
      <c r="V1988" s="1" t="str">
        <f>VLOOKUP(B1988,Bounties!A:E,2,FALSE)</f>
        <v>Spanish Bounty</v>
      </c>
    </row>
    <row r="1989" hidden="1">
      <c r="A1989" s="109">
        <f>HYPERLINK("https://polkadot.subsquare.io/treasury/child-bounties/2018", 2018)</f>
        <v>2018</v>
      </c>
      <c r="B1989" s="183">
        <v>42.0</v>
      </c>
      <c r="C1989" s="27" t="s">
        <v>3404</v>
      </c>
      <c r="D1989" s="27" t="s">
        <v>2414</v>
      </c>
      <c r="E1989" s="129">
        <v>6.27</v>
      </c>
      <c r="F1989" s="66">
        <v>25.180683460235596</v>
      </c>
      <c r="G1989" s="27" t="s">
        <v>3801</v>
      </c>
      <c r="H1989" s="167">
        <v>45537.0</v>
      </c>
      <c r="I1989" s="167">
        <v>45546.0</v>
      </c>
      <c r="J1989" s="66">
        <v>27.83346960067749</v>
      </c>
      <c r="M1989" s="1" t="str">
        <f>VLOOKUP(B1989,Bounties!A:D,3,FALSE)</f>
        <v>Outreach</v>
      </c>
      <c r="N1989" s="1" t="str">
        <f>VLOOKUP(B1989,Bounties!A:D,4,FALSE)</f>
        <v>Media</v>
      </c>
      <c r="O1989" s="1" t="str">
        <f t="shared" ref="O1989:P1989" si="1993">IF(ISBLANK(K1989),M1989,K1989)</f>
        <v>Outreach</v>
      </c>
      <c r="P1989" s="1" t="str">
        <f t="shared" si="1993"/>
        <v>Media</v>
      </c>
      <c r="Q1989" s="108" t="str">
        <f t="shared" si="3"/>
        <v>2024</v>
      </c>
      <c r="R1989" s="110">
        <f t="shared" si="4"/>
        <v>9</v>
      </c>
      <c r="S1989" s="108" t="str">
        <f t="shared" si="5"/>
        <v>2024-Q3</v>
      </c>
      <c r="T1989" s="111" t="str">
        <f t="shared" si="6"/>
        <v>2024-09</v>
      </c>
      <c r="U1989" s="112" t="str">
        <f t="shared" si="7"/>
        <v>2024-H2</v>
      </c>
      <c r="V1989" s="1" t="str">
        <f>VLOOKUP(B1989,Bounties!A:E,2,FALSE)</f>
        <v>Spanish Bounty</v>
      </c>
    </row>
    <row r="1990" hidden="1">
      <c r="A1990" s="109">
        <f>HYPERLINK("https://polkadot.subsquare.io/treasury/child-bounties/2019", 2019)</f>
        <v>2019</v>
      </c>
      <c r="B1990" s="183">
        <v>42.0</v>
      </c>
      <c r="C1990" s="27" t="s">
        <v>3404</v>
      </c>
      <c r="D1990" s="27" t="s">
        <v>2415</v>
      </c>
      <c r="E1990" s="129">
        <v>20.9</v>
      </c>
      <c r="F1990" s="66">
        <v>83.93561153411865</v>
      </c>
      <c r="G1990" s="27" t="s">
        <v>3778</v>
      </c>
      <c r="H1990" s="167">
        <v>45537.0</v>
      </c>
      <c r="I1990" s="167">
        <v>45545.0</v>
      </c>
      <c r="J1990" s="66">
        <v>92.49338674545288</v>
      </c>
      <c r="M1990" s="1" t="str">
        <f>VLOOKUP(B1990,Bounties!A:D,3,FALSE)</f>
        <v>Outreach</v>
      </c>
      <c r="N1990" s="1" t="str">
        <f>VLOOKUP(B1990,Bounties!A:D,4,FALSE)</f>
        <v>Media</v>
      </c>
      <c r="O1990" s="1" t="str">
        <f t="shared" ref="O1990:P1990" si="1994">IF(ISBLANK(K1990),M1990,K1990)</f>
        <v>Outreach</v>
      </c>
      <c r="P1990" s="1" t="str">
        <f t="shared" si="1994"/>
        <v>Media</v>
      </c>
      <c r="Q1990" s="108" t="str">
        <f t="shared" si="3"/>
        <v>2024</v>
      </c>
      <c r="R1990" s="110">
        <f t="shared" si="4"/>
        <v>9</v>
      </c>
      <c r="S1990" s="108" t="str">
        <f t="shared" si="5"/>
        <v>2024-Q3</v>
      </c>
      <c r="T1990" s="111" t="str">
        <f t="shared" si="6"/>
        <v>2024-09</v>
      </c>
      <c r="U1990" s="112" t="str">
        <f t="shared" si="7"/>
        <v>2024-H2</v>
      </c>
      <c r="V1990" s="1" t="str">
        <f>VLOOKUP(B1990,Bounties!A:E,2,FALSE)</f>
        <v>Spanish Bounty</v>
      </c>
    </row>
    <row r="1991" hidden="1">
      <c r="A1991" s="109">
        <f>HYPERLINK("https://polkadot.subsquare.io/treasury/child-bounties/2020", 2020)</f>
        <v>2020</v>
      </c>
      <c r="B1991" s="183">
        <v>42.0</v>
      </c>
      <c r="C1991" s="27" t="s">
        <v>3404</v>
      </c>
      <c r="D1991" s="27" t="s">
        <v>2416</v>
      </c>
      <c r="E1991" s="129">
        <v>5.01</v>
      </c>
      <c r="F1991" s="66">
        <v>20.120450420379637</v>
      </c>
      <c r="G1991" s="27" t="s">
        <v>3802</v>
      </c>
      <c r="H1991" s="167">
        <v>45537.0</v>
      </c>
      <c r="I1991" s="167">
        <v>45546.0</v>
      </c>
      <c r="J1991" s="66">
        <v>22.240140781402587</v>
      </c>
      <c r="M1991" s="1" t="str">
        <f>VLOOKUP(B1991,Bounties!A:D,3,FALSE)</f>
        <v>Outreach</v>
      </c>
      <c r="N1991" s="1" t="str">
        <f>VLOOKUP(B1991,Bounties!A:D,4,FALSE)</f>
        <v>Media</v>
      </c>
      <c r="O1991" s="1" t="str">
        <f t="shared" ref="O1991:P1991" si="1995">IF(ISBLANK(K1991),M1991,K1991)</f>
        <v>Outreach</v>
      </c>
      <c r="P1991" s="1" t="str">
        <f t="shared" si="1995"/>
        <v>Media</v>
      </c>
      <c r="Q1991" s="108" t="str">
        <f t="shared" si="3"/>
        <v>2024</v>
      </c>
      <c r="R1991" s="110">
        <f t="shared" si="4"/>
        <v>9</v>
      </c>
      <c r="S1991" s="108" t="str">
        <f t="shared" si="5"/>
        <v>2024-Q3</v>
      </c>
      <c r="T1991" s="111" t="str">
        <f t="shared" si="6"/>
        <v>2024-09</v>
      </c>
      <c r="U1991" s="112" t="str">
        <f t="shared" si="7"/>
        <v>2024-H2</v>
      </c>
      <c r="V1991" s="1" t="str">
        <f>VLOOKUP(B1991,Bounties!A:E,2,FALSE)</f>
        <v>Spanish Bounty</v>
      </c>
    </row>
    <row r="1992" hidden="1">
      <c r="A1992" s="109">
        <f>HYPERLINK("https://polkadot.subsquare.io/treasury/child-bounties/2021", 2021)</f>
        <v>2021</v>
      </c>
      <c r="B1992" s="183">
        <v>42.0</v>
      </c>
      <c r="C1992" s="27" t="s">
        <v>3404</v>
      </c>
      <c r="D1992" s="27" t="s">
        <v>2417</v>
      </c>
      <c r="E1992" s="129">
        <v>16.57</v>
      </c>
      <c r="F1992" s="66">
        <v>66.54608053207397</v>
      </c>
      <c r="G1992" s="27" t="s">
        <v>3788</v>
      </c>
      <c r="H1992" s="167">
        <v>45537.0</v>
      </c>
      <c r="I1992" s="167">
        <v>45546.0</v>
      </c>
      <c r="J1992" s="66">
        <v>73.55671312332153</v>
      </c>
      <c r="M1992" s="1" t="str">
        <f>VLOOKUP(B1992,Bounties!A:D,3,FALSE)</f>
        <v>Outreach</v>
      </c>
      <c r="N1992" s="1" t="str">
        <f>VLOOKUP(B1992,Bounties!A:D,4,FALSE)</f>
        <v>Media</v>
      </c>
      <c r="O1992" s="1" t="str">
        <f t="shared" ref="O1992:P1992" si="1996">IF(ISBLANK(K1992),M1992,K1992)</f>
        <v>Outreach</v>
      </c>
      <c r="P1992" s="1" t="str">
        <f t="shared" si="1996"/>
        <v>Media</v>
      </c>
      <c r="Q1992" s="108" t="str">
        <f t="shared" si="3"/>
        <v>2024</v>
      </c>
      <c r="R1992" s="110">
        <f t="shared" si="4"/>
        <v>9</v>
      </c>
      <c r="S1992" s="108" t="str">
        <f t="shared" si="5"/>
        <v>2024-Q3</v>
      </c>
      <c r="T1992" s="111" t="str">
        <f t="shared" si="6"/>
        <v>2024-09</v>
      </c>
      <c r="U1992" s="112" t="str">
        <f t="shared" si="7"/>
        <v>2024-H2</v>
      </c>
      <c r="V1992" s="1" t="str">
        <f>VLOOKUP(B1992,Bounties!A:E,2,FALSE)</f>
        <v>Spanish Bounty</v>
      </c>
    </row>
    <row r="1993" hidden="1">
      <c r="A1993" s="109">
        <f>HYPERLINK("https://polkadot.subsquare.io/treasury/child-bounties/2022", 2022)</f>
        <v>2022</v>
      </c>
      <c r="B1993" s="183">
        <v>42.0</v>
      </c>
      <c r="C1993" s="27" t="s">
        <v>3404</v>
      </c>
      <c r="D1993" s="27" t="s">
        <v>2418</v>
      </c>
      <c r="E1993" s="129">
        <v>15.78</v>
      </c>
      <c r="F1993" s="66">
        <v>63.37339473724365</v>
      </c>
      <c r="G1993" s="27" t="s">
        <v>3702</v>
      </c>
      <c r="H1993" s="167">
        <v>45537.0</v>
      </c>
      <c r="I1993" s="167">
        <v>45545.0</v>
      </c>
      <c r="J1993" s="66">
        <v>69.83471975326538</v>
      </c>
      <c r="M1993" s="1" t="str">
        <f>VLOOKUP(B1993,Bounties!A:D,3,FALSE)</f>
        <v>Outreach</v>
      </c>
      <c r="N1993" s="1" t="str">
        <f>VLOOKUP(B1993,Bounties!A:D,4,FALSE)</f>
        <v>Media</v>
      </c>
      <c r="O1993" s="1" t="str">
        <f t="shared" ref="O1993:P1993" si="1997">IF(ISBLANK(K1993),M1993,K1993)</f>
        <v>Outreach</v>
      </c>
      <c r="P1993" s="1" t="str">
        <f t="shared" si="1997"/>
        <v>Media</v>
      </c>
      <c r="Q1993" s="108" t="str">
        <f t="shared" si="3"/>
        <v>2024</v>
      </c>
      <c r="R1993" s="110">
        <f t="shared" si="4"/>
        <v>9</v>
      </c>
      <c r="S1993" s="108" t="str">
        <f t="shared" si="5"/>
        <v>2024-Q3</v>
      </c>
      <c r="T1993" s="111" t="str">
        <f t="shared" si="6"/>
        <v>2024-09</v>
      </c>
      <c r="U1993" s="112" t="str">
        <f t="shared" si="7"/>
        <v>2024-H2</v>
      </c>
      <c r="V1993" s="1" t="str">
        <f>VLOOKUP(B1993,Bounties!A:E,2,FALSE)</f>
        <v>Spanish Bounty</v>
      </c>
    </row>
    <row r="1994" hidden="1">
      <c r="A1994" s="109">
        <f>HYPERLINK("https://polkadot.subsquare.io/treasury/child-bounties/2023", 2023)</f>
        <v>2023</v>
      </c>
      <c r="B1994" s="183">
        <v>42.0</v>
      </c>
      <c r="C1994" s="27" t="s">
        <v>3404</v>
      </c>
      <c r="D1994" s="27" t="s">
        <v>2419</v>
      </c>
      <c r="E1994" s="129">
        <v>18.7</v>
      </c>
      <c r="F1994" s="66">
        <v>75.10028400421142</v>
      </c>
      <c r="G1994" s="27" t="s">
        <v>3734</v>
      </c>
      <c r="H1994" s="167">
        <v>45537.0</v>
      </c>
      <c r="I1994" s="167">
        <v>45545.0</v>
      </c>
      <c r="J1994" s="66">
        <v>82.75724077224731</v>
      </c>
      <c r="M1994" s="1" t="str">
        <f>VLOOKUP(B1994,Bounties!A:D,3,FALSE)</f>
        <v>Outreach</v>
      </c>
      <c r="N1994" s="1" t="str">
        <f>VLOOKUP(B1994,Bounties!A:D,4,FALSE)</f>
        <v>Media</v>
      </c>
      <c r="O1994" s="1" t="str">
        <f t="shared" ref="O1994:P1994" si="1998">IF(ISBLANK(K1994),M1994,K1994)</f>
        <v>Outreach</v>
      </c>
      <c r="P1994" s="1" t="str">
        <f t="shared" si="1998"/>
        <v>Media</v>
      </c>
      <c r="Q1994" s="108" t="str">
        <f t="shared" si="3"/>
        <v>2024</v>
      </c>
      <c r="R1994" s="110">
        <f t="shared" si="4"/>
        <v>9</v>
      </c>
      <c r="S1994" s="108" t="str">
        <f t="shared" si="5"/>
        <v>2024-Q3</v>
      </c>
      <c r="T1994" s="111" t="str">
        <f t="shared" si="6"/>
        <v>2024-09</v>
      </c>
      <c r="U1994" s="112" t="str">
        <f t="shared" si="7"/>
        <v>2024-H2</v>
      </c>
      <c r="V1994" s="1" t="str">
        <f>VLOOKUP(B1994,Bounties!A:E,2,FALSE)</f>
        <v>Spanish Bounty</v>
      </c>
    </row>
    <row r="1995" hidden="1">
      <c r="A1995" s="109">
        <f>HYPERLINK("https://polkadot.subsquare.io/treasury/child-bounties/2024", 2024)</f>
        <v>2024</v>
      </c>
      <c r="B1995" s="183">
        <v>42.0</v>
      </c>
      <c r="C1995" s="27" t="s">
        <v>3427</v>
      </c>
      <c r="D1995" s="27" t="s">
        <v>2420</v>
      </c>
      <c r="E1995" s="129">
        <v>4985.0</v>
      </c>
      <c r="F1995" s="66">
        <v>20020.048971176147</v>
      </c>
      <c r="H1995" s="167">
        <v>45537.0</v>
      </c>
      <c r="I1995" s="167">
        <v>45537.0</v>
      </c>
      <c r="J1995" s="66">
        <v>20020.048971176147</v>
      </c>
      <c r="M1995" s="1" t="str">
        <f>VLOOKUP(B1995,Bounties!A:D,3,FALSE)</f>
        <v>Outreach</v>
      </c>
      <c r="N1995" s="1" t="str">
        <f>VLOOKUP(B1995,Bounties!A:D,4,FALSE)</f>
        <v>Media</v>
      </c>
      <c r="O1995" s="1" t="str">
        <f t="shared" ref="O1995:P1995" si="1999">IF(ISBLANK(K1995),M1995,K1995)</f>
        <v>Outreach</v>
      </c>
      <c r="P1995" s="1" t="str">
        <f t="shared" si="1999"/>
        <v>Media</v>
      </c>
      <c r="Q1995" s="108" t="str">
        <f t="shared" si="3"/>
        <v>2024</v>
      </c>
      <c r="R1995" s="110">
        <f t="shared" si="4"/>
        <v>9</v>
      </c>
      <c r="S1995" s="108" t="str">
        <f t="shared" si="5"/>
        <v>2024-Q3</v>
      </c>
      <c r="T1995" s="111" t="str">
        <f t="shared" si="6"/>
        <v>2024-09</v>
      </c>
      <c r="U1995" s="112" t="str">
        <f t="shared" si="7"/>
        <v>2024-H2</v>
      </c>
      <c r="V1995" s="1" t="str">
        <f>VLOOKUP(B1995,Bounties!A:E,2,FALSE)</f>
        <v>Spanish Bounty</v>
      </c>
    </row>
    <row r="1996" hidden="1">
      <c r="A1996" s="109">
        <f>HYPERLINK("https://polkadot.subsquare.io/treasury/child-bounties/2025", 2025)</f>
        <v>2025</v>
      </c>
      <c r="B1996" s="183">
        <v>42.0</v>
      </c>
      <c r="C1996" s="27" t="s">
        <v>3427</v>
      </c>
      <c r="D1996" s="27" t="s">
        <v>2421</v>
      </c>
      <c r="E1996" s="129">
        <v>171.0</v>
      </c>
      <c r="F1996" s="66">
        <v>686.7459125518799</v>
      </c>
      <c r="H1996" s="167">
        <v>45537.0</v>
      </c>
      <c r="I1996" s="167">
        <v>45537.0</v>
      </c>
      <c r="J1996" s="66">
        <v>686.7459125518799</v>
      </c>
      <c r="M1996" s="1" t="str">
        <f>VLOOKUP(B1996,Bounties!A:D,3,FALSE)</f>
        <v>Outreach</v>
      </c>
      <c r="N1996" s="1" t="str">
        <f>VLOOKUP(B1996,Bounties!A:D,4,FALSE)</f>
        <v>Media</v>
      </c>
      <c r="O1996" s="1" t="str">
        <f t="shared" ref="O1996:P1996" si="2000">IF(ISBLANK(K1996),M1996,K1996)</f>
        <v>Outreach</v>
      </c>
      <c r="P1996" s="1" t="str">
        <f t="shared" si="2000"/>
        <v>Media</v>
      </c>
      <c r="Q1996" s="108" t="str">
        <f t="shared" si="3"/>
        <v>2024</v>
      </c>
      <c r="R1996" s="110">
        <f t="shared" si="4"/>
        <v>9</v>
      </c>
      <c r="S1996" s="108" t="str">
        <f t="shared" si="5"/>
        <v>2024-Q3</v>
      </c>
      <c r="T1996" s="111" t="str">
        <f t="shared" si="6"/>
        <v>2024-09</v>
      </c>
      <c r="U1996" s="112" t="str">
        <f t="shared" si="7"/>
        <v>2024-H2</v>
      </c>
      <c r="V1996" s="1" t="str">
        <f>VLOOKUP(B1996,Bounties!A:E,2,FALSE)</f>
        <v>Spanish Bounty</v>
      </c>
    </row>
    <row r="1997" hidden="1">
      <c r="A1997" s="109">
        <f>HYPERLINK("https://polkadot.subsquare.io/treasury/child-bounties/2026", 2026)</f>
        <v>2026</v>
      </c>
      <c r="B1997" s="183">
        <v>42.0</v>
      </c>
      <c r="C1997" s="27" t="s">
        <v>3427</v>
      </c>
      <c r="D1997" s="27" t="s">
        <v>2422</v>
      </c>
      <c r="E1997" s="129">
        <v>4762.0</v>
      </c>
      <c r="F1997" s="66">
        <v>19124.468044281006</v>
      </c>
      <c r="H1997" s="167">
        <v>45537.0</v>
      </c>
      <c r="I1997" s="167">
        <v>45537.0</v>
      </c>
      <c r="J1997" s="66">
        <v>19124.468044281006</v>
      </c>
      <c r="M1997" s="1" t="str">
        <f>VLOOKUP(B1997,Bounties!A:D,3,FALSE)</f>
        <v>Outreach</v>
      </c>
      <c r="N1997" s="1" t="str">
        <f>VLOOKUP(B1997,Bounties!A:D,4,FALSE)</f>
        <v>Media</v>
      </c>
      <c r="O1997" s="1" t="str">
        <f t="shared" ref="O1997:P1997" si="2001">IF(ISBLANK(K1997),M1997,K1997)</f>
        <v>Outreach</v>
      </c>
      <c r="P1997" s="1" t="str">
        <f t="shared" si="2001"/>
        <v>Media</v>
      </c>
      <c r="Q1997" s="108" t="str">
        <f t="shared" si="3"/>
        <v>2024</v>
      </c>
      <c r="R1997" s="110">
        <f t="shared" si="4"/>
        <v>9</v>
      </c>
      <c r="S1997" s="108" t="str">
        <f t="shared" si="5"/>
        <v>2024-Q3</v>
      </c>
      <c r="T1997" s="111" t="str">
        <f t="shared" si="6"/>
        <v>2024-09</v>
      </c>
      <c r="U1997" s="112" t="str">
        <f t="shared" si="7"/>
        <v>2024-H2</v>
      </c>
      <c r="V1997" s="1" t="str">
        <f>VLOOKUP(B1997,Bounties!A:E,2,FALSE)</f>
        <v>Spanish Bounty</v>
      </c>
    </row>
    <row r="1998" hidden="1">
      <c r="A1998" s="109">
        <f>HYPERLINK("https://polkadot.subsquare.io/treasury/child-bounties/2027", 2027)</f>
        <v>2027</v>
      </c>
      <c r="B1998" s="183">
        <v>42.0</v>
      </c>
      <c r="C1998" s="27" t="s">
        <v>3404</v>
      </c>
      <c r="D1998" s="27" t="s">
        <v>2420</v>
      </c>
      <c r="E1998" s="129">
        <v>49.85</v>
      </c>
      <c r="F1998" s="66">
        <v>200.2004897117615</v>
      </c>
      <c r="G1998" s="27" t="s">
        <v>3751</v>
      </c>
      <c r="H1998" s="167">
        <v>45537.0</v>
      </c>
      <c r="I1998" s="167">
        <v>45555.0</v>
      </c>
      <c r="J1998" s="66">
        <v>222.10518374443055</v>
      </c>
      <c r="M1998" s="1" t="str">
        <f>VLOOKUP(B1998,Bounties!A:D,3,FALSE)</f>
        <v>Outreach</v>
      </c>
      <c r="N1998" s="1" t="str">
        <f>VLOOKUP(B1998,Bounties!A:D,4,FALSE)</f>
        <v>Media</v>
      </c>
      <c r="O1998" s="1" t="str">
        <f t="shared" ref="O1998:P1998" si="2002">IF(ISBLANK(K1998),M1998,K1998)</f>
        <v>Outreach</v>
      </c>
      <c r="P1998" s="1" t="str">
        <f t="shared" si="2002"/>
        <v>Media</v>
      </c>
      <c r="Q1998" s="108" t="str">
        <f t="shared" si="3"/>
        <v>2024</v>
      </c>
      <c r="R1998" s="110">
        <f t="shared" si="4"/>
        <v>9</v>
      </c>
      <c r="S1998" s="108" t="str">
        <f t="shared" si="5"/>
        <v>2024-Q3</v>
      </c>
      <c r="T1998" s="111" t="str">
        <f t="shared" si="6"/>
        <v>2024-09</v>
      </c>
      <c r="U1998" s="112" t="str">
        <f t="shared" si="7"/>
        <v>2024-H2</v>
      </c>
      <c r="V1998" s="1" t="str">
        <f>VLOOKUP(B1998,Bounties!A:E,2,FALSE)</f>
        <v>Spanish Bounty</v>
      </c>
    </row>
    <row r="1999" hidden="1">
      <c r="A1999" s="109">
        <f>HYPERLINK("https://polkadot.subsquare.io/treasury/child-bounties/2028", 2028)</f>
        <v>2028</v>
      </c>
      <c r="B1999" s="183">
        <v>42.0</v>
      </c>
      <c r="C1999" s="27" t="s">
        <v>3404</v>
      </c>
      <c r="D1999" s="27" t="s">
        <v>2421</v>
      </c>
      <c r="E1999" s="129">
        <v>171.0</v>
      </c>
      <c r="F1999" s="66">
        <v>686.7459125518799</v>
      </c>
      <c r="G1999" s="27" t="s">
        <v>3794</v>
      </c>
      <c r="H1999" s="167">
        <v>45537.0</v>
      </c>
      <c r="I1999" s="167">
        <v>45546.0</v>
      </c>
      <c r="J1999" s="66">
        <v>756.7640733718872</v>
      </c>
      <c r="M1999" s="1" t="str">
        <f>VLOOKUP(B1999,Bounties!A:D,3,FALSE)</f>
        <v>Outreach</v>
      </c>
      <c r="N1999" s="1" t="str">
        <f>VLOOKUP(B1999,Bounties!A:D,4,FALSE)</f>
        <v>Media</v>
      </c>
      <c r="O1999" s="1" t="str">
        <f t="shared" ref="O1999:P1999" si="2003">IF(ISBLANK(K1999),M1999,K1999)</f>
        <v>Outreach</v>
      </c>
      <c r="P1999" s="1" t="str">
        <f t="shared" si="2003"/>
        <v>Media</v>
      </c>
      <c r="Q1999" s="108" t="str">
        <f t="shared" si="3"/>
        <v>2024</v>
      </c>
      <c r="R1999" s="110">
        <f t="shared" si="4"/>
        <v>9</v>
      </c>
      <c r="S1999" s="108" t="str">
        <f t="shared" si="5"/>
        <v>2024-Q3</v>
      </c>
      <c r="T1999" s="111" t="str">
        <f t="shared" si="6"/>
        <v>2024-09</v>
      </c>
      <c r="U1999" s="112" t="str">
        <f t="shared" si="7"/>
        <v>2024-H2</v>
      </c>
      <c r="V1999" s="1" t="str">
        <f>VLOOKUP(B1999,Bounties!A:E,2,FALSE)</f>
        <v>Spanish Bounty</v>
      </c>
    </row>
    <row r="2000" hidden="1">
      <c r="A2000" s="109">
        <f>HYPERLINK("https://polkadot.subsquare.io/treasury/child-bounties/2029", 2029)</f>
        <v>2029</v>
      </c>
      <c r="B2000" s="183">
        <v>42.0</v>
      </c>
      <c r="C2000" s="27" t="s">
        <v>3404</v>
      </c>
      <c r="D2000" s="27" t="s">
        <v>2422</v>
      </c>
      <c r="E2000" s="129">
        <v>47.62</v>
      </c>
      <c r="F2000" s="66">
        <v>191.24468044281005</v>
      </c>
      <c r="G2000" s="27" t="s">
        <v>3777</v>
      </c>
      <c r="H2000" s="167">
        <v>45537.0</v>
      </c>
      <c r="I2000" s="167">
        <v>45545.0</v>
      </c>
      <c r="J2000" s="66">
        <v>210.74330511093137</v>
      </c>
      <c r="M2000" s="1" t="str">
        <f>VLOOKUP(B2000,Bounties!A:D,3,FALSE)</f>
        <v>Outreach</v>
      </c>
      <c r="N2000" s="1" t="str">
        <f>VLOOKUP(B2000,Bounties!A:D,4,FALSE)</f>
        <v>Media</v>
      </c>
      <c r="O2000" s="1" t="str">
        <f t="shared" ref="O2000:P2000" si="2004">IF(ISBLANK(K2000),M2000,K2000)</f>
        <v>Outreach</v>
      </c>
      <c r="P2000" s="1" t="str">
        <f t="shared" si="2004"/>
        <v>Media</v>
      </c>
      <c r="Q2000" s="108" t="str">
        <f t="shared" si="3"/>
        <v>2024</v>
      </c>
      <c r="R2000" s="110">
        <f t="shared" si="4"/>
        <v>9</v>
      </c>
      <c r="S2000" s="108" t="str">
        <f t="shared" si="5"/>
        <v>2024-Q3</v>
      </c>
      <c r="T2000" s="111" t="str">
        <f t="shared" si="6"/>
        <v>2024-09</v>
      </c>
      <c r="U2000" s="112" t="str">
        <f t="shared" si="7"/>
        <v>2024-H2</v>
      </c>
      <c r="V2000" s="1" t="str">
        <f>VLOOKUP(B2000,Bounties!A:E,2,FALSE)</f>
        <v>Spanish Bounty</v>
      </c>
    </row>
    <row r="2001" hidden="1">
      <c r="A2001" s="109">
        <f>HYPERLINK("https://polkadot.subsquare.io/treasury/child-bounties/2030", 2030)</f>
        <v>2030</v>
      </c>
      <c r="B2001" s="183">
        <v>42.0</v>
      </c>
      <c r="C2001" s="27" t="s">
        <v>3404</v>
      </c>
      <c r="D2001" s="27" t="s">
        <v>2423</v>
      </c>
      <c r="E2001" s="129">
        <v>89.68</v>
      </c>
      <c r="F2001" s="66">
        <v>360.1600785827637</v>
      </c>
      <c r="G2001" s="27" t="s">
        <v>3675</v>
      </c>
      <c r="H2001" s="167">
        <v>45537.0</v>
      </c>
      <c r="I2001" s="167">
        <v>45546.0</v>
      </c>
      <c r="J2001" s="66">
        <v>396.8807140350342</v>
      </c>
      <c r="M2001" s="1" t="str">
        <f>VLOOKUP(B2001,Bounties!A:D,3,FALSE)</f>
        <v>Outreach</v>
      </c>
      <c r="N2001" s="1" t="str">
        <f>VLOOKUP(B2001,Bounties!A:D,4,FALSE)</f>
        <v>Media</v>
      </c>
      <c r="O2001" s="1" t="str">
        <f t="shared" ref="O2001:P2001" si="2005">IF(ISBLANK(K2001),M2001,K2001)</f>
        <v>Outreach</v>
      </c>
      <c r="P2001" s="1" t="str">
        <f t="shared" si="2005"/>
        <v>Media</v>
      </c>
      <c r="Q2001" s="108" t="str">
        <f t="shared" si="3"/>
        <v>2024</v>
      </c>
      <c r="R2001" s="110">
        <f t="shared" si="4"/>
        <v>9</v>
      </c>
      <c r="S2001" s="108" t="str">
        <f t="shared" si="5"/>
        <v>2024-Q3</v>
      </c>
      <c r="T2001" s="111" t="str">
        <f t="shared" si="6"/>
        <v>2024-09</v>
      </c>
      <c r="U2001" s="112" t="str">
        <f t="shared" si="7"/>
        <v>2024-H2</v>
      </c>
      <c r="V2001" s="1" t="str">
        <f>VLOOKUP(B2001,Bounties!A:E,2,FALSE)</f>
        <v>Spanish Bounty</v>
      </c>
    </row>
    <row r="2002" hidden="1">
      <c r="A2002" s="109">
        <f>HYPERLINK("https://polkadot.subsquare.io/treasury/child-bounties/2031", 2031)</f>
        <v>2031</v>
      </c>
      <c r="B2002" s="183">
        <v>42.0</v>
      </c>
      <c r="C2002" s="27" t="s">
        <v>3404</v>
      </c>
      <c r="D2002" s="27" t="s">
        <v>2424</v>
      </c>
      <c r="E2002" s="129">
        <v>38.5</v>
      </c>
      <c r="F2002" s="66">
        <v>154.61823177337646</v>
      </c>
      <c r="G2002" s="27" t="s">
        <v>3763</v>
      </c>
      <c r="H2002" s="167">
        <v>45537.0</v>
      </c>
      <c r="I2002" s="167">
        <v>45549.0</v>
      </c>
      <c r="J2002" s="66">
        <v>160.02236247062683</v>
      </c>
      <c r="M2002" s="1" t="str">
        <f>VLOOKUP(B2002,Bounties!A:D,3,FALSE)</f>
        <v>Outreach</v>
      </c>
      <c r="N2002" s="1" t="str">
        <f>VLOOKUP(B2002,Bounties!A:D,4,FALSE)</f>
        <v>Media</v>
      </c>
      <c r="O2002" s="1" t="str">
        <f t="shared" ref="O2002:P2002" si="2006">IF(ISBLANK(K2002),M2002,K2002)</f>
        <v>Outreach</v>
      </c>
      <c r="P2002" s="1" t="str">
        <f t="shared" si="2006"/>
        <v>Media</v>
      </c>
      <c r="Q2002" s="108" t="str">
        <f t="shared" si="3"/>
        <v>2024</v>
      </c>
      <c r="R2002" s="110">
        <f t="shared" si="4"/>
        <v>9</v>
      </c>
      <c r="S2002" s="108" t="str">
        <f t="shared" si="5"/>
        <v>2024-Q3</v>
      </c>
      <c r="T2002" s="111" t="str">
        <f t="shared" si="6"/>
        <v>2024-09</v>
      </c>
      <c r="U2002" s="112" t="str">
        <f t="shared" si="7"/>
        <v>2024-H2</v>
      </c>
      <c r="V2002" s="1" t="str">
        <f>VLOOKUP(B2002,Bounties!A:E,2,FALSE)</f>
        <v>Spanish Bounty</v>
      </c>
    </row>
    <row r="2003" hidden="1">
      <c r="A2003" s="109">
        <f>HYPERLINK("https://polkadot.subsquare.io/treasury/child-bounties/2032", 2032)</f>
        <v>2032</v>
      </c>
      <c r="B2003" s="183">
        <v>42.0</v>
      </c>
      <c r="C2003" s="27" t="s">
        <v>3404</v>
      </c>
      <c r="D2003" s="27" t="s">
        <v>2425</v>
      </c>
      <c r="E2003" s="129">
        <v>31.34</v>
      </c>
      <c r="F2003" s="66">
        <v>125.86325672149658</v>
      </c>
      <c r="G2003" s="27" t="s">
        <v>3674</v>
      </c>
      <c r="H2003" s="167">
        <v>45537.0</v>
      </c>
      <c r="I2003" s="167">
        <v>45547.0</v>
      </c>
      <c r="J2003" s="66">
        <v>137.95456882476807</v>
      </c>
      <c r="M2003" s="1" t="str">
        <f>VLOOKUP(B2003,Bounties!A:D,3,FALSE)</f>
        <v>Outreach</v>
      </c>
      <c r="N2003" s="1" t="str">
        <f>VLOOKUP(B2003,Bounties!A:D,4,FALSE)</f>
        <v>Media</v>
      </c>
      <c r="O2003" s="1" t="str">
        <f t="shared" ref="O2003:P2003" si="2007">IF(ISBLANK(K2003),M2003,K2003)</f>
        <v>Outreach</v>
      </c>
      <c r="P2003" s="1" t="str">
        <f t="shared" si="2007"/>
        <v>Media</v>
      </c>
      <c r="Q2003" s="108" t="str">
        <f t="shared" si="3"/>
        <v>2024</v>
      </c>
      <c r="R2003" s="110">
        <f t="shared" si="4"/>
        <v>9</v>
      </c>
      <c r="S2003" s="108" t="str">
        <f t="shared" si="5"/>
        <v>2024-Q3</v>
      </c>
      <c r="T2003" s="111" t="str">
        <f t="shared" si="6"/>
        <v>2024-09</v>
      </c>
      <c r="U2003" s="112" t="str">
        <f t="shared" si="7"/>
        <v>2024-H2</v>
      </c>
      <c r="V2003" s="1" t="str">
        <f>VLOOKUP(B2003,Bounties!A:E,2,FALSE)</f>
        <v>Spanish Bounty</v>
      </c>
    </row>
    <row r="2004" hidden="1">
      <c r="A2004" s="109">
        <f>HYPERLINK("https://polkadot.subsquare.io/treasury/child-bounties/2033", 2033)</f>
        <v>2033</v>
      </c>
      <c r="B2004" s="183">
        <v>42.0</v>
      </c>
      <c r="C2004" s="27" t="s">
        <v>3404</v>
      </c>
      <c r="D2004" s="27" t="s">
        <v>2426</v>
      </c>
      <c r="E2004" s="129">
        <v>3.43</v>
      </c>
      <c r="F2004" s="66">
        <v>13.775078830718995</v>
      </c>
      <c r="G2004" s="27" t="s">
        <v>3702</v>
      </c>
      <c r="H2004" s="167">
        <v>45537.0</v>
      </c>
      <c r="I2004" s="167">
        <v>45545.0</v>
      </c>
      <c r="J2004" s="66">
        <v>15.179536676406862</v>
      </c>
      <c r="M2004" s="1" t="str">
        <f>VLOOKUP(B2004,Bounties!A:D,3,FALSE)</f>
        <v>Outreach</v>
      </c>
      <c r="N2004" s="1" t="str">
        <f>VLOOKUP(B2004,Bounties!A:D,4,FALSE)</f>
        <v>Media</v>
      </c>
      <c r="O2004" s="1" t="str">
        <f t="shared" ref="O2004:P2004" si="2008">IF(ISBLANK(K2004),M2004,K2004)</f>
        <v>Outreach</v>
      </c>
      <c r="P2004" s="1" t="str">
        <f t="shared" si="2008"/>
        <v>Media</v>
      </c>
      <c r="Q2004" s="108" t="str">
        <f t="shared" si="3"/>
        <v>2024</v>
      </c>
      <c r="R2004" s="110">
        <f t="shared" si="4"/>
        <v>9</v>
      </c>
      <c r="S2004" s="108" t="str">
        <f t="shared" si="5"/>
        <v>2024-Q3</v>
      </c>
      <c r="T2004" s="111" t="str">
        <f t="shared" si="6"/>
        <v>2024-09</v>
      </c>
      <c r="U2004" s="112" t="str">
        <f t="shared" si="7"/>
        <v>2024-H2</v>
      </c>
      <c r="V2004" s="1" t="str">
        <f>VLOOKUP(B2004,Bounties!A:E,2,FALSE)</f>
        <v>Spanish Bounty</v>
      </c>
    </row>
    <row r="2005" hidden="1">
      <c r="A2005" s="109">
        <f>HYPERLINK("https://polkadot.subsquare.io/treasury/child-bounties/2034", 2034)</f>
        <v>2034</v>
      </c>
      <c r="B2005" s="183">
        <v>42.0</v>
      </c>
      <c r="C2005" s="27" t="s">
        <v>3404</v>
      </c>
      <c r="D2005" s="27" t="s">
        <v>2427</v>
      </c>
      <c r="E2005" s="129">
        <v>6.99</v>
      </c>
      <c r="F2005" s="66">
        <v>28.072245197296144</v>
      </c>
      <c r="G2005" s="27" t="s">
        <v>3676</v>
      </c>
      <c r="H2005" s="167">
        <v>45537.0</v>
      </c>
      <c r="I2005" s="167">
        <v>45545.0</v>
      </c>
      <c r="J2005" s="66">
        <v>30.934391069412232</v>
      </c>
      <c r="M2005" s="1" t="str">
        <f>VLOOKUP(B2005,Bounties!A:D,3,FALSE)</f>
        <v>Outreach</v>
      </c>
      <c r="N2005" s="1" t="str">
        <f>VLOOKUP(B2005,Bounties!A:D,4,FALSE)</f>
        <v>Media</v>
      </c>
      <c r="O2005" s="1" t="str">
        <f t="shared" ref="O2005:P2005" si="2009">IF(ISBLANK(K2005),M2005,K2005)</f>
        <v>Outreach</v>
      </c>
      <c r="P2005" s="1" t="str">
        <f t="shared" si="2009"/>
        <v>Media</v>
      </c>
      <c r="Q2005" s="108" t="str">
        <f t="shared" si="3"/>
        <v>2024</v>
      </c>
      <c r="R2005" s="110">
        <f t="shared" si="4"/>
        <v>9</v>
      </c>
      <c r="S2005" s="108" t="str">
        <f t="shared" si="5"/>
        <v>2024-Q3</v>
      </c>
      <c r="T2005" s="111" t="str">
        <f t="shared" si="6"/>
        <v>2024-09</v>
      </c>
      <c r="U2005" s="112" t="str">
        <f t="shared" si="7"/>
        <v>2024-H2</v>
      </c>
      <c r="V2005" s="1" t="str">
        <f>VLOOKUP(B2005,Bounties!A:E,2,FALSE)</f>
        <v>Spanish Bounty</v>
      </c>
    </row>
    <row r="2006" hidden="1">
      <c r="A2006" s="109">
        <f>HYPERLINK("https://polkadot.subsquare.io/treasury/child-bounties/2035", 2035)</f>
        <v>2035</v>
      </c>
      <c r="B2006" s="183">
        <v>42.0</v>
      </c>
      <c r="C2006" s="27" t="s">
        <v>3404</v>
      </c>
      <c r="D2006" s="27" t="s">
        <v>2428</v>
      </c>
      <c r="E2006" s="129">
        <v>55.31</v>
      </c>
      <c r="F2006" s="66">
        <v>222.12816621780397</v>
      </c>
      <c r="G2006" s="27" t="s">
        <v>3644</v>
      </c>
      <c r="H2006" s="167">
        <v>45537.0</v>
      </c>
      <c r="I2006" s="167">
        <v>45546.0</v>
      </c>
      <c r="J2006" s="66">
        <v>244.77556080818178</v>
      </c>
      <c r="M2006" s="1" t="str">
        <f>VLOOKUP(B2006,Bounties!A:D,3,FALSE)</f>
        <v>Outreach</v>
      </c>
      <c r="N2006" s="1" t="str">
        <f>VLOOKUP(B2006,Bounties!A:D,4,FALSE)</f>
        <v>Media</v>
      </c>
      <c r="O2006" s="1" t="str">
        <f t="shared" ref="O2006:P2006" si="2010">IF(ISBLANK(K2006),M2006,K2006)</f>
        <v>Outreach</v>
      </c>
      <c r="P2006" s="1" t="str">
        <f t="shared" si="2010"/>
        <v>Media</v>
      </c>
      <c r="Q2006" s="108" t="str">
        <f t="shared" si="3"/>
        <v>2024</v>
      </c>
      <c r="R2006" s="110">
        <f t="shared" si="4"/>
        <v>9</v>
      </c>
      <c r="S2006" s="108" t="str">
        <f t="shared" si="5"/>
        <v>2024-Q3</v>
      </c>
      <c r="T2006" s="111" t="str">
        <f t="shared" si="6"/>
        <v>2024-09</v>
      </c>
      <c r="U2006" s="112" t="str">
        <f t="shared" si="7"/>
        <v>2024-H2</v>
      </c>
      <c r="V2006" s="1" t="str">
        <f>VLOOKUP(B2006,Bounties!A:E,2,FALSE)</f>
        <v>Spanish Bounty</v>
      </c>
    </row>
    <row r="2007" hidden="1">
      <c r="A2007" s="109">
        <f>HYPERLINK("https://polkadot.subsquare.io/treasury/child-bounties/2036", 2036)</f>
        <v>2036</v>
      </c>
      <c r="B2007" s="183">
        <v>42.0</v>
      </c>
      <c r="C2007" s="27" t="s">
        <v>3404</v>
      </c>
      <c r="D2007" s="27" t="s">
        <v>2429</v>
      </c>
      <c r="E2007" s="129">
        <v>50.48</v>
      </c>
      <c r="F2007" s="66">
        <v>202.73060623168945</v>
      </c>
      <c r="G2007" s="27" t="s">
        <v>3753</v>
      </c>
      <c r="H2007" s="167">
        <v>45537.0</v>
      </c>
      <c r="I2007" s="167">
        <v>45550.0</v>
      </c>
      <c r="J2007" s="66">
        <v>210.45288467407227</v>
      </c>
      <c r="M2007" s="1" t="str">
        <f>VLOOKUP(B2007,Bounties!A:D,3,FALSE)</f>
        <v>Outreach</v>
      </c>
      <c r="N2007" s="1" t="str">
        <f>VLOOKUP(B2007,Bounties!A:D,4,FALSE)</f>
        <v>Media</v>
      </c>
      <c r="O2007" s="1" t="str">
        <f t="shared" ref="O2007:P2007" si="2011">IF(ISBLANK(K2007),M2007,K2007)</f>
        <v>Outreach</v>
      </c>
      <c r="P2007" s="1" t="str">
        <f t="shared" si="2011"/>
        <v>Media</v>
      </c>
      <c r="Q2007" s="108" t="str">
        <f t="shared" si="3"/>
        <v>2024</v>
      </c>
      <c r="R2007" s="110">
        <f t="shared" si="4"/>
        <v>9</v>
      </c>
      <c r="S2007" s="108" t="str">
        <f t="shared" si="5"/>
        <v>2024-Q3</v>
      </c>
      <c r="T2007" s="111" t="str">
        <f t="shared" si="6"/>
        <v>2024-09</v>
      </c>
      <c r="U2007" s="112" t="str">
        <f t="shared" si="7"/>
        <v>2024-H2</v>
      </c>
      <c r="V2007" s="1" t="str">
        <f>VLOOKUP(B2007,Bounties!A:E,2,FALSE)</f>
        <v>Spanish Bounty</v>
      </c>
    </row>
    <row r="2008" hidden="1">
      <c r="A2008" s="109">
        <f>HYPERLINK("https://polkadot.subsquare.io/treasury/child-bounties/2037", 2037)</f>
        <v>2037</v>
      </c>
      <c r="B2008" s="183">
        <v>11.0</v>
      </c>
      <c r="C2008" s="27" t="s">
        <v>3404</v>
      </c>
      <c r="D2008" s="27" t="s">
        <v>2430</v>
      </c>
      <c r="E2008" s="129">
        <v>569.59359</v>
      </c>
      <c r="F2008" s="66">
        <v>2287.520875720768</v>
      </c>
      <c r="G2008" s="27" t="s">
        <v>3526</v>
      </c>
      <c r="H2008" s="167">
        <v>45537.0</v>
      </c>
      <c r="I2008" s="167">
        <v>45546.0</v>
      </c>
      <c r="J2008" s="66">
        <v>2528.5113033502003</v>
      </c>
      <c r="M2008" s="1" t="str">
        <f>VLOOKUP(B2008,Bounties!A:D,3,FALSE)</f>
        <v>Research</v>
      </c>
      <c r="N2008" s="1" t="str">
        <f>VLOOKUP(B2008,Bounties!A:D,4,FALSE)</f>
        <v>Anti-Scam</v>
      </c>
      <c r="O2008" s="1" t="str">
        <f t="shared" ref="O2008:P2008" si="2012">IF(ISBLANK(K2008),M2008,K2008)</f>
        <v>Research</v>
      </c>
      <c r="P2008" s="1" t="str">
        <f t="shared" si="2012"/>
        <v>Anti-Scam</v>
      </c>
      <c r="Q2008" s="108" t="str">
        <f t="shared" si="3"/>
        <v>2024</v>
      </c>
      <c r="R2008" s="110">
        <f t="shared" si="4"/>
        <v>9</v>
      </c>
      <c r="S2008" s="108" t="str">
        <f t="shared" si="5"/>
        <v>2024-Q3</v>
      </c>
      <c r="T2008" s="111" t="str">
        <f t="shared" si="6"/>
        <v>2024-09</v>
      </c>
      <c r="U2008" s="112" t="str">
        <f t="shared" si="7"/>
        <v>2024-H2</v>
      </c>
      <c r="V2008" s="1" t="str">
        <f>VLOOKUP(B2008,Bounties!A:E,2,FALSE)</f>
        <v>Anti-Scam Bounty</v>
      </c>
    </row>
    <row r="2009" hidden="1">
      <c r="A2009" s="109">
        <f>HYPERLINK("https://polkadot.subsquare.io/treasury/child-bounties/2038", 2038)</f>
        <v>2038</v>
      </c>
      <c r="B2009" s="183">
        <v>11.0</v>
      </c>
      <c r="C2009" s="27" t="s">
        <v>3404</v>
      </c>
      <c r="D2009" s="27" t="s">
        <v>2431</v>
      </c>
      <c r="E2009" s="129">
        <v>569.59359</v>
      </c>
      <c r="F2009" s="66">
        <v>2287.520875720768</v>
      </c>
      <c r="G2009" s="27" t="s">
        <v>3577</v>
      </c>
      <c r="H2009" s="167">
        <v>45537.0</v>
      </c>
      <c r="I2009" s="167">
        <v>45546.0</v>
      </c>
      <c r="J2009" s="66">
        <v>2528.5113033502003</v>
      </c>
      <c r="M2009" s="1" t="str">
        <f>VLOOKUP(B2009,Bounties!A:D,3,FALSE)</f>
        <v>Research</v>
      </c>
      <c r="N2009" s="1" t="str">
        <f>VLOOKUP(B2009,Bounties!A:D,4,FALSE)</f>
        <v>Anti-Scam</v>
      </c>
      <c r="O2009" s="1" t="str">
        <f t="shared" ref="O2009:P2009" si="2013">IF(ISBLANK(K2009),M2009,K2009)</f>
        <v>Research</v>
      </c>
      <c r="P2009" s="1" t="str">
        <f t="shared" si="2013"/>
        <v>Anti-Scam</v>
      </c>
      <c r="Q2009" s="108" t="str">
        <f t="shared" si="3"/>
        <v>2024</v>
      </c>
      <c r="R2009" s="110">
        <f t="shared" si="4"/>
        <v>9</v>
      </c>
      <c r="S2009" s="108" t="str">
        <f t="shared" si="5"/>
        <v>2024-Q3</v>
      </c>
      <c r="T2009" s="111" t="str">
        <f t="shared" si="6"/>
        <v>2024-09</v>
      </c>
      <c r="U2009" s="112" t="str">
        <f t="shared" si="7"/>
        <v>2024-H2</v>
      </c>
      <c r="V2009" s="1" t="str">
        <f>VLOOKUP(B2009,Bounties!A:E,2,FALSE)</f>
        <v>Anti-Scam Bounty</v>
      </c>
    </row>
    <row r="2010" hidden="1">
      <c r="A2010" s="109">
        <f>HYPERLINK("https://polkadot.subsquare.io/treasury/child-bounties/2039", 2039)</f>
        <v>2039</v>
      </c>
      <c r="B2010" s="183">
        <v>11.0</v>
      </c>
      <c r="C2010" s="27" t="s">
        <v>3404</v>
      </c>
      <c r="D2010" s="27" t="s">
        <v>2432</v>
      </c>
      <c r="E2010" s="129">
        <v>569.59359</v>
      </c>
      <c r="F2010" s="66">
        <v>2287.520875720768</v>
      </c>
      <c r="G2010" s="27" t="s">
        <v>3578</v>
      </c>
      <c r="H2010" s="167">
        <v>45537.0</v>
      </c>
      <c r="I2010" s="167">
        <v>45546.0</v>
      </c>
      <c r="J2010" s="66">
        <v>2528.5113033502003</v>
      </c>
      <c r="M2010" s="1" t="str">
        <f>VLOOKUP(B2010,Bounties!A:D,3,FALSE)</f>
        <v>Research</v>
      </c>
      <c r="N2010" s="1" t="str">
        <f>VLOOKUP(B2010,Bounties!A:D,4,FALSE)</f>
        <v>Anti-Scam</v>
      </c>
      <c r="O2010" s="1" t="str">
        <f t="shared" ref="O2010:P2010" si="2014">IF(ISBLANK(K2010),M2010,K2010)</f>
        <v>Research</v>
      </c>
      <c r="P2010" s="1" t="str">
        <f t="shared" si="2014"/>
        <v>Anti-Scam</v>
      </c>
      <c r="Q2010" s="108" t="str">
        <f t="shared" si="3"/>
        <v>2024</v>
      </c>
      <c r="R2010" s="110">
        <f t="shared" si="4"/>
        <v>9</v>
      </c>
      <c r="S2010" s="108" t="str">
        <f t="shared" si="5"/>
        <v>2024-Q3</v>
      </c>
      <c r="T2010" s="111" t="str">
        <f t="shared" si="6"/>
        <v>2024-09</v>
      </c>
      <c r="U2010" s="112" t="str">
        <f t="shared" si="7"/>
        <v>2024-H2</v>
      </c>
      <c r="V2010" s="1" t="str">
        <f>VLOOKUP(B2010,Bounties!A:E,2,FALSE)</f>
        <v>Anti-Scam Bounty</v>
      </c>
    </row>
    <row r="2011" hidden="1">
      <c r="A2011" s="109">
        <f>HYPERLINK("https://polkadot.subsquare.io/treasury/child-bounties/2040", 2040)</f>
        <v>2040</v>
      </c>
      <c r="B2011" s="183">
        <v>11.0</v>
      </c>
      <c r="C2011" s="27" t="s">
        <v>3404</v>
      </c>
      <c r="D2011" s="27" t="s">
        <v>2433</v>
      </c>
      <c r="E2011" s="129">
        <v>92.8936</v>
      </c>
      <c r="F2011" s="66">
        <v>373.0660824691773</v>
      </c>
      <c r="G2011" s="27" t="s">
        <v>3407</v>
      </c>
      <c r="H2011" s="167">
        <v>45538.0</v>
      </c>
      <c r="I2011" s="167">
        <v>45548.0</v>
      </c>
      <c r="J2011" s="66">
        <v>408.90544143524176</v>
      </c>
      <c r="M2011" s="1" t="str">
        <f>VLOOKUP(B2011,Bounties!A:D,3,FALSE)</f>
        <v>Research</v>
      </c>
      <c r="N2011" s="1" t="str">
        <f>VLOOKUP(B2011,Bounties!A:D,4,FALSE)</f>
        <v>Anti-Scam</v>
      </c>
      <c r="O2011" s="1" t="str">
        <f t="shared" ref="O2011:P2011" si="2015">IF(ISBLANK(K2011),M2011,K2011)</f>
        <v>Research</v>
      </c>
      <c r="P2011" s="1" t="str">
        <f t="shared" si="2015"/>
        <v>Anti-Scam</v>
      </c>
      <c r="Q2011" s="108" t="str">
        <f t="shared" si="3"/>
        <v>2024</v>
      </c>
      <c r="R2011" s="110">
        <f t="shared" si="4"/>
        <v>9</v>
      </c>
      <c r="S2011" s="108" t="str">
        <f t="shared" si="5"/>
        <v>2024-Q3</v>
      </c>
      <c r="T2011" s="111" t="str">
        <f t="shared" si="6"/>
        <v>2024-09</v>
      </c>
      <c r="U2011" s="112" t="str">
        <f t="shared" si="7"/>
        <v>2024-H2</v>
      </c>
      <c r="V2011" s="1" t="str">
        <f>VLOOKUP(B2011,Bounties!A:E,2,FALSE)</f>
        <v>Anti-Scam Bounty</v>
      </c>
    </row>
    <row r="2012" hidden="1">
      <c r="A2012" s="109">
        <f>HYPERLINK("https://polkadot.subsquare.io/treasury/child-bounties/2041", 2041)</f>
        <v>2041</v>
      </c>
      <c r="B2012" s="183">
        <v>11.0</v>
      </c>
      <c r="C2012" s="27" t="s">
        <v>3404</v>
      </c>
      <c r="D2012" s="27" t="s">
        <v>2434</v>
      </c>
      <c r="E2012" s="129">
        <v>92.8936</v>
      </c>
      <c r="F2012" s="66">
        <v>373.0660824691773</v>
      </c>
      <c r="G2012" s="27" t="s">
        <v>3406</v>
      </c>
      <c r="H2012" s="167">
        <v>45538.0</v>
      </c>
      <c r="I2012" s="167">
        <v>45549.0</v>
      </c>
      <c r="J2012" s="66">
        <v>390.0111807167053</v>
      </c>
      <c r="M2012" s="1" t="str">
        <f>VLOOKUP(B2012,Bounties!A:D,3,FALSE)</f>
        <v>Research</v>
      </c>
      <c r="N2012" s="1" t="str">
        <f>VLOOKUP(B2012,Bounties!A:D,4,FALSE)</f>
        <v>Anti-Scam</v>
      </c>
      <c r="O2012" s="1" t="str">
        <f t="shared" ref="O2012:P2012" si="2016">IF(ISBLANK(K2012),M2012,K2012)</f>
        <v>Research</v>
      </c>
      <c r="P2012" s="1" t="str">
        <f t="shared" si="2016"/>
        <v>Anti-Scam</v>
      </c>
      <c r="Q2012" s="108" t="str">
        <f t="shared" si="3"/>
        <v>2024</v>
      </c>
      <c r="R2012" s="110">
        <f t="shared" si="4"/>
        <v>9</v>
      </c>
      <c r="S2012" s="108" t="str">
        <f t="shared" si="5"/>
        <v>2024-Q3</v>
      </c>
      <c r="T2012" s="111" t="str">
        <f t="shared" si="6"/>
        <v>2024-09</v>
      </c>
      <c r="U2012" s="112" t="str">
        <f t="shared" si="7"/>
        <v>2024-H2</v>
      </c>
      <c r="V2012" s="1" t="str">
        <f>VLOOKUP(B2012,Bounties!A:E,2,FALSE)</f>
        <v>Anti-Scam Bounty</v>
      </c>
    </row>
    <row r="2013" hidden="1">
      <c r="A2013" s="109">
        <f>HYPERLINK("https://polkadot.subsquare.io/treasury/child-bounties/2042", 2042)</f>
        <v>2042</v>
      </c>
      <c r="B2013" s="183">
        <v>11.0</v>
      </c>
      <c r="C2013" s="27" t="s">
        <v>3404</v>
      </c>
      <c r="D2013" s="27" t="s">
        <v>2435</v>
      </c>
      <c r="E2013" s="129">
        <v>92.8936</v>
      </c>
      <c r="F2013" s="66">
        <v>373.0660824691773</v>
      </c>
      <c r="G2013" s="27" t="s">
        <v>3562</v>
      </c>
      <c r="H2013" s="167">
        <v>45538.0</v>
      </c>
      <c r="I2013" s="167">
        <v>45547.0</v>
      </c>
      <c r="J2013" s="66">
        <v>412.36861111602786</v>
      </c>
      <c r="M2013" s="1" t="str">
        <f>VLOOKUP(B2013,Bounties!A:D,3,FALSE)</f>
        <v>Research</v>
      </c>
      <c r="N2013" s="1" t="str">
        <f>VLOOKUP(B2013,Bounties!A:D,4,FALSE)</f>
        <v>Anti-Scam</v>
      </c>
      <c r="O2013" s="1" t="str">
        <f t="shared" ref="O2013:P2013" si="2017">IF(ISBLANK(K2013),M2013,K2013)</f>
        <v>Research</v>
      </c>
      <c r="P2013" s="1" t="str">
        <f t="shared" si="2017"/>
        <v>Anti-Scam</v>
      </c>
      <c r="Q2013" s="108" t="str">
        <f t="shared" si="3"/>
        <v>2024</v>
      </c>
      <c r="R2013" s="110">
        <f t="shared" si="4"/>
        <v>9</v>
      </c>
      <c r="S2013" s="108" t="str">
        <f t="shared" si="5"/>
        <v>2024-Q3</v>
      </c>
      <c r="T2013" s="111" t="str">
        <f t="shared" si="6"/>
        <v>2024-09</v>
      </c>
      <c r="U2013" s="112" t="str">
        <f t="shared" si="7"/>
        <v>2024-H2</v>
      </c>
      <c r="V2013" s="1" t="str">
        <f>VLOOKUP(B2013,Bounties!A:E,2,FALSE)</f>
        <v>Anti-Scam Bounty</v>
      </c>
    </row>
    <row r="2014" hidden="1">
      <c r="A2014" s="109">
        <f>HYPERLINK("https://polkadot.subsquare.io/treasury/child-bounties/2043", 2043)</f>
        <v>2043</v>
      </c>
      <c r="B2014" s="183">
        <v>11.0</v>
      </c>
      <c r="C2014" s="27" t="s">
        <v>3404</v>
      </c>
      <c r="D2014" s="27" t="s">
        <v>2436</v>
      </c>
      <c r="E2014" s="129">
        <v>328.7671232876</v>
      </c>
      <c r="F2014" s="66">
        <v>1301.743886241892</v>
      </c>
      <c r="G2014" s="27" t="s">
        <v>3610</v>
      </c>
      <c r="H2014" s="167">
        <v>45538.0</v>
      </c>
      <c r="I2014" s="167">
        <v>45547.0</v>
      </c>
      <c r="J2014" s="66">
        <v>1447.1897491033892</v>
      </c>
      <c r="M2014" s="1" t="str">
        <f>VLOOKUP(B2014,Bounties!A:D,3,FALSE)</f>
        <v>Research</v>
      </c>
      <c r="N2014" s="1" t="str">
        <f>VLOOKUP(B2014,Bounties!A:D,4,FALSE)</f>
        <v>Anti-Scam</v>
      </c>
      <c r="O2014" s="1" t="str">
        <f t="shared" ref="O2014:P2014" si="2018">IF(ISBLANK(K2014),M2014,K2014)</f>
        <v>Research</v>
      </c>
      <c r="P2014" s="1" t="str">
        <f t="shared" si="2018"/>
        <v>Anti-Scam</v>
      </c>
      <c r="Q2014" s="108" t="str">
        <f t="shared" si="3"/>
        <v>2024</v>
      </c>
      <c r="R2014" s="110">
        <f t="shared" si="4"/>
        <v>9</v>
      </c>
      <c r="S2014" s="108" t="str">
        <f t="shared" si="5"/>
        <v>2024-Q3</v>
      </c>
      <c r="T2014" s="111" t="str">
        <f t="shared" si="6"/>
        <v>2024-09</v>
      </c>
      <c r="U2014" s="112" t="str">
        <f t="shared" si="7"/>
        <v>2024-H2</v>
      </c>
      <c r="V2014" s="1" t="str">
        <f>VLOOKUP(B2014,Bounties!A:E,2,FALSE)</f>
        <v>Anti-Scam Bounty</v>
      </c>
    </row>
    <row r="2015" hidden="1">
      <c r="A2015" s="109">
        <f>HYPERLINK("https://polkadot.subsquare.io/treasury/child-bounties/2044", 2044)</f>
        <v>2044</v>
      </c>
      <c r="B2015" s="183">
        <v>11.0</v>
      </c>
      <c r="C2015" s="27" t="s">
        <v>3404</v>
      </c>
      <c r="D2015" s="27" t="s">
        <v>2437</v>
      </c>
      <c r="E2015" s="129">
        <v>463.4703196347</v>
      </c>
      <c r="F2015" s="66">
        <v>1835.0972840774966</v>
      </c>
      <c r="G2015" s="27" t="s">
        <v>3423</v>
      </c>
      <c r="H2015" s="167">
        <v>45538.0</v>
      </c>
      <c r="I2015" s="167">
        <v>45547.0</v>
      </c>
      <c r="J2015" s="66">
        <v>2040.1355490836781</v>
      </c>
      <c r="M2015" s="1" t="str">
        <f>VLOOKUP(B2015,Bounties!A:D,3,FALSE)</f>
        <v>Research</v>
      </c>
      <c r="N2015" s="1" t="str">
        <f>VLOOKUP(B2015,Bounties!A:D,4,FALSE)</f>
        <v>Anti-Scam</v>
      </c>
      <c r="O2015" s="1" t="str">
        <f t="shared" ref="O2015:P2015" si="2019">IF(ISBLANK(K2015),M2015,K2015)</f>
        <v>Research</v>
      </c>
      <c r="P2015" s="1" t="str">
        <f t="shared" si="2019"/>
        <v>Anti-Scam</v>
      </c>
      <c r="Q2015" s="108" t="str">
        <f t="shared" si="3"/>
        <v>2024</v>
      </c>
      <c r="R2015" s="110">
        <f t="shared" si="4"/>
        <v>9</v>
      </c>
      <c r="S2015" s="108" t="str">
        <f t="shared" si="5"/>
        <v>2024-Q3</v>
      </c>
      <c r="T2015" s="111" t="str">
        <f t="shared" si="6"/>
        <v>2024-09</v>
      </c>
      <c r="U2015" s="112" t="str">
        <f t="shared" si="7"/>
        <v>2024-H2</v>
      </c>
      <c r="V2015" s="1" t="str">
        <f>VLOOKUP(B2015,Bounties!A:E,2,FALSE)</f>
        <v>Anti-Scam Bounty</v>
      </c>
    </row>
    <row r="2016" hidden="1">
      <c r="A2016" s="109">
        <f>HYPERLINK("https://polkadot.subsquare.io/treasury/child-bounties/2045", 2045)</f>
        <v>2045</v>
      </c>
      <c r="B2016" s="183">
        <v>11.0</v>
      </c>
      <c r="C2016" s="27" t="s">
        <v>3404</v>
      </c>
      <c r="D2016" s="27" t="s">
        <v>2438</v>
      </c>
      <c r="E2016" s="129">
        <v>219.178</v>
      </c>
      <c r="F2016" s="66">
        <v>867.8289320588112</v>
      </c>
      <c r="G2016" s="27" t="s">
        <v>3562</v>
      </c>
      <c r="H2016" s="167">
        <v>45538.0</v>
      </c>
      <c r="I2016" s="167">
        <v>45550.0</v>
      </c>
      <c r="J2016" s="66">
        <v>913.7607439994812</v>
      </c>
      <c r="M2016" s="1" t="str">
        <f>VLOOKUP(B2016,Bounties!A:D,3,FALSE)</f>
        <v>Research</v>
      </c>
      <c r="N2016" s="1" t="str">
        <f>VLOOKUP(B2016,Bounties!A:D,4,FALSE)</f>
        <v>Anti-Scam</v>
      </c>
      <c r="O2016" s="1" t="str">
        <f t="shared" ref="O2016:P2016" si="2020">IF(ISBLANK(K2016),M2016,K2016)</f>
        <v>Research</v>
      </c>
      <c r="P2016" s="1" t="str">
        <f t="shared" si="2020"/>
        <v>Anti-Scam</v>
      </c>
      <c r="Q2016" s="108" t="str">
        <f t="shared" si="3"/>
        <v>2024</v>
      </c>
      <c r="R2016" s="110">
        <f t="shared" si="4"/>
        <v>9</v>
      </c>
      <c r="S2016" s="108" t="str">
        <f t="shared" si="5"/>
        <v>2024-Q3</v>
      </c>
      <c r="T2016" s="111" t="str">
        <f t="shared" si="6"/>
        <v>2024-09</v>
      </c>
      <c r="U2016" s="112" t="str">
        <f t="shared" si="7"/>
        <v>2024-H2</v>
      </c>
      <c r="V2016" s="1" t="str">
        <f>VLOOKUP(B2016,Bounties!A:E,2,FALSE)</f>
        <v>Anti-Scam Bounty</v>
      </c>
    </row>
    <row r="2017" hidden="1">
      <c r="A2017" s="109">
        <f>HYPERLINK("https://polkadot.subsquare.io/treasury/child-bounties/2046", 2046)</f>
        <v>2046</v>
      </c>
      <c r="B2017" s="183">
        <v>11.0</v>
      </c>
      <c r="C2017" s="27" t="s">
        <v>3404</v>
      </c>
      <c r="D2017" s="27" t="s">
        <v>2439</v>
      </c>
      <c r="E2017" s="129">
        <v>73.06</v>
      </c>
      <c r="F2017" s="66">
        <v>289.2789503335953</v>
      </c>
      <c r="G2017" s="27" t="s">
        <v>3469</v>
      </c>
      <c r="H2017" s="167">
        <v>45538.0</v>
      </c>
      <c r="I2017" s="167">
        <v>45555.0</v>
      </c>
      <c r="J2017" s="66">
        <v>325.5166444206238</v>
      </c>
      <c r="M2017" s="1" t="str">
        <f>VLOOKUP(B2017,Bounties!A:D,3,FALSE)</f>
        <v>Research</v>
      </c>
      <c r="N2017" s="1" t="str">
        <f>VLOOKUP(B2017,Bounties!A:D,4,FALSE)</f>
        <v>Anti-Scam</v>
      </c>
      <c r="O2017" s="1" t="str">
        <f t="shared" ref="O2017:P2017" si="2021">IF(ISBLANK(K2017),M2017,K2017)</f>
        <v>Research</v>
      </c>
      <c r="P2017" s="1" t="str">
        <f t="shared" si="2021"/>
        <v>Anti-Scam</v>
      </c>
      <c r="Q2017" s="108" t="str">
        <f t="shared" si="3"/>
        <v>2024</v>
      </c>
      <c r="R2017" s="110">
        <f t="shared" si="4"/>
        <v>9</v>
      </c>
      <c r="S2017" s="108" t="str">
        <f t="shared" si="5"/>
        <v>2024-Q3</v>
      </c>
      <c r="T2017" s="111" t="str">
        <f t="shared" si="6"/>
        <v>2024-09</v>
      </c>
      <c r="U2017" s="112" t="str">
        <f t="shared" si="7"/>
        <v>2024-H2</v>
      </c>
      <c r="V2017" s="1" t="str">
        <f>VLOOKUP(B2017,Bounties!A:E,2,FALSE)</f>
        <v>Anti-Scam Bounty</v>
      </c>
    </row>
    <row r="2018" hidden="1">
      <c r="A2018" s="109">
        <f>HYPERLINK("https://polkadot.subsquare.io/treasury/child-bounties/2047", 2047)</f>
        <v>2047</v>
      </c>
      <c r="B2018" s="183">
        <v>11.0</v>
      </c>
      <c r="C2018" s="27" t="s">
        <v>3404</v>
      </c>
      <c r="D2018" s="27" t="s">
        <v>2440</v>
      </c>
      <c r="E2018" s="129">
        <v>57.0776255707</v>
      </c>
      <c r="F2018" s="66">
        <v>225.99720247229774</v>
      </c>
      <c r="G2018" s="27" t="s">
        <v>3486</v>
      </c>
      <c r="H2018" s="167">
        <v>45538.0</v>
      </c>
      <c r="I2018" s="167">
        <v>45548.0</v>
      </c>
      <c r="J2018" s="66">
        <v>239.63881409843862</v>
      </c>
      <c r="M2018" s="1" t="str">
        <f>VLOOKUP(B2018,Bounties!A:D,3,FALSE)</f>
        <v>Research</v>
      </c>
      <c r="N2018" s="1" t="str">
        <f>VLOOKUP(B2018,Bounties!A:D,4,FALSE)</f>
        <v>Anti-Scam</v>
      </c>
      <c r="O2018" s="1" t="str">
        <f t="shared" ref="O2018:P2018" si="2022">IF(ISBLANK(K2018),M2018,K2018)</f>
        <v>Research</v>
      </c>
      <c r="P2018" s="1" t="str">
        <f t="shared" si="2022"/>
        <v>Anti-Scam</v>
      </c>
      <c r="Q2018" s="108" t="str">
        <f t="shared" si="3"/>
        <v>2024</v>
      </c>
      <c r="R2018" s="110">
        <f t="shared" si="4"/>
        <v>9</v>
      </c>
      <c r="S2018" s="108" t="str">
        <f t="shared" si="5"/>
        <v>2024-Q3</v>
      </c>
      <c r="T2018" s="111" t="str">
        <f t="shared" si="6"/>
        <v>2024-09</v>
      </c>
      <c r="U2018" s="112" t="str">
        <f t="shared" si="7"/>
        <v>2024-H2</v>
      </c>
      <c r="V2018" s="1" t="str">
        <f>VLOOKUP(B2018,Bounties!A:E,2,FALSE)</f>
        <v>Anti-Scam Bounty</v>
      </c>
    </row>
    <row r="2019" hidden="1">
      <c r="A2019" s="109">
        <f>HYPERLINK("https://polkadot.subsquare.io/treasury/child-bounties/2048", 2048)</f>
        <v>2048</v>
      </c>
      <c r="B2019" s="183">
        <v>11.0</v>
      </c>
      <c r="C2019" s="27" t="s">
        <v>3404</v>
      </c>
      <c r="D2019" s="27" t="s">
        <v>2441</v>
      </c>
      <c r="E2019" s="129">
        <v>57.0776255707</v>
      </c>
      <c r="F2019" s="66">
        <v>225.99720247229774</v>
      </c>
      <c r="G2019" s="27" t="s">
        <v>3609</v>
      </c>
      <c r="H2019" s="167">
        <v>45538.0</v>
      </c>
      <c r="I2019" s="167">
        <v>45562.0</v>
      </c>
      <c r="J2019" s="66">
        <v>253.2583393459333</v>
      </c>
      <c r="M2019" s="1" t="str">
        <f>VLOOKUP(B2019,Bounties!A:D,3,FALSE)</f>
        <v>Research</v>
      </c>
      <c r="N2019" s="1" t="str">
        <f>VLOOKUP(B2019,Bounties!A:D,4,FALSE)</f>
        <v>Anti-Scam</v>
      </c>
      <c r="O2019" s="1" t="str">
        <f t="shared" ref="O2019:P2019" si="2023">IF(ISBLANK(K2019),M2019,K2019)</f>
        <v>Research</v>
      </c>
      <c r="P2019" s="1" t="str">
        <f t="shared" si="2023"/>
        <v>Anti-Scam</v>
      </c>
      <c r="Q2019" s="108" t="str">
        <f t="shared" si="3"/>
        <v>2024</v>
      </c>
      <c r="R2019" s="110">
        <f t="shared" si="4"/>
        <v>9</v>
      </c>
      <c r="S2019" s="108" t="str">
        <f t="shared" si="5"/>
        <v>2024-Q3</v>
      </c>
      <c r="T2019" s="111" t="str">
        <f t="shared" si="6"/>
        <v>2024-09</v>
      </c>
      <c r="U2019" s="112" t="str">
        <f t="shared" si="7"/>
        <v>2024-H2</v>
      </c>
      <c r="V2019" s="1" t="str">
        <f>VLOOKUP(B2019,Bounties!A:E,2,FALSE)</f>
        <v>Anti-Scam Bounty</v>
      </c>
    </row>
    <row r="2020" hidden="1">
      <c r="A2020" s="109">
        <f>HYPERLINK("https://polkadot.subsquare.io/treasury/child-bounties/2049", 2049)</f>
        <v>2049</v>
      </c>
      <c r="B2020" s="183">
        <v>11.0</v>
      </c>
      <c r="C2020" s="27" t="s">
        <v>3404</v>
      </c>
      <c r="D2020" s="27" t="s">
        <v>2442</v>
      </c>
      <c r="E2020" s="129">
        <v>28.5388127853</v>
      </c>
      <c r="F2020" s="66">
        <v>112.9986012359509</v>
      </c>
      <c r="G2020" s="27" t="s">
        <v>3526</v>
      </c>
      <c r="H2020" s="167">
        <v>45538.0</v>
      </c>
      <c r="I2020" s="167">
        <v>45547.0</v>
      </c>
      <c r="J2020" s="66">
        <v>125.62411016486406</v>
      </c>
      <c r="M2020" s="1" t="str">
        <f>VLOOKUP(B2020,Bounties!A:D,3,FALSE)</f>
        <v>Research</v>
      </c>
      <c r="N2020" s="1" t="str">
        <f>VLOOKUP(B2020,Bounties!A:D,4,FALSE)</f>
        <v>Anti-Scam</v>
      </c>
      <c r="O2020" s="1" t="str">
        <f t="shared" ref="O2020:P2020" si="2024">IF(ISBLANK(K2020),M2020,K2020)</f>
        <v>Research</v>
      </c>
      <c r="P2020" s="1" t="str">
        <f t="shared" si="2024"/>
        <v>Anti-Scam</v>
      </c>
      <c r="Q2020" s="108" t="str">
        <f t="shared" si="3"/>
        <v>2024</v>
      </c>
      <c r="R2020" s="110">
        <f t="shared" si="4"/>
        <v>9</v>
      </c>
      <c r="S2020" s="108" t="str">
        <f t="shared" si="5"/>
        <v>2024-Q3</v>
      </c>
      <c r="T2020" s="111" t="str">
        <f t="shared" si="6"/>
        <v>2024-09</v>
      </c>
      <c r="U2020" s="112" t="str">
        <f t="shared" si="7"/>
        <v>2024-H2</v>
      </c>
      <c r="V2020" s="1" t="str">
        <f>VLOOKUP(B2020,Bounties!A:E,2,FALSE)</f>
        <v>Anti-Scam Bounty</v>
      </c>
    </row>
    <row r="2021" hidden="1">
      <c r="A2021" s="109">
        <f>HYPERLINK("https://polkadot.subsquare.io/treasury/child-bounties/2050", 2050)</f>
        <v>2050</v>
      </c>
      <c r="B2021" s="183">
        <v>11.0</v>
      </c>
      <c r="C2021" s="27" t="s">
        <v>3404</v>
      </c>
      <c r="D2021" s="27" t="s">
        <v>2443</v>
      </c>
      <c r="E2021" s="129">
        <v>28.5388127853</v>
      </c>
      <c r="F2021" s="66">
        <v>112.9986012359509</v>
      </c>
      <c r="G2021" s="27" t="s">
        <v>3486</v>
      </c>
      <c r="H2021" s="167">
        <v>45538.0</v>
      </c>
      <c r="I2021" s="167">
        <v>45548.0</v>
      </c>
      <c r="J2021" s="66">
        <v>119.81940704900938</v>
      </c>
      <c r="M2021" s="1" t="str">
        <f>VLOOKUP(B2021,Bounties!A:D,3,FALSE)</f>
        <v>Research</v>
      </c>
      <c r="N2021" s="1" t="str">
        <f>VLOOKUP(B2021,Bounties!A:D,4,FALSE)</f>
        <v>Anti-Scam</v>
      </c>
      <c r="O2021" s="1" t="str">
        <f t="shared" ref="O2021:P2021" si="2025">IF(ISBLANK(K2021),M2021,K2021)</f>
        <v>Research</v>
      </c>
      <c r="P2021" s="1" t="str">
        <f t="shared" si="2025"/>
        <v>Anti-Scam</v>
      </c>
      <c r="Q2021" s="108" t="str">
        <f t="shared" si="3"/>
        <v>2024</v>
      </c>
      <c r="R2021" s="110">
        <f t="shared" si="4"/>
        <v>9</v>
      </c>
      <c r="S2021" s="108" t="str">
        <f t="shared" si="5"/>
        <v>2024-Q3</v>
      </c>
      <c r="T2021" s="111" t="str">
        <f t="shared" si="6"/>
        <v>2024-09</v>
      </c>
      <c r="U2021" s="112" t="str">
        <f t="shared" si="7"/>
        <v>2024-H2</v>
      </c>
      <c r="V2021" s="1" t="str">
        <f>VLOOKUP(B2021,Bounties!A:E,2,FALSE)</f>
        <v>Anti-Scam Bounty</v>
      </c>
    </row>
    <row r="2022" hidden="1">
      <c r="A2022" s="109">
        <f>HYPERLINK("https://polkadot.subsquare.io/treasury/child-bounties/2051", 2051)</f>
        <v>2051</v>
      </c>
      <c r="B2022" s="183">
        <v>11.0</v>
      </c>
      <c r="C2022" s="27" t="s">
        <v>3404</v>
      </c>
      <c r="D2022" s="27" t="s">
        <v>2444</v>
      </c>
      <c r="E2022" s="129">
        <v>119.1895</v>
      </c>
      <c r="F2022" s="66">
        <v>485.8918461563587</v>
      </c>
      <c r="G2022" s="27" t="s">
        <v>3644</v>
      </c>
      <c r="H2022" s="167">
        <v>45539.0</v>
      </c>
      <c r="I2022" s="167">
        <v>45548.0</v>
      </c>
      <c r="J2022" s="66">
        <v>524.6565437440872</v>
      </c>
      <c r="M2022" s="1" t="str">
        <f>VLOOKUP(B2022,Bounties!A:D,3,FALSE)</f>
        <v>Research</v>
      </c>
      <c r="N2022" s="1" t="str">
        <f>VLOOKUP(B2022,Bounties!A:D,4,FALSE)</f>
        <v>Anti-Scam</v>
      </c>
      <c r="O2022" s="1" t="str">
        <f t="shared" ref="O2022:P2022" si="2026">IF(ISBLANK(K2022),M2022,K2022)</f>
        <v>Research</v>
      </c>
      <c r="P2022" s="1" t="str">
        <f t="shared" si="2026"/>
        <v>Anti-Scam</v>
      </c>
      <c r="Q2022" s="108" t="str">
        <f t="shared" si="3"/>
        <v>2024</v>
      </c>
      <c r="R2022" s="110">
        <f t="shared" si="4"/>
        <v>9</v>
      </c>
      <c r="S2022" s="108" t="str">
        <f t="shared" si="5"/>
        <v>2024-Q3</v>
      </c>
      <c r="T2022" s="111" t="str">
        <f t="shared" si="6"/>
        <v>2024-09</v>
      </c>
      <c r="U2022" s="112" t="str">
        <f t="shared" si="7"/>
        <v>2024-H2</v>
      </c>
      <c r="V2022" s="1" t="str">
        <f>VLOOKUP(B2022,Bounties!A:E,2,FALSE)</f>
        <v>Anti-Scam Bounty</v>
      </c>
    </row>
    <row r="2023" hidden="1">
      <c r="A2023" s="109">
        <f>HYPERLINK("https://polkadot.subsquare.io/treasury/child-bounties/2052", 2052)</f>
        <v>2052</v>
      </c>
      <c r="B2023" s="183">
        <v>11.0</v>
      </c>
      <c r="C2023" s="27" t="s">
        <v>3404</v>
      </c>
      <c r="D2023" s="27" t="s">
        <v>2445</v>
      </c>
      <c r="E2023" s="129">
        <v>119.1895</v>
      </c>
      <c r="F2023" s="66">
        <v>485.8918461563587</v>
      </c>
      <c r="G2023" s="27" t="s">
        <v>3409</v>
      </c>
      <c r="H2023" s="167">
        <v>45539.0</v>
      </c>
      <c r="I2023" s="167">
        <v>45547.0</v>
      </c>
      <c r="J2023" s="66">
        <v>524.6565437440872</v>
      </c>
      <c r="M2023" s="1" t="str">
        <f>VLOOKUP(B2023,Bounties!A:D,3,FALSE)</f>
        <v>Research</v>
      </c>
      <c r="N2023" s="1" t="str">
        <f>VLOOKUP(B2023,Bounties!A:D,4,FALSE)</f>
        <v>Anti-Scam</v>
      </c>
      <c r="O2023" s="1" t="str">
        <f t="shared" ref="O2023:P2023" si="2027">IF(ISBLANK(K2023),M2023,K2023)</f>
        <v>Research</v>
      </c>
      <c r="P2023" s="1" t="str">
        <f t="shared" si="2027"/>
        <v>Anti-Scam</v>
      </c>
      <c r="Q2023" s="108" t="str">
        <f t="shared" si="3"/>
        <v>2024</v>
      </c>
      <c r="R2023" s="110">
        <f t="shared" si="4"/>
        <v>9</v>
      </c>
      <c r="S2023" s="108" t="str">
        <f t="shared" si="5"/>
        <v>2024-Q3</v>
      </c>
      <c r="T2023" s="111" t="str">
        <f t="shared" si="6"/>
        <v>2024-09</v>
      </c>
      <c r="U2023" s="112" t="str">
        <f t="shared" si="7"/>
        <v>2024-H2</v>
      </c>
      <c r="V2023" s="1" t="str">
        <f>VLOOKUP(B2023,Bounties!A:E,2,FALSE)</f>
        <v>Anti-Scam Bounty</v>
      </c>
    </row>
    <row r="2024" hidden="1">
      <c r="A2024" s="109">
        <f>HYPERLINK("https://polkadot.subsquare.io/treasury/child-bounties/2053", 2053)</f>
        <v>2053</v>
      </c>
      <c r="B2024" s="183">
        <v>11.0</v>
      </c>
      <c r="C2024" s="27" t="s">
        <v>3404</v>
      </c>
      <c r="D2024" s="27" t="s">
        <v>2446</v>
      </c>
      <c r="E2024" s="129">
        <v>119.1895</v>
      </c>
      <c r="F2024" s="66">
        <v>485.8918461563587</v>
      </c>
      <c r="G2024" s="27" t="s">
        <v>3439</v>
      </c>
      <c r="H2024" s="167">
        <v>45539.0</v>
      </c>
      <c r="I2024" s="167">
        <v>45552.0</v>
      </c>
      <c r="J2024" s="66">
        <v>516.9675310900211</v>
      </c>
      <c r="M2024" s="1" t="str">
        <f>VLOOKUP(B2024,Bounties!A:D,3,FALSE)</f>
        <v>Research</v>
      </c>
      <c r="N2024" s="1" t="str">
        <f>VLOOKUP(B2024,Bounties!A:D,4,FALSE)</f>
        <v>Anti-Scam</v>
      </c>
      <c r="O2024" s="1" t="str">
        <f t="shared" ref="O2024:P2024" si="2028">IF(ISBLANK(K2024),M2024,K2024)</f>
        <v>Research</v>
      </c>
      <c r="P2024" s="1" t="str">
        <f t="shared" si="2028"/>
        <v>Anti-Scam</v>
      </c>
      <c r="Q2024" s="108" t="str">
        <f t="shared" si="3"/>
        <v>2024</v>
      </c>
      <c r="R2024" s="110">
        <f t="shared" si="4"/>
        <v>9</v>
      </c>
      <c r="S2024" s="108" t="str">
        <f t="shared" si="5"/>
        <v>2024-Q3</v>
      </c>
      <c r="T2024" s="111" t="str">
        <f t="shared" si="6"/>
        <v>2024-09</v>
      </c>
      <c r="U2024" s="112" t="str">
        <f t="shared" si="7"/>
        <v>2024-H2</v>
      </c>
      <c r="V2024" s="1" t="str">
        <f>VLOOKUP(B2024,Bounties!A:E,2,FALSE)</f>
        <v>Anti-Scam Bounty</v>
      </c>
    </row>
    <row r="2025" hidden="1">
      <c r="A2025" s="109">
        <f>HYPERLINK("https://polkadot.subsquare.io/treasury/child-bounties/2054", 2054)</f>
        <v>2054</v>
      </c>
      <c r="B2025" s="183">
        <v>11.0</v>
      </c>
      <c r="C2025" s="27" t="s">
        <v>3404</v>
      </c>
      <c r="D2025" s="27" t="s">
        <v>2447</v>
      </c>
      <c r="E2025" s="129">
        <v>119.1895</v>
      </c>
      <c r="F2025" s="66">
        <v>485.8918461563587</v>
      </c>
      <c r="G2025" s="27" t="s">
        <v>3457</v>
      </c>
      <c r="H2025" s="167">
        <v>45539.0</v>
      </c>
      <c r="I2025" s="167">
        <v>45547.0</v>
      </c>
      <c r="J2025" s="66">
        <v>524.6565437440872</v>
      </c>
      <c r="M2025" s="1" t="str">
        <f>VLOOKUP(B2025,Bounties!A:D,3,FALSE)</f>
        <v>Research</v>
      </c>
      <c r="N2025" s="1" t="str">
        <f>VLOOKUP(B2025,Bounties!A:D,4,FALSE)</f>
        <v>Anti-Scam</v>
      </c>
      <c r="O2025" s="1" t="str">
        <f t="shared" ref="O2025:P2025" si="2029">IF(ISBLANK(K2025),M2025,K2025)</f>
        <v>Research</v>
      </c>
      <c r="P2025" s="1" t="str">
        <f t="shared" si="2029"/>
        <v>Anti-Scam</v>
      </c>
      <c r="Q2025" s="108" t="str">
        <f t="shared" si="3"/>
        <v>2024</v>
      </c>
      <c r="R2025" s="110">
        <f t="shared" si="4"/>
        <v>9</v>
      </c>
      <c r="S2025" s="108" t="str">
        <f t="shared" si="5"/>
        <v>2024-Q3</v>
      </c>
      <c r="T2025" s="111" t="str">
        <f t="shared" si="6"/>
        <v>2024-09</v>
      </c>
      <c r="U2025" s="112" t="str">
        <f t="shared" si="7"/>
        <v>2024-H2</v>
      </c>
      <c r="V2025" s="1" t="str">
        <f>VLOOKUP(B2025,Bounties!A:E,2,FALSE)</f>
        <v>Anti-Scam Bounty</v>
      </c>
    </row>
    <row r="2026" hidden="1">
      <c r="A2026" s="109">
        <f>HYPERLINK("https://polkadot.subsquare.io/treasury/child-bounties/2055", 2055)</f>
        <v>2055</v>
      </c>
      <c r="B2026" s="183">
        <v>11.0</v>
      </c>
      <c r="C2026" s="27" t="s">
        <v>3404</v>
      </c>
      <c r="D2026" s="27" t="s">
        <v>2448</v>
      </c>
      <c r="E2026" s="129">
        <v>119.1895</v>
      </c>
      <c r="F2026" s="66">
        <v>485.8918461563587</v>
      </c>
      <c r="G2026" s="27" t="s">
        <v>3486</v>
      </c>
      <c r="H2026" s="167">
        <v>45539.0</v>
      </c>
      <c r="I2026" s="167">
        <v>45548.0</v>
      </c>
      <c r="J2026" s="66">
        <v>500.41378118658065</v>
      </c>
      <c r="M2026" s="1" t="str">
        <f>VLOOKUP(B2026,Bounties!A:D,3,FALSE)</f>
        <v>Research</v>
      </c>
      <c r="N2026" s="1" t="str">
        <f>VLOOKUP(B2026,Bounties!A:D,4,FALSE)</f>
        <v>Anti-Scam</v>
      </c>
      <c r="O2026" s="1" t="str">
        <f t="shared" ref="O2026:P2026" si="2030">IF(ISBLANK(K2026),M2026,K2026)</f>
        <v>Research</v>
      </c>
      <c r="P2026" s="1" t="str">
        <f t="shared" si="2030"/>
        <v>Anti-Scam</v>
      </c>
      <c r="Q2026" s="108" t="str">
        <f t="shared" si="3"/>
        <v>2024</v>
      </c>
      <c r="R2026" s="110">
        <f t="shared" si="4"/>
        <v>9</v>
      </c>
      <c r="S2026" s="108" t="str">
        <f t="shared" si="5"/>
        <v>2024-Q3</v>
      </c>
      <c r="T2026" s="111" t="str">
        <f t="shared" si="6"/>
        <v>2024-09</v>
      </c>
      <c r="U2026" s="112" t="str">
        <f t="shared" si="7"/>
        <v>2024-H2</v>
      </c>
      <c r="V2026" s="1" t="str">
        <f>VLOOKUP(B2026,Bounties!A:E,2,FALSE)</f>
        <v>Anti-Scam Bounty</v>
      </c>
    </row>
    <row r="2027" hidden="1">
      <c r="A2027" s="109">
        <f>HYPERLINK("https://polkadot.subsquare.io/treasury/child-bounties/2056", 2056)</f>
        <v>2056</v>
      </c>
      <c r="B2027" s="183">
        <v>11.0</v>
      </c>
      <c r="C2027" s="27" t="s">
        <v>3404</v>
      </c>
      <c r="D2027" s="27" t="s">
        <v>2449</v>
      </c>
      <c r="E2027" s="129">
        <v>119.1895</v>
      </c>
      <c r="F2027" s="66">
        <v>485.8918461563587</v>
      </c>
      <c r="G2027" s="27" t="s">
        <v>3407</v>
      </c>
      <c r="H2027" s="167">
        <v>45539.0</v>
      </c>
      <c r="I2027" s="167">
        <v>45548.0</v>
      </c>
      <c r="J2027" s="66">
        <v>524.6565437440872</v>
      </c>
      <c r="M2027" s="1" t="str">
        <f>VLOOKUP(B2027,Bounties!A:D,3,FALSE)</f>
        <v>Research</v>
      </c>
      <c r="N2027" s="1" t="str">
        <f>VLOOKUP(B2027,Bounties!A:D,4,FALSE)</f>
        <v>Anti-Scam</v>
      </c>
      <c r="O2027" s="1" t="str">
        <f t="shared" ref="O2027:P2027" si="2031">IF(ISBLANK(K2027),M2027,K2027)</f>
        <v>Research</v>
      </c>
      <c r="P2027" s="1" t="str">
        <f t="shared" si="2031"/>
        <v>Anti-Scam</v>
      </c>
      <c r="Q2027" s="108" t="str">
        <f t="shared" si="3"/>
        <v>2024</v>
      </c>
      <c r="R2027" s="110">
        <f t="shared" si="4"/>
        <v>9</v>
      </c>
      <c r="S2027" s="108" t="str">
        <f t="shared" si="5"/>
        <v>2024-Q3</v>
      </c>
      <c r="T2027" s="111" t="str">
        <f t="shared" si="6"/>
        <v>2024-09</v>
      </c>
      <c r="U2027" s="112" t="str">
        <f t="shared" si="7"/>
        <v>2024-H2</v>
      </c>
      <c r="V2027" s="1" t="str">
        <f>VLOOKUP(B2027,Bounties!A:E,2,FALSE)</f>
        <v>Anti-Scam Bounty</v>
      </c>
    </row>
    <row r="2028" hidden="1">
      <c r="A2028" s="109">
        <f>HYPERLINK("https://polkadot.subsquare.io/treasury/child-bounties/2057", 2057)</f>
        <v>2057</v>
      </c>
      <c r="B2028" s="183">
        <v>11.0</v>
      </c>
      <c r="C2028" s="27" t="s">
        <v>3404</v>
      </c>
      <c r="D2028" s="27" t="s">
        <v>2450</v>
      </c>
      <c r="E2028" s="129">
        <v>119.1895</v>
      </c>
      <c r="F2028" s="66">
        <v>485.8918461563587</v>
      </c>
      <c r="G2028" s="27" t="s">
        <v>3469</v>
      </c>
      <c r="H2028" s="167">
        <v>45539.0</v>
      </c>
      <c r="I2028" s="167">
        <v>45555.0</v>
      </c>
      <c r="J2028" s="66">
        <v>531.0452517132759</v>
      </c>
      <c r="M2028" s="1" t="str">
        <f>VLOOKUP(B2028,Bounties!A:D,3,FALSE)</f>
        <v>Research</v>
      </c>
      <c r="N2028" s="1" t="str">
        <f>VLOOKUP(B2028,Bounties!A:D,4,FALSE)</f>
        <v>Anti-Scam</v>
      </c>
      <c r="O2028" s="1" t="str">
        <f t="shared" ref="O2028:P2028" si="2032">IF(ISBLANK(K2028),M2028,K2028)</f>
        <v>Research</v>
      </c>
      <c r="P2028" s="1" t="str">
        <f t="shared" si="2032"/>
        <v>Anti-Scam</v>
      </c>
      <c r="Q2028" s="108" t="str">
        <f t="shared" si="3"/>
        <v>2024</v>
      </c>
      <c r="R2028" s="110">
        <f t="shared" si="4"/>
        <v>9</v>
      </c>
      <c r="S2028" s="108" t="str">
        <f t="shared" si="5"/>
        <v>2024-Q3</v>
      </c>
      <c r="T2028" s="111" t="str">
        <f t="shared" si="6"/>
        <v>2024-09</v>
      </c>
      <c r="U2028" s="112" t="str">
        <f t="shared" si="7"/>
        <v>2024-H2</v>
      </c>
      <c r="V2028" s="1" t="str">
        <f>VLOOKUP(B2028,Bounties!A:E,2,FALSE)</f>
        <v>Anti-Scam Bounty</v>
      </c>
    </row>
    <row r="2029" hidden="1">
      <c r="A2029" s="109">
        <f>HYPERLINK("https://polkadot.subsquare.io/treasury/child-bounties/2058", 2058)</f>
        <v>2058</v>
      </c>
      <c r="B2029" s="183">
        <v>11.0</v>
      </c>
      <c r="C2029" s="27" t="s">
        <v>3404</v>
      </c>
      <c r="D2029" s="27" t="s">
        <v>2451</v>
      </c>
      <c r="E2029" s="129">
        <v>718.73</v>
      </c>
      <c r="F2029" s="66">
        <v>2929.9984192228317</v>
      </c>
      <c r="G2029" s="27" t="s">
        <v>3407</v>
      </c>
      <c r="H2029" s="167">
        <v>45539.0</v>
      </c>
      <c r="I2029" s="167">
        <v>45549.0</v>
      </c>
      <c r="J2029" s="66">
        <v>2987.347339701653</v>
      </c>
      <c r="M2029" s="1" t="str">
        <f>VLOOKUP(B2029,Bounties!A:D,3,FALSE)</f>
        <v>Research</v>
      </c>
      <c r="N2029" s="1" t="str">
        <f>VLOOKUP(B2029,Bounties!A:D,4,FALSE)</f>
        <v>Anti-Scam</v>
      </c>
      <c r="O2029" s="1" t="str">
        <f t="shared" ref="O2029:P2029" si="2033">IF(ISBLANK(K2029),M2029,K2029)</f>
        <v>Research</v>
      </c>
      <c r="P2029" s="1" t="str">
        <f t="shared" si="2033"/>
        <v>Anti-Scam</v>
      </c>
      <c r="Q2029" s="108" t="str">
        <f t="shared" si="3"/>
        <v>2024</v>
      </c>
      <c r="R2029" s="110">
        <f t="shared" si="4"/>
        <v>9</v>
      </c>
      <c r="S2029" s="108" t="str">
        <f t="shared" si="5"/>
        <v>2024-Q3</v>
      </c>
      <c r="T2029" s="111" t="str">
        <f t="shared" si="6"/>
        <v>2024-09</v>
      </c>
      <c r="U2029" s="112" t="str">
        <f t="shared" si="7"/>
        <v>2024-H2</v>
      </c>
      <c r="V2029" s="1" t="str">
        <f>VLOOKUP(B2029,Bounties!A:E,2,FALSE)</f>
        <v>Anti-Scam Bounty</v>
      </c>
    </row>
    <row r="2030" hidden="1">
      <c r="A2030" s="109">
        <f>HYPERLINK("https://polkadot.subsquare.io/treasury/child-bounties/2059", 2059)</f>
        <v>2059</v>
      </c>
      <c r="B2030" s="183">
        <v>11.0</v>
      </c>
      <c r="C2030" s="27" t="s">
        <v>3404</v>
      </c>
      <c r="D2030" s="27" t="s">
        <v>2452</v>
      </c>
      <c r="E2030" s="129">
        <v>676.6</v>
      </c>
      <c r="F2030" s="66">
        <v>2758.2498719215396</v>
      </c>
      <c r="G2030" s="27" t="s">
        <v>3406</v>
      </c>
      <c r="H2030" s="167">
        <v>45539.0</v>
      </c>
      <c r="I2030" s="167">
        <v>45549.0</v>
      </c>
      <c r="J2030" s="66">
        <v>2840.686170768738</v>
      </c>
      <c r="M2030" s="1" t="str">
        <f>VLOOKUP(B2030,Bounties!A:D,3,FALSE)</f>
        <v>Research</v>
      </c>
      <c r="N2030" s="1" t="str">
        <f>VLOOKUP(B2030,Bounties!A:D,4,FALSE)</f>
        <v>Anti-Scam</v>
      </c>
      <c r="O2030" s="1" t="str">
        <f t="shared" ref="O2030:P2030" si="2034">IF(ISBLANK(K2030),M2030,K2030)</f>
        <v>Research</v>
      </c>
      <c r="P2030" s="1" t="str">
        <f t="shared" si="2034"/>
        <v>Anti-Scam</v>
      </c>
      <c r="Q2030" s="108" t="str">
        <f t="shared" si="3"/>
        <v>2024</v>
      </c>
      <c r="R2030" s="110">
        <f t="shared" si="4"/>
        <v>9</v>
      </c>
      <c r="S2030" s="108" t="str">
        <f t="shared" si="5"/>
        <v>2024-Q3</v>
      </c>
      <c r="T2030" s="111" t="str">
        <f t="shared" si="6"/>
        <v>2024-09</v>
      </c>
      <c r="U2030" s="112" t="str">
        <f t="shared" si="7"/>
        <v>2024-H2</v>
      </c>
      <c r="V2030" s="1" t="str">
        <f>VLOOKUP(B2030,Bounties!A:E,2,FALSE)</f>
        <v>Anti-Scam Bounty</v>
      </c>
    </row>
    <row r="2031" hidden="1">
      <c r="A2031" s="109">
        <f>HYPERLINK("https://polkadot.subsquare.io/treasury/child-bounties/2060", 2060)</f>
        <v>2060</v>
      </c>
      <c r="B2031" s="183">
        <v>11.0</v>
      </c>
      <c r="C2031" s="27" t="s">
        <v>3404</v>
      </c>
      <c r="D2031" s="27" t="s">
        <v>2453</v>
      </c>
      <c r="E2031" s="129">
        <v>495.25</v>
      </c>
      <c r="F2031" s="66">
        <v>2018.9524816274643</v>
      </c>
      <c r="G2031" s="27" t="s">
        <v>3562</v>
      </c>
      <c r="H2031" s="167">
        <v>45539.0</v>
      </c>
      <c r="I2031" s="167">
        <v>45548.0</v>
      </c>
      <c r="J2031" s="66">
        <v>2079.2932693958282</v>
      </c>
      <c r="M2031" s="1" t="str">
        <f>VLOOKUP(B2031,Bounties!A:D,3,FALSE)</f>
        <v>Research</v>
      </c>
      <c r="N2031" s="1" t="str">
        <f>VLOOKUP(B2031,Bounties!A:D,4,FALSE)</f>
        <v>Anti-Scam</v>
      </c>
      <c r="O2031" s="1" t="str">
        <f t="shared" ref="O2031:P2031" si="2035">IF(ISBLANK(K2031),M2031,K2031)</f>
        <v>Research</v>
      </c>
      <c r="P2031" s="1" t="str">
        <f t="shared" si="2035"/>
        <v>Anti-Scam</v>
      </c>
      <c r="Q2031" s="108" t="str">
        <f t="shared" si="3"/>
        <v>2024</v>
      </c>
      <c r="R2031" s="110">
        <f t="shared" si="4"/>
        <v>9</v>
      </c>
      <c r="S2031" s="108" t="str">
        <f t="shared" si="5"/>
        <v>2024-Q3</v>
      </c>
      <c r="T2031" s="111" t="str">
        <f t="shared" si="6"/>
        <v>2024-09</v>
      </c>
      <c r="U2031" s="112" t="str">
        <f t="shared" si="7"/>
        <v>2024-H2</v>
      </c>
      <c r="V2031" s="1" t="str">
        <f>VLOOKUP(B2031,Bounties!A:E,2,FALSE)</f>
        <v>Anti-Scam Bounty</v>
      </c>
    </row>
    <row r="2032" hidden="1">
      <c r="A2032" s="109">
        <f>HYPERLINK("https://polkadot.subsquare.io/treasury/child-bounties/2061", 2061)</f>
        <v>2061</v>
      </c>
      <c r="B2032" s="183">
        <v>11.0</v>
      </c>
      <c r="C2032" s="27" t="s">
        <v>3404</v>
      </c>
      <c r="D2032" s="27" t="s">
        <v>2454</v>
      </c>
      <c r="E2032" s="129">
        <v>550.6555423122</v>
      </c>
      <c r="F2032" s="66">
        <v>2244.820542500017</v>
      </c>
      <c r="G2032" s="27" t="s">
        <v>3576</v>
      </c>
      <c r="H2032" s="167">
        <v>45539.0</v>
      </c>
      <c r="I2032" s="167">
        <v>45550.0</v>
      </c>
      <c r="J2032" s="66">
        <v>2288.7584620348694</v>
      </c>
      <c r="M2032" s="1" t="str">
        <f>VLOOKUP(B2032,Bounties!A:D,3,FALSE)</f>
        <v>Research</v>
      </c>
      <c r="N2032" s="1" t="str">
        <f>VLOOKUP(B2032,Bounties!A:D,4,FALSE)</f>
        <v>Anti-Scam</v>
      </c>
      <c r="O2032" s="1" t="str">
        <f t="shared" ref="O2032:P2032" si="2036">IF(ISBLANK(K2032),M2032,K2032)</f>
        <v>Research</v>
      </c>
      <c r="P2032" s="1" t="str">
        <f t="shared" si="2036"/>
        <v>Anti-Scam</v>
      </c>
      <c r="Q2032" s="108" t="str">
        <f t="shared" si="3"/>
        <v>2024</v>
      </c>
      <c r="R2032" s="110">
        <f t="shared" si="4"/>
        <v>9</v>
      </c>
      <c r="S2032" s="108" t="str">
        <f t="shared" si="5"/>
        <v>2024-Q3</v>
      </c>
      <c r="T2032" s="111" t="str">
        <f t="shared" si="6"/>
        <v>2024-09</v>
      </c>
      <c r="U2032" s="112" t="str">
        <f t="shared" si="7"/>
        <v>2024-H2</v>
      </c>
      <c r="V2032" s="1" t="str">
        <f>VLOOKUP(B2032,Bounties!A:E,2,FALSE)</f>
        <v>Anti-Scam Bounty</v>
      </c>
    </row>
    <row r="2033" hidden="1">
      <c r="A2033" s="109">
        <f>HYPERLINK("https://polkadot.subsquare.io/treasury/child-bounties/2062", 2062)</f>
        <v>2062</v>
      </c>
      <c r="B2033" s="183">
        <v>11.0</v>
      </c>
      <c r="C2033" s="27" t="s">
        <v>3404</v>
      </c>
      <c r="D2033" s="27" t="s">
        <v>2455</v>
      </c>
      <c r="E2033" s="129">
        <v>369.4874851013</v>
      </c>
      <c r="F2033" s="66">
        <v>1506.2648661798291</v>
      </c>
      <c r="G2033" s="27" t="s">
        <v>3576</v>
      </c>
      <c r="H2033" s="167">
        <v>45539.0</v>
      </c>
      <c r="I2033" s="167">
        <v>45550.0</v>
      </c>
      <c r="J2033" s="66">
        <v>1535.7470199802744</v>
      </c>
      <c r="M2033" s="1" t="str">
        <f>VLOOKUP(B2033,Bounties!A:D,3,FALSE)</f>
        <v>Research</v>
      </c>
      <c r="N2033" s="1" t="str">
        <f>VLOOKUP(B2033,Bounties!A:D,4,FALSE)</f>
        <v>Anti-Scam</v>
      </c>
      <c r="O2033" s="1" t="str">
        <f t="shared" ref="O2033:P2033" si="2037">IF(ISBLANK(K2033),M2033,K2033)</f>
        <v>Research</v>
      </c>
      <c r="P2033" s="1" t="str">
        <f t="shared" si="2037"/>
        <v>Anti-Scam</v>
      </c>
      <c r="Q2033" s="108" t="str">
        <f t="shared" si="3"/>
        <v>2024</v>
      </c>
      <c r="R2033" s="110">
        <f t="shared" si="4"/>
        <v>9</v>
      </c>
      <c r="S2033" s="108" t="str">
        <f t="shared" si="5"/>
        <v>2024-Q3</v>
      </c>
      <c r="T2033" s="111" t="str">
        <f t="shared" si="6"/>
        <v>2024-09</v>
      </c>
      <c r="U2033" s="112" t="str">
        <f t="shared" si="7"/>
        <v>2024-H2</v>
      </c>
      <c r="V2033" s="1" t="str">
        <f>VLOOKUP(B2033,Bounties!A:E,2,FALSE)</f>
        <v>Anti-Scam Bounty</v>
      </c>
    </row>
    <row r="2034" hidden="1">
      <c r="A2034" s="109">
        <f>HYPERLINK("https://polkadot.subsquare.io/treasury/child-bounties/2063", 2063)</f>
        <v>2063</v>
      </c>
      <c r="B2034" s="183">
        <v>32.0</v>
      </c>
      <c r="C2034" s="27" t="s">
        <v>3404</v>
      </c>
      <c r="D2034" s="27" t="s">
        <v>2456</v>
      </c>
      <c r="E2034" s="129">
        <v>14.0023337223</v>
      </c>
      <c r="F2034" s="66">
        <v>58.307200357319694</v>
      </c>
      <c r="G2034" s="27" t="s">
        <v>3587</v>
      </c>
      <c r="H2034" s="167">
        <v>45540.0</v>
      </c>
      <c r="I2034" s="167">
        <v>45555.0</v>
      </c>
      <c r="J2034" s="66">
        <v>62.38697902191128</v>
      </c>
      <c r="M2034" s="1" t="str">
        <f>VLOOKUP(B2034,Bounties!A:D,3,FALSE)</f>
        <v>Operations</v>
      </c>
      <c r="N2034" s="1" t="str">
        <f>VLOOKUP(B2034,Bounties!A:D,4,FALSE)</f>
        <v>RPCs and Nodes</v>
      </c>
      <c r="O2034" s="1" t="str">
        <f t="shared" ref="O2034:P2034" si="2038">IF(ISBLANK(K2034),M2034,K2034)</f>
        <v>Operations</v>
      </c>
      <c r="P2034" s="1" t="str">
        <f t="shared" si="2038"/>
        <v>RPCs and Nodes</v>
      </c>
      <c r="Q2034" s="108" t="str">
        <f t="shared" si="3"/>
        <v>2024</v>
      </c>
      <c r="R2034" s="110">
        <f t="shared" si="4"/>
        <v>9</v>
      </c>
      <c r="S2034" s="108" t="str">
        <f t="shared" si="5"/>
        <v>2024-Q3</v>
      </c>
      <c r="T2034" s="111" t="str">
        <f t="shared" si="6"/>
        <v>2024-09</v>
      </c>
      <c r="U2034" s="112" t="str">
        <f t="shared" si="7"/>
        <v>2024-H2</v>
      </c>
      <c r="V2034" s="1" t="str">
        <f>VLOOKUP(B2034,Bounties!A:E,2,FALSE)</f>
        <v>System Parachains Collator Bounty</v>
      </c>
    </row>
    <row r="2035" hidden="1">
      <c r="A2035" s="109">
        <f>HYPERLINK("https://polkadot.subsquare.io/treasury/child-bounties/2064", 2064)</f>
        <v>2064</v>
      </c>
      <c r="B2035" s="183">
        <v>32.0</v>
      </c>
      <c r="C2035" s="27" t="s">
        <v>3404</v>
      </c>
      <c r="D2035" s="27" t="s">
        <v>2457</v>
      </c>
      <c r="E2035" s="129">
        <v>69.8310217635</v>
      </c>
      <c r="F2035" s="66">
        <v>290.7837691824377</v>
      </c>
      <c r="G2035" s="27" t="s">
        <v>3587</v>
      </c>
      <c r="H2035" s="167">
        <v>45540.0</v>
      </c>
      <c r="I2035" s="167">
        <v>45555.0</v>
      </c>
      <c r="J2035" s="66">
        <v>311.1300284823169</v>
      </c>
      <c r="M2035" s="1" t="str">
        <f>VLOOKUP(B2035,Bounties!A:D,3,FALSE)</f>
        <v>Operations</v>
      </c>
      <c r="N2035" s="1" t="str">
        <f>VLOOKUP(B2035,Bounties!A:D,4,FALSE)</f>
        <v>RPCs and Nodes</v>
      </c>
      <c r="O2035" s="1" t="str">
        <f t="shared" ref="O2035:P2035" si="2039">IF(ISBLANK(K2035),M2035,K2035)</f>
        <v>Operations</v>
      </c>
      <c r="P2035" s="1" t="str">
        <f t="shared" si="2039"/>
        <v>RPCs and Nodes</v>
      </c>
      <c r="Q2035" s="108" t="str">
        <f t="shared" si="3"/>
        <v>2024</v>
      </c>
      <c r="R2035" s="110">
        <f t="shared" si="4"/>
        <v>9</v>
      </c>
      <c r="S2035" s="108" t="str">
        <f t="shared" si="5"/>
        <v>2024-Q3</v>
      </c>
      <c r="T2035" s="111" t="str">
        <f t="shared" si="6"/>
        <v>2024-09</v>
      </c>
      <c r="U2035" s="112" t="str">
        <f t="shared" si="7"/>
        <v>2024-H2</v>
      </c>
      <c r="V2035" s="1" t="str">
        <f>VLOOKUP(B2035,Bounties!A:E,2,FALSE)</f>
        <v>System Parachains Collator Bounty</v>
      </c>
    </row>
    <row r="2036" hidden="1">
      <c r="A2036" s="109">
        <f>HYPERLINK("https://polkadot.subsquare.io/treasury/child-bounties/2065", 2065)</f>
        <v>2065</v>
      </c>
      <c r="B2036" s="183">
        <v>32.0</v>
      </c>
      <c r="C2036" s="27" t="s">
        <v>3404</v>
      </c>
      <c r="D2036" s="27" t="s">
        <v>2458</v>
      </c>
      <c r="E2036" s="129">
        <v>69.8530518669</v>
      </c>
      <c r="F2036" s="66">
        <v>290.875504865811</v>
      </c>
      <c r="G2036" s="27" t="s">
        <v>3601</v>
      </c>
      <c r="H2036" s="167">
        <v>45540.0</v>
      </c>
      <c r="I2036" s="167">
        <v>45551.0</v>
      </c>
      <c r="J2036" s="66">
        <v>291.21981514811205</v>
      </c>
      <c r="M2036" s="1" t="str">
        <f>VLOOKUP(B2036,Bounties!A:D,3,FALSE)</f>
        <v>Operations</v>
      </c>
      <c r="N2036" s="1" t="str">
        <f>VLOOKUP(B2036,Bounties!A:D,4,FALSE)</f>
        <v>RPCs and Nodes</v>
      </c>
      <c r="O2036" s="1" t="str">
        <f t="shared" ref="O2036:P2036" si="2040">IF(ISBLANK(K2036),M2036,K2036)</f>
        <v>Operations</v>
      </c>
      <c r="P2036" s="1" t="str">
        <f t="shared" si="2040"/>
        <v>RPCs and Nodes</v>
      </c>
      <c r="Q2036" s="108" t="str">
        <f t="shared" si="3"/>
        <v>2024</v>
      </c>
      <c r="R2036" s="110">
        <f t="shared" si="4"/>
        <v>9</v>
      </c>
      <c r="S2036" s="108" t="str">
        <f t="shared" si="5"/>
        <v>2024-Q3</v>
      </c>
      <c r="T2036" s="111" t="str">
        <f t="shared" si="6"/>
        <v>2024-09</v>
      </c>
      <c r="U2036" s="112" t="str">
        <f t="shared" si="7"/>
        <v>2024-H2</v>
      </c>
      <c r="V2036" s="1" t="str">
        <f>VLOOKUP(B2036,Bounties!A:E,2,FALSE)</f>
        <v>System Parachains Collator Bounty</v>
      </c>
    </row>
    <row r="2037" hidden="1">
      <c r="A2037" s="109">
        <f>HYPERLINK("https://polkadot.subsquare.io/treasury/child-bounties/2066", 2066)</f>
        <v>2066</v>
      </c>
      <c r="B2037" s="183">
        <v>32.0</v>
      </c>
      <c r="C2037" s="27" t="s">
        <v>3404</v>
      </c>
      <c r="D2037" s="27" t="s">
        <v>2459</v>
      </c>
      <c r="E2037" s="129">
        <v>69.879487991</v>
      </c>
      <c r="F2037" s="66">
        <v>290.9855876859423</v>
      </c>
      <c r="G2037" s="27" t="s">
        <v>3602</v>
      </c>
      <c r="H2037" s="167">
        <v>45540.0</v>
      </c>
      <c r="I2037" s="167">
        <v>45549.0</v>
      </c>
      <c r="J2037" s="66">
        <v>290.4488508196784</v>
      </c>
      <c r="M2037" s="1" t="str">
        <f>VLOOKUP(B2037,Bounties!A:D,3,FALSE)</f>
        <v>Operations</v>
      </c>
      <c r="N2037" s="1" t="str">
        <f>VLOOKUP(B2037,Bounties!A:D,4,FALSE)</f>
        <v>RPCs and Nodes</v>
      </c>
      <c r="O2037" s="1" t="str">
        <f t="shared" ref="O2037:P2037" si="2041">IF(ISBLANK(K2037),M2037,K2037)</f>
        <v>Operations</v>
      </c>
      <c r="P2037" s="1" t="str">
        <f t="shared" si="2041"/>
        <v>RPCs and Nodes</v>
      </c>
      <c r="Q2037" s="108" t="str">
        <f t="shared" si="3"/>
        <v>2024</v>
      </c>
      <c r="R2037" s="110">
        <f t="shared" si="4"/>
        <v>9</v>
      </c>
      <c r="S2037" s="108" t="str">
        <f t="shared" si="5"/>
        <v>2024-Q3</v>
      </c>
      <c r="T2037" s="111" t="str">
        <f t="shared" si="6"/>
        <v>2024-09</v>
      </c>
      <c r="U2037" s="112" t="str">
        <f t="shared" si="7"/>
        <v>2024-H2</v>
      </c>
      <c r="V2037" s="1" t="str">
        <f>VLOOKUP(B2037,Bounties!A:E,2,FALSE)</f>
        <v>System Parachains Collator Bounty</v>
      </c>
    </row>
    <row r="2038" hidden="1">
      <c r="A2038" s="109">
        <f>HYPERLINK("https://polkadot.subsquare.io/treasury/child-bounties/2067", 2067)</f>
        <v>2067</v>
      </c>
      <c r="B2038" s="183">
        <v>32.0</v>
      </c>
      <c r="C2038" s="27" t="s">
        <v>3404</v>
      </c>
      <c r="D2038" s="27" t="s">
        <v>2460</v>
      </c>
      <c r="E2038" s="129">
        <v>69.8398338049</v>
      </c>
      <c r="F2038" s="66">
        <v>290.82046345595353</v>
      </c>
      <c r="G2038" s="27" t="s">
        <v>3589</v>
      </c>
      <c r="H2038" s="167">
        <v>45540.0</v>
      </c>
      <c r="I2038" s="167">
        <v>45549.0</v>
      </c>
      <c r="J2038" s="66">
        <v>290.2840311692479</v>
      </c>
      <c r="M2038" s="1" t="str">
        <f>VLOOKUP(B2038,Bounties!A:D,3,FALSE)</f>
        <v>Operations</v>
      </c>
      <c r="N2038" s="1" t="str">
        <f>VLOOKUP(B2038,Bounties!A:D,4,FALSE)</f>
        <v>RPCs and Nodes</v>
      </c>
      <c r="O2038" s="1" t="str">
        <f t="shared" ref="O2038:P2038" si="2042">IF(ISBLANK(K2038),M2038,K2038)</f>
        <v>Operations</v>
      </c>
      <c r="P2038" s="1" t="str">
        <f t="shared" si="2042"/>
        <v>RPCs and Nodes</v>
      </c>
      <c r="Q2038" s="108" t="str">
        <f t="shared" si="3"/>
        <v>2024</v>
      </c>
      <c r="R2038" s="110">
        <f t="shared" si="4"/>
        <v>9</v>
      </c>
      <c r="S2038" s="108" t="str">
        <f t="shared" si="5"/>
        <v>2024-Q3</v>
      </c>
      <c r="T2038" s="111" t="str">
        <f t="shared" si="6"/>
        <v>2024-09</v>
      </c>
      <c r="U2038" s="112" t="str">
        <f t="shared" si="7"/>
        <v>2024-H2</v>
      </c>
      <c r="V2038" s="1" t="str">
        <f>VLOOKUP(B2038,Bounties!A:E,2,FALSE)</f>
        <v>System Parachains Collator Bounty</v>
      </c>
    </row>
    <row r="2039" hidden="1">
      <c r="A2039" s="109">
        <f>HYPERLINK("https://polkadot.subsquare.io/treasury/child-bounties/2068", 2068)</f>
        <v>2068</v>
      </c>
      <c r="B2039" s="183">
        <v>32.0</v>
      </c>
      <c r="C2039" s="27" t="s">
        <v>3404</v>
      </c>
      <c r="D2039" s="27" t="s">
        <v>2461</v>
      </c>
      <c r="E2039" s="129">
        <v>69.6944351224</v>
      </c>
      <c r="F2039" s="66">
        <v>290.2150079454399</v>
      </c>
      <c r="G2039" s="27" t="s">
        <v>3592</v>
      </c>
      <c r="H2039" s="167">
        <v>45540.0</v>
      </c>
      <c r="I2039" s="167">
        <v>45548.0</v>
      </c>
      <c r="J2039" s="66">
        <v>292.6101360208996</v>
      </c>
      <c r="M2039" s="1" t="str">
        <f>VLOOKUP(B2039,Bounties!A:D,3,FALSE)</f>
        <v>Operations</v>
      </c>
      <c r="N2039" s="1" t="str">
        <f>VLOOKUP(B2039,Bounties!A:D,4,FALSE)</f>
        <v>RPCs and Nodes</v>
      </c>
      <c r="O2039" s="1" t="str">
        <f t="shared" ref="O2039:P2039" si="2043">IF(ISBLANK(K2039),M2039,K2039)</f>
        <v>Operations</v>
      </c>
      <c r="P2039" s="1" t="str">
        <f t="shared" si="2043"/>
        <v>RPCs and Nodes</v>
      </c>
      <c r="Q2039" s="108" t="str">
        <f t="shared" si="3"/>
        <v>2024</v>
      </c>
      <c r="R2039" s="110">
        <f t="shared" si="4"/>
        <v>9</v>
      </c>
      <c r="S2039" s="108" t="str">
        <f t="shared" si="5"/>
        <v>2024-Q3</v>
      </c>
      <c r="T2039" s="111" t="str">
        <f t="shared" si="6"/>
        <v>2024-09</v>
      </c>
      <c r="U2039" s="112" t="str">
        <f t="shared" si="7"/>
        <v>2024-H2</v>
      </c>
      <c r="V2039" s="1" t="str">
        <f>VLOOKUP(B2039,Bounties!A:E,2,FALSE)</f>
        <v>System Parachains Collator Bounty</v>
      </c>
    </row>
    <row r="2040" hidden="1">
      <c r="A2040" s="109">
        <f>HYPERLINK("https://polkadot.subsquare.io/treasury/child-bounties/2069", 2069)</f>
        <v>2069</v>
      </c>
      <c r="B2040" s="183">
        <v>32.0</v>
      </c>
      <c r="C2040" s="27" t="s">
        <v>3404</v>
      </c>
      <c r="D2040" s="27" t="s">
        <v>2462</v>
      </c>
      <c r="E2040" s="129">
        <v>84.5846802287</v>
      </c>
      <c r="F2040" s="66">
        <v>352.2195653286089</v>
      </c>
      <c r="G2040" s="27" t="s">
        <v>3591</v>
      </c>
      <c r="H2040" s="167">
        <v>45540.0</v>
      </c>
      <c r="I2040" s="167">
        <v>45549.0</v>
      </c>
      <c r="J2040" s="66">
        <v>351.56987945504136</v>
      </c>
      <c r="M2040" s="1" t="str">
        <f>VLOOKUP(B2040,Bounties!A:D,3,FALSE)</f>
        <v>Operations</v>
      </c>
      <c r="N2040" s="1" t="str">
        <f>VLOOKUP(B2040,Bounties!A:D,4,FALSE)</f>
        <v>RPCs and Nodes</v>
      </c>
      <c r="O2040" s="1" t="str">
        <f t="shared" ref="O2040:P2040" si="2044">IF(ISBLANK(K2040),M2040,K2040)</f>
        <v>Operations</v>
      </c>
      <c r="P2040" s="1" t="str">
        <f t="shared" si="2044"/>
        <v>RPCs and Nodes</v>
      </c>
      <c r="Q2040" s="108" t="str">
        <f t="shared" si="3"/>
        <v>2024</v>
      </c>
      <c r="R2040" s="110">
        <f t="shared" si="4"/>
        <v>9</v>
      </c>
      <c r="S2040" s="108" t="str">
        <f t="shared" si="5"/>
        <v>2024-Q3</v>
      </c>
      <c r="T2040" s="111" t="str">
        <f t="shared" si="6"/>
        <v>2024-09</v>
      </c>
      <c r="U2040" s="112" t="str">
        <f t="shared" si="7"/>
        <v>2024-H2</v>
      </c>
      <c r="V2040" s="1" t="str">
        <f>VLOOKUP(B2040,Bounties!A:E,2,FALSE)</f>
        <v>System Parachains Collator Bounty</v>
      </c>
    </row>
    <row r="2041" hidden="1">
      <c r="A2041" s="109">
        <f>HYPERLINK("https://polkadot.subsquare.io/treasury/child-bounties/2070", 2070)</f>
        <v>2070</v>
      </c>
      <c r="B2041" s="183">
        <v>32.0</v>
      </c>
      <c r="C2041" s="27" t="s">
        <v>3404</v>
      </c>
      <c r="D2041" s="27" t="s">
        <v>2463</v>
      </c>
      <c r="E2041" s="129">
        <v>84.5793466843</v>
      </c>
      <c r="F2041" s="66">
        <v>352.1973558849467</v>
      </c>
      <c r="G2041" s="27" t="s">
        <v>3590</v>
      </c>
      <c r="H2041" s="167">
        <v>45540.0</v>
      </c>
      <c r="I2041" s="167">
        <v>45549.0</v>
      </c>
      <c r="J2041" s="66">
        <v>351.54771097776273</v>
      </c>
      <c r="M2041" s="1" t="str">
        <f>VLOOKUP(B2041,Bounties!A:D,3,FALSE)</f>
        <v>Operations</v>
      </c>
      <c r="N2041" s="1" t="str">
        <f>VLOOKUP(B2041,Bounties!A:D,4,FALSE)</f>
        <v>RPCs and Nodes</v>
      </c>
      <c r="O2041" s="1" t="str">
        <f t="shared" ref="O2041:P2041" si="2045">IF(ISBLANK(K2041),M2041,K2041)</f>
        <v>Operations</v>
      </c>
      <c r="P2041" s="1" t="str">
        <f t="shared" si="2045"/>
        <v>RPCs and Nodes</v>
      </c>
      <c r="Q2041" s="108" t="str">
        <f t="shared" si="3"/>
        <v>2024</v>
      </c>
      <c r="R2041" s="110">
        <f t="shared" si="4"/>
        <v>9</v>
      </c>
      <c r="S2041" s="108" t="str">
        <f t="shared" si="5"/>
        <v>2024-Q3</v>
      </c>
      <c r="T2041" s="111" t="str">
        <f t="shared" si="6"/>
        <v>2024-09</v>
      </c>
      <c r="U2041" s="112" t="str">
        <f t="shared" si="7"/>
        <v>2024-H2</v>
      </c>
      <c r="V2041" s="1" t="str">
        <f>VLOOKUP(B2041,Bounties!A:E,2,FALSE)</f>
        <v>System Parachains Collator Bounty</v>
      </c>
    </row>
    <row r="2042" hidden="1">
      <c r="A2042" s="109">
        <f>HYPERLINK("https://polkadot.subsquare.io/treasury/child-bounties/2071", 2071)</f>
        <v>2071</v>
      </c>
      <c r="B2042" s="183">
        <v>32.0</v>
      </c>
      <c r="C2042" s="27" t="s">
        <v>3404</v>
      </c>
      <c r="D2042" s="27" t="s">
        <v>2464</v>
      </c>
      <c r="E2042" s="129">
        <v>84.6326821281</v>
      </c>
      <c r="F2042" s="66">
        <v>352.41945032073636</v>
      </c>
      <c r="G2042" s="27" t="s">
        <v>3595</v>
      </c>
      <c r="H2042" s="167">
        <v>45540.0</v>
      </c>
      <c r="I2042" s="167">
        <v>45549.0</v>
      </c>
      <c r="J2042" s="66">
        <v>355.32794814714777</v>
      </c>
      <c r="M2042" s="1" t="str">
        <f>VLOOKUP(B2042,Bounties!A:D,3,FALSE)</f>
        <v>Operations</v>
      </c>
      <c r="N2042" s="1" t="str">
        <f>VLOOKUP(B2042,Bounties!A:D,4,FALSE)</f>
        <v>RPCs and Nodes</v>
      </c>
      <c r="O2042" s="1" t="str">
        <f t="shared" ref="O2042:P2042" si="2046">IF(ISBLANK(K2042),M2042,K2042)</f>
        <v>Operations</v>
      </c>
      <c r="P2042" s="1" t="str">
        <f t="shared" si="2046"/>
        <v>RPCs and Nodes</v>
      </c>
      <c r="Q2042" s="108" t="str">
        <f t="shared" si="3"/>
        <v>2024</v>
      </c>
      <c r="R2042" s="110">
        <f t="shared" si="4"/>
        <v>9</v>
      </c>
      <c r="S2042" s="108" t="str">
        <f t="shared" si="5"/>
        <v>2024-Q3</v>
      </c>
      <c r="T2042" s="111" t="str">
        <f t="shared" si="6"/>
        <v>2024-09</v>
      </c>
      <c r="U2042" s="112" t="str">
        <f t="shared" si="7"/>
        <v>2024-H2</v>
      </c>
      <c r="V2042" s="1" t="str">
        <f>VLOOKUP(B2042,Bounties!A:E,2,FALSE)</f>
        <v>System Parachains Collator Bounty</v>
      </c>
    </row>
    <row r="2043" hidden="1">
      <c r="A2043" s="109">
        <f>HYPERLINK("https://polkadot.subsquare.io/treasury/child-bounties/2073", 2073)</f>
        <v>2073</v>
      </c>
      <c r="B2043" s="183">
        <v>32.0</v>
      </c>
      <c r="C2043" s="27" t="s">
        <v>3404</v>
      </c>
      <c r="D2043" s="27" t="s">
        <v>2465</v>
      </c>
      <c r="E2043" s="129">
        <v>84.5473454181</v>
      </c>
      <c r="F2043" s="66">
        <v>352.06409922380595</v>
      </c>
      <c r="G2043" s="27" t="s">
        <v>3600</v>
      </c>
      <c r="H2043" s="167">
        <v>45540.0</v>
      </c>
      <c r="I2043" s="167">
        <v>45548.0</v>
      </c>
      <c r="J2043" s="66">
        <v>354.969664357677</v>
      </c>
      <c r="M2043" s="1" t="str">
        <f>VLOOKUP(B2043,Bounties!A:D,3,FALSE)</f>
        <v>Operations</v>
      </c>
      <c r="N2043" s="1" t="str">
        <f>VLOOKUP(B2043,Bounties!A:D,4,FALSE)</f>
        <v>RPCs and Nodes</v>
      </c>
      <c r="O2043" s="1" t="str">
        <f t="shared" ref="O2043:P2043" si="2047">IF(ISBLANK(K2043),M2043,K2043)</f>
        <v>Operations</v>
      </c>
      <c r="P2043" s="1" t="str">
        <f t="shared" si="2047"/>
        <v>RPCs and Nodes</v>
      </c>
      <c r="Q2043" s="108" t="str">
        <f t="shared" si="3"/>
        <v>2024</v>
      </c>
      <c r="R2043" s="110">
        <f t="shared" si="4"/>
        <v>9</v>
      </c>
      <c r="S2043" s="108" t="str">
        <f t="shared" si="5"/>
        <v>2024-Q3</v>
      </c>
      <c r="T2043" s="111" t="str">
        <f t="shared" si="6"/>
        <v>2024-09</v>
      </c>
      <c r="U2043" s="112" t="str">
        <f t="shared" si="7"/>
        <v>2024-H2</v>
      </c>
      <c r="V2043" s="1" t="str">
        <f>VLOOKUP(B2043,Bounties!A:E,2,FALSE)</f>
        <v>System Parachains Collator Bounty</v>
      </c>
    </row>
    <row r="2044" hidden="1">
      <c r="A2044" s="109">
        <f>HYPERLINK("https://polkadot.subsquare.io/treasury/child-bounties/2075", 2075)</f>
        <v>2075</v>
      </c>
      <c r="B2044" s="183">
        <v>32.0</v>
      </c>
      <c r="C2044" s="27" t="s">
        <v>3404</v>
      </c>
      <c r="D2044" s="27" t="s">
        <v>2466</v>
      </c>
      <c r="E2044" s="129">
        <v>84.7500201043</v>
      </c>
      <c r="F2044" s="66">
        <v>352.90805807880747</v>
      </c>
      <c r="G2044" s="27" t="s">
        <v>3593</v>
      </c>
      <c r="H2044" s="167">
        <v>45540.0</v>
      </c>
      <c r="I2044" s="167">
        <v>45548.0</v>
      </c>
      <c r="J2044" s="66">
        <v>355.8205883574601</v>
      </c>
      <c r="M2044" s="1" t="str">
        <f>VLOOKUP(B2044,Bounties!A:D,3,FALSE)</f>
        <v>Operations</v>
      </c>
      <c r="N2044" s="1" t="str">
        <f>VLOOKUP(B2044,Bounties!A:D,4,FALSE)</f>
        <v>RPCs and Nodes</v>
      </c>
      <c r="O2044" s="1" t="str">
        <f t="shared" ref="O2044:P2044" si="2048">IF(ISBLANK(K2044),M2044,K2044)</f>
        <v>Operations</v>
      </c>
      <c r="P2044" s="1" t="str">
        <f t="shared" si="2048"/>
        <v>RPCs and Nodes</v>
      </c>
      <c r="Q2044" s="108" t="str">
        <f t="shared" si="3"/>
        <v>2024</v>
      </c>
      <c r="R2044" s="110">
        <f t="shared" si="4"/>
        <v>9</v>
      </c>
      <c r="S2044" s="108" t="str">
        <f t="shared" si="5"/>
        <v>2024-Q3</v>
      </c>
      <c r="T2044" s="111" t="str">
        <f t="shared" si="6"/>
        <v>2024-09</v>
      </c>
      <c r="U2044" s="112" t="str">
        <f t="shared" si="7"/>
        <v>2024-H2</v>
      </c>
      <c r="V2044" s="1" t="str">
        <f>VLOOKUP(B2044,Bounties!A:E,2,FALSE)</f>
        <v>System Parachains Collator Bounty</v>
      </c>
    </row>
    <row r="2045" hidden="1">
      <c r="A2045" s="109">
        <f>HYPERLINK("https://polkadot.subsquare.io/treasury/child-bounties/2076", 2076)</f>
        <v>2076</v>
      </c>
      <c r="B2045" s="183">
        <v>32.0</v>
      </c>
      <c r="C2045" s="27" t="s">
        <v>3404</v>
      </c>
      <c r="D2045" s="27" t="s">
        <v>2467</v>
      </c>
      <c r="E2045" s="129">
        <v>23.6164793933</v>
      </c>
      <c r="F2045" s="66">
        <v>98.34152099422107</v>
      </c>
      <c r="G2045" s="27" t="s">
        <v>3407</v>
      </c>
      <c r="H2045" s="167">
        <v>45540.0</v>
      </c>
      <c r="I2045" s="167">
        <v>45548.0</v>
      </c>
      <c r="J2045" s="66">
        <v>99.15312801476823</v>
      </c>
      <c r="M2045" s="1" t="str">
        <f>VLOOKUP(B2045,Bounties!A:D,3,FALSE)</f>
        <v>Operations</v>
      </c>
      <c r="N2045" s="1" t="str">
        <f>VLOOKUP(B2045,Bounties!A:D,4,FALSE)</f>
        <v>RPCs and Nodes</v>
      </c>
      <c r="O2045" s="1" t="str">
        <f t="shared" ref="O2045:P2045" si="2049">IF(ISBLANK(K2045),M2045,K2045)</f>
        <v>Operations</v>
      </c>
      <c r="P2045" s="1" t="str">
        <f t="shared" si="2049"/>
        <v>RPCs and Nodes</v>
      </c>
      <c r="Q2045" s="108" t="str">
        <f t="shared" si="3"/>
        <v>2024</v>
      </c>
      <c r="R2045" s="110">
        <f t="shared" si="4"/>
        <v>9</v>
      </c>
      <c r="S2045" s="108" t="str">
        <f t="shared" si="5"/>
        <v>2024-Q3</v>
      </c>
      <c r="T2045" s="111" t="str">
        <f t="shared" si="6"/>
        <v>2024-09</v>
      </c>
      <c r="U2045" s="112" t="str">
        <f t="shared" si="7"/>
        <v>2024-H2</v>
      </c>
      <c r="V2045" s="1" t="str">
        <f>VLOOKUP(B2045,Bounties!A:E,2,FALSE)</f>
        <v>System Parachains Collator Bounty</v>
      </c>
    </row>
    <row r="2046" hidden="1">
      <c r="A2046" s="109">
        <f>HYPERLINK("https://polkadot.subsquare.io/treasury/child-bounties/2077", 2077)</f>
        <v>2077</v>
      </c>
      <c r="B2046" s="183">
        <v>32.0</v>
      </c>
      <c r="C2046" s="27" t="s">
        <v>3404</v>
      </c>
      <c r="D2046" s="27" t="s">
        <v>2468</v>
      </c>
      <c r="E2046" s="129">
        <v>23.6164793933</v>
      </c>
      <c r="F2046" s="66">
        <v>98.34152099422107</v>
      </c>
      <c r="G2046" s="27" t="s">
        <v>3406</v>
      </c>
      <c r="H2046" s="167">
        <v>45540.0</v>
      </c>
      <c r="I2046" s="167">
        <v>45549.0</v>
      </c>
      <c r="J2046" s="66">
        <v>99.15312801476823</v>
      </c>
      <c r="M2046" s="1" t="str">
        <f>VLOOKUP(B2046,Bounties!A:D,3,FALSE)</f>
        <v>Operations</v>
      </c>
      <c r="N2046" s="1" t="str">
        <f>VLOOKUP(B2046,Bounties!A:D,4,FALSE)</f>
        <v>RPCs and Nodes</v>
      </c>
      <c r="O2046" s="1" t="str">
        <f t="shared" ref="O2046:P2046" si="2050">IF(ISBLANK(K2046),M2046,K2046)</f>
        <v>Operations</v>
      </c>
      <c r="P2046" s="1" t="str">
        <f t="shared" si="2050"/>
        <v>RPCs and Nodes</v>
      </c>
      <c r="Q2046" s="108" t="str">
        <f t="shared" si="3"/>
        <v>2024</v>
      </c>
      <c r="R2046" s="110">
        <f t="shared" si="4"/>
        <v>9</v>
      </c>
      <c r="S2046" s="108" t="str">
        <f t="shared" si="5"/>
        <v>2024-Q3</v>
      </c>
      <c r="T2046" s="111" t="str">
        <f t="shared" si="6"/>
        <v>2024-09</v>
      </c>
      <c r="U2046" s="112" t="str">
        <f t="shared" si="7"/>
        <v>2024-H2</v>
      </c>
      <c r="V2046" s="1" t="str">
        <f>VLOOKUP(B2046,Bounties!A:E,2,FALSE)</f>
        <v>System Parachains Collator Bounty</v>
      </c>
    </row>
    <row r="2047" hidden="1">
      <c r="A2047" s="109">
        <f>HYPERLINK("https://polkadot.subsquare.io/treasury/child-bounties/2078", 2078)</f>
        <v>2078</v>
      </c>
      <c r="B2047" s="183">
        <v>32.0</v>
      </c>
      <c r="C2047" s="27" t="s">
        <v>3404</v>
      </c>
      <c r="D2047" s="27" t="s">
        <v>2469</v>
      </c>
      <c r="E2047" s="129">
        <v>23.6164793933</v>
      </c>
      <c r="F2047" s="66">
        <v>98.34152099422107</v>
      </c>
      <c r="G2047" s="27" t="s">
        <v>3411</v>
      </c>
      <c r="H2047" s="167">
        <v>45540.0</v>
      </c>
      <c r="I2047" s="167">
        <v>45548.0</v>
      </c>
      <c r="J2047" s="66">
        <v>99.15312801476823</v>
      </c>
      <c r="M2047" s="1" t="str">
        <f>VLOOKUP(B2047,Bounties!A:D,3,FALSE)</f>
        <v>Operations</v>
      </c>
      <c r="N2047" s="1" t="str">
        <f>VLOOKUP(B2047,Bounties!A:D,4,FALSE)</f>
        <v>RPCs and Nodes</v>
      </c>
      <c r="O2047" s="1" t="str">
        <f t="shared" ref="O2047:P2047" si="2051">IF(ISBLANK(K2047),M2047,K2047)</f>
        <v>Operations</v>
      </c>
      <c r="P2047" s="1" t="str">
        <f t="shared" si="2051"/>
        <v>RPCs and Nodes</v>
      </c>
      <c r="Q2047" s="108" t="str">
        <f t="shared" si="3"/>
        <v>2024</v>
      </c>
      <c r="R2047" s="110">
        <f t="shared" si="4"/>
        <v>9</v>
      </c>
      <c r="S2047" s="108" t="str">
        <f t="shared" si="5"/>
        <v>2024-Q3</v>
      </c>
      <c r="T2047" s="111" t="str">
        <f t="shared" si="6"/>
        <v>2024-09</v>
      </c>
      <c r="U2047" s="112" t="str">
        <f t="shared" si="7"/>
        <v>2024-H2</v>
      </c>
      <c r="V2047" s="1" t="str">
        <f>VLOOKUP(B2047,Bounties!A:E,2,FALSE)</f>
        <v>System Parachains Collator Bounty</v>
      </c>
    </row>
    <row r="2048" hidden="1">
      <c r="A2048" s="109">
        <f>HYPERLINK("https://polkadot.subsquare.io/treasury/child-bounties/2079", 2079)</f>
        <v>2079</v>
      </c>
      <c r="B2048" s="183">
        <v>32.0</v>
      </c>
      <c r="C2048" s="27" t="s">
        <v>3404</v>
      </c>
      <c r="D2048" s="27" t="s">
        <v>2456</v>
      </c>
      <c r="E2048" s="129">
        <v>14.0023337223</v>
      </c>
      <c r="F2048" s="66">
        <v>58.307200357319694</v>
      </c>
      <c r="G2048" s="27" t="s">
        <v>3587</v>
      </c>
      <c r="H2048" s="167">
        <v>45540.0</v>
      </c>
      <c r="I2048" s="167">
        <v>45555.0</v>
      </c>
      <c r="J2048" s="66">
        <v>62.38697902191128</v>
      </c>
      <c r="M2048" s="1" t="str">
        <f>VLOOKUP(B2048,Bounties!A:D,3,FALSE)</f>
        <v>Operations</v>
      </c>
      <c r="N2048" s="1" t="str">
        <f>VLOOKUP(B2048,Bounties!A:D,4,FALSE)</f>
        <v>RPCs and Nodes</v>
      </c>
      <c r="O2048" s="1" t="str">
        <f t="shared" ref="O2048:P2048" si="2052">IF(ISBLANK(K2048),M2048,K2048)</f>
        <v>Operations</v>
      </c>
      <c r="P2048" s="1" t="str">
        <f t="shared" si="2052"/>
        <v>RPCs and Nodes</v>
      </c>
      <c r="Q2048" s="108" t="str">
        <f t="shared" si="3"/>
        <v>2024</v>
      </c>
      <c r="R2048" s="110">
        <f t="shared" si="4"/>
        <v>9</v>
      </c>
      <c r="S2048" s="108" t="str">
        <f t="shared" si="5"/>
        <v>2024-Q3</v>
      </c>
      <c r="T2048" s="111" t="str">
        <f t="shared" si="6"/>
        <v>2024-09</v>
      </c>
      <c r="U2048" s="112" t="str">
        <f t="shared" si="7"/>
        <v>2024-H2</v>
      </c>
      <c r="V2048" s="1" t="str">
        <f>VLOOKUP(B2048,Bounties!A:E,2,FALSE)</f>
        <v>System Parachains Collator Bounty</v>
      </c>
    </row>
    <row r="2049" hidden="1">
      <c r="A2049" s="109">
        <f>HYPERLINK("https://polkadot.subsquare.io/treasury/child-bounties/2080", 2080)</f>
        <v>2080</v>
      </c>
      <c r="B2049" s="183">
        <v>32.0</v>
      </c>
      <c r="C2049" s="27" t="s">
        <v>3404</v>
      </c>
      <c r="D2049" s="27" t="s">
        <v>2470</v>
      </c>
      <c r="E2049" s="129">
        <v>69.9146628985</v>
      </c>
      <c r="F2049" s="66">
        <v>291.1320597255199</v>
      </c>
      <c r="G2049" s="27" t="s">
        <v>3594</v>
      </c>
      <c r="H2049" s="167">
        <v>45540.0</v>
      </c>
      <c r="I2049" s="167">
        <v>45550.0</v>
      </c>
      <c r="J2049" s="66">
        <v>290.5950526845572</v>
      </c>
      <c r="M2049" s="1" t="str">
        <f>VLOOKUP(B2049,Bounties!A:D,3,FALSE)</f>
        <v>Operations</v>
      </c>
      <c r="N2049" s="1" t="str">
        <f>VLOOKUP(B2049,Bounties!A:D,4,FALSE)</f>
        <v>RPCs and Nodes</v>
      </c>
      <c r="O2049" s="1" t="str">
        <f t="shared" ref="O2049:P2049" si="2053">IF(ISBLANK(K2049),M2049,K2049)</f>
        <v>Operations</v>
      </c>
      <c r="P2049" s="1" t="str">
        <f t="shared" si="2053"/>
        <v>RPCs and Nodes</v>
      </c>
      <c r="Q2049" s="108" t="str">
        <f t="shared" si="3"/>
        <v>2024</v>
      </c>
      <c r="R2049" s="110">
        <f t="shared" si="4"/>
        <v>9</v>
      </c>
      <c r="S2049" s="108" t="str">
        <f t="shared" si="5"/>
        <v>2024-Q3</v>
      </c>
      <c r="T2049" s="111" t="str">
        <f t="shared" si="6"/>
        <v>2024-09</v>
      </c>
      <c r="U2049" s="112" t="str">
        <f t="shared" si="7"/>
        <v>2024-H2</v>
      </c>
      <c r="V2049" s="1" t="str">
        <f>VLOOKUP(B2049,Bounties!A:E,2,FALSE)</f>
        <v>System Parachains Collator Bounty</v>
      </c>
    </row>
    <row r="2050" hidden="1">
      <c r="A2050" s="109">
        <f>HYPERLINK("https://polkadot.subsquare.io/treasury/child-bounties/2081", 2081)</f>
        <v>2081</v>
      </c>
      <c r="B2050" s="183">
        <v>32.0</v>
      </c>
      <c r="C2050" s="27" t="s">
        <v>3404</v>
      </c>
      <c r="D2050" s="27" t="s">
        <v>2471</v>
      </c>
      <c r="E2050" s="129">
        <v>69.8617506915</v>
      </c>
      <c r="F2050" s="66">
        <v>290.91172769258293</v>
      </c>
      <c r="G2050" s="27" t="s">
        <v>3595</v>
      </c>
      <c r="H2050" s="167">
        <v>45540.0</v>
      </c>
      <c r="I2050" s="167">
        <v>45549.0</v>
      </c>
      <c r="J2050" s="66">
        <v>293.31260575678004</v>
      </c>
      <c r="M2050" s="1" t="str">
        <f>VLOOKUP(B2050,Bounties!A:D,3,FALSE)</f>
        <v>Operations</v>
      </c>
      <c r="N2050" s="1" t="str">
        <f>VLOOKUP(B2050,Bounties!A:D,4,FALSE)</f>
        <v>RPCs and Nodes</v>
      </c>
      <c r="O2050" s="1" t="str">
        <f t="shared" ref="O2050:P2050" si="2054">IF(ISBLANK(K2050),M2050,K2050)</f>
        <v>Operations</v>
      </c>
      <c r="P2050" s="1" t="str">
        <f t="shared" si="2054"/>
        <v>RPCs and Nodes</v>
      </c>
      <c r="Q2050" s="108" t="str">
        <f t="shared" si="3"/>
        <v>2024</v>
      </c>
      <c r="R2050" s="110">
        <f t="shared" si="4"/>
        <v>9</v>
      </c>
      <c r="S2050" s="108" t="str">
        <f t="shared" si="5"/>
        <v>2024-Q3</v>
      </c>
      <c r="T2050" s="111" t="str">
        <f t="shared" si="6"/>
        <v>2024-09</v>
      </c>
      <c r="U2050" s="112" t="str">
        <f t="shared" si="7"/>
        <v>2024-H2</v>
      </c>
      <c r="V2050" s="1" t="str">
        <f>VLOOKUP(B2050,Bounties!A:E,2,FALSE)</f>
        <v>System Parachains Collator Bounty</v>
      </c>
    </row>
    <row r="2051" hidden="1">
      <c r="A2051" s="109">
        <f>HYPERLINK("https://polkadot.subsquare.io/treasury/child-bounties/2084", 2084)</f>
        <v>2084</v>
      </c>
      <c r="B2051" s="183">
        <v>32.0</v>
      </c>
      <c r="C2051" s="27" t="s">
        <v>3404</v>
      </c>
      <c r="D2051" s="27" t="s">
        <v>2472</v>
      </c>
      <c r="E2051" s="129">
        <v>84.7179946527</v>
      </c>
      <c r="F2051" s="66">
        <v>352.7747007071001</v>
      </c>
      <c r="G2051" s="27" t="s">
        <v>3588</v>
      </c>
      <c r="H2051" s="167">
        <v>45540.0</v>
      </c>
      <c r="I2051" s="167">
        <v>45551.0</v>
      </c>
      <c r="J2051" s="66">
        <v>353.19228126908365</v>
      </c>
      <c r="M2051" s="1" t="str">
        <f>VLOOKUP(B2051,Bounties!A:D,3,FALSE)</f>
        <v>Operations</v>
      </c>
      <c r="N2051" s="1" t="str">
        <f>VLOOKUP(B2051,Bounties!A:D,4,FALSE)</f>
        <v>RPCs and Nodes</v>
      </c>
      <c r="O2051" s="1" t="str">
        <f t="shared" ref="O2051:P2051" si="2055">IF(ISBLANK(K2051),M2051,K2051)</f>
        <v>Operations</v>
      </c>
      <c r="P2051" s="1" t="str">
        <f t="shared" si="2055"/>
        <v>RPCs and Nodes</v>
      </c>
      <c r="Q2051" s="108" t="str">
        <f t="shared" si="3"/>
        <v>2024</v>
      </c>
      <c r="R2051" s="110">
        <f t="shared" si="4"/>
        <v>9</v>
      </c>
      <c r="S2051" s="108" t="str">
        <f t="shared" si="5"/>
        <v>2024-Q3</v>
      </c>
      <c r="T2051" s="111" t="str">
        <f t="shared" si="6"/>
        <v>2024-09</v>
      </c>
      <c r="U2051" s="112" t="str">
        <f t="shared" si="7"/>
        <v>2024-H2</v>
      </c>
      <c r="V2051" s="1" t="str">
        <f>VLOOKUP(B2051,Bounties!A:E,2,FALSE)</f>
        <v>System Parachains Collator Bounty</v>
      </c>
    </row>
    <row r="2052" hidden="1">
      <c r="A2052" s="109">
        <f>HYPERLINK("https://polkadot.subsquare.io/treasury/child-bounties/2085", 2085)</f>
        <v>2085</v>
      </c>
      <c r="B2052" s="183">
        <v>32.0</v>
      </c>
      <c r="C2052" s="27" t="s">
        <v>3404</v>
      </c>
      <c r="D2052" s="27" t="s">
        <v>2473</v>
      </c>
      <c r="E2052" s="129">
        <v>84.7500201043</v>
      </c>
      <c r="F2052" s="66">
        <v>352.90805807880747</v>
      </c>
      <c r="G2052" s="27" t="s">
        <v>3672</v>
      </c>
      <c r="H2052" s="167">
        <v>45540.0</v>
      </c>
      <c r="I2052" s="167">
        <v>45551.0</v>
      </c>
      <c r="J2052" s="66">
        <v>360.63296564059476</v>
      </c>
      <c r="M2052" s="1" t="str">
        <f>VLOOKUP(B2052,Bounties!A:D,3,FALSE)</f>
        <v>Operations</v>
      </c>
      <c r="N2052" s="1" t="str">
        <f>VLOOKUP(B2052,Bounties!A:D,4,FALSE)</f>
        <v>RPCs and Nodes</v>
      </c>
      <c r="O2052" s="1" t="str">
        <f t="shared" ref="O2052:P2052" si="2056">IF(ISBLANK(K2052),M2052,K2052)</f>
        <v>Operations</v>
      </c>
      <c r="P2052" s="1" t="str">
        <f t="shared" si="2056"/>
        <v>RPCs and Nodes</v>
      </c>
      <c r="Q2052" s="108" t="str">
        <f t="shared" si="3"/>
        <v>2024</v>
      </c>
      <c r="R2052" s="110">
        <f t="shared" si="4"/>
        <v>9</v>
      </c>
      <c r="S2052" s="108" t="str">
        <f t="shared" si="5"/>
        <v>2024-Q3</v>
      </c>
      <c r="T2052" s="111" t="str">
        <f t="shared" si="6"/>
        <v>2024-09</v>
      </c>
      <c r="U2052" s="112" t="str">
        <f t="shared" si="7"/>
        <v>2024-H2</v>
      </c>
      <c r="V2052" s="1" t="str">
        <f>VLOOKUP(B2052,Bounties!A:E,2,FALSE)</f>
        <v>System Parachains Collator Bounty</v>
      </c>
    </row>
    <row r="2053" hidden="1">
      <c r="A2053" s="109">
        <f>HYPERLINK("https://polkadot.subsquare.io/treasury/child-bounties/2086", 2086)</f>
        <v>2086</v>
      </c>
      <c r="B2053" s="183">
        <v>32.0</v>
      </c>
      <c r="C2053" s="27" t="s">
        <v>3404</v>
      </c>
      <c r="D2053" s="27" t="s">
        <v>2474</v>
      </c>
      <c r="E2053" s="129">
        <v>84.7500201043</v>
      </c>
      <c r="F2053" s="66">
        <v>352.90805807880747</v>
      </c>
      <c r="G2053" s="27" t="s">
        <v>3590</v>
      </c>
      <c r="H2053" s="167">
        <v>45540.0</v>
      </c>
      <c r="I2053" s="167">
        <v>45549.0</v>
      </c>
      <c r="J2053" s="66">
        <v>352.25710224735604</v>
      </c>
      <c r="M2053" s="1" t="str">
        <f>VLOOKUP(B2053,Bounties!A:D,3,FALSE)</f>
        <v>Operations</v>
      </c>
      <c r="N2053" s="1" t="str">
        <f>VLOOKUP(B2053,Bounties!A:D,4,FALSE)</f>
        <v>RPCs and Nodes</v>
      </c>
      <c r="O2053" s="1" t="str">
        <f t="shared" ref="O2053:P2053" si="2057">IF(ISBLANK(K2053),M2053,K2053)</f>
        <v>Operations</v>
      </c>
      <c r="P2053" s="1" t="str">
        <f t="shared" si="2057"/>
        <v>RPCs and Nodes</v>
      </c>
      <c r="Q2053" s="108" t="str">
        <f t="shared" si="3"/>
        <v>2024</v>
      </c>
      <c r="R2053" s="110">
        <f t="shared" si="4"/>
        <v>9</v>
      </c>
      <c r="S2053" s="108" t="str">
        <f t="shared" si="5"/>
        <v>2024-Q3</v>
      </c>
      <c r="T2053" s="111" t="str">
        <f t="shared" si="6"/>
        <v>2024-09</v>
      </c>
      <c r="U2053" s="112" t="str">
        <f t="shared" si="7"/>
        <v>2024-H2</v>
      </c>
      <c r="V2053" s="1" t="str">
        <f>VLOOKUP(B2053,Bounties!A:E,2,FALSE)</f>
        <v>System Parachains Collator Bounty</v>
      </c>
    </row>
    <row r="2054" hidden="1">
      <c r="A2054" s="109">
        <f>HYPERLINK("https://polkadot.subsquare.io/treasury/child-bounties/2087", 2087)</f>
        <v>2087</v>
      </c>
      <c r="B2054" s="183">
        <v>32.0</v>
      </c>
      <c r="C2054" s="27" t="s">
        <v>3404</v>
      </c>
      <c r="D2054" s="27" t="s">
        <v>2475</v>
      </c>
      <c r="E2054" s="129">
        <v>84.6272558731</v>
      </c>
      <c r="F2054" s="66">
        <v>352.39685482031837</v>
      </c>
      <c r="G2054" s="27" t="s">
        <v>3591</v>
      </c>
      <c r="H2054" s="167">
        <v>45540.0</v>
      </c>
      <c r="I2054" s="167">
        <v>45549.0</v>
      </c>
      <c r="J2054" s="66">
        <v>351.7468419277842</v>
      </c>
      <c r="M2054" s="1" t="str">
        <f>VLOOKUP(B2054,Bounties!A:D,3,FALSE)</f>
        <v>Operations</v>
      </c>
      <c r="N2054" s="1" t="str">
        <f>VLOOKUP(B2054,Bounties!A:D,4,FALSE)</f>
        <v>RPCs and Nodes</v>
      </c>
      <c r="O2054" s="1" t="str">
        <f t="shared" ref="O2054:P2054" si="2058">IF(ISBLANK(K2054),M2054,K2054)</f>
        <v>Operations</v>
      </c>
      <c r="P2054" s="1" t="str">
        <f t="shared" si="2058"/>
        <v>RPCs and Nodes</v>
      </c>
      <c r="Q2054" s="108" t="str">
        <f t="shared" si="3"/>
        <v>2024</v>
      </c>
      <c r="R2054" s="110">
        <f t="shared" si="4"/>
        <v>9</v>
      </c>
      <c r="S2054" s="108" t="str">
        <f t="shared" si="5"/>
        <v>2024-Q3</v>
      </c>
      <c r="T2054" s="111" t="str">
        <f t="shared" si="6"/>
        <v>2024-09</v>
      </c>
      <c r="U2054" s="112" t="str">
        <f t="shared" si="7"/>
        <v>2024-H2</v>
      </c>
      <c r="V2054" s="1" t="str">
        <f>VLOOKUP(B2054,Bounties!A:E,2,FALSE)</f>
        <v>System Parachains Collator Bounty</v>
      </c>
    </row>
    <row r="2055" hidden="1">
      <c r="A2055" s="109">
        <f>HYPERLINK("https://polkadot.subsquare.io/treasury/child-bounties/2088", 2088)</f>
        <v>2088</v>
      </c>
      <c r="B2055" s="183">
        <v>32.0</v>
      </c>
      <c r="C2055" s="27" t="s">
        <v>3404</v>
      </c>
      <c r="D2055" s="27" t="s">
        <v>2476</v>
      </c>
      <c r="E2055" s="129">
        <v>84.525841943</v>
      </c>
      <c r="F2055" s="66">
        <v>351.9745564764397</v>
      </c>
      <c r="G2055" s="27" t="s">
        <v>3587</v>
      </c>
      <c r="H2055" s="167">
        <v>45540.0</v>
      </c>
      <c r="I2055" s="167">
        <v>45555.0</v>
      </c>
      <c r="J2055" s="66">
        <v>376.60236019865016</v>
      </c>
      <c r="M2055" s="1" t="str">
        <f>VLOOKUP(B2055,Bounties!A:D,3,FALSE)</f>
        <v>Operations</v>
      </c>
      <c r="N2055" s="1" t="str">
        <f>VLOOKUP(B2055,Bounties!A:D,4,FALSE)</f>
        <v>RPCs and Nodes</v>
      </c>
      <c r="O2055" s="1" t="str">
        <f t="shared" ref="O2055:P2055" si="2059">IF(ISBLANK(K2055),M2055,K2055)</f>
        <v>Operations</v>
      </c>
      <c r="P2055" s="1" t="str">
        <f t="shared" si="2059"/>
        <v>RPCs and Nodes</v>
      </c>
      <c r="Q2055" s="108" t="str">
        <f t="shared" si="3"/>
        <v>2024</v>
      </c>
      <c r="R2055" s="110">
        <f t="shared" si="4"/>
        <v>9</v>
      </c>
      <c r="S2055" s="108" t="str">
        <f t="shared" si="5"/>
        <v>2024-Q3</v>
      </c>
      <c r="T2055" s="111" t="str">
        <f t="shared" si="6"/>
        <v>2024-09</v>
      </c>
      <c r="U2055" s="112" t="str">
        <f t="shared" si="7"/>
        <v>2024-H2</v>
      </c>
      <c r="V2055" s="1" t="str">
        <f>VLOOKUP(B2055,Bounties!A:E,2,FALSE)</f>
        <v>System Parachains Collator Bounty</v>
      </c>
    </row>
    <row r="2056" hidden="1">
      <c r="A2056" s="109">
        <f>HYPERLINK("https://polkadot.subsquare.io/treasury/child-bounties/2089", 2089)</f>
        <v>2089</v>
      </c>
      <c r="B2056" s="183">
        <v>32.0</v>
      </c>
      <c r="C2056" s="27" t="s">
        <v>3404</v>
      </c>
      <c r="D2056" s="27" t="s">
        <v>2477</v>
      </c>
      <c r="E2056" s="129">
        <v>84.5471922441</v>
      </c>
      <c r="F2056" s="66">
        <v>352.0634613910501</v>
      </c>
      <c r="G2056" s="27" t="s">
        <v>3589</v>
      </c>
      <c r="H2056" s="167">
        <v>45540.0</v>
      </c>
      <c r="I2056" s="167">
        <v>45549.0</v>
      </c>
      <c r="J2056" s="66">
        <v>351.414063458679</v>
      </c>
      <c r="M2056" s="1" t="str">
        <f>VLOOKUP(B2056,Bounties!A:D,3,FALSE)</f>
        <v>Operations</v>
      </c>
      <c r="N2056" s="1" t="str">
        <f>VLOOKUP(B2056,Bounties!A:D,4,FALSE)</f>
        <v>RPCs and Nodes</v>
      </c>
      <c r="O2056" s="1" t="str">
        <f t="shared" ref="O2056:P2056" si="2060">IF(ISBLANK(K2056),M2056,K2056)</f>
        <v>Operations</v>
      </c>
      <c r="P2056" s="1" t="str">
        <f t="shared" si="2060"/>
        <v>RPCs and Nodes</v>
      </c>
      <c r="Q2056" s="108" t="str">
        <f t="shared" si="3"/>
        <v>2024</v>
      </c>
      <c r="R2056" s="110">
        <f t="shared" si="4"/>
        <v>9</v>
      </c>
      <c r="S2056" s="108" t="str">
        <f t="shared" si="5"/>
        <v>2024-Q3</v>
      </c>
      <c r="T2056" s="111" t="str">
        <f t="shared" si="6"/>
        <v>2024-09</v>
      </c>
      <c r="U2056" s="112" t="str">
        <f t="shared" si="7"/>
        <v>2024-H2</v>
      </c>
      <c r="V2056" s="1" t="str">
        <f>VLOOKUP(B2056,Bounties!A:E,2,FALSE)</f>
        <v>System Parachains Collator Bounty</v>
      </c>
    </row>
    <row r="2057" hidden="1">
      <c r="A2057" s="109">
        <f>HYPERLINK("https://polkadot.subsquare.io/treasury/child-bounties/2090", 2090)</f>
        <v>2090</v>
      </c>
      <c r="B2057" s="183">
        <v>32.0</v>
      </c>
      <c r="C2057" s="27" t="s">
        <v>3404</v>
      </c>
      <c r="D2057" s="27" t="s">
        <v>2478</v>
      </c>
      <c r="E2057" s="129">
        <v>84.4778037656</v>
      </c>
      <c r="F2057" s="66">
        <v>351.77452041887875</v>
      </c>
      <c r="G2057" s="27" t="s">
        <v>3592</v>
      </c>
      <c r="H2057" s="167">
        <v>45540.0</v>
      </c>
      <c r="I2057" s="167">
        <v>45548.0</v>
      </c>
      <c r="J2057" s="66">
        <v>354.67769567522186</v>
      </c>
      <c r="M2057" s="1" t="str">
        <f>VLOOKUP(B2057,Bounties!A:D,3,FALSE)</f>
        <v>Operations</v>
      </c>
      <c r="N2057" s="1" t="str">
        <f>VLOOKUP(B2057,Bounties!A:D,4,FALSE)</f>
        <v>RPCs and Nodes</v>
      </c>
      <c r="O2057" s="1" t="str">
        <f t="shared" ref="O2057:P2057" si="2061">IF(ISBLANK(K2057),M2057,K2057)</f>
        <v>Operations</v>
      </c>
      <c r="P2057" s="1" t="str">
        <f t="shared" si="2061"/>
        <v>RPCs and Nodes</v>
      </c>
      <c r="Q2057" s="108" t="str">
        <f t="shared" si="3"/>
        <v>2024</v>
      </c>
      <c r="R2057" s="110">
        <f t="shared" si="4"/>
        <v>9</v>
      </c>
      <c r="S2057" s="108" t="str">
        <f t="shared" si="5"/>
        <v>2024-Q3</v>
      </c>
      <c r="T2057" s="111" t="str">
        <f t="shared" si="6"/>
        <v>2024-09</v>
      </c>
      <c r="U2057" s="112" t="str">
        <f t="shared" si="7"/>
        <v>2024-H2</v>
      </c>
      <c r="V2057" s="1" t="str">
        <f>VLOOKUP(B2057,Bounties!A:E,2,FALSE)</f>
        <v>System Parachains Collator Bounty</v>
      </c>
    </row>
    <row r="2058" hidden="1">
      <c r="A2058" s="109">
        <f>HYPERLINK("https://polkadot.subsquare.io/treasury/child-bounties/2092", 2092)</f>
        <v>2092</v>
      </c>
      <c r="B2058" s="183">
        <v>32.0</v>
      </c>
      <c r="C2058" s="27" t="s">
        <v>3404</v>
      </c>
      <c r="D2058" s="27" t="s">
        <v>2479</v>
      </c>
      <c r="E2058" s="129">
        <v>23.6841181139</v>
      </c>
      <c r="F2058" s="66">
        <v>98.62317578921113</v>
      </c>
      <c r="G2058" s="27" t="s">
        <v>3407</v>
      </c>
      <c r="H2058" s="167">
        <v>45540.0</v>
      </c>
      <c r="I2058" s="167">
        <v>45548.0</v>
      </c>
      <c r="J2058" s="66">
        <v>99.43710729087952</v>
      </c>
      <c r="M2058" s="1" t="str">
        <f>VLOOKUP(B2058,Bounties!A:D,3,FALSE)</f>
        <v>Operations</v>
      </c>
      <c r="N2058" s="1" t="str">
        <f>VLOOKUP(B2058,Bounties!A:D,4,FALSE)</f>
        <v>RPCs and Nodes</v>
      </c>
      <c r="O2058" s="1" t="str">
        <f t="shared" ref="O2058:P2058" si="2062">IF(ISBLANK(K2058),M2058,K2058)</f>
        <v>Operations</v>
      </c>
      <c r="P2058" s="1" t="str">
        <f t="shared" si="2062"/>
        <v>RPCs and Nodes</v>
      </c>
      <c r="Q2058" s="108" t="str">
        <f t="shared" si="3"/>
        <v>2024</v>
      </c>
      <c r="R2058" s="110">
        <f t="shared" si="4"/>
        <v>9</v>
      </c>
      <c r="S2058" s="108" t="str">
        <f t="shared" si="5"/>
        <v>2024-Q3</v>
      </c>
      <c r="T2058" s="111" t="str">
        <f t="shared" si="6"/>
        <v>2024-09</v>
      </c>
      <c r="U2058" s="112" t="str">
        <f t="shared" si="7"/>
        <v>2024-H2</v>
      </c>
      <c r="V2058" s="1" t="str">
        <f>VLOOKUP(B2058,Bounties!A:E,2,FALSE)</f>
        <v>System Parachains Collator Bounty</v>
      </c>
    </row>
    <row r="2059" hidden="1">
      <c r="A2059" s="109">
        <f>HYPERLINK("https://polkadot.subsquare.io/treasury/child-bounties/2093", 2093)</f>
        <v>2093</v>
      </c>
      <c r="B2059" s="183">
        <v>32.0</v>
      </c>
      <c r="C2059" s="27" t="s">
        <v>3404</v>
      </c>
      <c r="D2059" s="27" t="s">
        <v>2480</v>
      </c>
      <c r="E2059" s="129">
        <v>23.6841181139</v>
      </c>
      <c r="F2059" s="66">
        <v>98.62317578921113</v>
      </c>
      <c r="G2059" s="27" t="s">
        <v>3406</v>
      </c>
      <c r="H2059" s="167">
        <v>45540.0</v>
      </c>
      <c r="I2059" s="167">
        <v>45549.0</v>
      </c>
      <c r="J2059" s="66">
        <v>99.43710729087952</v>
      </c>
      <c r="M2059" s="1" t="str">
        <f>VLOOKUP(B2059,Bounties!A:D,3,FALSE)</f>
        <v>Operations</v>
      </c>
      <c r="N2059" s="1" t="str">
        <f>VLOOKUP(B2059,Bounties!A:D,4,FALSE)</f>
        <v>RPCs and Nodes</v>
      </c>
      <c r="O2059" s="1" t="str">
        <f t="shared" ref="O2059:P2059" si="2063">IF(ISBLANK(K2059),M2059,K2059)</f>
        <v>Operations</v>
      </c>
      <c r="P2059" s="1" t="str">
        <f t="shared" si="2063"/>
        <v>RPCs and Nodes</v>
      </c>
      <c r="Q2059" s="108" t="str">
        <f t="shared" si="3"/>
        <v>2024</v>
      </c>
      <c r="R2059" s="110">
        <f t="shared" si="4"/>
        <v>9</v>
      </c>
      <c r="S2059" s="108" t="str">
        <f t="shared" si="5"/>
        <v>2024-Q3</v>
      </c>
      <c r="T2059" s="111" t="str">
        <f t="shared" si="6"/>
        <v>2024-09</v>
      </c>
      <c r="U2059" s="112" t="str">
        <f t="shared" si="7"/>
        <v>2024-H2</v>
      </c>
      <c r="V2059" s="1" t="str">
        <f>VLOOKUP(B2059,Bounties!A:E,2,FALSE)</f>
        <v>System Parachains Collator Bounty</v>
      </c>
    </row>
    <row r="2060" hidden="1">
      <c r="A2060" s="109">
        <f>HYPERLINK("https://polkadot.subsquare.io/treasury/child-bounties/2094", 2094)</f>
        <v>2094</v>
      </c>
      <c r="B2060" s="183">
        <v>32.0</v>
      </c>
      <c r="C2060" s="27" t="s">
        <v>3404</v>
      </c>
      <c r="D2060" s="27" t="s">
        <v>2481</v>
      </c>
      <c r="E2060" s="129">
        <v>23.6841181139</v>
      </c>
      <c r="F2060" s="66">
        <v>98.62317578921113</v>
      </c>
      <c r="G2060" s="27" t="s">
        <v>3411</v>
      </c>
      <c r="H2060" s="167">
        <v>45540.0</v>
      </c>
      <c r="I2060" s="167">
        <v>45548.0</v>
      </c>
      <c r="J2060" s="66">
        <v>99.43710729087952</v>
      </c>
      <c r="M2060" s="1" t="str">
        <f>VLOOKUP(B2060,Bounties!A:D,3,FALSE)</f>
        <v>Operations</v>
      </c>
      <c r="N2060" s="1" t="str">
        <f>VLOOKUP(B2060,Bounties!A:D,4,FALSE)</f>
        <v>RPCs and Nodes</v>
      </c>
      <c r="O2060" s="1" t="str">
        <f t="shared" ref="O2060:P2060" si="2064">IF(ISBLANK(K2060),M2060,K2060)</f>
        <v>Operations</v>
      </c>
      <c r="P2060" s="1" t="str">
        <f t="shared" si="2064"/>
        <v>RPCs and Nodes</v>
      </c>
      <c r="Q2060" s="108" t="str">
        <f t="shared" si="3"/>
        <v>2024</v>
      </c>
      <c r="R2060" s="110">
        <f t="shared" si="4"/>
        <v>9</v>
      </c>
      <c r="S2060" s="108" t="str">
        <f t="shared" si="5"/>
        <v>2024-Q3</v>
      </c>
      <c r="T2060" s="111" t="str">
        <f t="shared" si="6"/>
        <v>2024-09</v>
      </c>
      <c r="U2060" s="112" t="str">
        <f t="shared" si="7"/>
        <v>2024-H2</v>
      </c>
      <c r="V2060" s="1" t="str">
        <f>VLOOKUP(B2060,Bounties!A:E,2,FALSE)</f>
        <v>System Parachains Collator Bounty</v>
      </c>
    </row>
    <row r="2061" hidden="1">
      <c r="A2061" s="109">
        <f>HYPERLINK("https://polkadot.subsquare.io/treasury/child-bounties/2095", 2095)</f>
        <v>2095</v>
      </c>
      <c r="B2061" s="183">
        <v>32.0</v>
      </c>
      <c r="C2061" s="27" t="s">
        <v>3404</v>
      </c>
      <c r="D2061" s="27" t="s">
        <v>2456</v>
      </c>
      <c r="E2061" s="129">
        <v>14.0023337223</v>
      </c>
      <c r="F2061" s="66">
        <v>58.307200357319694</v>
      </c>
      <c r="G2061" s="27" t="s">
        <v>3587</v>
      </c>
      <c r="H2061" s="167">
        <v>45540.0</v>
      </c>
      <c r="I2061" s="167">
        <v>45555.0</v>
      </c>
      <c r="J2061" s="66">
        <v>62.38697902191128</v>
      </c>
      <c r="M2061" s="1" t="str">
        <f>VLOOKUP(B2061,Bounties!A:D,3,FALSE)</f>
        <v>Operations</v>
      </c>
      <c r="N2061" s="1" t="str">
        <f>VLOOKUP(B2061,Bounties!A:D,4,FALSE)</f>
        <v>RPCs and Nodes</v>
      </c>
      <c r="O2061" s="1" t="str">
        <f t="shared" ref="O2061:P2061" si="2065">IF(ISBLANK(K2061),M2061,K2061)</f>
        <v>Operations</v>
      </c>
      <c r="P2061" s="1" t="str">
        <f t="shared" si="2065"/>
        <v>RPCs and Nodes</v>
      </c>
      <c r="Q2061" s="108" t="str">
        <f t="shared" si="3"/>
        <v>2024</v>
      </c>
      <c r="R2061" s="110">
        <f t="shared" si="4"/>
        <v>9</v>
      </c>
      <c r="S2061" s="108" t="str">
        <f t="shared" si="5"/>
        <v>2024-Q3</v>
      </c>
      <c r="T2061" s="111" t="str">
        <f t="shared" si="6"/>
        <v>2024-09</v>
      </c>
      <c r="U2061" s="112" t="str">
        <f t="shared" si="7"/>
        <v>2024-H2</v>
      </c>
      <c r="V2061" s="1" t="str">
        <f>VLOOKUP(B2061,Bounties!A:E,2,FALSE)</f>
        <v>System Parachains Collator Bounty</v>
      </c>
    </row>
    <row r="2062" hidden="1">
      <c r="A2062" s="109">
        <f>HYPERLINK("https://polkadot.subsquare.io/treasury/child-bounties/2097", 2097)</f>
        <v>2097</v>
      </c>
      <c r="B2062" s="183">
        <v>32.0</v>
      </c>
      <c r="C2062" s="27" t="s">
        <v>3404</v>
      </c>
      <c r="D2062" s="27" t="s">
        <v>2482</v>
      </c>
      <c r="E2062" s="129">
        <v>69.8661875294</v>
      </c>
      <c r="F2062" s="66">
        <v>290.9302031554249</v>
      </c>
      <c r="G2062" s="27" t="s">
        <v>3591</v>
      </c>
      <c r="H2062" s="167">
        <v>45540.0</v>
      </c>
      <c r="I2062" s="167">
        <v>45549.0</v>
      </c>
      <c r="J2062" s="66">
        <v>290.3935684485827</v>
      </c>
      <c r="M2062" s="1" t="str">
        <f>VLOOKUP(B2062,Bounties!A:D,3,FALSE)</f>
        <v>Operations</v>
      </c>
      <c r="N2062" s="1" t="str">
        <f>VLOOKUP(B2062,Bounties!A:D,4,FALSE)</f>
        <v>RPCs and Nodes</v>
      </c>
      <c r="O2062" s="1" t="str">
        <f t="shared" ref="O2062:P2062" si="2066">IF(ISBLANK(K2062),M2062,K2062)</f>
        <v>Operations</v>
      </c>
      <c r="P2062" s="1" t="str">
        <f t="shared" si="2066"/>
        <v>RPCs and Nodes</v>
      </c>
      <c r="Q2062" s="108" t="str">
        <f t="shared" si="3"/>
        <v>2024</v>
      </c>
      <c r="R2062" s="110">
        <f t="shared" si="4"/>
        <v>9</v>
      </c>
      <c r="S2062" s="108" t="str">
        <f t="shared" si="5"/>
        <v>2024-Q3</v>
      </c>
      <c r="T2062" s="111" t="str">
        <f t="shared" si="6"/>
        <v>2024-09</v>
      </c>
      <c r="U2062" s="112" t="str">
        <f t="shared" si="7"/>
        <v>2024-H2</v>
      </c>
      <c r="V2062" s="1" t="str">
        <f>VLOOKUP(B2062,Bounties!A:E,2,FALSE)</f>
        <v>System Parachains Collator Bounty</v>
      </c>
    </row>
    <row r="2063" hidden="1">
      <c r="A2063" s="109">
        <f>HYPERLINK("https://polkadot.subsquare.io/treasury/child-bounties/2099", 2099)</f>
        <v>2099</v>
      </c>
      <c r="B2063" s="183">
        <v>32.0</v>
      </c>
      <c r="C2063" s="27" t="s">
        <v>3404</v>
      </c>
      <c r="D2063" s="27" t="s">
        <v>2483</v>
      </c>
      <c r="E2063" s="129">
        <v>69.8573704941</v>
      </c>
      <c r="F2063" s="66">
        <v>290.8934880867806</v>
      </c>
      <c r="G2063" s="27" t="s">
        <v>3590</v>
      </c>
      <c r="H2063" s="167">
        <v>45540.0</v>
      </c>
      <c r="I2063" s="167">
        <v>45549.0</v>
      </c>
      <c r="J2063" s="66">
        <v>290.3569211026426</v>
      </c>
      <c r="M2063" s="1" t="str">
        <f>VLOOKUP(B2063,Bounties!A:D,3,FALSE)</f>
        <v>Operations</v>
      </c>
      <c r="N2063" s="1" t="str">
        <f>VLOOKUP(B2063,Bounties!A:D,4,FALSE)</f>
        <v>RPCs and Nodes</v>
      </c>
      <c r="O2063" s="1" t="str">
        <f t="shared" ref="O2063:P2063" si="2067">IF(ISBLANK(K2063),M2063,K2063)</f>
        <v>Operations</v>
      </c>
      <c r="P2063" s="1" t="str">
        <f t="shared" si="2067"/>
        <v>RPCs and Nodes</v>
      </c>
      <c r="Q2063" s="108" t="str">
        <f t="shared" si="3"/>
        <v>2024</v>
      </c>
      <c r="R2063" s="110">
        <f t="shared" si="4"/>
        <v>9</v>
      </c>
      <c r="S2063" s="108" t="str">
        <f t="shared" si="5"/>
        <v>2024-Q3</v>
      </c>
      <c r="T2063" s="111" t="str">
        <f t="shared" si="6"/>
        <v>2024-09</v>
      </c>
      <c r="U2063" s="112" t="str">
        <f t="shared" si="7"/>
        <v>2024-H2</v>
      </c>
      <c r="V2063" s="1" t="str">
        <f>VLOOKUP(B2063,Bounties!A:E,2,FALSE)</f>
        <v>System Parachains Collator Bounty</v>
      </c>
    </row>
    <row r="2064" hidden="1">
      <c r="A2064" s="109">
        <f>HYPERLINK("https://polkadot.subsquare.io/treasury/child-bounties/2100", 2100)</f>
        <v>2100</v>
      </c>
      <c r="B2064" s="183">
        <v>32.0</v>
      </c>
      <c r="C2064" s="27" t="s">
        <v>3404</v>
      </c>
      <c r="D2064" s="27" t="s">
        <v>2484</v>
      </c>
      <c r="E2064" s="129">
        <v>69.9543578821</v>
      </c>
      <c r="F2064" s="66">
        <v>291.2973538406187</v>
      </c>
      <c r="G2064" s="27" t="s">
        <v>3605</v>
      </c>
      <c r="H2064" s="167">
        <v>45540.0</v>
      </c>
      <c r="I2064" s="167">
        <v>45548.0</v>
      </c>
      <c r="J2064" s="66">
        <v>293.70141445564366</v>
      </c>
      <c r="M2064" s="1" t="str">
        <f>VLOOKUP(B2064,Bounties!A:D,3,FALSE)</f>
        <v>Operations</v>
      </c>
      <c r="N2064" s="1" t="str">
        <f>VLOOKUP(B2064,Bounties!A:D,4,FALSE)</f>
        <v>RPCs and Nodes</v>
      </c>
      <c r="O2064" s="1" t="str">
        <f t="shared" ref="O2064:P2064" si="2068">IF(ISBLANK(K2064),M2064,K2064)</f>
        <v>Operations</v>
      </c>
      <c r="P2064" s="1" t="str">
        <f t="shared" si="2068"/>
        <v>RPCs and Nodes</v>
      </c>
      <c r="Q2064" s="108" t="str">
        <f t="shared" si="3"/>
        <v>2024</v>
      </c>
      <c r="R2064" s="110">
        <f t="shared" si="4"/>
        <v>9</v>
      </c>
      <c r="S2064" s="108" t="str">
        <f t="shared" si="5"/>
        <v>2024-Q3</v>
      </c>
      <c r="T2064" s="111" t="str">
        <f t="shared" si="6"/>
        <v>2024-09</v>
      </c>
      <c r="U2064" s="112" t="str">
        <f t="shared" si="7"/>
        <v>2024-H2</v>
      </c>
      <c r="V2064" s="1" t="str">
        <f>VLOOKUP(B2064,Bounties!A:E,2,FALSE)</f>
        <v>System Parachains Collator Bounty</v>
      </c>
    </row>
    <row r="2065" hidden="1">
      <c r="A2065" s="109">
        <f>HYPERLINK("https://polkadot.subsquare.io/treasury/child-bounties/2102", 2102)</f>
        <v>2102</v>
      </c>
      <c r="B2065" s="183">
        <v>32.0</v>
      </c>
      <c r="C2065" s="27" t="s">
        <v>3404</v>
      </c>
      <c r="D2065" s="27" t="s">
        <v>2485</v>
      </c>
      <c r="E2065" s="129">
        <v>84.7500201043</v>
      </c>
      <c r="F2065" s="66">
        <v>352.90805807880747</v>
      </c>
      <c r="G2065" s="27" t="s">
        <v>3595</v>
      </c>
      <c r="H2065" s="167">
        <v>45540.0</v>
      </c>
      <c r="I2065" s="167">
        <v>45549.0</v>
      </c>
      <c r="J2065" s="66">
        <v>355.8205883574601</v>
      </c>
      <c r="M2065" s="1" t="str">
        <f>VLOOKUP(B2065,Bounties!A:D,3,FALSE)</f>
        <v>Operations</v>
      </c>
      <c r="N2065" s="1" t="str">
        <f>VLOOKUP(B2065,Bounties!A:D,4,FALSE)</f>
        <v>RPCs and Nodes</v>
      </c>
      <c r="O2065" s="1" t="str">
        <f t="shared" ref="O2065:P2065" si="2069">IF(ISBLANK(K2065),M2065,K2065)</f>
        <v>Operations</v>
      </c>
      <c r="P2065" s="1" t="str">
        <f t="shared" si="2069"/>
        <v>RPCs and Nodes</v>
      </c>
      <c r="Q2065" s="108" t="str">
        <f t="shared" si="3"/>
        <v>2024</v>
      </c>
      <c r="R2065" s="110">
        <f t="shared" si="4"/>
        <v>9</v>
      </c>
      <c r="S2065" s="108" t="str">
        <f t="shared" si="5"/>
        <v>2024-Q3</v>
      </c>
      <c r="T2065" s="111" t="str">
        <f t="shared" si="6"/>
        <v>2024-09</v>
      </c>
      <c r="U2065" s="112" t="str">
        <f t="shared" si="7"/>
        <v>2024-H2</v>
      </c>
      <c r="V2065" s="1" t="str">
        <f>VLOOKUP(B2065,Bounties!A:E,2,FALSE)</f>
        <v>System Parachains Collator Bounty</v>
      </c>
    </row>
    <row r="2066" hidden="1">
      <c r="A2066" s="109">
        <f>HYPERLINK("https://polkadot.subsquare.io/treasury/child-bounties/2103", 2103)</f>
        <v>2103</v>
      </c>
      <c r="B2066" s="183">
        <v>32.0</v>
      </c>
      <c r="C2066" s="27" t="s">
        <v>3404</v>
      </c>
      <c r="D2066" s="27" t="s">
        <v>2486</v>
      </c>
      <c r="E2066" s="129">
        <v>84.6432887648</v>
      </c>
      <c r="F2066" s="66">
        <v>352.4636174791151</v>
      </c>
      <c r="G2066" s="27" t="s">
        <v>3594</v>
      </c>
      <c r="H2066" s="167">
        <v>45540.0</v>
      </c>
      <c r="I2066" s="167">
        <v>45550.0</v>
      </c>
      <c r="J2066" s="66">
        <v>351.81348143965613</v>
      </c>
      <c r="M2066" s="1" t="str">
        <f>VLOOKUP(B2066,Bounties!A:D,3,FALSE)</f>
        <v>Operations</v>
      </c>
      <c r="N2066" s="1" t="str">
        <f>VLOOKUP(B2066,Bounties!A:D,4,FALSE)</f>
        <v>RPCs and Nodes</v>
      </c>
      <c r="O2066" s="1" t="str">
        <f t="shared" ref="O2066:P2066" si="2070">IF(ISBLANK(K2066),M2066,K2066)</f>
        <v>Operations</v>
      </c>
      <c r="P2066" s="1" t="str">
        <f t="shared" si="2070"/>
        <v>RPCs and Nodes</v>
      </c>
      <c r="Q2066" s="108" t="str">
        <f t="shared" si="3"/>
        <v>2024</v>
      </c>
      <c r="R2066" s="110">
        <f t="shared" si="4"/>
        <v>9</v>
      </c>
      <c r="S2066" s="108" t="str">
        <f t="shared" si="5"/>
        <v>2024-Q3</v>
      </c>
      <c r="T2066" s="111" t="str">
        <f t="shared" si="6"/>
        <v>2024-09</v>
      </c>
      <c r="U2066" s="112" t="str">
        <f t="shared" si="7"/>
        <v>2024-H2</v>
      </c>
      <c r="V2066" s="1" t="str">
        <f>VLOOKUP(B2066,Bounties!A:E,2,FALSE)</f>
        <v>System Parachains Collator Bounty</v>
      </c>
    </row>
    <row r="2067" hidden="1">
      <c r="A2067" s="109">
        <f>HYPERLINK("https://polkadot.subsquare.io/treasury/child-bounties/2104", 2104)</f>
        <v>2104</v>
      </c>
      <c r="B2067" s="183">
        <v>32.0</v>
      </c>
      <c r="C2067" s="27" t="s">
        <v>3404</v>
      </c>
      <c r="D2067" s="27" t="s">
        <v>2487</v>
      </c>
      <c r="E2067" s="129">
        <v>84.6699715997</v>
      </c>
      <c r="F2067" s="66">
        <v>352.5747276291423</v>
      </c>
      <c r="G2067" s="27" t="s">
        <v>3587</v>
      </c>
      <c r="H2067" s="167">
        <v>45540.0</v>
      </c>
      <c r="I2067" s="167">
        <v>45555.0</v>
      </c>
      <c r="J2067" s="66">
        <v>377.2445255724591</v>
      </c>
      <c r="M2067" s="1" t="str">
        <f>VLOOKUP(B2067,Bounties!A:D,3,FALSE)</f>
        <v>Operations</v>
      </c>
      <c r="N2067" s="1" t="str">
        <f>VLOOKUP(B2067,Bounties!A:D,4,FALSE)</f>
        <v>RPCs and Nodes</v>
      </c>
      <c r="O2067" s="1" t="str">
        <f t="shared" ref="O2067:P2067" si="2071">IF(ISBLANK(K2067),M2067,K2067)</f>
        <v>Operations</v>
      </c>
      <c r="P2067" s="1" t="str">
        <f t="shared" si="2071"/>
        <v>RPCs and Nodes</v>
      </c>
      <c r="Q2067" s="108" t="str">
        <f t="shared" si="3"/>
        <v>2024</v>
      </c>
      <c r="R2067" s="110">
        <f t="shared" si="4"/>
        <v>9</v>
      </c>
      <c r="S2067" s="108" t="str">
        <f t="shared" si="5"/>
        <v>2024-Q3</v>
      </c>
      <c r="T2067" s="111" t="str">
        <f t="shared" si="6"/>
        <v>2024-09</v>
      </c>
      <c r="U2067" s="112" t="str">
        <f t="shared" si="7"/>
        <v>2024-H2</v>
      </c>
      <c r="V2067" s="1" t="str">
        <f>VLOOKUP(B2067,Bounties!A:E,2,FALSE)</f>
        <v>System Parachains Collator Bounty</v>
      </c>
    </row>
    <row r="2068" hidden="1">
      <c r="A2068" s="109">
        <f>HYPERLINK("https://polkadot.subsquare.io/treasury/child-bounties/2105", 2105)</f>
        <v>2105</v>
      </c>
      <c r="B2068" s="183">
        <v>32.0</v>
      </c>
      <c r="C2068" s="27" t="s">
        <v>3404</v>
      </c>
      <c r="D2068" s="27" t="s">
        <v>2488</v>
      </c>
      <c r="E2068" s="129">
        <v>84.611269363</v>
      </c>
      <c r="F2068" s="66">
        <v>352.3302852994156</v>
      </c>
      <c r="G2068" s="27" t="s">
        <v>3607</v>
      </c>
      <c r="H2068" s="167">
        <v>45540.0</v>
      </c>
      <c r="I2068" s="167">
        <v>45551.0</v>
      </c>
      <c r="J2068" s="66">
        <v>360.0425458240771</v>
      </c>
      <c r="M2068" s="1" t="str">
        <f>VLOOKUP(B2068,Bounties!A:D,3,FALSE)</f>
        <v>Operations</v>
      </c>
      <c r="N2068" s="1" t="str">
        <f>VLOOKUP(B2068,Bounties!A:D,4,FALSE)</f>
        <v>RPCs and Nodes</v>
      </c>
      <c r="O2068" s="1" t="str">
        <f t="shared" ref="O2068:P2068" si="2072">IF(ISBLANK(K2068),M2068,K2068)</f>
        <v>Operations</v>
      </c>
      <c r="P2068" s="1" t="str">
        <f t="shared" si="2072"/>
        <v>RPCs and Nodes</v>
      </c>
      <c r="Q2068" s="108" t="str">
        <f t="shared" si="3"/>
        <v>2024</v>
      </c>
      <c r="R2068" s="110">
        <f t="shared" si="4"/>
        <v>9</v>
      </c>
      <c r="S2068" s="108" t="str">
        <f t="shared" si="5"/>
        <v>2024-Q3</v>
      </c>
      <c r="T2068" s="111" t="str">
        <f t="shared" si="6"/>
        <v>2024-09</v>
      </c>
      <c r="U2068" s="112" t="str">
        <f t="shared" si="7"/>
        <v>2024-H2</v>
      </c>
      <c r="V2068" s="1" t="str">
        <f>VLOOKUP(B2068,Bounties!A:E,2,FALSE)</f>
        <v>System Parachains Collator Bounty</v>
      </c>
    </row>
    <row r="2069" hidden="1">
      <c r="A2069" s="109">
        <f>HYPERLINK("https://polkadot.subsquare.io/treasury/child-bounties/2106", 2106)</f>
        <v>2106</v>
      </c>
      <c r="B2069" s="183">
        <v>32.0</v>
      </c>
      <c r="C2069" s="27" t="s">
        <v>3404</v>
      </c>
      <c r="D2069" s="27" t="s">
        <v>2489</v>
      </c>
      <c r="E2069" s="129">
        <v>84.61660593</v>
      </c>
      <c r="F2069" s="66">
        <v>352.3525073295043</v>
      </c>
      <c r="G2069" s="27" t="s">
        <v>3589</v>
      </c>
      <c r="H2069" s="167">
        <v>45540.0</v>
      </c>
      <c r="I2069" s="167">
        <v>45549.0</v>
      </c>
      <c r="J2069" s="66">
        <v>351.7025762380429</v>
      </c>
      <c r="M2069" s="1" t="str">
        <f>VLOOKUP(B2069,Bounties!A:D,3,FALSE)</f>
        <v>Operations</v>
      </c>
      <c r="N2069" s="1" t="str">
        <f>VLOOKUP(B2069,Bounties!A:D,4,FALSE)</f>
        <v>RPCs and Nodes</v>
      </c>
      <c r="O2069" s="1" t="str">
        <f t="shared" ref="O2069:P2069" si="2073">IF(ISBLANK(K2069),M2069,K2069)</f>
        <v>Operations</v>
      </c>
      <c r="P2069" s="1" t="str">
        <f t="shared" si="2073"/>
        <v>RPCs and Nodes</v>
      </c>
      <c r="Q2069" s="108" t="str">
        <f t="shared" si="3"/>
        <v>2024</v>
      </c>
      <c r="R2069" s="110">
        <f t="shared" si="4"/>
        <v>9</v>
      </c>
      <c r="S2069" s="108" t="str">
        <f t="shared" si="5"/>
        <v>2024-Q3</v>
      </c>
      <c r="T2069" s="111" t="str">
        <f t="shared" si="6"/>
        <v>2024-09</v>
      </c>
      <c r="U2069" s="112" t="str">
        <f t="shared" si="7"/>
        <v>2024-H2</v>
      </c>
      <c r="V2069" s="1" t="str">
        <f>VLOOKUP(B2069,Bounties!A:E,2,FALSE)</f>
        <v>System Parachains Collator Bounty</v>
      </c>
    </row>
    <row r="2070" hidden="1">
      <c r="A2070" s="109">
        <f>HYPERLINK("https://polkadot.subsquare.io/treasury/child-bounties/2108", 2108)</f>
        <v>2108</v>
      </c>
      <c r="B2070" s="183">
        <v>32.0</v>
      </c>
      <c r="C2070" s="27" t="s">
        <v>3404</v>
      </c>
      <c r="D2070" s="27" t="s">
        <v>2490</v>
      </c>
      <c r="E2070" s="129">
        <v>23.6330002328</v>
      </c>
      <c r="F2070" s="66">
        <v>98.4103155193268</v>
      </c>
      <c r="G2070" s="27" t="s">
        <v>3407</v>
      </c>
      <c r="H2070" s="167">
        <v>45540.0</v>
      </c>
      <c r="I2070" s="167">
        <v>45548.0</v>
      </c>
      <c r="J2070" s="66">
        <v>99.22249029720562</v>
      </c>
      <c r="M2070" s="1" t="str">
        <f>VLOOKUP(B2070,Bounties!A:D,3,FALSE)</f>
        <v>Operations</v>
      </c>
      <c r="N2070" s="1" t="str">
        <f>VLOOKUP(B2070,Bounties!A:D,4,FALSE)</f>
        <v>RPCs and Nodes</v>
      </c>
      <c r="O2070" s="1" t="str">
        <f t="shared" ref="O2070:P2070" si="2074">IF(ISBLANK(K2070),M2070,K2070)</f>
        <v>Operations</v>
      </c>
      <c r="P2070" s="1" t="str">
        <f t="shared" si="2074"/>
        <v>RPCs and Nodes</v>
      </c>
      <c r="Q2070" s="108" t="str">
        <f t="shared" si="3"/>
        <v>2024</v>
      </c>
      <c r="R2070" s="110">
        <f t="shared" si="4"/>
        <v>9</v>
      </c>
      <c r="S2070" s="108" t="str">
        <f t="shared" si="5"/>
        <v>2024-Q3</v>
      </c>
      <c r="T2070" s="111" t="str">
        <f t="shared" si="6"/>
        <v>2024-09</v>
      </c>
      <c r="U2070" s="112" t="str">
        <f t="shared" si="7"/>
        <v>2024-H2</v>
      </c>
      <c r="V2070" s="1" t="str">
        <f>VLOOKUP(B2070,Bounties!A:E,2,FALSE)</f>
        <v>System Parachains Collator Bounty</v>
      </c>
    </row>
    <row r="2071" hidden="1">
      <c r="A2071" s="109">
        <f>HYPERLINK("https://polkadot.subsquare.io/treasury/child-bounties/2109", 2109)</f>
        <v>2109</v>
      </c>
      <c r="B2071" s="183">
        <v>32.0</v>
      </c>
      <c r="C2071" s="27" t="s">
        <v>3404</v>
      </c>
      <c r="D2071" s="27" t="s">
        <v>2491</v>
      </c>
      <c r="E2071" s="129">
        <v>23.6330002328</v>
      </c>
      <c r="F2071" s="66">
        <v>98.4103155193268</v>
      </c>
      <c r="G2071" s="27" t="s">
        <v>3406</v>
      </c>
      <c r="H2071" s="167">
        <v>45540.0</v>
      </c>
      <c r="I2071" s="167">
        <v>45549.0</v>
      </c>
      <c r="J2071" s="66">
        <v>99.22249029720562</v>
      </c>
      <c r="M2071" s="1" t="str">
        <f>VLOOKUP(B2071,Bounties!A:D,3,FALSE)</f>
        <v>Operations</v>
      </c>
      <c r="N2071" s="1" t="str">
        <f>VLOOKUP(B2071,Bounties!A:D,4,FALSE)</f>
        <v>RPCs and Nodes</v>
      </c>
      <c r="O2071" s="1" t="str">
        <f t="shared" ref="O2071:P2071" si="2075">IF(ISBLANK(K2071),M2071,K2071)</f>
        <v>Operations</v>
      </c>
      <c r="P2071" s="1" t="str">
        <f t="shared" si="2075"/>
        <v>RPCs and Nodes</v>
      </c>
      <c r="Q2071" s="108" t="str">
        <f t="shared" si="3"/>
        <v>2024</v>
      </c>
      <c r="R2071" s="110">
        <f t="shared" si="4"/>
        <v>9</v>
      </c>
      <c r="S2071" s="108" t="str">
        <f t="shared" si="5"/>
        <v>2024-Q3</v>
      </c>
      <c r="T2071" s="111" t="str">
        <f t="shared" si="6"/>
        <v>2024-09</v>
      </c>
      <c r="U2071" s="112" t="str">
        <f t="shared" si="7"/>
        <v>2024-H2</v>
      </c>
      <c r="V2071" s="1" t="str">
        <f>VLOOKUP(B2071,Bounties!A:E,2,FALSE)</f>
        <v>System Parachains Collator Bounty</v>
      </c>
    </row>
    <row r="2072" hidden="1">
      <c r="A2072" s="109">
        <f>HYPERLINK("https://polkadot.subsquare.io/treasury/child-bounties/2110", 2110)</f>
        <v>2110</v>
      </c>
      <c r="B2072" s="183">
        <v>32.0</v>
      </c>
      <c r="C2072" s="27" t="s">
        <v>3404</v>
      </c>
      <c r="D2072" s="27" t="s">
        <v>2492</v>
      </c>
      <c r="E2072" s="129">
        <v>23.6330002328</v>
      </c>
      <c r="F2072" s="66">
        <v>98.4103155193268</v>
      </c>
      <c r="G2072" s="27" t="s">
        <v>3411</v>
      </c>
      <c r="H2072" s="167">
        <v>45540.0</v>
      </c>
      <c r="I2072" s="167">
        <v>45548.0</v>
      </c>
      <c r="J2072" s="66">
        <v>99.22249029720562</v>
      </c>
      <c r="M2072" s="1" t="str">
        <f>VLOOKUP(B2072,Bounties!A:D,3,FALSE)</f>
        <v>Operations</v>
      </c>
      <c r="N2072" s="1" t="str">
        <f>VLOOKUP(B2072,Bounties!A:D,4,FALSE)</f>
        <v>RPCs and Nodes</v>
      </c>
      <c r="O2072" s="1" t="str">
        <f t="shared" ref="O2072:P2072" si="2076">IF(ISBLANK(K2072),M2072,K2072)</f>
        <v>Operations</v>
      </c>
      <c r="P2072" s="1" t="str">
        <f t="shared" si="2076"/>
        <v>RPCs and Nodes</v>
      </c>
      <c r="Q2072" s="108" t="str">
        <f t="shared" si="3"/>
        <v>2024</v>
      </c>
      <c r="R2072" s="110">
        <f t="shared" si="4"/>
        <v>9</v>
      </c>
      <c r="S2072" s="108" t="str">
        <f t="shared" si="5"/>
        <v>2024-Q3</v>
      </c>
      <c r="T2072" s="111" t="str">
        <f t="shared" si="6"/>
        <v>2024-09</v>
      </c>
      <c r="U2072" s="112" t="str">
        <f t="shared" si="7"/>
        <v>2024-H2</v>
      </c>
      <c r="V2072" s="1" t="str">
        <f>VLOOKUP(B2072,Bounties!A:E,2,FALSE)</f>
        <v>System Parachains Collator Bounty</v>
      </c>
    </row>
    <row r="2073" hidden="1">
      <c r="A2073" s="109">
        <f>HYPERLINK("https://polkadot.subsquare.io/treasury/child-bounties/2111", 2111)</f>
        <v>2111</v>
      </c>
      <c r="B2073" s="183">
        <v>32.0</v>
      </c>
      <c r="C2073" s="27" t="s">
        <v>3404</v>
      </c>
      <c r="D2073" s="27" t="s">
        <v>2456</v>
      </c>
      <c r="E2073" s="129">
        <v>14.0023337223</v>
      </c>
      <c r="F2073" s="66">
        <v>58.307200357319694</v>
      </c>
      <c r="G2073" s="27" t="s">
        <v>3587</v>
      </c>
      <c r="H2073" s="167">
        <v>45540.0</v>
      </c>
      <c r="I2073" s="167">
        <v>45555.0</v>
      </c>
      <c r="J2073" s="66">
        <v>62.38697902191128</v>
      </c>
      <c r="M2073" s="1" t="str">
        <f>VLOOKUP(B2073,Bounties!A:D,3,FALSE)</f>
        <v>Operations</v>
      </c>
      <c r="N2073" s="1" t="str">
        <f>VLOOKUP(B2073,Bounties!A:D,4,FALSE)</f>
        <v>RPCs and Nodes</v>
      </c>
      <c r="O2073" s="1" t="str">
        <f t="shared" ref="O2073:P2073" si="2077">IF(ISBLANK(K2073),M2073,K2073)</f>
        <v>Operations</v>
      </c>
      <c r="P2073" s="1" t="str">
        <f t="shared" si="2077"/>
        <v>RPCs and Nodes</v>
      </c>
      <c r="Q2073" s="108" t="str">
        <f t="shared" si="3"/>
        <v>2024</v>
      </c>
      <c r="R2073" s="110">
        <f t="shared" si="4"/>
        <v>9</v>
      </c>
      <c r="S2073" s="108" t="str">
        <f t="shared" si="5"/>
        <v>2024-Q3</v>
      </c>
      <c r="T2073" s="111" t="str">
        <f t="shared" si="6"/>
        <v>2024-09</v>
      </c>
      <c r="U2073" s="112" t="str">
        <f t="shared" si="7"/>
        <v>2024-H2</v>
      </c>
      <c r="V2073" s="1" t="str">
        <f>VLOOKUP(B2073,Bounties!A:E,2,FALSE)</f>
        <v>System Parachains Collator Bounty</v>
      </c>
    </row>
    <row r="2074" hidden="1">
      <c r="A2074" s="109">
        <f>HYPERLINK("https://polkadot.subsquare.io/treasury/child-bounties/2116", 2116)</f>
        <v>2116</v>
      </c>
      <c r="B2074" s="183">
        <v>32.0</v>
      </c>
      <c r="C2074" s="27" t="s">
        <v>3404</v>
      </c>
      <c r="D2074" s="27" t="s">
        <v>2493</v>
      </c>
      <c r="E2074" s="129">
        <v>69.9729193187</v>
      </c>
      <c r="F2074" s="66">
        <v>291.3746456281321</v>
      </c>
      <c r="G2074" s="27" t="s">
        <v>3607</v>
      </c>
      <c r="H2074" s="167">
        <v>45540.0</v>
      </c>
      <c r="I2074" s="167">
        <v>45551.0</v>
      </c>
      <c r="J2074" s="66">
        <v>297.7526303519131</v>
      </c>
      <c r="M2074" s="1" t="str">
        <f>VLOOKUP(B2074,Bounties!A:D,3,FALSE)</f>
        <v>Operations</v>
      </c>
      <c r="N2074" s="1" t="str">
        <f>VLOOKUP(B2074,Bounties!A:D,4,FALSE)</f>
        <v>RPCs and Nodes</v>
      </c>
      <c r="O2074" s="1" t="str">
        <f t="shared" ref="O2074:P2074" si="2078">IF(ISBLANK(K2074),M2074,K2074)</f>
        <v>Operations</v>
      </c>
      <c r="P2074" s="1" t="str">
        <f t="shared" si="2078"/>
        <v>RPCs and Nodes</v>
      </c>
      <c r="Q2074" s="108" t="str">
        <f t="shared" si="3"/>
        <v>2024</v>
      </c>
      <c r="R2074" s="110">
        <f t="shared" si="4"/>
        <v>9</v>
      </c>
      <c r="S2074" s="108" t="str">
        <f t="shared" si="5"/>
        <v>2024-Q3</v>
      </c>
      <c r="T2074" s="111" t="str">
        <f t="shared" si="6"/>
        <v>2024-09</v>
      </c>
      <c r="U2074" s="112" t="str">
        <f t="shared" si="7"/>
        <v>2024-H2</v>
      </c>
      <c r="V2074" s="1" t="str">
        <f>VLOOKUP(B2074,Bounties!A:E,2,FALSE)</f>
        <v>System Parachains Collator Bounty</v>
      </c>
    </row>
    <row r="2075" hidden="1">
      <c r="A2075" s="109">
        <f>HYPERLINK("https://polkadot.subsquare.io/treasury/child-bounties/2117", 2117)</f>
        <v>2117</v>
      </c>
      <c r="B2075" s="183">
        <v>32.0</v>
      </c>
      <c r="C2075" s="27" t="s">
        <v>3404</v>
      </c>
      <c r="D2075" s="27" t="s">
        <v>2494</v>
      </c>
      <c r="E2075" s="129">
        <v>70.0061329982</v>
      </c>
      <c r="F2075" s="66">
        <v>291.5129509066391</v>
      </c>
      <c r="G2075" s="27" t="s">
        <v>3787</v>
      </c>
      <c r="H2075" s="167">
        <v>45540.0</v>
      </c>
      <c r="I2075" s="167">
        <v>45548.0</v>
      </c>
      <c r="J2075" s="66">
        <v>293.91879083207766</v>
      </c>
      <c r="M2075" s="1" t="str">
        <f>VLOOKUP(B2075,Bounties!A:D,3,FALSE)</f>
        <v>Operations</v>
      </c>
      <c r="N2075" s="1" t="str">
        <f>VLOOKUP(B2075,Bounties!A:D,4,FALSE)</f>
        <v>RPCs and Nodes</v>
      </c>
      <c r="O2075" s="1" t="str">
        <f t="shared" ref="O2075:P2075" si="2079">IF(ISBLANK(K2075),M2075,K2075)</f>
        <v>Operations</v>
      </c>
      <c r="P2075" s="1" t="str">
        <f t="shared" si="2079"/>
        <v>RPCs and Nodes</v>
      </c>
      <c r="Q2075" s="108" t="str">
        <f t="shared" si="3"/>
        <v>2024</v>
      </c>
      <c r="R2075" s="110">
        <f t="shared" si="4"/>
        <v>9</v>
      </c>
      <c r="S2075" s="108" t="str">
        <f t="shared" si="5"/>
        <v>2024-Q3</v>
      </c>
      <c r="T2075" s="111" t="str">
        <f t="shared" si="6"/>
        <v>2024-09</v>
      </c>
      <c r="U2075" s="112" t="str">
        <f t="shared" si="7"/>
        <v>2024-H2</v>
      </c>
      <c r="V2075" s="1" t="str">
        <f>VLOOKUP(B2075,Bounties!A:E,2,FALSE)</f>
        <v>System Parachains Collator Bounty</v>
      </c>
    </row>
    <row r="2076" hidden="1">
      <c r="A2076" s="109">
        <f>HYPERLINK("https://polkadot.subsquare.io/treasury/child-bounties/2118", 2118)</f>
        <v>2118</v>
      </c>
      <c r="B2076" s="183">
        <v>32.0</v>
      </c>
      <c r="C2076" s="27" t="s">
        <v>3404</v>
      </c>
      <c r="D2076" s="27" t="s">
        <v>2495</v>
      </c>
      <c r="E2076" s="129">
        <v>30.5026362139</v>
      </c>
      <c r="F2076" s="66">
        <v>127.01620718536664</v>
      </c>
      <c r="G2076" s="27" t="s">
        <v>3590</v>
      </c>
      <c r="H2076" s="167">
        <v>45540.0</v>
      </c>
      <c r="I2076" s="167">
        <v>45549.0</v>
      </c>
      <c r="J2076" s="66">
        <v>126.78191970208765</v>
      </c>
      <c r="M2076" s="1" t="str">
        <f>VLOOKUP(B2076,Bounties!A:D,3,FALSE)</f>
        <v>Operations</v>
      </c>
      <c r="N2076" s="1" t="str">
        <f>VLOOKUP(B2076,Bounties!A:D,4,FALSE)</f>
        <v>RPCs and Nodes</v>
      </c>
      <c r="O2076" s="1" t="str">
        <f t="shared" ref="O2076:P2076" si="2080">IF(ISBLANK(K2076),M2076,K2076)</f>
        <v>Operations</v>
      </c>
      <c r="P2076" s="1" t="str">
        <f t="shared" si="2080"/>
        <v>RPCs and Nodes</v>
      </c>
      <c r="Q2076" s="108" t="str">
        <f t="shared" si="3"/>
        <v>2024</v>
      </c>
      <c r="R2076" s="110">
        <f t="shared" si="4"/>
        <v>9</v>
      </c>
      <c r="S2076" s="108" t="str">
        <f t="shared" si="5"/>
        <v>2024-Q3</v>
      </c>
      <c r="T2076" s="111" t="str">
        <f t="shared" si="6"/>
        <v>2024-09</v>
      </c>
      <c r="U2076" s="112" t="str">
        <f t="shared" si="7"/>
        <v>2024-H2</v>
      </c>
      <c r="V2076" s="1" t="str">
        <f>VLOOKUP(B2076,Bounties!A:E,2,FALSE)</f>
        <v>System Parachains Collator Bounty</v>
      </c>
    </row>
    <row r="2077" hidden="1">
      <c r="A2077" s="109">
        <f>HYPERLINK("https://polkadot.subsquare.io/treasury/child-bounties/2119", 2119)</f>
        <v>2119</v>
      </c>
      <c r="B2077" s="183">
        <v>32.0</v>
      </c>
      <c r="C2077" s="27" t="s">
        <v>3404</v>
      </c>
      <c r="D2077" s="27" t="s">
        <v>2496</v>
      </c>
      <c r="E2077" s="129">
        <v>29.7789357061</v>
      </c>
      <c r="F2077" s="66">
        <v>124.00264163666199</v>
      </c>
      <c r="G2077" s="27" t="s">
        <v>3587</v>
      </c>
      <c r="H2077" s="167">
        <v>45540.0</v>
      </c>
      <c r="I2077" s="167">
        <v>45555.0</v>
      </c>
      <c r="J2077" s="66">
        <v>132.67915720595636</v>
      </c>
      <c r="M2077" s="1" t="str">
        <f>VLOOKUP(B2077,Bounties!A:D,3,FALSE)</f>
        <v>Operations</v>
      </c>
      <c r="N2077" s="1" t="str">
        <f>VLOOKUP(B2077,Bounties!A:D,4,FALSE)</f>
        <v>RPCs and Nodes</v>
      </c>
      <c r="O2077" s="1" t="str">
        <f t="shared" ref="O2077:P2077" si="2081">IF(ISBLANK(K2077),M2077,K2077)</f>
        <v>Operations</v>
      </c>
      <c r="P2077" s="1" t="str">
        <f t="shared" si="2081"/>
        <v>RPCs and Nodes</v>
      </c>
      <c r="Q2077" s="108" t="str">
        <f t="shared" si="3"/>
        <v>2024</v>
      </c>
      <c r="R2077" s="110">
        <f t="shared" si="4"/>
        <v>9</v>
      </c>
      <c r="S2077" s="108" t="str">
        <f t="shared" si="5"/>
        <v>2024-Q3</v>
      </c>
      <c r="T2077" s="111" t="str">
        <f t="shared" si="6"/>
        <v>2024-09</v>
      </c>
      <c r="U2077" s="112" t="str">
        <f t="shared" si="7"/>
        <v>2024-H2</v>
      </c>
      <c r="V2077" s="1" t="str">
        <f>VLOOKUP(B2077,Bounties!A:E,2,FALSE)</f>
        <v>System Parachains Collator Bounty</v>
      </c>
    </row>
    <row r="2078" hidden="1">
      <c r="A2078" s="109">
        <f>HYPERLINK("https://polkadot.subsquare.io/treasury/child-bounties/2120", 2120)</f>
        <v>2120</v>
      </c>
      <c r="B2078" s="183">
        <v>32.0</v>
      </c>
      <c r="C2078" s="27" t="s">
        <v>3404</v>
      </c>
      <c r="D2078" s="27" t="s">
        <v>2497</v>
      </c>
      <c r="E2078" s="129">
        <v>29.7219777958</v>
      </c>
      <c r="F2078" s="66">
        <v>123.76546286677542</v>
      </c>
      <c r="G2078" s="27" t="s">
        <v>3595</v>
      </c>
      <c r="H2078" s="167">
        <v>45540.0</v>
      </c>
      <c r="I2078" s="167">
        <v>45549.0</v>
      </c>
      <c r="J2078" s="66">
        <v>124.78689224419827</v>
      </c>
      <c r="M2078" s="1" t="str">
        <f>VLOOKUP(B2078,Bounties!A:D,3,FALSE)</f>
        <v>Operations</v>
      </c>
      <c r="N2078" s="1" t="str">
        <f>VLOOKUP(B2078,Bounties!A:D,4,FALSE)</f>
        <v>RPCs and Nodes</v>
      </c>
      <c r="O2078" s="1" t="str">
        <f t="shared" ref="O2078:P2078" si="2082">IF(ISBLANK(K2078),M2078,K2078)</f>
        <v>Operations</v>
      </c>
      <c r="P2078" s="1" t="str">
        <f t="shared" si="2082"/>
        <v>RPCs and Nodes</v>
      </c>
      <c r="Q2078" s="108" t="str">
        <f t="shared" si="3"/>
        <v>2024</v>
      </c>
      <c r="R2078" s="110">
        <f t="shared" si="4"/>
        <v>9</v>
      </c>
      <c r="S2078" s="108" t="str">
        <f t="shared" si="5"/>
        <v>2024-Q3</v>
      </c>
      <c r="T2078" s="111" t="str">
        <f t="shared" si="6"/>
        <v>2024-09</v>
      </c>
      <c r="U2078" s="112" t="str">
        <f t="shared" si="7"/>
        <v>2024-H2</v>
      </c>
      <c r="V2078" s="1" t="str">
        <f>VLOOKUP(B2078,Bounties!A:E,2,FALSE)</f>
        <v>System Parachains Collator Bounty</v>
      </c>
    </row>
    <row r="2079" hidden="1">
      <c r="A2079" s="109">
        <f>HYPERLINK("https://polkadot.subsquare.io/treasury/child-bounties/2121", 2121)</f>
        <v>2121</v>
      </c>
      <c r="B2079" s="183">
        <v>32.0</v>
      </c>
      <c r="C2079" s="27" t="s">
        <v>3404</v>
      </c>
      <c r="D2079" s="27" t="s">
        <v>2498</v>
      </c>
      <c r="E2079" s="129">
        <v>29.7722347755</v>
      </c>
      <c r="F2079" s="66">
        <v>123.97473825206743</v>
      </c>
      <c r="G2079" s="27" t="s">
        <v>3591</v>
      </c>
      <c r="H2079" s="167">
        <v>45540.0</v>
      </c>
      <c r="I2079" s="167">
        <v>45549.0</v>
      </c>
      <c r="J2079" s="66">
        <v>123.74606090404318</v>
      </c>
      <c r="M2079" s="1" t="str">
        <f>VLOOKUP(B2079,Bounties!A:D,3,FALSE)</f>
        <v>Operations</v>
      </c>
      <c r="N2079" s="1" t="str">
        <f>VLOOKUP(B2079,Bounties!A:D,4,FALSE)</f>
        <v>RPCs and Nodes</v>
      </c>
      <c r="O2079" s="1" t="str">
        <f t="shared" ref="O2079:P2079" si="2083">IF(ISBLANK(K2079),M2079,K2079)</f>
        <v>Operations</v>
      </c>
      <c r="P2079" s="1" t="str">
        <f t="shared" si="2083"/>
        <v>RPCs and Nodes</v>
      </c>
      <c r="Q2079" s="108" t="str">
        <f t="shared" si="3"/>
        <v>2024</v>
      </c>
      <c r="R2079" s="110">
        <f t="shared" si="4"/>
        <v>9</v>
      </c>
      <c r="S2079" s="108" t="str">
        <f t="shared" si="5"/>
        <v>2024-Q3</v>
      </c>
      <c r="T2079" s="111" t="str">
        <f t="shared" si="6"/>
        <v>2024-09</v>
      </c>
      <c r="U2079" s="112" t="str">
        <f t="shared" si="7"/>
        <v>2024-H2</v>
      </c>
      <c r="V2079" s="1" t="str">
        <f>VLOOKUP(B2079,Bounties!A:E,2,FALSE)</f>
        <v>System Parachains Collator Bounty</v>
      </c>
    </row>
    <row r="2080" hidden="1">
      <c r="A2080" s="109">
        <f>HYPERLINK("https://polkadot.subsquare.io/treasury/child-bounties/2122", 2122)</f>
        <v>2122</v>
      </c>
      <c r="B2080" s="183">
        <v>32.0</v>
      </c>
      <c r="C2080" s="27" t="s">
        <v>3404</v>
      </c>
      <c r="D2080" s="27" t="s">
        <v>2499</v>
      </c>
      <c r="E2080" s="129">
        <v>29.2160575335</v>
      </c>
      <c r="F2080" s="66">
        <v>121.65875732155803</v>
      </c>
      <c r="G2080" s="27" t="s">
        <v>3589</v>
      </c>
      <c r="H2080" s="167">
        <v>45540.0</v>
      </c>
      <c r="I2080" s="167">
        <v>45549.0</v>
      </c>
      <c r="J2080" s="66">
        <v>121.43435191138765</v>
      </c>
      <c r="M2080" s="1" t="str">
        <f>VLOOKUP(B2080,Bounties!A:D,3,FALSE)</f>
        <v>Operations</v>
      </c>
      <c r="N2080" s="1" t="str">
        <f>VLOOKUP(B2080,Bounties!A:D,4,FALSE)</f>
        <v>RPCs and Nodes</v>
      </c>
      <c r="O2080" s="1" t="str">
        <f t="shared" ref="O2080:P2080" si="2084">IF(ISBLANK(K2080),M2080,K2080)</f>
        <v>Operations</v>
      </c>
      <c r="P2080" s="1" t="str">
        <f t="shared" si="2084"/>
        <v>RPCs and Nodes</v>
      </c>
      <c r="Q2080" s="108" t="str">
        <f t="shared" si="3"/>
        <v>2024</v>
      </c>
      <c r="R2080" s="110">
        <f t="shared" si="4"/>
        <v>9</v>
      </c>
      <c r="S2080" s="108" t="str">
        <f t="shared" si="5"/>
        <v>2024-Q3</v>
      </c>
      <c r="T2080" s="111" t="str">
        <f t="shared" si="6"/>
        <v>2024-09</v>
      </c>
      <c r="U2080" s="112" t="str">
        <f t="shared" si="7"/>
        <v>2024-H2</v>
      </c>
      <c r="V2080" s="1" t="str">
        <f>VLOOKUP(B2080,Bounties!A:E,2,FALSE)</f>
        <v>System Parachains Collator Bounty</v>
      </c>
    </row>
    <row r="2081" hidden="1">
      <c r="A2081" s="109">
        <f>HYPERLINK("https://polkadot.subsquare.io/treasury/child-bounties/2123", 2123)</f>
        <v>2123</v>
      </c>
      <c r="B2081" s="183">
        <v>32.0</v>
      </c>
      <c r="C2081" s="27" t="s">
        <v>3404</v>
      </c>
      <c r="D2081" s="27" t="s">
        <v>2500</v>
      </c>
      <c r="E2081" s="129">
        <v>29.1624500885</v>
      </c>
      <c r="F2081" s="66">
        <v>121.43553024396874</v>
      </c>
      <c r="G2081" s="27" t="s">
        <v>3592</v>
      </c>
      <c r="H2081" s="167">
        <v>45540.0</v>
      </c>
      <c r="I2081" s="167">
        <v>45548.0</v>
      </c>
      <c r="J2081" s="66">
        <v>122.43773081900017</v>
      </c>
      <c r="M2081" s="1" t="str">
        <f>VLOOKUP(B2081,Bounties!A:D,3,FALSE)</f>
        <v>Operations</v>
      </c>
      <c r="N2081" s="1" t="str">
        <f>VLOOKUP(B2081,Bounties!A:D,4,FALSE)</f>
        <v>RPCs and Nodes</v>
      </c>
      <c r="O2081" s="1" t="str">
        <f t="shared" ref="O2081:P2081" si="2085">IF(ISBLANK(K2081),M2081,K2081)</f>
        <v>Operations</v>
      </c>
      <c r="P2081" s="1" t="str">
        <f t="shared" si="2085"/>
        <v>RPCs and Nodes</v>
      </c>
      <c r="Q2081" s="108" t="str">
        <f t="shared" si="3"/>
        <v>2024</v>
      </c>
      <c r="R2081" s="110">
        <f t="shared" si="4"/>
        <v>9</v>
      </c>
      <c r="S2081" s="108" t="str">
        <f t="shared" si="5"/>
        <v>2024-Q3</v>
      </c>
      <c r="T2081" s="111" t="str">
        <f t="shared" si="6"/>
        <v>2024-09</v>
      </c>
      <c r="U2081" s="112" t="str">
        <f t="shared" si="7"/>
        <v>2024-H2</v>
      </c>
      <c r="V2081" s="1" t="str">
        <f>VLOOKUP(B2081,Bounties!A:E,2,FALSE)</f>
        <v>System Parachains Collator Bounty</v>
      </c>
    </row>
    <row r="2082" hidden="1">
      <c r="A2082" s="109">
        <f>HYPERLINK("https://polkadot.subsquare.io/treasury/child-bounties/2124", 2124)</f>
        <v>2124</v>
      </c>
      <c r="B2082" s="183">
        <v>32.0</v>
      </c>
      <c r="C2082" s="27" t="s">
        <v>3404</v>
      </c>
      <c r="D2082" s="27" t="s">
        <v>2501</v>
      </c>
      <c r="E2082" s="129">
        <v>15.2900278302</v>
      </c>
      <c r="F2082" s="66">
        <v>63.66929497935335</v>
      </c>
      <c r="G2082" s="27" t="s">
        <v>3407</v>
      </c>
      <c r="H2082" s="167">
        <v>45540.0</v>
      </c>
      <c r="I2082" s="167">
        <v>45548.0</v>
      </c>
      <c r="J2082" s="66">
        <v>64.19475407614287</v>
      </c>
      <c r="M2082" s="1" t="str">
        <f>VLOOKUP(B2082,Bounties!A:D,3,FALSE)</f>
        <v>Operations</v>
      </c>
      <c r="N2082" s="1" t="str">
        <f>VLOOKUP(B2082,Bounties!A:D,4,FALSE)</f>
        <v>RPCs and Nodes</v>
      </c>
      <c r="O2082" s="1" t="str">
        <f t="shared" ref="O2082:P2082" si="2086">IF(ISBLANK(K2082),M2082,K2082)</f>
        <v>Operations</v>
      </c>
      <c r="P2082" s="1" t="str">
        <f t="shared" si="2086"/>
        <v>RPCs and Nodes</v>
      </c>
      <c r="Q2082" s="108" t="str">
        <f t="shared" si="3"/>
        <v>2024</v>
      </c>
      <c r="R2082" s="110">
        <f t="shared" si="4"/>
        <v>9</v>
      </c>
      <c r="S2082" s="108" t="str">
        <f t="shared" si="5"/>
        <v>2024-Q3</v>
      </c>
      <c r="T2082" s="111" t="str">
        <f t="shared" si="6"/>
        <v>2024-09</v>
      </c>
      <c r="U2082" s="112" t="str">
        <f t="shared" si="7"/>
        <v>2024-H2</v>
      </c>
      <c r="V2082" s="1" t="str">
        <f>VLOOKUP(B2082,Bounties!A:E,2,FALSE)</f>
        <v>System Parachains Collator Bounty</v>
      </c>
    </row>
    <row r="2083" hidden="1">
      <c r="A2083" s="109">
        <f>HYPERLINK("https://polkadot.subsquare.io/treasury/child-bounties/2125", 2125)</f>
        <v>2125</v>
      </c>
      <c r="B2083" s="183">
        <v>32.0</v>
      </c>
      <c r="C2083" s="27" t="s">
        <v>3404</v>
      </c>
      <c r="D2083" s="27" t="s">
        <v>2502</v>
      </c>
      <c r="E2083" s="129">
        <v>15.2900278302</v>
      </c>
      <c r="F2083" s="66">
        <v>63.66929497935335</v>
      </c>
      <c r="G2083" s="27" t="s">
        <v>3406</v>
      </c>
      <c r="H2083" s="167">
        <v>45540.0</v>
      </c>
      <c r="I2083" s="167">
        <v>45549.0</v>
      </c>
      <c r="J2083" s="66">
        <v>64.19475407614287</v>
      </c>
      <c r="M2083" s="1" t="str">
        <f>VLOOKUP(B2083,Bounties!A:D,3,FALSE)</f>
        <v>Operations</v>
      </c>
      <c r="N2083" s="1" t="str">
        <f>VLOOKUP(B2083,Bounties!A:D,4,FALSE)</f>
        <v>RPCs and Nodes</v>
      </c>
      <c r="O2083" s="1" t="str">
        <f t="shared" ref="O2083:P2083" si="2087">IF(ISBLANK(K2083),M2083,K2083)</f>
        <v>Operations</v>
      </c>
      <c r="P2083" s="1" t="str">
        <f t="shared" si="2087"/>
        <v>RPCs and Nodes</v>
      </c>
      <c r="Q2083" s="108" t="str">
        <f t="shared" si="3"/>
        <v>2024</v>
      </c>
      <c r="R2083" s="110">
        <f t="shared" si="4"/>
        <v>9</v>
      </c>
      <c r="S2083" s="108" t="str">
        <f t="shared" si="5"/>
        <v>2024-Q3</v>
      </c>
      <c r="T2083" s="111" t="str">
        <f t="shared" si="6"/>
        <v>2024-09</v>
      </c>
      <c r="U2083" s="112" t="str">
        <f t="shared" si="7"/>
        <v>2024-H2</v>
      </c>
      <c r="V2083" s="1" t="str">
        <f>VLOOKUP(B2083,Bounties!A:E,2,FALSE)</f>
        <v>System Parachains Collator Bounty</v>
      </c>
    </row>
    <row r="2084" hidden="1">
      <c r="A2084" s="109">
        <f>HYPERLINK("https://polkadot.subsquare.io/treasury/child-bounties/2126", 2126)</f>
        <v>2126</v>
      </c>
      <c r="B2084" s="183">
        <v>32.0</v>
      </c>
      <c r="C2084" s="27" t="s">
        <v>3404</v>
      </c>
      <c r="D2084" s="27" t="s">
        <v>2503</v>
      </c>
      <c r="E2084" s="129">
        <v>15.2900278302</v>
      </c>
      <c r="F2084" s="66">
        <v>63.66929497935335</v>
      </c>
      <c r="G2084" s="27" t="s">
        <v>3411</v>
      </c>
      <c r="H2084" s="167">
        <v>45540.0</v>
      </c>
      <c r="I2084" s="167">
        <v>45548.0</v>
      </c>
      <c r="J2084" s="66">
        <v>64.19475407614287</v>
      </c>
      <c r="M2084" s="1" t="str">
        <f>VLOOKUP(B2084,Bounties!A:D,3,FALSE)</f>
        <v>Operations</v>
      </c>
      <c r="N2084" s="1" t="str">
        <f>VLOOKUP(B2084,Bounties!A:D,4,FALSE)</f>
        <v>RPCs and Nodes</v>
      </c>
      <c r="O2084" s="1" t="str">
        <f t="shared" ref="O2084:P2084" si="2088">IF(ISBLANK(K2084),M2084,K2084)</f>
        <v>Operations</v>
      </c>
      <c r="P2084" s="1" t="str">
        <f t="shared" si="2088"/>
        <v>RPCs and Nodes</v>
      </c>
      <c r="Q2084" s="108" t="str">
        <f t="shared" si="3"/>
        <v>2024</v>
      </c>
      <c r="R2084" s="110">
        <f t="shared" si="4"/>
        <v>9</v>
      </c>
      <c r="S2084" s="108" t="str">
        <f t="shared" si="5"/>
        <v>2024-Q3</v>
      </c>
      <c r="T2084" s="111" t="str">
        <f t="shared" si="6"/>
        <v>2024-09</v>
      </c>
      <c r="U2084" s="112" t="str">
        <f t="shared" si="7"/>
        <v>2024-H2</v>
      </c>
      <c r="V2084" s="1" t="str">
        <f>VLOOKUP(B2084,Bounties!A:E,2,FALSE)</f>
        <v>System Parachains Collator Bounty</v>
      </c>
    </row>
    <row r="2085" hidden="1">
      <c r="A2085" s="109">
        <f>HYPERLINK("https://polkadot.subsquare.io/treasury/child-bounties/2129", 2129)</f>
        <v>2129</v>
      </c>
      <c r="B2085" s="183">
        <v>36.0</v>
      </c>
      <c r="C2085" s="27" t="s">
        <v>3404</v>
      </c>
      <c r="D2085" s="27" t="s">
        <v>2504</v>
      </c>
      <c r="E2085" s="129">
        <v>6601.1</v>
      </c>
      <c r="F2085" s="66">
        <v>28291.932248687746</v>
      </c>
      <c r="G2085" s="27" t="s">
        <v>3803</v>
      </c>
      <c r="H2085" s="167">
        <v>45542.0</v>
      </c>
      <c r="I2085" s="167">
        <v>45553.0</v>
      </c>
      <c r="J2085" s="66">
        <v>28631.33387989998</v>
      </c>
      <c r="M2085" s="1" t="str">
        <f>VLOOKUP(B2085,Bounties!A:D,3,FALSE)</f>
        <v>Development</v>
      </c>
      <c r="N2085" s="1" t="str">
        <f>VLOOKUP(B2085,Bounties!A:D,4,FALSE)</f>
        <v>Software Development</v>
      </c>
      <c r="O2085" s="1" t="str">
        <f t="shared" ref="O2085:P2085" si="2089">IF(ISBLANK(K2085),M2085,K2085)</f>
        <v>Development</v>
      </c>
      <c r="P2085" s="1" t="str">
        <f t="shared" si="2089"/>
        <v>Software Development</v>
      </c>
      <c r="Q2085" s="108" t="str">
        <f t="shared" si="3"/>
        <v>2024</v>
      </c>
      <c r="R2085" s="110">
        <f t="shared" si="4"/>
        <v>9</v>
      </c>
      <c r="S2085" s="108" t="str">
        <f t="shared" si="5"/>
        <v>2024-Q3</v>
      </c>
      <c r="T2085" s="111" t="str">
        <f t="shared" si="6"/>
        <v>2024-09</v>
      </c>
      <c r="U2085" s="112" t="str">
        <f t="shared" si="7"/>
        <v>2024-H2</v>
      </c>
      <c r="V2085" s="1" t="str">
        <f>VLOOKUP(B2085,Bounties!A:E,2,FALSE)</f>
        <v>DeFi Infrastructure and Tooling Bounty</v>
      </c>
    </row>
    <row r="2086" hidden="1">
      <c r="A2086" s="109">
        <f>HYPERLINK("https://polkadot.subsquare.io/treasury/child-bounties/2130", 2130)</f>
        <v>2130</v>
      </c>
      <c r="B2086" s="183">
        <v>40.0</v>
      </c>
      <c r="C2086" s="27" t="s">
        <v>3404</v>
      </c>
      <c r="D2086" s="27" t="s">
        <v>2505</v>
      </c>
      <c r="E2086" s="129">
        <v>1524.0</v>
      </c>
      <c r="F2086" s="66">
        <v>6531.775726318359</v>
      </c>
      <c r="G2086" s="27" t="s">
        <v>3804</v>
      </c>
      <c r="H2086" s="167">
        <v>45542.0</v>
      </c>
      <c r="I2086" s="167">
        <v>45550.0</v>
      </c>
      <c r="J2086" s="66">
        <v>6353.609275817871</v>
      </c>
      <c r="M2086" s="1" t="str">
        <f>VLOOKUP(B2086,Bounties!A:D,3,FALSE)</f>
        <v>Outreach</v>
      </c>
      <c r="N2086" s="1" t="str">
        <f>VLOOKUP(B2086,Bounties!A:D,4,FALSE)</f>
        <v>Business Development</v>
      </c>
      <c r="O2086" s="1" t="str">
        <f t="shared" ref="O2086:P2086" si="2090">IF(ISBLANK(K2086),M2086,K2086)</f>
        <v>Outreach</v>
      </c>
      <c r="P2086" s="1" t="str">
        <f t="shared" si="2090"/>
        <v>Business Development</v>
      </c>
      <c r="Q2086" s="108" t="str">
        <f t="shared" si="3"/>
        <v>2024</v>
      </c>
      <c r="R2086" s="110">
        <f t="shared" si="4"/>
        <v>9</v>
      </c>
      <c r="S2086" s="108" t="str">
        <f t="shared" si="5"/>
        <v>2024-Q3</v>
      </c>
      <c r="T2086" s="111" t="str">
        <f t="shared" si="6"/>
        <v>2024-09</v>
      </c>
      <c r="U2086" s="112" t="str">
        <f t="shared" si="7"/>
        <v>2024-H2</v>
      </c>
      <c r="V2086" s="1" t="str">
        <f>VLOOKUP(B2086,Bounties!A:E,2,FALSE)</f>
        <v>BD Bounty in Spain &amp; Andorra</v>
      </c>
    </row>
    <row r="2087" hidden="1">
      <c r="A2087" s="109">
        <f>HYPERLINK("https://polkadot.subsquare.io/treasury/child-bounties/2131", 2131)</f>
        <v>2131</v>
      </c>
      <c r="B2087" s="183">
        <v>36.0</v>
      </c>
      <c r="C2087" s="27" t="s">
        <v>3404</v>
      </c>
      <c r="D2087" s="27" t="s">
        <v>2506</v>
      </c>
      <c r="E2087" s="129">
        <v>4500.35</v>
      </c>
      <c r="F2087" s="66">
        <v>19154.59709084034</v>
      </c>
      <c r="G2087" s="27" t="s">
        <v>3805</v>
      </c>
      <c r="H2087" s="167">
        <v>45542.0</v>
      </c>
      <c r="I2087" s="167">
        <v>45553.0</v>
      </c>
      <c r="J2087" s="66">
        <v>20098.679340958595</v>
      </c>
      <c r="M2087" s="1" t="str">
        <f>VLOOKUP(B2087,Bounties!A:D,3,FALSE)</f>
        <v>Development</v>
      </c>
      <c r="N2087" s="1" t="str">
        <f>VLOOKUP(B2087,Bounties!A:D,4,FALSE)</f>
        <v>Software Development</v>
      </c>
      <c r="O2087" s="1" t="str">
        <f t="shared" ref="O2087:P2087" si="2091">IF(ISBLANK(K2087),M2087,K2087)</f>
        <v>Development</v>
      </c>
      <c r="P2087" s="1" t="str">
        <f t="shared" si="2091"/>
        <v>Software Development</v>
      </c>
      <c r="Q2087" s="108" t="str">
        <f t="shared" si="3"/>
        <v>2024</v>
      </c>
      <c r="R2087" s="110">
        <f t="shared" si="4"/>
        <v>9</v>
      </c>
      <c r="S2087" s="108" t="str">
        <f t="shared" si="5"/>
        <v>2024-Q3</v>
      </c>
      <c r="T2087" s="111" t="str">
        <f t="shared" si="6"/>
        <v>2024-09</v>
      </c>
      <c r="U2087" s="112" t="str">
        <f t="shared" si="7"/>
        <v>2024-H2</v>
      </c>
      <c r="V2087" s="1" t="str">
        <f>VLOOKUP(B2087,Bounties!A:E,2,FALSE)</f>
        <v>DeFi Infrastructure and Tooling Bounty</v>
      </c>
    </row>
    <row r="2088" hidden="1">
      <c r="A2088" s="109">
        <f>HYPERLINK("https://polkadot.subsquare.io/treasury/child-bounties/2132", 2132)</f>
        <v>2132</v>
      </c>
      <c r="B2088" s="183">
        <v>11.0</v>
      </c>
      <c r="C2088" s="27" t="s">
        <v>3404</v>
      </c>
      <c r="D2088" s="27" t="s">
        <v>2507</v>
      </c>
      <c r="E2088" s="129">
        <v>78.0487804878</v>
      </c>
      <c r="F2088" s="66">
        <v>327.15331286916785</v>
      </c>
      <c r="G2088" s="27" t="s">
        <v>3406</v>
      </c>
      <c r="H2088" s="167">
        <v>45543.0</v>
      </c>
      <c r="I2088" s="167">
        <v>45558.0</v>
      </c>
      <c r="J2088" s="66">
        <v>361.79489507905515</v>
      </c>
      <c r="M2088" s="1" t="str">
        <f>VLOOKUP(B2088,Bounties!A:D,3,FALSE)</f>
        <v>Research</v>
      </c>
      <c r="N2088" s="1" t="str">
        <f>VLOOKUP(B2088,Bounties!A:D,4,FALSE)</f>
        <v>Anti-Scam</v>
      </c>
      <c r="O2088" s="1" t="str">
        <f t="shared" ref="O2088:P2088" si="2092">IF(ISBLANK(K2088),M2088,K2088)</f>
        <v>Research</v>
      </c>
      <c r="P2088" s="1" t="str">
        <f t="shared" si="2092"/>
        <v>Anti-Scam</v>
      </c>
      <c r="Q2088" s="108" t="str">
        <f t="shared" si="3"/>
        <v>2024</v>
      </c>
      <c r="R2088" s="110">
        <f t="shared" si="4"/>
        <v>9</v>
      </c>
      <c r="S2088" s="108" t="str">
        <f t="shared" si="5"/>
        <v>2024-Q3</v>
      </c>
      <c r="T2088" s="111" t="str">
        <f t="shared" si="6"/>
        <v>2024-09</v>
      </c>
      <c r="U2088" s="112" t="str">
        <f t="shared" si="7"/>
        <v>2024-H2</v>
      </c>
      <c r="V2088" s="1" t="str">
        <f>VLOOKUP(B2088,Bounties!A:E,2,FALSE)</f>
        <v>Anti-Scam Bounty</v>
      </c>
    </row>
    <row r="2089" hidden="1">
      <c r="A2089" s="109">
        <f>HYPERLINK("https://polkadot.subsquare.io/treasury/child-bounties/2133", 2133)</f>
        <v>2133</v>
      </c>
      <c r="B2089" s="183">
        <v>11.0</v>
      </c>
      <c r="C2089" s="27" t="s">
        <v>3404</v>
      </c>
      <c r="D2089" s="27" t="s">
        <v>2508</v>
      </c>
      <c r="E2089" s="129">
        <v>234.1463414634</v>
      </c>
      <c r="F2089" s="66">
        <v>981.4599386075034</v>
      </c>
      <c r="G2089" s="27" t="s">
        <v>3409</v>
      </c>
      <c r="H2089" s="167">
        <v>45543.0</v>
      </c>
      <c r="I2089" s="167">
        <v>45554.0</v>
      </c>
      <c r="J2089" s="66">
        <v>1045.7036088151976</v>
      </c>
      <c r="M2089" s="1" t="str">
        <f>VLOOKUP(B2089,Bounties!A:D,3,FALSE)</f>
        <v>Research</v>
      </c>
      <c r="N2089" s="1" t="str">
        <f>VLOOKUP(B2089,Bounties!A:D,4,FALSE)</f>
        <v>Anti-Scam</v>
      </c>
      <c r="O2089" s="1" t="str">
        <f t="shared" ref="O2089:P2089" si="2093">IF(ISBLANK(K2089),M2089,K2089)</f>
        <v>Research</v>
      </c>
      <c r="P2089" s="1" t="str">
        <f t="shared" si="2093"/>
        <v>Anti-Scam</v>
      </c>
      <c r="Q2089" s="108" t="str">
        <f t="shared" si="3"/>
        <v>2024</v>
      </c>
      <c r="R2089" s="110">
        <f t="shared" si="4"/>
        <v>9</v>
      </c>
      <c r="S2089" s="108" t="str">
        <f t="shared" si="5"/>
        <v>2024-Q3</v>
      </c>
      <c r="T2089" s="111" t="str">
        <f t="shared" si="6"/>
        <v>2024-09</v>
      </c>
      <c r="U2089" s="112" t="str">
        <f t="shared" si="7"/>
        <v>2024-H2</v>
      </c>
      <c r="V2089" s="1" t="str">
        <f>VLOOKUP(B2089,Bounties!A:E,2,FALSE)</f>
        <v>Anti-Scam Bounty</v>
      </c>
    </row>
    <row r="2090" hidden="1">
      <c r="A2090" s="109">
        <f>HYPERLINK("https://polkadot.subsquare.io/treasury/child-bounties/2134", 2134)</f>
        <v>2134</v>
      </c>
      <c r="B2090" s="183">
        <v>11.0</v>
      </c>
      <c r="C2090" s="27" t="s">
        <v>3404</v>
      </c>
      <c r="D2090" s="27" t="s">
        <v>2509</v>
      </c>
      <c r="E2090" s="129">
        <v>60.975609756</v>
      </c>
      <c r="F2090" s="66">
        <v>255.58852567864437</v>
      </c>
      <c r="G2090" s="27" t="s">
        <v>3628</v>
      </c>
      <c r="H2090" s="167">
        <v>45543.0</v>
      </c>
      <c r="I2090" s="167">
        <v>45554.0</v>
      </c>
      <c r="J2090" s="66">
        <v>272.318648128539</v>
      </c>
      <c r="M2090" s="1" t="str">
        <f>VLOOKUP(B2090,Bounties!A:D,3,FALSE)</f>
        <v>Research</v>
      </c>
      <c r="N2090" s="1" t="str">
        <f>VLOOKUP(B2090,Bounties!A:D,4,FALSE)</f>
        <v>Anti-Scam</v>
      </c>
      <c r="O2090" s="1" t="str">
        <f t="shared" ref="O2090:P2090" si="2094">IF(ISBLANK(K2090),M2090,K2090)</f>
        <v>Research</v>
      </c>
      <c r="P2090" s="1" t="str">
        <f t="shared" si="2094"/>
        <v>Anti-Scam</v>
      </c>
      <c r="Q2090" s="108" t="str">
        <f t="shared" si="3"/>
        <v>2024</v>
      </c>
      <c r="R2090" s="110">
        <f t="shared" si="4"/>
        <v>9</v>
      </c>
      <c r="S2090" s="108" t="str">
        <f t="shared" si="5"/>
        <v>2024-Q3</v>
      </c>
      <c r="T2090" s="111" t="str">
        <f t="shared" si="6"/>
        <v>2024-09</v>
      </c>
      <c r="U2090" s="112" t="str">
        <f t="shared" si="7"/>
        <v>2024-H2</v>
      </c>
      <c r="V2090" s="1" t="str">
        <f>VLOOKUP(B2090,Bounties!A:E,2,FALSE)</f>
        <v>Anti-Scam Bounty</v>
      </c>
    </row>
    <row r="2091" hidden="1">
      <c r="A2091" s="109">
        <f>HYPERLINK("https://polkadot.subsquare.io/treasury/child-bounties/2136", 2136)</f>
        <v>2136</v>
      </c>
      <c r="B2091" s="183">
        <v>11.0</v>
      </c>
      <c r="C2091" s="27" t="s">
        <v>3404</v>
      </c>
      <c r="D2091" s="27" t="s">
        <v>2510</v>
      </c>
      <c r="E2091" s="129">
        <v>60.975609756</v>
      </c>
      <c r="F2091" s="66">
        <v>255.58852567864437</v>
      </c>
      <c r="G2091" s="27" t="s">
        <v>3628</v>
      </c>
      <c r="H2091" s="167">
        <v>45543.0</v>
      </c>
      <c r="I2091" s="167">
        <v>45554.0</v>
      </c>
      <c r="J2091" s="66">
        <v>272.318648128539</v>
      </c>
      <c r="M2091" s="1" t="str">
        <f>VLOOKUP(B2091,Bounties!A:D,3,FALSE)</f>
        <v>Research</v>
      </c>
      <c r="N2091" s="1" t="str">
        <f>VLOOKUP(B2091,Bounties!A:D,4,FALSE)</f>
        <v>Anti-Scam</v>
      </c>
      <c r="O2091" s="1" t="str">
        <f t="shared" ref="O2091:P2091" si="2095">IF(ISBLANK(K2091),M2091,K2091)</f>
        <v>Research</v>
      </c>
      <c r="P2091" s="1" t="str">
        <f t="shared" si="2095"/>
        <v>Anti-Scam</v>
      </c>
      <c r="Q2091" s="108" t="str">
        <f t="shared" si="3"/>
        <v>2024</v>
      </c>
      <c r="R2091" s="110">
        <f t="shared" si="4"/>
        <v>9</v>
      </c>
      <c r="S2091" s="108" t="str">
        <f t="shared" si="5"/>
        <v>2024-Q3</v>
      </c>
      <c r="T2091" s="111" t="str">
        <f t="shared" si="6"/>
        <v>2024-09</v>
      </c>
      <c r="U2091" s="112" t="str">
        <f t="shared" si="7"/>
        <v>2024-H2</v>
      </c>
      <c r="V2091" s="1" t="str">
        <f>VLOOKUP(B2091,Bounties!A:E,2,FALSE)</f>
        <v>Anti-Scam Bounty</v>
      </c>
    </row>
    <row r="2092" hidden="1">
      <c r="A2092" s="109">
        <f>HYPERLINK("https://polkadot.subsquare.io/treasury/child-bounties/2137", 2137)</f>
        <v>2137</v>
      </c>
      <c r="B2092" s="183">
        <v>11.0</v>
      </c>
      <c r="C2092" s="27" t="s">
        <v>3404</v>
      </c>
      <c r="D2092" s="27" t="s">
        <v>2511</v>
      </c>
      <c r="E2092" s="129">
        <v>60.975609756</v>
      </c>
      <c r="F2092" s="66">
        <v>255.58852567864437</v>
      </c>
      <c r="G2092" s="27" t="s">
        <v>3457</v>
      </c>
      <c r="H2092" s="167">
        <v>45543.0</v>
      </c>
      <c r="I2092" s="167">
        <v>45554.0</v>
      </c>
      <c r="J2092" s="66">
        <v>272.318648128539</v>
      </c>
      <c r="M2092" s="1" t="str">
        <f>VLOOKUP(B2092,Bounties!A:D,3,FALSE)</f>
        <v>Research</v>
      </c>
      <c r="N2092" s="1" t="str">
        <f>VLOOKUP(B2092,Bounties!A:D,4,FALSE)</f>
        <v>Anti-Scam</v>
      </c>
      <c r="O2092" s="1" t="str">
        <f t="shared" ref="O2092:P2092" si="2096">IF(ISBLANK(K2092),M2092,K2092)</f>
        <v>Research</v>
      </c>
      <c r="P2092" s="1" t="str">
        <f t="shared" si="2096"/>
        <v>Anti-Scam</v>
      </c>
      <c r="Q2092" s="108" t="str">
        <f t="shared" si="3"/>
        <v>2024</v>
      </c>
      <c r="R2092" s="110">
        <f t="shared" si="4"/>
        <v>9</v>
      </c>
      <c r="S2092" s="108" t="str">
        <f t="shared" si="5"/>
        <v>2024-Q3</v>
      </c>
      <c r="T2092" s="111" t="str">
        <f t="shared" si="6"/>
        <v>2024-09</v>
      </c>
      <c r="U2092" s="112" t="str">
        <f t="shared" si="7"/>
        <v>2024-H2</v>
      </c>
      <c r="V2092" s="1" t="str">
        <f>VLOOKUP(B2092,Bounties!A:E,2,FALSE)</f>
        <v>Anti-Scam Bounty</v>
      </c>
    </row>
    <row r="2093" hidden="1">
      <c r="A2093" s="109">
        <f>HYPERLINK("https://polkadot.subsquare.io/treasury/child-bounties/2138", 2138)</f>
        <v>2138</v>
      </c>
      <c r="B2093" s="183">
        <v>17.0</v>
      </c>
      <c r="C2093" s="27" t="s">
        <v>3404</v>
      </c>
      <c r="D2093" s="27" t="s">
        <v>2512</v>
      </c>
      <c r="E2093" s="129">
        <v>57.46</v>
      </c>
      <c r="F2093" s="66">
        <v>240.85231364250183</v>
      </c>
      <c r="G2093" s="27" t="s">
        <v>3670</v>
      </c>
      <c r="H2093" s="167">
        <v>45544.0</v>
      </c>
      <c r="I2093" s="167">
        <v>45553.0</v>
      </c>
      <c r="J2093" s="66">
        <v>249.22459055900575</v>
      </c>
      <c r="M2093" s="1" t="str">
        <f>VLOOKUP(B2093,Bounties!A:D,3,FALSE)</f>
        <v>Outreach</v>
      </c>
      <c r="N2093" s="1" t="str">
        <f>VLOOKUP(B2093,Bounties!A:D,4,FALSE)</f>
        <v>Events/Meetups</v>
      </c>
      <c r="O2093" s="1" t="str">
        <f t="shared" ref="O2093:P2093" si="2097">IF(ISBLANK(K2093),M2093,K2093)</f>
        <v>Outreach</v>
      </c>
      <c r="P2093" s="1" t="str">
        <f t="shared" si="2097"/>
        <v>Events/Meetups</v>
      </c>
      <c r="Q2093" s="108" t="str">
        <f t="shared" si="3"/>
        <v>2024</v>
      </c>
      <c r="R2093" s="110">
        <f t="shared" si="4"/>
        <v>9</v>
      </c>
      <c r="S2093" s="108" t="str">
        <f t="shared" si="5"/>
        <v>2024-Q3</v>
      </c>
      <c r="T2093" s="111" t="str">
        <f t="shared" si="6"/>
        <v>2024-09</v>
      </c>
      <c r="U2093" s="112" t="str">
        <f t="shared" si="7"/>
        <v>2024-H2</v>
      </c>
      <c r="V2093" s="1" t="str">
        <f>VLOOKUP(B2093,Bounties!A:E,2,FALSE)</f>
        <v>Events Bounty</v>
      </c>
    </row>
    <row r="2094" hidden="1">
      <c r="A2094" s="109">
        <f>HYPERLINK("https://polkadot.subsquare.io/treasury/child-bounties/2139", 2139)</f>
        <v>2139</v>
      </c>
      <c r="B2094" s="183">
        <v>17.0</v>
      </c>
      <c r="C2094" s="27" t="s">
        <v>3404</v>
      </c>
      <c r="D2094" s="27" t="s">
        <v>2513</v>
      </c>
      <c r="E2094" s="129">
        <v>59.85</v>
      </c>
      <c r="F2094" s="66">
        <v>250.87036149501802</v>
      </c>
      <c r="G2094" s="27" t="s">
        <v>3670</v>
      </c>
      <c r="H2094" s="167">
        <v>45544.0</v>
      </c>
      <c r="I2094" s="167">
        <v>45553.0</v>
      </c>
      <c r="J2094" s="66">
        <v>259.5908761739731</v>
      </c>
      <c r="M2094" s="1" t="str">
        <f>VLOOKUP(B2094,Bounties!A:D,3,FALSE)</f>
        <v>Outreach</v>
      </c>
      <c r="N2094" s="1" t="str">
        <f>VLOOKUP(B2094,Bounties!A:D,4,FALSE)</f>
        <v>Events/Meetups</v>
      </c>
      <c r="O2094" s="1" t="str">
        <f t="shared" ref="O2094:P2094" si="2098">IF(ISBLANK(K2094),M2094,K2094)</f>
        <v>Outreach</v>
      </c>
      <c r="P2094" s="1" t="str">
        <f t="shared" si="2098"/>
        <v>Events/Meetups</v>
      </c>
      <c r="Q2094" s="108" t="str">
        <f t="shared" si="3"/>
        <v>2024</v>
      </c>
      <c r="R2094" s="110">
        <f t="shared" si="4"/>
        <v>9</v>
      </c>
      <c r="S2094" s="108" t="str">
        <f t="shared" si="5"/>
        <v>2024-Q3</v>
      </c>
      <c r="T2094" s="111" t="str">
        <f t="shared" si="6"/>
        <v>2024-09</v>
      </c>
      <c r="U2094" s="112" t="str">
        <f t="shared" si="7"/>
        <v>2024-H2</v>
      </c>
      <c r="V2094" s="1" t="str">
        <f>VLOOKUP(B2094,Bounties!A:E,2,FALSE)</f>
        <v>Events Bounty</v>
      </c>
    </row>
    <row r="2095" hidden="1">
      <c r="A2095" s="109">
        <f>HYPERLINK("https://polkadot.subsquare.io/treasury/child-bounties/2140", 2140)</f>
        <v>2140</v>
      </c>
      <c r="B2095" s="183">
        <v>17.0</v>
      </c>
      <c r="C2095" s="27" t="s">
        <v>3404</v>
      </c>
      <c r="D2095" s="27" t="s">
        <v>2514</v>
      </c>
      <c r="E2095" s="129">
        <v>40.7</v>
      </c>
      <c r="F2095" s="66">
        <v>170.60022912025454</v>
      </c>
      <c r="G2095" s="27" t="s">
        <v>3670</v>
      </c>
      <c r="H2095" s="167">
        <v>45544.0</v>
      </c>
      <c r="I2095" s="167">
        <v>45553.0</v>
      </c>
      <c r="J2095" s="66">
        <v>176.5304705142975</v>
      </c>
      <c r="M2095" s="1" t="str">
        <f>VLOOKUP(B2095,Bounties!A:D,3,FALSE)</f>
        <v>Outreach</v>
      </c>
      <c r="N2095" s="1" t="str">
        <f>VLOOKUP(B2095,Bounties!A:D,4,FALSE)</f>
        <v>Events/Meetups</v>
      </c>
      <c r="O2095" s="1" t="str">
        <f t="shared" ref="O2095:P2095" si="2099">IF(ISBLANK(K2095),M2095,K2095)</f>
        <v>Outreach</v>
      </c>
      <c r="P2095" s="1" t="str">
        <f t="shared" si="2099"/>
        <v>Events/Meetups</v>
      </c>
      <c r="Q2095" s="108" t="str">
        <f t="shared" si="3"/>
        <v>2024</v>
      </c>
      <c r="R2095" s="110">
        <f t="shared" si="4"/>
        <v>9</v>
      </c>
      <c r="S2095" s="108" t="str">
        <f t="shared" si="5"/>
        <v>2024-Q3</v>
      </c>
      <c r="T2095" s="111" t="str">
        <f t="shared" si="6"/>
        <v>2024-09</v>
      </c>
      <c r="U2095" s="112" t="str">
        <f t="shared" si="7"/>
        <v>2024-H2</v>
      </c>
      <c r="V2095" s="1" t="str">
        <f>VLOOKUP(B2095,Bounties!A:E,2,FALSE)</f>
        <v>Events Bounty</v>
      </c>
    </row>
    <row r="2096" hidden="1">
      <c r="A2096" s="109">
        <f>HYPERLINK("https://polkadot.subsquare.io/treasury/child-bounties/2141", 2141)</f>
        <v>2141</v>
      </c>
      <c r="B2096" s="183">
        <v>43.0</v>
      </c>
      <c r="C2096" s="27" t="s">
        <v>3404</v>
      </c>
      <c r="D2096" s="27" t="s">
        <v>2515</v>
      </c>
      <c r="E2096" s="129">
        <v>177.63</v>
      </c>
      <c r="F2096" s="66">
        <v>762.515994758606</v>
      </c>
      <c r="G2096" s="27" t="s">
        <v>3806</v>
      </c>
      <c r="H2096" s="167">
        <v>45544.0</v>
      </c>
      <c r="I2096" s="167">
        <v>45555.0</v>
      </c>
      <c r="J2096" s="66">
        <v>766.302026181221</v>
      </c>
      <c r="M2096" s="1" t="str">
        <f>VLOOKUP(B2096,Bounties!A:D,3,FALSE)</f>
        <v>Outreach</v>
      </c>
      <c r="N2096" s="1" t="str">
        <f>VLOOKUP(B2096,Bounties!A:D,4,FALSE)</f>
        <v>Events/Meetups</v>
      </c>
      <c r="O2096" s="1" t="str">
        <f t="shared" ref="O2096:P2096" si="2100">IF(ISBLANK(K2096),M2096,K2096)</f>
        <v>Outreach</v>
      </c>
      <c r="P2096" s="1" t="str">
        <f t="shared" si="2100"/>
        <v>Events/Meetups</v>
      </c>
      <c r="Q2096" s="108" t="str">
        <f t="shared" si="3"/>
        <v>2024</v>
      </c>
      <c r="R2096" s="110">
        <f t="shared" si="4"/>
        <v>9</v>
      </c>
      <c r="S2096" s="108" t="str">
        <f t="shared" si="5"/>
        <v>2024-Q3</v>
      </c>
      <c r="T2096" s="111" t="str">
        <f t="shared" si="6"/>
        <v>2024-09</v>
      </c>
      <c r="U2096" s="112" t="str">
        <f t="shared" si="7"/>
        <v>2024-H2</v>
      </c>
      <c r="V2096" s="1" t="str">
        <f>VLOOKUP(B2096,Bounties!A:E,2,FALSE)</f>
        <v>Meetups Bounty</v>
      </c>
    </row>
    <row r="2097" hidden="1">
      <c r="A2097" s="109">
        <f>HYPERLINK("https://polkadot.subsquare.io/treasury/child-bounties/2142", 2142)</f>
        <v>2142</v>
      </c>
      <c r="B2097" s="183">
        <v>42.0</v>
      </c>
      <c r="C2097" s="27" t="s">
        <v>3404</v>
      </c>
      <c r="D2097" s="27" t="s">
        <v>2516</v>
      </c>
      <c r="E2097" s="129">
        <v>3.98</v>
      </c>
      <c r="F2097" s="66">
        <v>17.085028762817384</v>
      </c>
      <c r="G2097" s="27" t="s">
        <v>3453</v>
      </c>
      <c r="H2097" s="167">
        <v>45544.0</v>
      </c>
      <c r="I2097" s="167">
        <v>45560.0</v>
      </c>
      <c r="J2097" s="66">
        <v>19.127465305328368</v>
      </c>
      <c r="M2097" s="1" t="str">
        <f>VLOOKUP(B2097,Bounties!A:D,3,FALSE)</f>
        <v>Outreach</v>
      </c>
      <c r="N2097" s="1" t="str">
        <f>VLOOKUP(B2097,Bounties!A:D,4,FALSE)</f>
        <v>Media</v>
      </c>
      <c r="O2097" s="1" t="str">
        <f t="shared" ref="O2097:P2097" si="2101">IF(ISBLANK(K2097),M2097,K2097)</f>
        <v>Outreach</v>
      </c>
      <c r="P2097" s="1" t="str">
        <f t="shared" si="2101"/>
        <v>Media</v>
      </c>
      <c r="Q2097" s="108" t="str">
        <f t="shared" si="3"/>
        <v>2024</v>
      </c>
      <c r="R2097" s="110">
        <f t="shared" si="4"/>
        <v>9</v>
      </c>
      <c r="S2097" s="108" t="str">
        <f t="shared" si="5"/>
        <v>2024-Q3</v>
      </c>
      <c r="T2097" s="111" t="str">
        <f t="shared" si="6"/>
        <v>2024-09</v>
      </c>
      <c r="U2097" s="112" t="str">
        <f t="shared" si="7"/>
        <v>2024-H2</v>
      </c>
      <c r="V2097" s="1" t="str">
        <f>VLOOKUP(B2097,Bounties!A:E,2,FALSE)</f>
        <v>Spanish Bounty</v>
      </c>
    </row>
    <row r="2098" hidden="1">
      <c r="A2098" s="109">
        <f>HYPERLINK("https://polkadot.subsquare.io/treasury/child-bounties/2143", 2143)</f>
        <v>2143</v>
      </c>
      <c r="B2098" s="183">
        <v>42.0</v>
      </c>
      <c r="C2098" s="27" t="s">
        <v>3404</v>
      </c>
      <c r="D2098" s="27" t="s">
        <v>2517</v>
      </c>
      <c r="E2098" s="129">
        <v>5.38</v>
      </c>
      <c r="F2098" s="66">
        <v>23.09483787536621</v>
      </c>
      <c r="G2098" s="27" t="s">
        <v>3802</v>
      </c>
      <c r="H2098" s="167">
        <v>45544.0</v>
      </c>
      <c r="I2098" s="167">
        <v>45553.0</v>
      </c>
      <c r="J2098" s="66">
        <v>24.027218961715697</v>
      </c>
      <c r="M2098" s="1" t="str">
        <f>VLOOKUP(B2098,Bounties!A:D,3,FALSE)</f>
        <v>Outreach</v>
      </c>
      <c r="N2098" s="1" t="str">
        <f>VLOOKUP(B2098,Bounties!A:D,4,FALSE)</f>
        <v>Media</v>
      </c>
      <c r="O2098" s="1" t="str">
        <f t="shared" ref="O2098:P2098" si="2102">IF(ISBLANK(K2098),M2098,K2098)</f>
        <v>Outreach</v>
      </c>
      <c r="P2098" s="1" t="str">
        <f t="shared" si="2102"/>
        <v>Media</v>
      </c>
      <c r="Q2098" s="108" t="str">
        <f t="shared" si="3"/>
        <v>2024</v>
      </c>
      <c r="R2098" s="110">
        <f t="shared" si="4"/>
        <v>9</v>
      </c>
      <c r="S2098" s="108" t="str">
        <f t="shared" si="5"/>
        <v>2024-Q3</v>
      </c>
      <c r="T2098" s="111" t="str">
        <f t="shared" si="6"/>
        <v>2024-09</v>
      </c>
      <c r="U2098" s="112" t="str">
        <f t="shared" si="7"/>
        <v>2024-H2</v>
      </c>
      <c r="V2098" s="1" t="str">
        <f>VLOOKUP(B2098,Bounties!A:E,2,FALSE)</f>
        <v>Spanish Bounty</v>
      </c>
    </row>
    <row r="2099" hidden="1">
      <c r="A2099" s="109">
        <f>HYPERLINK("https://polkadot.subsquare.io/treasury/child-bounties/2145", 2145)</f>
        <v>2145</v>
      </c>
      <c r="B2099" s="183">
        <v>42.0</v>
      </c>
      <c r="C2099" s="27" t="s">
        <v>3404</v>
      </c>
      <c r="D2099" s="27" t="s">
        <v>2518</v>
      </c>
      <c r="E2099" s="129">
        <v>17.63</v>
      </c>
      <c r="F2099" s="66">
        <v>75.68066761016846</v>
      </c>
      <c r="G2099" s="27" t="s">
        <v>3778</v>
      </c>
      <c r="H2099" s="167">
        <v>45544.0</v>
      </c>
      <c r="I2099" s="167">
        <v>45552.0</v>
      </c>
      <c r="J2099" s="66">
        <v>76.46762150287628</v>
      </c>
      <c r="M2099" s="1" t="str">
        <f>VLOOKUP(B2099,Bounties!A:D,3,FALSE)</f>
        <v>Outreach</v>
      </c>
      <c r="N2099" s="1" t="str">
        <f>VLOOKUP(B2099,Bounties!A:D,4,FALSE)</f>
        <v>Media</v>
      </c>
      <c r="O2099" s="1" t="str">
        <f t="shared" ref="O2099:P2099" si="2103">IF(ISBLANK(K2099),M2099,K2099)</f>
        <v>Outreach</v>
      </c>
      <c r="P2099" s="1" t="str">
        <f t="shared" si="2103"/>
        <v>Media</v>
      </c>
      <c r="Q2099" s="108" t="str">
        <f t="shared" si="3"/>
        <v>2024</v>
      </c>
      <c r="R2099" s="110">
        <f t="shared" si="4"/>
        <v>9</v>
      </c>
      <c r="S2099" s="108" t="str">
        <f t="shared" si="5"/>
        <v>2024-Q3</v>
      </c>
      <c r="T2099" s="111" t="str">
        <f t="shared" si="6"/>
        <v>2024-09</v>
      </c>
      <c r="U2099" s="112" t="str">
        <f t="shared" si="7"/>
        <v>2024-H2</v>
      </c>
      <c r="V2099" s="1" t="str">
        <f>VLOOKUP(B2099,Bounties!A:E,2,FALSE)</f>
        <v>Spanish Bounty</v>
      </c>
    </row>
    <row r="2100" hidden="1">
      <c r="A2100" s="109">
        <f>HYPERLINK("https://polkadot.subsquare.io/treasury/child-bounties/2146", 2146)</f>
        <v>2146</v>
      </c>
      <c r="B2100" s="183">
        <v>42.0</v>
      </c>
      <c r="C2100" s="27" t="s">
        <v>3404</v>
      </c>
      <c r="D2100" s="27" t="s">
        <v>2519</v>
      </c>
      <c r="E2100" s="129">
        <v>15.88</v>
      </c>
      <c r="F2100" s="66">
        <v>68.16840621948242</v>
      </c>
      <c r="G2100" s="27" t="s">
        <v>3702</v>
      </c>
      <c r="H2100" s="167">
        <v>45544.0</v>
      </c>
      <c r="I2100" s="167">
        <v>45552.0</v>
      </c>
      <c r="J2100" s="66">
        <v>68.87724500656128</v>
      </c>
      <c r="M2100" s="1" t="str">
        <f>VLOOKUP(B2100,Bounties!A:D,3,FALSE)</f>
        <v>Outreach</v>
      </c>
      <c r="N2100" s="1" t="str">
        <f>VLOOKUP(B2100,Bounties!A:D,4,FALSE)</f>
        <v>Media</v>
      </c>
      <c r="O2100" s="1" t="str">
        <f t="shared" ref="O2100:P2100" si="2104">IF(ISBLANK(K2100),M2100,K2100)</f>
        <v>Outreach</v>
      </c>
      <c r="P2100" s="1" t="str">
        <f t="shared" si="2104"/>
        <v>Media</v>
      </c>
      <c r="Q2100" s="108" t="str">
        <f t="shared" si="3"/>
        <v>2024</v>
      </c>
      <c r="R2100" s="110">
        <f t="shared" si="4"/>
        <v>9</v>
      </c>
      <c r="S2100" s="108" t="str">
        <f t="shared" si="5"/>
        <v>2024-Q3</v>
      </c>
      <c r="T2100" s="111" t="str">
        <f t="shared" si="6"/>
        <v>2024-09</v>
      </c>
      <c r="U2100" s="112" t="str">
        <f t="shared" si="7"/>
        <v>2024-H2</v>
      </c>
      <c r="V2100" s="1" t="str">
        <f>VLOOKUP(B2100,Bounties!A:E,2,FALSE)</f>
        <v>Spanish Bounty</v>
      </c>
    </row>
    <row r="2101" hidden="1">
      <c r="A2101" s="109">
        <f>HYPERLINK("https://polkadot.subsquare.io/treasury/child-bounties/2147", 2147)</f>
        <v>2147</v>
      </c>
      <c r="B2101" s="183">
        <v>42.0</v>
      </c>
      <c r="C2101" s="27" t="s">
        <v>3404</v>
      </c>
      <c r="D2101" s="27" t="s">
        <v>2520</v>
      </c>
      <c r="E2101" s="129">
        <v>10.8</v>
      </c>
      <c r="F2101" s="66">
        <v>46.361384582519534</v>
      </c>
      <c r="G2101" s="27" t="s">
        <v>3788</v>
      </c>
      <c r="H2101" s="167">
        <v>45544.0</v>
      </c>
      <c r="I2101" s="167">
        <v>45553.0</v>
      </c>
      <c r="J2101" s="66">
        <v>48.233078956604004</v>
      </c>
      <c r="M2101" s="1" t="str">
        <f>VLOOKUP(B2101,Bounties!A:D,3,FALSE)</f>
        <v>Outreach</v>
      </c>
      <c r="N2101" s="1" t="str">
        <f>VLOOKUP(B2101,Bounties!A:D,4,FALSE)</f>
        <v>Media</v>
      </c>
      <c r="O2101" s="1" t="str">
        <f t="shared" ref="O2101:P2101" si="2105">IF(ISBLANK(K2101),M2101,K2101)</f>
        <v>Outreach</v>
      </c>
      <c r="P2101" s="1" t="str">
        <f t="shared" si="2105"/>
        <v>Media</v>
      </c>
      <c r="Q2101" s="108" t="str">
        <f t="shared" si="3"/>
        <v>2024</v>
      </c>
      <c r="R2101" s="110">
        <f t="shared" si="4"/>
        <v>9</v>
      </c>
      <c r="S2101" s="108" t="str">
        <f t="shared" si="5"/>
        <v>2024-Q3</v>
      </c>
      <c r="T2101" s="111" t="str">
        <f t="shared" si="6"/>
        <v>2024-09</v>
      </c>
      <c r="U2101" s="112" t="str">
        <f t="shared" si="7"/>
        <v>2024-H2</v>
      </c>
      <c r="V2101" s="1" t="str">
        <f>VLOOKUP(B2101,Bounties!A:E,2,FALSE)</f>
        <v>Spanish Bounty</v>
      </c>
    </row>
    <row r="2102" hidden="1">
      <c r="A2102" s="109">
        <f>HYPERLINK("https://polkadot.subsquare.io/treasury/child-bounties/2148", 2148)</f>
        <v>2148</v>
      </c>
      <c r="B2102" s="183">
        <v>42.0</v>
      </c>
      <c r="C2102" s="27" t="s">
        <v>3404</v>
      </c>
      <c r="D2102" s="27" t="s">
        <v>2521</v>
      </c>
      <c r="E2102" s="129">
        <v>10.69</v>
      </c>
      <c r="F2102" s="66">
        <v>45.88918529510498</v>
      </c>
      <c r="G2102" s="27" t="s">
        <v>3734</v>
      </c>
      <c r="H2102" s="167">
        <v>45544.0</v>
      </c>
      <c r="I2102" s="167">
        <v>45552.0</v>
      </c>
      <c r="J2102" s="66">
        <v>46.36635699748993</v>
      </c>
      <c r="M2102" s="1" t="str">
        <f>VLOOKUP(B2102,Bounties!A:D,3,FALSE)</f>
        <v>Outreach</v>
      </c>
      <c r="N2102" s="1" t="str">
        <f>VLOOKUP(B2102,Bounties!A:D,4,FALSE)</f>
        <v>Media</v>
      </c>
      <c r="O2102" s="1" t="str">
        <f t="shared" ref="O2102:P2102" si="2106">IF(ISBLANK(K2102),M2102,K2102)</f>
        <v>Outreach</v>
      </c>
      <c r="P2102" s="1" t="str">
        <f t="shared" si="2106"/>
        <v>Media</v>
      </c>
      <c r="Q2102" s="108" t="str">
        <f t="shared" si="3"/>
        <v>2024</v>
      </c>
      <c r="R2102" s="110">
        <f t="shared" si="4"/>
        <v>9</v>
      </c>
      <c r="S2102" s="108" t="str">
        <f t="shared" si="5"/>
        <v>2024-Q3</v>
      </c>
      <c r="T2102" s="111" t="str">
        <f t="shared" si="6"/>
        <v>2024-09</v>
      </c>
      <c r="U2102" s="112" t="str">
        <f t="shared" si="7"/>
        <v>2024-H2</v>
      </c>
      <c r="V2102" s="1" t="str">
        <f>VLOOKUP(B2102,Bounties!A:E,2,FALSE)</f>
        <v>Spanish Bounty</v>
      </c>
    </row>
    <row r="2103" hidden="1">
      <c r="A2103" s="109">
        <f>HYPERLINK("https://polkadot.subsquare.io/treasury/child-bounties/2149", 2149)</f>
        <v>2149</v>
      </c>
      <c r="B2103" s="183">
        <v>42.0</v>
      </c>
      <c r="C2103" s="27" t="s">
        <v>3404</v>
      </c>
      <c r="D2103" s="27" t="s">
        <v>2522</v>
      </c>
      <c r="E2103" s="129">
        <v>16.23</v>
      </c>
      <c r="F2103" s="66">
        <v>69.67085849761963</v>
      </c>
      <c r="G2103" s="27" t="s">
        <v>3789</v>
      </c>
      <c r="H2103" s="167">
        <v>45544.0</v>
      </c>
      <c r="I2103" s="167">
        <v>45555.0</v>
      </c>
      <c r="J2103" s="66">
        <v>72.31227948188781</v>
      </c>
      <c r="M2103" s="1" t="str">
        <f>VLOOKUP(B2103,Bounties!A:D,3,FALSE)</f>
        <v>Outreach</v>
      </c>
      <c r="N2103" s="1" t="str">
        <f>VLOOKUP(B2103,Bounties!A:D,4,FALSE)</f>
        <v>Media</v>
      </c>
      <c r="O2103" s="1" t="str">
        <f t="shared" ref="O2103:P2103" si="2107">IF(ISBLANK(K2103),M2103,K2103)</f>
        <v>Outreach</v>
      </c>
      <c r="P2103" s="1" t="str">
        <f t="shared" si="2107"/>
        <v>Media</v>
      </c>
      <c r="Q2103" s="108" t="str">
        <f t="shared" si="3"/>
        <v>2024</v>
      </c>
      <c r="R2103" s="110">
        <f t="shared" si="4"/>
        <v>9</v>
      </c>
      <c r="S2103" s="108" t="str">
        <f t="shared" si="5"/>
        <v>2024-Q3</v>
      </c>
      <c r="T2103" s="111" t="str">
        <f t="shared" si="6"/>
        <v>2024-09</v>
      </c>
      <c r="U2103" s="112" t="str">
        <f t="shared" si="7"/>
        <v>2024-H2</v>
      </c>
      <c r="V2103" s="1" t="str">
        <f>VLOOKUP(B2103,Bounties!A:E,2,FALSE)</f>
        <v>Spanish Bounty</v>
      </c>
    </row>
    <row r="2104" hidden="1">
      <c r="A2104" s="109">
        <f>HYPERLINK("https://polkadot.subsquare.io/treasury/child-bounties/2150", 2150)</f>
        <v>2150</v>
      </c>
      <c r="B2104" s="183">
        <v>42.0</v>
      </c>
      <c r="C2104" s="27" t="s">
        <v>3404</v>
      </c>
      <c r="D2104" s="27" t="s">
        <v>2523</v>
      </c>
      <c r="E2104" s="129">
        <v>9.4</v>
      </c>
      <c r="F2104" s="66">
        <v>40.351575469970705</v>
      </c>
      <c r="G2104" s="27" t="s">
        <v>3704</v>
      </c>
      <c r="H2104" s="167">
        <v>45544.0</v>
      </c>
      <c r="I2104" s="167">
        <v>45555.0</v>
      </c>
      <c r="J2104" s="66">
        <v>41.881418800354005</v>
      </c>
      <c r="M2104" s="1" t="str">
        <f>VLOOKUP(B2104,Bounties!A:D,3,FALSE)</f>
        <v>Outreach</v>
      </c>
      <c r="N2104" s="1" t="str">
        <f>VLOOKUP(B2104,Bounties!A:D,4,FALSE)</f>
        <v>Media</v>
      </c>
      <c r="O2104" s="1" t="str">
        <f t="shared" ref="O2104:P2104" si="2108">IF(ISBLANK(K2104),M2104,K2104)</f>
        <v>Outreach</v>
      </c>
      <c r="P2104" s="1" t="str">
        <f t="shared" si="2108"/>
        <v>Media</v>
      </c>
      <c r="Q2104" s="108" t="str">
        <f t="shared" si="3"/>
        <v>2024</v>
      </c>
      <c r="R2104" s="110">
        <f t="shared" si="4"/>
        <v>9</v>
      </c>
      <c r="S2104" s="108" t="str">
        <f t="shared" si="5"/>
        <v>2024-Q3</v>
      </c>
      <c r="T2104" s="111" t="str">
        <f t="shared" si="6"/>
        <v>2024-09</v>
      </c>
      <c r="U2104" s="112" t="str">
        <f t="shared" si="7"/>
        <v>2024-H2</v>
      </c>
      <c r="V2104" s="1" t="str">
        <f>VLOOKUP(B2104,Bounties!A:E,2,FALSE)</f>
        <v>Spanish Bounty</v>
      </c>
    </row>
    <row r="2105" hidden="1">
      <c r="A2105" s="109">
        <f>HYPERLINK("https://polkadot.subsquare.io/treasury/child-bounties/2151", 2151)</f>
        <v>2151</v>
      </c>
      <c r="B2105" s="183">
        <v>42.0</v>
      </c>
      <c r="C2105" s="27" t="s">
        <v>3404</v>
      </c>
      <c r="D2105" s="27" t="s">
        <v>2524</v>
      </c>
      <c r="E2105" s="129">
        <v>30.77</v>
      </c>
      <c r="F2105" s="66">
        <v>132.08701885223388</v>
      </c>
      <c r="G2105" s="27" t="s">
        <v>3703</v>
      </c>
      <c r="H2105" s="167">
        <v>45544.0</v>
      </c>
      <c r="I2105" s="167">
        <v>45552.0</v>
      </c>
      <c r="J2105" s="66">
        <v>133.46050559520722</v>
      </c>
      <c r="M2105" s="1" t="str">
        <f>VLOOKUP(B2105,Bounties!A:D,3,FALSE)</f>
        <v>Outreach</v>
      </c>
      <c r="N2105" s="1" t="str">
        <f>VLOOKUP(B2105,Bounties!A:D,4,FALSE)</f>
        <v>Media</v>
      </c>
      <c r="O2105" s="1" t="str">
        <f t="shared" ref="O2105:P2105" si="2109">IF(ISBLANK(K2105),M2105,K2105)</f>
        <v>Outreach</v>
      </c>
      <c r="P2105" s="1" t="str">
        <f t="shared" si="2109"/>
        <v>Media</v>
      </c>
      <c r="Q2105" s="108" t="str">
        <f t="shared" si="3"/>
        <v>2024</v>
      </c>
      <c r="R2105" s="110">
        <f t="shared" si="4"/>
        <v>9</v>
      </c>
      <c r="S2105" s="108" t="str">
        <f t="shared" si="5"/>
        <v>2024-Q3</v>
      </c>
      <c r="T2105" s="111" t="str">
        <f t="shared" si="6"/>
        <v>2024-09</v>
      </c>
      <c r="U2105" s="112" t="str">
        <f t="shared" si="7"/>
        <v>2024-H2</v>
      </c>
      <c r="V2105" s="1" t="str">
        <f>VLOOKUP(B2105,Bounties!A:E,2,FALSE)</f>
        <v>Spanish Bounty</v>
      </c>
    </row>
    <row r="2106" hidden="1">
      <c r="A2106" s="109">
        <f>HYPERLINK("https://polkadot.subsquare.io/treasury/child-bounties/2152", 2152)</f>
        <v>2152</v>
      </c>
      <c r="B2106" s="183">
        <v>42.0</v>
      </c>
      <c r="C2106" s="27" t="s">
        <v>3404</v>
      </c>
      <c r="D2106" s="27" t="s">
        <v>2525</v>
      </c>
      <c r="E2106" s="129">
        <v>46.64</v>
      </c>
      <c r="F2106" s="66">
        <v>200.21249786376953</v>
      </c>
      <c r="G2106" s="27" t="s">
        <v>3777</v>
      </c>
      <c r="H2106" s="167">
        <v>45544.0</v>
      </c>
      <c r="I2106" s="167">
        <v>45552.0</v>
      </c>
      <c r="J2106" s="66">
        <v>202.29437702178956</v>
      </c>
      <c r="M2106" s="1" t="str">
        <f>VLOOKUP(B2106,Bounties!A:D,3,FALSE)</f>
        <v>Outreach</v>
      </c>
      <c r="N2106" s="1" t="str">
        <f>VLOOKUP(B2106,Bounties!A:D,4,FALSE)</f>
        <v>Media</v>
      </c>
      <c r="O2106" s="1" t="str">
        <f t="shared" ref="O2106:P2106" si="2110">IF(ISBLANK(K2106),M2106,K2106)</f>
        <v>Outreach</v>
      </c>
      <c r="P2106" s="1" t="str">
        <f t="shared" si="2110"/>
        <v>Media</v>
      </c>
      <c r="Q2106" s="108" t="str">
        <f t="shared" si="3"/>
        <v>2024</v>
      </c>
      <c r="R2106" s="110">
        <f t="shared" si="4"/>
        <v>9</v>
      </c>
      <c r="S2106" s="108" t="str">
        <f t="shared" si="5"/>
        <v>2024-Q3</v>
      </c>
      <c r="T2106" s="111" t="str">
        <f t="shared" si="6"/>
        <v>2024-09</v>
      </c>
      <c r="U2106" s="112" t="str">
        <f t="shared" si="7"/>
        <v>2024-H2</v>
      </c>
      <c r="V2106" s="1" t="str">
        <f>VLOOKUP(B2106,Bounties!A:E,2,FALSE)</f>
        <v>Spanish Bounty</v>
      </c>
    </row>
    <row r="2107" hidden="1">
      <c r="A2107" s="109">
        <f>HYPERLINK("https://polkadot.subsquare.io/treasury/child-bounties/2153", 2153)</f>
        <v>2153</v>
      </c>
      <c r="B2107" s="183">
        <v>42.0</v>
      </c>
      <c r="C2107" s="27" t="s">
        <v>3404</v>
      </c>
      <c r="D2107" s="27" t="s">
        <v>2526</v>
      </c>
      <c r="E2107" s="129">
        <v>24.56</v>
      </c>
      <c r="F2107" s="66">
        <v>105.42922271728516</v>
      </c>
      <c r="G2107" s="27" t="s">
        <v>3702</v>
      </c>
      <c r="H2107" s="167">
        <v>45544.0</v>
      </c>
      <c r="I2107" s="167">
        <v>45552.0</v>
      </c>
      <c r="J2107" s="66">
        <v>106.52551242828369</v>
      </c>
      <c r="M2107" s="1" t="str">
        <f>VLOOKUP(B2107,Bounties!A:D,3,FALSE)</f>
        <v>Outreach</v>
      </c>
      <c r="N2107" s="1" t="str">
        <f>VLOOKUP(B2107,Bounties!A:D,4,FALSE)</f>
        <v>Media</v>
      </c>
      <c r="O2107" s="1" t="str">
        <f t="shared" ref="O2107:P2107" si="2111">IF(ISBLANK(K2107),M2107,K2107)</f>
        <v>Outreach</v>
      </c>
      <c r="P2107" s="1" t="str">
        <f t="shared" si="2111"/>
        <v>Media</v>
      </c>
      <c r="Q2107" s="108" t="str">
        <f t="shared" si="3"/>
        <v>2024</v>
      </c>
      <c r="R2107" s="110">
        <f t="shared" si="4"/>
        <v>9</v>
      </c>
      <c r="S2107" s="108" t="str">
        <f t="shared" si="5"/>
        <v>2024-Q3</v>
      </c>
      <c r="T2107" s="111" t="str">
        <f t="shared" si="6"/>
        <v>2024-09</v>
      </c>
      <c r="U2107" s="112" t="str">
        <f t="shared" si="7"/>
        <v>2024-H2</v>
      </c>
      <c r="V2107" s="1" t="str">
        <f>VLOOKUP(B2107,Bounties!A:E,2,FALSE)</f>
        <v>Spanish Bounty</v>
      </c>
    </row>
    <row r="2108" hidden="1">
      <c r="A2108" s="109">
        <f>HYPERLINK("https://polkadot.subsquare.io/treasury/child-bounties/2154", 2154)</f>
        <v>2154</v>
      </c>
      <c r="B2108" s="183">
        <v>42.0</v>
      </c>
      <c r="C2108" s="27" t="s">
        <v>3404</v>
      </c>
      <c r="D2108" s="27" t="s">
        <v>2527</v>
      </c>
      <c r="E2108" s="129">
        <v>50.7</v>
      </c>
      <c r="F2108" s="66">
        <v>217.64094429016114</v>
      </c>
      <c r="G2108" s="27" t="s">
        <v>3644</v>
      </c>
      <c r="H2108" s="167">
        <v>45544.0</v>
      </c>
      <c r="I2108" s="167">
        <v>45553.0</v>
      </c>
      <c r="J2108" s="66">
        <v>226.4275095462799</v>
      </c>
      <c r="M2108" s="1" t="str">
        <f>VLOOKUP(B2108,Bounties!A:D,3,FALSE)</f>
        <v>Outreach</v>
      </c>
      <c r="N2108" s="1" t="str">
        <f>VLOOKUP(B2108,Bounties!A:D,4,FALSE)</f>
        <v>Media</v>
      </c>
      <c r="O2108" s="1" t="str">
        <f t="shared" ref="O2108:P2108" si="2112">IF(ISBLANK(K2108),M2108,K2108)</f>
        <v>Outreach</v>
      </c>
      <c r="P2108" s="1" t="str">
        <f t="shared" si="2112"/>
        <v>Media</v>
      </c>
      <c r="Q2108" s="108" t="str">
        <f t="shared" si="3"/>
        <v>2024</v>
      </c>
      <c r="R2108" s="110">
        <f t="shared" si="4"/>
        <v>9</v>
      </c>
      <c r="S2108" s="108" t="str">
        <f t="shared" si="5"/>
        <v>2024-Q3</v>
      </c>
      <c r="T2108" s="111" t="str">
        <f t="shared" si="6"/>
        <v>2024-09</v>
      </c>
      <c r="U2108" s="112" t="str">
        <f t="shared" si="7"/>
        <v>2024-H2</v>
      </c>
      <c r="V2108" s="1" t="str">
        <f>VLOOKUP(B2108,Bounties!A:E,2,FALSE)</f>
        <v>Spanish Bounty</v>
      </c>
    </row>
    <row r="2109" hidden="1">
      <c r="A2109" s="109">
        <f>HYPERLINK("https://polkadot.subsquare.io/treasury/child-bounties/2155", 2155)</f>
        <v>2155</v>
      </c>
      <c r="B2109" s="183">
        <v>42.0</v>
      </c>
      <c r="C2109" s="27" t="s">
        <v>3404</v>
      </c>
      <c r="D2109" s="27" t="s">
        <v>2528</v>
      </c>
      <c r="E2109" s="129">
        <v>164.29</v>
      </c>
      <c r="F2109" s="66">
        <v>705.251099357605</v>
      </c>
      <c r="G2109" s="27" t="s">
        <v>3751</v>
      </c>
      <c r="H2109" s="167">
        <v>45544.0</v>
      </c>
      <c r="I2109" s="167">
        <v>45555.0</v>
      </c>
      <c r="J2109" s="66">
        <v>731.9891802883147</v>
      </c>
      <c r="M2109" s="1" t="str">
        <f>VLOOKUP(B2109,Bounties!A:D,3,FALSE)</f>
        <v>Outreach</v>
      </c>
      <c r="N2109" s="1" t="str">
        <f>VLOOKUP(B2109,Bounties!A:D,4,FALSE)</f>
        <v>Media</v>
      </c>
      <c r="O2109" s="1" t="str">
        <f t="shared" ref="O2109:P2109" si="2113">IF(ISBLANK(K2109),M2109,K2109)</f>
        <v>Outreach</v>
      </c>
      <c r="P2109" s="1" t="str">
        <f t="shared" si="2113"/>
        <v>Media</v>
      </c>
      <c r="Q2109" s="108" t="str">
        <f t="shared" si="3"/>
        <v>2024</v>
      </c>
      <c r="R2109" s="110">
        <f t="shared" si="4"/>
        <v>9</v>
      </c>
      <c r="S2109" s="108" t="str">
        <f t="shared" si="5"/>
        <v>2024-Q3</v>
      </c>
      <c r="T2109" s="111" t="str">
        <f t="shared" si="6"/>
        <v>2024-09</v>
      </c>
      <c r="U2109" s="112" t="str">
        <f t="shared" si="7"/>
        <v>2024-H2</v>
      </c>
      <c r="V2109" s="1" t="str">
        <f>VLOOKUP(B2109,Bounties!A:E,2,FALSE)</f>
        <v>Spanish Bounty</v>
      </c>
    </row>
    <row r="2110" hidden="1">
      <c r="A2110" s="109">
        <f>HYPERLINK("https://polkadot.subsquare.io/treasury/child-bounties/2156", 2156)</f>
        <v>2156</v>
      </c>
      <c r="B2110" s="183">
        <v>42.0</v>
      </c>
      <c r="C2110" s="27" t="s">
        <v>3404</v>
      </c>
      <c r="D2110" s="27" t="s">
        <v>2529</v>
      </c>
      <c r="E2110" s="129">
        <v>115.85</v>
      </c>
      <c r="F2110" s="66">
        <v>497.3117040634155</v>
      </c>
      <c r="G2110" s="27" t="s">
        <v>3794</v>
      </c>
      <c r="H2110" s="167">
        <v>45544.0</v>
      </c>
      <c r="I2110" s="167">
        <v>45555.0</v>
      </c>
      <c r="J2110" s="66">
        <v>516.1662093639374</v>
      </c>
      <c r="M2110" s="1" t="str">
        <f>VLOOKUP(B2110,Bounties!A:D,3,FALSE)</f>
        <v>Outreach</v>
      </c>
      <c r="N2110" s="1" t="str">
        <f>VLOOKUP(B2110,Bounties!A:D,4,FALSE)</f>
        <v>Media</v>
      </c>
      <c r="O2110" s="1" t="str">
        <f t="shared" ref="O2110:P2110" si="2114">IF(ISBLANK(K2110),M2110,K2110)</f>
        <v>Outreach</v>
      </c>
      <c r="P2110" s="1" t="str">
        <f t="shared" si="2114"/>
        <v>Media</v>
      </c>
      <c r="Q2110" s="108" t="str">
        <f t="shared" si="3"/>
        <v>2024</v>
      </c>
      <c r="R2110" s="110">
        <f t="shared" si="4"/>
        <v>9</v>
      </c>
      <c r="S2110" s="108" t="str">
        <f t="shared" si="5"/>
        <v>2024-Q3</v>
      </c>
      <c r="T2110" s="111" t="str">
        <f t="shared" si="6"/>
        <v>2024-09</v>
      </c>
      <c r="U2110" s="112" t="str">
        <f t="shared" si="7"/>
        <v>2024-H2</v>
      </c>
      <c r="V2110" s="1" t="str">
        <f>VLOOKUP(B2110,Bounties!A:E,2,FALSE)</f>
        <v>Spanish Bounty</v>
      </c>
    </row>
    <row r="2111" hidden="1">
      <c r="A2111" s="109">
        <f>HYPERLINK("https://polkadot.subsquare.io/treasury/child-bounties/2157", 2157)</f>
        <v>2157</v>
      </c>
      <c r="B2111" s="183">
        <v>42.0</v>
      </c>
      <c r="C2111" s="27" t="s">
        <v>3404</v>
      </c>
      <c r="D2111" s="27" t="s">
        <v>2530</v>
      </c>
      <c r="E2111" s="129">
        <v>75.05</v>
      </c>
      <c r="F2111" s="66">
        <v>322.16869564056395</v>
      </c>
      <c r="G2111" s="27" t="s">
        <v>3763</v>
      </c>
      <c r="H2111" s="167">
        <v>45544.0</v>
      </c>
      <c r="I2111" s="167">
        <v>45555.0</v>
      </c>
      <c r="J2111" s="66">
        <v>334.3830298900604</v>
      </c>
      <c r="M2111" s="1" t="str">
        <f>VLOOKUP(B2111,Bounties!A:D,3,FALSE)</f>
        <v>Outreach</v>
      </c>
      <c r="N2111" s="1" t="str">
        <f>VLOOKUP(B2111,Bounties!A:D,4,FALSE)</f>
        <v>Media</v>
      </c>
      <c r="O2111" s="1" t="str">
        <f t="shared" ref="O2111:P2111" si="2115">IF(ISBLANK(K2111),M2111,K2111)</f>
        <v>Outreach</v>
      </c>
      <c r="P2111" s="1" t="str">
        <f t="shared" si="2115"/>
        <v>Media</v>
      </c>
      <c r="Q2111" s="108" t="str">
        <f t="shared" si="3"/>
        <v>2024</v>
      </c>
      <c r="R2111" s="110">
        <f t="shared" si="4"/>
        <v>9</v>
      </c>
      <c r="S2111" s="108" t="str">
        <f t="shared" si="5"/>
        <v>2024-Q3</v>
      </c>
      <c r="T2111" s="111" t="str">
        <f t="shared" si="6"/>
        <v>2024-09</v>
      </c>
      <c r="U2111" s="112" t="str">
        <f t="shared" si="7"/>
        <v>2024-H2</v>
      </c>
      <c r="V2111" s="1" t="str">
        <f>VLOOKUP(B2111,Bounties!A:E,2,FALSE)</f>
        <v>Spanish Bounty</v>
      </c>
    </row>
    <row r="2112" hidden="1">
      <c r="A2112" s="109">
        <f>HYPERLINK("https://polkadot.subsquare.io/treasury/child-bounties/2159", 2159)</f>
        <v>2159</v>
      </c>
      <c r="B2112" s="183">
        <v>42.0</v>
      </c>
      <c r="C2112" s="27" t="s">
        <v>3404</v>
      </c>
      <c r="D2112" s="27" t="s">
        <v>2531</v>
      </c>
      <c r="E2112" s="129">
        <v>33.02</v>
      </c>
      <c r="F2112" s="66">
        <v>141.7456406402588</v>
      </c>
      <c r="G2112" s="27" t="s">
        <v>3676</v>
      </c>
      <c r="H2112" s="167">
        <v>45544.0</v>
      </c>
      <c r="I2112" s="167">
        <v>45564.0</v>
      </c>
      <c r="J2112" s="66">
        <v>137.3304135322571</v>
      </c>
      <c r="M2112" s="1" t="str">
        <f>VLOOKUP(B2112,Bounties!A:D,3,FALSE)</f>
        <v>Outreach</v>
      </c>
      <c r="N2112" s="1" t="str">
        <f>VLOOKUP(B2112,Bounties!A:D,4,FALSE)</f>
        <v>Media</v>
      </c>
      <c r="O2112" s="1" t="str">
        <f t="shared" ref="O2112:P2112" si="2116">IF(ISBLANK(K2112),M2112,K2112)</f>
        <v>Outreach</v>
      </c>
      <c r="P2112" s="1" t="str">
        <f t="shared" si="2116"/>
        <v>Media</v>
      </c>
      <c r="Q2112" s="108" t="str">
        <f t="shared" si="3"/>
        <v>2024</v>
      </c>
      <c r="R2112" s="110">
        <f t="shared" si="4"/>
        <v>9</v>
      </c>
      <c r="S2112" s="108" t="str">
        <f t="shared" si="5"/>
        <v>2024-Q3</v>
      </c>
      <c r="T2112" s="111" t="str">
        <f t="shared" si="6"/>
        <v>2024-09</v>
      </c>
      <c r="U2112" s="112" t="str">
        <f t="shared" si="7"/>
        <v>2024-H2</v>
      </c>
      <c r="V2112" s="1" t="str">
        <f>VLOOKUP(B2112,Bounties!A:E,2,FALSE)</f>
        <v>Spanish Bounty</v>
      </c>
    </row>
    <row r="2113" hidden="1">
      <c r="A2113" s="109">
        <f>HYPERLINK("https://polkadot.subsquare.io/treasury/child-bounties/2160", 2160)</f>
        <v>2160</v>
      </c>
      <c r="B2113" s="183">
        <v>42.0</v>
      </c>
      <c r="C2113" s="27" t="s">
        <v>3404</v>
      </c>
      <c r="D2113" s="27" t="s">
        <v>2532</v>
      </c>
      <c r="E2113" s="129">
        <v>39.26</v>
      </c>
      <c r="F2113" s="66">
        <v>168.53221839904785</v>
      </c>
      <c r="G2113" s="27" t="s">
        <v>3779</v>
      </c>
      <c r="H2113" s="167">
        <v>45544.0</v>
      </c>
      <c r="I2113" s="167">
        <v>45552.0</v>
      </c>
      <c r="J2113" s="66">
        <v>170.28467499732972</v>
      </c>
      <c r="M2113" s="1" t="str">
        <f>VLOOKUP(B2113,Bounties!A:D,3,FALSE)</f>
        <v>Outreach</v>
      </c>
      <c r="N2113" s="1" t="str">
        <f>VLOOKUP(B2113,Bounties!A:D,4,FALSE)</f>
        <v>Media</v>
      </c>
      <c r="O2113" s="1" t="str">
        <f t="shared" ref="O2113:P2113" si="2117">IF(ISBLANK(K2113),M2113,K2113)</f>
        <v>Outreach</v>
      </c>
      <c r="P2113" s="1" t="str">
        <f t="shared" si="2117"/>
        <v>Media</v>
      </c>
      <c r="Q2113" s="108" t="str">
        <f t="shared" si="3"/>
        <v>2024</v>
      </c>
      <c r="R2113" s="110">
        <f t="shared" si="4"/>
        <v>9</v>
      </c>
      <c r="S2113" s="108" t="str">
        <f t="shared" si="5"/>
        <v>2024-Q3</v>
      </c>
      <c r="T2113" s="111" t="str">
        <f t="shared" si="6"/>
        <v>2024-09</v>
      </c>
      <c r="U2113" s="112" t="str">
        <f t="shared" si="7"/>
        <v>2024-H2</v>
      </c>
      <c r="V2113" s="1" t="str">
        <f>VLOOKUP(B2113,Bounties!A:E,2,FALSE)</f>
        <v>Spanish Bounty</v>
      </c>
    </row>
    <row r="2114" hidden="1">
      <c r="A2114" s="109">
        <f>HYPERLINK("https://polkadot.subsquare.io/treasury/child-bounties/2161", 2161)</f>
        <v>2161</v>
      </c>
      <c r="B2114" s="183">
        <v>10.0</v>
      </c>
      <c r="C2114" s="27" t="s">
        <v>3404</v>
      </c>
      <c r="D2114" s="27" t="s">
        <v>2533</v>
      </c>
      <c r="E2114" s="129">
        <v>69408.0</v>
      </c>
      <c r="F2114" s="66">
        <v>291407.5461730957</v>
      </c>
      <c r="G2114" s="27" t="s">
        <v>3479</v>
      </c>
      <c r="H2114" s="167">
        <v>45549.0</v>
      </c>
      <c r="I2114" s="167">
        <v>45563.0</v>
      </c>
      <c r="J2114" s="66">
        <v>307969.27239990234</v>
      </c>
      <c r="K2114" s="3" t="s">
        <v>81</v>
      </c>
      <c r="L2114" s="185" t="s">
        <v>185</v>
      </c>
      <c r="M2114" s="1" t="str">
        <f>VLOOKUP(B2114,Bounties!A:D,3,FALSE)</f>
        <v/>
      </c>
      <c r="N2114" s="1" t="str">
        <f>VLOOKUP(B2114,Bounties!A:D,4,FALSE)</f>
        <v/>
      </c>
      <c r="O2114" s="1" t="str">
        <f t="shared" ref="O2114:P2114" si="2118">IF(ISBLANK(K2114),M2114,K2114)</f>
        <v>Development</v>
      </c>
      <c r="P2114" s="1" t="str">
        <f t="shared" si="2118"/>
        <v>Polkadot Protocol &amp; SDK</v>
      </c>
      <c r="Q2114" s="108" t="str">
        <f t="shared" si="3"/>
        <v>2024</v>
      </c>
      <c r="R2114" s="110">
        <f t="shared" si="4"/>
        <v>9</v>
      </c>
      <c r="S2114" s="108" t="str">
        <f t="shared" si="5"/>
        <v>2024-Q3</v>
      </c>
      <c r="T2114" s="111" t="str">
        <f t="shared" si="6"/>
        <v>2024-09</v>
      </c>
      <c r="U2114" s="112" t="str">
        <f t="shared" si="7"/>
        <v>2024-H2</v>
      </c>
      <c r="V2114" s="1" t="str">
        <f>VLOOKUP(B2114,Bounties!A:E,2,FALSE)</f>
        <v>Polkadot Pioneers Bounty</v>
      </c>
    </row>
    <row r="2115" hidden="1">
      <c r="A2115" s="109">
        <f>HYPERLINK("https://polkadot.subsquare.io/treasury/child-bounties/2162", 2162)</f>
        <v>2162</v>
      </c>
      <c r="B2115" s="183">
        <v>17.0</v>
      </c>
      <c r="C2115" s="27" t="s">
        <v>3404</v>
      </c>
      <c r="D2115" s="27" t="s">
        <v>2534</v>
      </c>
      <c r="E2115" s="129">
        <v>6471.0</v>
      </c>
      <c r="F2115" s="66">
        <v>26896.22617006302</v>
      </c>
      <c r="G2115" s="27" t="s">
        <v>3747</v>
      </c>
      <c r="H2115" s="167">
        <v>45549.0</v>
      </c>
      <c r="I2115" s="167">
        <v>45550.0</v>
      </c>
      <c r="J2115" s="66">
        <v>26896.22617006302</v>
      </c>
      <c r="M2115" s="1" t="str">
        <f>VLOOKUP(B2115,Bounties!A:D,3,FALSE)</f>
        <v>Outreach</v>
      </c>
      <c r="N2115" s="1" t="str">
        <f>VLOOKUP(B2115,Bounties!A:D,4,FALSE)</f>
        <v>Events/Meetups</v>
      </c>
      <c r="O2115" s="1" t="str">
        <f t="shared" ref="O2115:P2115" si="2119">IF(ISBLANK(K2115),M2115,K2115)</f>
        <v>Outreach</v>
      </c>
      <c r="P2115" s="1" t="str">
        <f t="shared" si="2119"/>
        <v>Events/Meetups</v>
      </c>
      <c r="Q2115" s="108" t="str">
        <f t="shared" si="3"/>
        <v>2024</v>
      </c>
      <c r="R2115" s="110">
        <f t="shared" si="4"/>
        <v>9</v>
      </c>
      <c r="S2115" s="108" t="str">
        <f t="shared" si="5"/>
        <v>2024-Q3</v>
      </c>
      <c r="T2115" s="111" t="str">
        <f t="shared" si="6"/>
        <v>2024-09</v>
      </c>
      <c r="U2115" s="112" t="str">
        <f t="shared" si="7"/>
        <v>2024-H2</v>
      </c>
      <c r="V2115" s="1" t="str">
        <f>VLOOKUP(B2115,Bounties!A:E,2,FALSE)</f>
        <v>Events Bounty</v>
      </c>
    </row>
    <row r="2116" hidden="1">
      <c r="A2116" s="109">
        <f>HYPERLINK("https://polkadot.subsquare.io/treasury/child-bounties/2163", 2163)</f>
        <v>2163</v>
      </c>
      <c r="B2116" s="183">
        <v>42.0</v>
      </c>
      <c r="C2116" s="27" t="s">
        <v>3404</v>
      </c>
      <c r="D2116" s="27" t="s">
        <v>2535</v>
      </c>
      <c r="E2116" s="129">
        <v>30.47</v>
      </c>
      <c r="F2116" s="66">
        <v>129.65762662410737</v>
      </c>
      <c r="G2116" s="27" t="s">
        <v>3789</v>
      </c>
      <c r="H2116" s="167">
        <v>45551.0</v>
      </c>
      <c r="I2116" s="167">
        <v>45551.0</v>
      </c>
      <c r="J2116" s="66">
        <v>129.65762662410737</v>
      </c>
      <c r="M2116" s="1" t="str">
        <f>VLOOKUP(B2116,Bounties!A:D,3,FALSE)</f>
        <v>Outreach</v>
      </c>
      <c r="N2116" s="1" t="str">
        <f>VLOOKUP(B2116,Bounties!A:D,4,FALSE)</f>
        <v>Media</v>
      </c>
      <c r="O2116" s="1" t="str">
        <f t="shared" ref="O2116:P2116" si="2120">IF(ISBLANK(K2116),M2116,K2116)</f>
        <v>Outreach</v>
      </c>
      <c r="P2116" s="1" t="str">
        <f t="shared" si="2120"/>
        <v>Media</v>
      </c>
      <c r="Q2116" s="108" t="str">
        <f t="shared" si="3"/>
        <v>2024</v>
      </c>
      <c r="R2116" s="110">
        <f t="shared" si="4"/>
        <v>9</v>
      </c>
      <c r="S2116" s="108" t="str">
        <f t="shared" si="5"/>
        <v>2024-Q3</v>
      </c>
      <c r="T2116" s="111" t="str">
        <f t="shared" si="6"/>
        <v>2024-09</v>
      </c>
      <c r="U2116" s="112" t="str">
        <f t="shared" si="7"/>
        <v>2024-H2</v>
      </c>
      <c r="V2116" s="1" t="str">
        <f>VLOOKUP(B2116,Bounties!A:E,2,FALSE)</f>
        <v>Spanish Bounty</v>
      </c>
    </row>
    <row r="2117" hidden="1">
      <c r="A2117" s="109">
        <f>HYPERLINK("https://polkadot.subsquare.io/treasury/child-bounties/2164", 2164)</f>
        <v>2164</v>
      </c>
      <c r="B2117" s="183">
        <v>42.0</v>
      </c>
      <c r="C2117" s="27" t="s">
        <v>3404</v>
      </c>
      <c r="D2117" s="27" t="s">
        <v>2536</v>
      </c>
      <c r="E2117" s="129">
        <v>4.84</v>
      </c>
      <c r="F2117" s="66">
        <v>20.595435276031495</v>
      </c>
      <c r="G2117" s="27" t="s">
        <v>3801</v>
      </c>
      <c r="H2117" s="167">
        <v>45551.0</v>
      </c>
      <c r="I2117" s="167">
        <v>45552.0</v>
      </c>
      <c r="J2117" s="66">
        <v>20.992812709808348</v>
      </c>
      <c r="M2117" s="1" t="str">
        <f>VLOOKUP(B2117,Bounties!A:D,3,FALSE)</f>
        <v>Outreach</v>
      </c>
      <c r="N2117" s="1" t="str">
        <f>VLOOKUP(B2117,Bounties!A:D,4,FALSE)</f>
        <v>Media</v>
      </c>
      <c r="O2117" s="1" t="str">
        <f t="shared" ref="O2117:P2117" si="2121">IF(ISBLANK(K2117),M2117,K2117)</f>
        <v>Outreach</v>
      </c>
      <c r="P2117" s="1" t="str">
        <f t="shared" si="2121"/>
        <v>Media</v>
      </c>
      <c r="Q2117" s="108" t="str">
        <f t="shared" si="3"/>
        <v>2024</v>
      </c>
      <c r="R2117" s="110">
        <f t="shared" si="4"/>
        <v>9</v>
      </c>
      <c r="S2117" s="108" t="str">
        <f t="shared" si="5"/>
        <v>2024-Q3</v>
      </c>
      <c r="T2117" s="111" t="str">
        <f t="shared" si="6"/>
        <v>2024-09</v>
      </c>
      <c r="U2117" s="112" t="str">
        <f t="shared" si="7"/>
        <v>2024-H2</v>
      </c>
      <c r="V2117" s="1" t="str">
        <f>VLOOKUP(B2117,Bounties!A:E,2,FALSE)</f>
        <v>Spanish Bounty</v>
      </c>
    </row>
    <row r="2118" hidden="1">
      <c r="A2118" s="109">
        <f>HYPERLINK("https://polkadot.subsquare.io/treasury/child-bounties/2165", 2165)</f>
        <v>2165</v>
      </c>
      <c r="B2118" s="183">
        <v>42.0</v>
      </c>
      <c r="C2118" s="27" t="s">
        <v>3404</v>
      </c>
      <c r="D2118" s="27" t="s">
        <v>2537</v>
      </c>
      <c r="E2118" s="129">
        <v>10.59</v>
      </c>
      <c r="F2118" s="66">
        <v>45.063152804374695</v>
      </c>
      <c r="G2118" s="27" t="s">
        <v>3788</v>
      </c>
      <c r="H2118" s="167">
        <v>45551.0</v>
      </c>
      <c r="I2118" s="167">
        <v>45553.0</v>
      </c>
      <c r="J2118" s="66">
        <v>47.29521353244782</v>
      </c>
      <c r="M2118" s="1" t="str">
        <f>VLOOKUP(B2118,Bounties!A:D,3,FALSE)</f>
        <v>Outreach</v>
      </c>
      <c r="N2118" s="1" t="str">
        <f>VLOOKUP(B2118,Bounties!A:D,4,FALSE)</f>
        <v>Media</v>
      </c>
      <c r="O2118" s="1" t="str">
        <f t="shared" ref="O2118:P2118" si="2122">IF(ISBLANK(K2118),M2118,K2118)</f>
        <v>Outreach</v>
      </c>
      <c r="P2118" s="1" t="str">
        <f t="shared" si="2122"/>
        <v>Media</v>
      </c>
      <c r="Q2118" s="108" t="str">
        <f t="shared" si="3"/>
        <v>2024</v>
      </c>
      <c r="R2118" s="110">
        <f t="shared" si="4"/>
        <v>9</v>
      </c>
      <c r="S2118" s="108" t="str">
        <f t="shared" si="5"/>
        <v>2024-Q3</v>
      </c>
      <c r="T2118" s="111" t="str">
        <f t="shared" si="6"/>
        <v>2024-09</v>
      </c>
      <c r="U2118" s="112" t="str">
        <f t="shared" si="7"/>
        <v>2024-H2</v>
      </c>
      <c r="V2118" s="1" t="str">
        <f>VLOOKUP(B2118,Bounties!A:E,2,FALSE)</f>
        <v>Spanish Bounty</v>
      </c>
    </row>
    <row r="2119" hidden="1">
      <c r="A2119" s="109">
        <f>HYPERLINK("https://polkadot.subsquare.io/treasury/child-bounties/2166", 2166)</f>
        <v>2166</v>
      </c>
      <c r="B2119" s="183">
        <v>42.0</v>
      </c>
      <c r="C2119" s="27" t="s">
        <v>3404</v>
      </c>
      <c r="D2119" s="27" t="s">
        <v>2538</v>
      </c>
      <c r="E2119" s="129">
        <v>26.3</v>
      </c>
      <c r="F2119" s="66">
        <v>111.91321234703064</v>
      </c>
      <c r="G2119" s="27" t="s">
        <v>3778</v>
      </c>
      <c r="H2119" s="167">
        <v>45551.0</v>
      </c>
      <c r="I2119" s="167">
        <v>45551.0</v>
      </c>
      <c r="J2119" s="66">
        <v>111.91321234703064</v>
      </c>
      <c r="M2119" s="1" t="str">
        <f>VLOOKUP(B2119,Bounties!A:D,3,FALSE)</f>
        <v>Outreach</v>
      </c>
      <c r="N2119" s="1" t="str">
        <f>VLOOKUP(B2119,Bounties!A:D,4,FALSE)</f>
        <v>Media</v>
      </c>
      <c r="O2119" s="1" t="str">
        <f t="shared" ref="O2119:P2119" si="2123">IF(ISBLANK(K2119),M2119,K2119)</f>
        <v>Outreach</v>
      </c>
      <c r="P2119" s="1" t="str">
        <f t="shared" si="2123"/>
        <v>Media</v>
      </c>
      <c r="Q2119" s="108" t="str">
        <f t="shared" si="3"/>
        <v>2024</v>
      </c>
      <c r="R2119" s="110">
        <f t="shared" si="4"/>
        <v>9</v>
      </c>
      <c r="S2119" s="108" t="str">
        <f t="shared" si="5"/>
        <v>2024-Q3</v>
      </c>
      <c r="T2119" s="111" t="str">
        <f t="shared" si="6"/>
        <v>2024-09</v>
      </c>
      <c r="U2119" s="112" t="str">
        <f t="shared" si="7"/>
        <v>2024-H2</v>
      </c>
      <c r="V2119" s="1" t="str">
        <f>VLOOKUP(B2119,Bounties!A:E,2,FALSE)</f>
        <v>Spanish Bounty</v>
      </c>
    </row>
    <row r="2120" hidden="1">
      <c r="A2120" s="109">
        <f>HYPERLINK("https://polkadot.subsquare.io/treasury/child-bounties/2167", 2167)</f>
        <v>2167</v>
      </c>
      <c r="B2120" s="183">
        <v>42.0</v>
      </c>
      <c r="C2120" s="27" t="s">
        <v>3404</v>
      </c>
      <c r="D2120" s="27" t="s">
        <v>2539</v>
      </c>
      <c r="E2120" s="129">
        <v>17.31</v>
      </c>
      <c r="F2120" s="66">
        <v>73.65846789836883</v>
      </c>
      <c r="G2120" s="27" t="s">
        <v>3688</v>
      </c>
      <c r="H2120" s="167">
        <v>45551.0</v>
      </c>
      <c r="I2120" s="167">
        <v>45557.0</v>
      </c>
      <c r="J2120" s="66">
        <v>80.24045468330382</v>
      </c>
      <c r="M2120" s="1" t="str">
        <f>VLOOKUP(B2120,Bounties!A:D,3,FALSE)</f>
        <v>Outreach</v>
      </c>
      <c r="N2120" s="1" t="str">
        <f>VLOOKUP(B2120,Bounties!A:D,4,FALSE)</f>
        <v>Media</v>
      </c>
      <c r="O2120" s="1" t="str">
        <f t="shared" ref="O2120:P2120" si="2124">IF(ISBLANK(K2120),M2120,K2120)</f>
        <v>Outreach</v>
      </c>
      <c r="P2120" s="1" t="str">
        <f t="shared" si="2124"/>
        <v>Media</v>
      </c>
      <c r="Q2120" s="108" t="str">
        <f t="shared" si="3"/>
        <v>2024</v>
      </c>
      <c r="R2120" s="110">
        <f t="shared" si="4"/>
        <v>9</v>
      </c>
      <c r="S2120" s="108" t="str">
        <f t="shared" si="5"/>
        <v>2024-Q3</v>
      </c>
      <c r="T2120" s="111" t="str">
        <f t="shared" si="6"/>
        <v>2024-09</v>
      </c>
      <c r="U2120" s="112" t="str">
        <f t="shared" si="7"/>
        <v>2024-H2</v>
      </c>
      <c r="V2120" s="1" t="str">
        <f>VLOOKUP(B2120,Bounties!A:E,2,FALSE)</f>
        <v>Spanish Bounty</v>
      </c>
    </row>
    <row r="2121" hidden="1">
      <c r="A2121" s="109">
        <f>HYPERLINK("https://polkadot.subsquare.io/treasury/child-bounties/2168", 2168)</f>
        <v>2168</v>
      </c>
      <c r="B2121" s="183">
        <v>42.0</v>
      </c>
      <c r="C2121" s="27" t="s">
        <v>3404</v>
      </c>
      <c r="D2121" s="27" t="s">
        <v>2540</v>
      </c>
      <c r="E2121" s="129">
        <v>6.71</v>
      </c>
      <c r="F2121" s="66">
        <v>28.552762541770935</v>
      </c>
      <c r="G2121" s="27" t="s">
        <v>3802</v>
      </c>
      <c r="H2121" s="167">
        <v>45551.0</v>
      </c>
      <c r="I2121" s="167">
        <v>45553.0</v>
      </c>
      <c r="J2121" s="66">
        <v>29.967033314704896</v>
      </c>
      <c r="M2121" s="1" t="str">
        <f>VLOOKUP(B2121,Bounties!A:D,3,FALSE)</f>
        <v>Outreach</v>
      </c>
      <c r="N2121" s="1" t="str">
        <f>VLOOKUP(B2121,Bounties!A:D,4,FALSE)</f>
        <v>Media</v>
      </c>
      <c r="O2121" s="1" t="str">
        <f t="shared" ref="O2121:P2121" si="2125">IF(ISBLANK(K2121),M2121,K2121)</f>
        <v>Outreach</v>
      </c>
      <c r="P2121" s="1" t="str">
        <f t="shared" si="2125"/>
        <v>Media</v>
      </c>
      <c r="Q2121" s="108" t="str">
        <f t="shared" si="3"/>
        <v>2024</v>
      </c>
      <c r="R2121" s="110">
        <f t="shared" si="4"/>
        <v>9</v>
      </c>
      <c r="S2121" s="108" t="str">
        <f t="shared" si="5"/>
        <v>2024-Q3</v>
      </c>
      <c r="T2121" s="111" t="str">
        <f t="shared" si="6"/>
        <v>2024-09</v>
      </c>
      <c r="U2121" s="112" t="str">
        <f t="shared" si="7"/>
        <v>2024-H2</v>
      </c>
      <c r="V2121" s="1" t="str">
        <f>VLOOKUP(B2121,Bounties!A:E,2,FALSE)</f>
        <v>Spanish Bounty</v>
      </c>
    </row>
    <row r="2122" hidden="1">
      <c r="A2122" s="109">
        <f>HYPERLINK("https://polkadot.subsquare.io/treasury/child-bounties/2169", 2169)</f>
        <v>2169</v>
      </c>
      <c r="B2122" s="183">
        <v>42.0</v>
      </c>
      <c r="C2122" s="27" t="s">
        <v>3404</v>
      </c>
      <c r="D2122" s="27" t="s">
        <v>2541</v>
      </c>
      <c r="E2122" s="129">
        <v>46.28</v>
      </c>
      <c r="F2122" s="66">
        <v>196.93321168899536</v>
      </c>
      <c r="G2122" s="27" t="s">
        <v>3702</v>
      </c>
      <c r="H2122" s="167">
        <v>45551.0</v>
      </c>
      <c r="I2122" s="167">
        <v>45551.0</v>
      </c>
      <c r="J2122" s="66">
        <v>196.93321168899536</v>
      </c>
      <c r="M2122" s="1" t="str">
        <f>VLOOKUP(B2122,Bounties!A:D,3,FALSE)</f>
        <v>Outreach</v>
      </c>
      <c r="N2122" s="1" t="str">
        <f>VLOOKUP(B2122,Bounties!A:D,4,FALSE)</f>
        <v>Media</v>
      </c>
      <c r="O2122" s="1" t="str">
        <f t="shared" ref="O2122:P2122" si="2126">IF(ISBLANK(K2122),M2122,K2122)</f>
        <v>Outreach</v>
      </c>
      <c r="P2122" s="1" t="str">
        <f t="shared" si="2126"/>
        <v>Media</v>
      </c>
      <c r="Q2122" s="108" t="str">
        <f t="shared" si="3"/>
        <v>2024</v>
      </c>
      <c r="R2122" s="110">
        <f t="shared" si="4"/>
        <v>9</v>
      </c>
      <c r="S2122" s="108" t="str">
        <f t="shared" si="5"/>
        <v>2024-Q3</v>
      </c>
      <c r="T2122" s="111" t="str">
        <f t="shared" si="6"/>
        <v>2024-09</v>
      </c>
      <c r="U2122" s="112" t="str">
        <f t="shared" si="7"/>
        <v>2024-H2</v>
      </c>
      <c r="V2122" s="1" t="str">
        <f>VLOOKUP(B2122,Bounties!A:E,2,FALSE)</f>
        <v>Spanish Bounty</v>
      </c>
    </row>
    <row r="2123" hidden="1">
      <c r="A2123" s="109">
        <f>HYPERLINK("https://polkadot.subsquare.io/treasury/child-bounties/2170", 2170)</f>
        <v>2170</v>
      </c>
      <c r="B2123" s="183">
        <v>42.0</v>
      </c>
      <c r="C2123" s="27" t="s">
        <v>3404</v>
      </c>
      <c r="D2123" s="27" t="s">
        <v>2542</v>
      </c>
      <c r="E2123" s="129">
        <v>12.11</v>
      </c>
      <c r="F2123" s="66">
        <v>51.531140742301936</v>
      </c>
      <c r="G2123" s="27" t="s">
        <v>3734</v>
      </c>
      <c r="H2123" s="167">
        <v>45551.0</v>
      </c>
      <c r="I2123" s="167">
        <v>45551.0</v>
      </c>
      <c r="J2123" s="66">
        <v>51.531140742301936</v>
      </c>
      <c r="M2123" s="1" t="str">
        <f>VLOOKUP(B2123,Bounties!A:D,3,FALSE)</f>
        <v>Outreach</v>
      </c>
      <c r="N2123" s="1" t="str">
        <f>VLOOKUP(B2123,Bounties!A:D,4,FALSE)</f>
        <v>Media</v>
      </c>
      <c r="O2123" s="1" t="str">
        <f t="shared" ref="O2123:P2123" si="2127">IF(ISBLANK(K2123),M2123,K2123)</f>
        <v>Outreach</v>
      </c>
      <c r="P2123" s="1" t="str">
        <f t="shared" si="2127"/>
        <v>Media</v>
      </c>
      <c r="Q2123" s="108" t="str">
        <f t="shared" si="3"/>
        <v>2024</v>
      </c>
      <c r="R2123" s="110">
        <f t="shared" si="4"/>
        <v>9</v>
      </c>
      <c r="S2123" s="108" t="str">
        <f t="shared" si="5"/>
        <v>2024-Q3</v>
      </c>
      <c r="T2123" s="111" t="str">
        <f t="shared" si="6"/>
        <v>2024-09</v>
      </c>
      <c r="U2123" s="112" t="str">
        <f t="shared" si="7"/>
        <v>2024-H2</v>
      </c>
      <c r="V2123" s="1" t="str">
        <f>VLOOKUP(B2123,Bounties!A:E,2,FALSE)</f>
        <v>Spanish Bounty</v>
      </c>
    </row>
    <row r="2124" hidden="1">
      <c r="A2124" s="109">
        <f>HYPERLINK("https://polkadot.subsquare.io/treasury/child-bounties/2171", 2171)</f>
        <v>2171</v>
      </c>
      <c r="B2124" s="183">
        <v>42.0</v>
      </c>
      <c r="C2124" s="27" t="s">
        <v>3404</v>
      </c>
      <c r="D2124" s="27" t="s">
        <v>2543</v>
      </c>
      <c r="E2124" s="129">
        <v>35.21</v>
      </c>
      <c r="F2124" s="66">
        <v>149.8275363779068</v>
      </c>
      <c r="G2124" s="27" t="s">
        <v>3704</v>
      </c>
      <c r="H2124" s="167">
        <v>45551.0</v>
      </c>
      <c r="I2124" s="167">
        <v>45555.0</v>
      </c>
      <c r="J2124" s="66">
        <v>156.87710169792174</v>
      </c>
      <c r="M2124" s="1" t="str">
        <f>VLOOKUP(B2124,Bounties!A:D,3,FALSE)</f>
        <v>Outreach</v>
      </c>
      <c r="N2124" s="1" t="str">
        <f>VLOOKUP(B2124,Bounties!A:D,4,FALSE)</f>
        <v>Media</v>
      </c>
      <c r="O2124" s="1" t="str">
        <f t="shared" ref="O2124:P2124" si="2128">IF(ISBLANK(K2124),M2124,K2124)</f>
        <v>Outreach</v>
      </c>
      <c r="P2124" s="1" t="str">
        <f t="shared" si="2128"/>
        <v>Media</v>
      </c>
      <c r="Q2124" s="108" t="str">
        <f t="shared" si="3"/>
        <v>2024</v>
      </c>
      <c r="R2124" s="110">
        <f t="shared" si="4"/>
        <v>9</v>
      </c>
      <c r="S2124" s="108" t="str">
        <f t="shared" si="5"/>
        <v>2024-Q3</v>
      </c>
      <c r="T2124" s="111" t="str">
        <f t="shared" si="6"/>
        <v>2024-09</v>
      </c>
      <c r="U2124" s="112" t="str">
        <f t="shared" si="7"/>
        <v>2024-H2</v>
      </c>
      <c r="V2124" s="1" t="str">
        <f>VLOOKUP(B2124,Bounties!A:E,2,FALSE)</f>
        <v>Spanish Bounty</v>
      </c>
    </row>
    <row r="2125" hidden="1">
      <c r="A2125" s="109">
        <f>HYPERLINK("https://polkadot.subsquare.io/treasury/child-bounties/2172", 2172)</f>
        <v>2172</v>
      </c>
      <c r="B2125" s="183">
        <v>42.0</v>
      </c>
      <c r="C2125" s="27" t="s">
        <v>3404</v>
      </c>
      <c r="D2125" s="27" t="s">
        <v>2544</v>
      </c>
      <c r="E2125" s="129">
        <v>51.83</v>
      </c>
      <c r="F2125" s="66">
        <v>220.54987817287446</v>
      </c>
      <c r="G2125" s="27" t="s">
        <v>3751</v>
      </c>
      <c r="H2125" s="167">
        <v>45551.0</v>
      </c>
      <c r="I2125" s="167">
        <v>45551.0</v>
      </c>
      <c r="J2125" s="66">
        <v>220.54987817287446</v>
      </c>
      <c r="M2125" s="1" t="str">
        <f>VLOOKUP(B2125,Bounties!A:D,3,FALSE)</f>
        <v>Outreach</v>
      </c>
      <c r="N2125" s="1" t="str">
        <f>VLOOKUP(B2125,Bounties!A:D,4,FALSE)</f>
        <v>Media</v>
      </c>
      <c r="O2125" s="1" t="str">
        <f t="shared" ref="O2125:P2125" si="2129">IF(ISBLANK(K2125),M2125,K2125)</f>
        <v>Outreach</v>
      </c>
      <c r="P2125" s="1" t="str">
        <f t="shared" si="2129"/>
        <v>Media</v>
      </c>
      <c r="Q2125" s="108" t="str">
        <f t="shared" si="3"/>
        <v>2024</v>
      </c>
      <c r="R2125" s="110">
        <f t="shared" si="4"/>
        <v>9</v>
      </c>
      <c r="S2125" s="108" t="str">
        <f t="shared" si="5"/>
        <v>2024-Q3</v>
      </c>
      <c r="T2125" s="111" t="str">
        <f t="shared" si="6"/>
        <v>2024-09</v>
      </c>
      <c r="U2125" s="112" t="str">
        <f t="shared" si="7"/>
        <v>2024-H2</v>
      </c>
      <c r="V2125" s="1" t="str">
        <f>VLOOKUP(B2125,Bounties!A:E,2,FALSE)</f>
        <v>Spanish Bounty</v>
      </c>
    </row>
    <row r="2126" hidden="1">
      <c r="A2126" s="109">
        <f>HYPERLINK("https://polkadot.subsquare.io/treasury/child-bounties/2173", 2173)</f>
        <v>2173</v>
      </c>
      <c r="B2126" s="183">
        <v>42.0</v>
      </c>
      <c r="C2126" s="27" t="s">
        <v>3404</v>
      </c>
      <c r="D2126" s="27" t="s">
        <v>2545</v>
      </c>
      <c r="E2126" s="129">
        <v>34.25</v>
      </c>
      <c r="F2126" s="66">
        <v>145.74249136447906</v>
      </c>
      <c r="G2126" s="27" t="s">
        <v>3676</v>
      </c>
      <c r="H2126" s="167">
        <v>45551.0</v>
      </c>
      <c r="I2126" s="167">
        <v>45564.0</v>
      </c>
      <c r="J2126" s="66">
        <v>142.44599223136902</v>
      </c>
      <c r="M2126" s="1" t="str">
        <f>VLOOKUP(B2126,Bounties!A:D,3,FALSE)</f>
        <v>Outreach</v>
      </c>
      <c r="N2126" s="1" t="str">
        <f>VLOOKUP(B2126,Bounties!A:D,4,FALSE)</f>
        <v>Media</v>
      </c>
      <c r="O2126" s="1" t="str">
        <f t="shared" ref="O2126:P2126" si="2130">IF(ISBLANK(K2126),M2126,K2126)</f>
        <v>Outreach</v>
      </c>
      <c r="P2126" s="1" t="str">
        <f t="shared" si="2130"/>
        <v>Media</v>
      </c>
      <c r="Q2126" s="108" t="str">
        <f t="shared" si="3"/>
        <v>2024</v>
      </c>
      <c r="R2126" s="110">
        <f t="shared" si="4"/>
        <v>9</v>
      </c>
      <c r="S2126" s="108" t="str">
        <f t="shared" si="5"/>
        <v>2024-Q3</v>
      </c>
      <c r="T2126" s="111" t="str">
        <f t="shared" si="6"/>
        <v>2024-09</v>
      </c>
      <c r="U2126" s="112" t="str">
        <f t="shared" si="7"/>
        <v>2024-H2</v>
      </c>
      <c r="V2126" s="1" t="str">
        <f>VLOOKUP(B2126,Bounties!A:E,2,FALSE)</f>
        <v>Spanish Bounty</v>
      </c>
    </row>
    <row r="2127" hidden="1">
      <c r="A2127" s="109">
        <f>HYPERLINK("https://polkadot.subsquare.io/treasury/child-bounties/2174", 2174)</f>
        <v>2174</v>
      </c>
      <c r="B2127" s="183">
        <v>42.0</v>
      </c>
      <c r="C2127" s="27" t="s">
        <v>3404</v>
      </c>
      <c r="D2127" s="27" t="s">
        <v>2546</v>
      </c>
      <c r="E2127" s="129">
        <v>47.09</v>
      </c>
      <c r="F2127" s="66">
        <v>200.37996841907503</v>
      </c>
      <c r="G2127" s="27" t="s">
        <v>3777</v>
      </c>
      <c r="H2127" s="167">
        <v>45551.0</v>
      </c>
      <c r="I2127" s="167">
        <v>45551.0</v>
      </c>
      <c r="J2127" s="66">
        <v>200.37996841907503</v>
      </c>
      <c r="M2127" s="1" t="str">
        <f>VLOOKUP(B2127,Bounties!A:D,3,FALSE)</f>
        <v>Outreach</v>
      </c>
      <c r="N2127" s="1" t="str">
        <f>VLOOKUP(B2127,Bounties!A:D,4,FALSE)</f>
        <v>Media</v>
      </c>
      <c r="O2127" s="1" t="str">
        <f t="shared" ref="O2127:P2127" si="2131">IF(ISBLANK(K2127),M2127,K2127)</f>
        <v>Outreach</v>
      </c>
      <c r="P2127" s="1" t="str">
        <f t="shared" si="2131"/>
        <v>Media</v>
      </c>
      <c r="Q2127" s="108" t="str">
        <f t="shared" si="3"/>
        <v>2024</v>
      </c>
      <c r="R2127" s="110">
        <f t="shared" si="4"/>
        <v>9</v>
      </c>
      <c r="S2127" s="108" t="str">
        <f t="shared" si="5"/>
        <v>2024-Q3</v>
      </c>
      <c r="T2127" s="111" t="str">
        <f t="shared" si="6"/>
        <v>2024-09</v>
      </c>
      <c r="U2127" s="112" t="str">
        <f t="shared" si="7"/>
        <v>2024-H2</v>
      </c>
      <c r="V2127" s="1" t="str">
        <f>VLOOKUP(B2127,Bounties!A:E,2,FALSE)</f>
        <v>Spanish Bounty</v>
      </c>
    </row>
    <row r="2128" hidden="1">
      <c r="A2128" s="109">
        <f>HYPERLINK("https://polkadot.subsquare.io/treasury/child-bounties/2175", 2175)</f>
        <v>2175</v>
      </c>
      <c r="B2128" s="183">
        <v>42.0</v>
      </c>
      <c r="C2128" s="27" t="s">
        <v>3404</v>
      </c>
      <c r="D2128" s="27" t="s">
        <v>2547</v>
      </c>
      <c r="E2128" s="129">
        <v>72.99</v>
      </c>
      <c r="F2128" s="66">
        <v>310.5910786771774</v>
      </c>
      <c r="G2128" s="27" t="s">
        <v>3674</v>
      </c>
      <c r="H2128" s="167">
        <v>45551.0</v>
      </c>
      <c r="I2128" s="167">
        <v>45552.0</v>
      </c>
      <c r="J2128" s="66">
        <v>316.583760266304</v>
      </c>
      <c r="M2128" s="1" t="str">
        <f>VLOOKUP(B2128,Bounties!A:D,3,FALSE)</f>
        <v>Outreach</v>
      </c>
      <c r="N2128" s="1" t="str">
        <f>VLOOKUP(B2128,Bounties!A:D,4,FALSE)</f>
        <v>Media</v>
      </c>
      <c r="O2128" s="1" t="str">
        <f t="shared" ref="O2128:P2128" si="2132">IF(ISBLANK(K2128),M2128,K2128)</f>
        <v>Outreach</v>
      </c>
      <c r="P2128" s="1" t="str">
        <f t="shared" si="2132"/>
        <v>Media</v>
      </c>
      <c r="Q2128" s="108" t="str">
        <f t="shared" si="3"/>
        <v>2024</v>
      </c>
      <c r="R2128" s="110">
        <f t="shared" si="4"/>
        <v>9</v>
      </c>
      <c r="S2128" s="108" t="str">
        <f t="shared" si="5"/>
        <v>2024-Q3</v>
      </c>
      <c r="T2128" s="111" t="str">
        <f t="shared" si="6"/>
        <v>2024-09</v>
      </c>
      <c r="U2128" s="112" t="str">
        <f t="shared" si="7"/>
        <v>2024-H2</v>
      </c>
      <c r="V2128" s="1" t="str">
        <f>VLOOKUP(B2128,Bounties!A:E,2,FALSE)</f>
        <v>Spanish Bounty</v>
      </c>
    </row>
    <row r="2129" hidden="1">
      <c r="A2129" s="109">
        <f>HYPERLINK("https://polkadot.subsquare.io/treasury/child-bounties/2176", 2176)</f>
        <v>2176</v>
      </c>
      <c r="B2129" s="183">
        <v>42.0</v>
      </c>
      <c r="C2129" s="27" t="s">
        <v>3404</v>
      </c>
      <c r="D2129" s="27" t="s">
        <v>2548</v>
      </c>
      <c r="E2129" s="129">
        <v>71.57</v>
      </c>
      <c r="F2129" s="66">
        <v>304.5486162614822</v>
      </c>
      <c r="G2129" s="27" t="s">
        <v>3763</v>
      </c>
      <c r="H2129" s="167">
        <v>45551.0</v>
      </c>
      <c r="I2129" s="167">
        <v>45551.0</v>
      </c>
      <c r="J2129" s="66">
        <v>304.5486162614822</v>
      </c>
      <c r="M2129" s="1" t="str">
        <f>VLOOKUP(B2129,Bounties!A:D,3,FALSE)</f>
        <v>Outreach</v>
      </c>
      <c r="N2129" s="1" t="str">
        <f>VLOOKUP(B2129,Bounties!A:D,4,FALSE)</f>
        <v>Media</v>
      </c>
      <c r="O2129" s="1" t="str">
        <f t="shared" ref="O2129:P2129" si="2133">IF(ISBLANK(K2129),M2129,K2129)</f>
        <v>Outreach</v>
      </c>
      <c r="P2129" s="1" t="str">
        <f t="shared" si="2133"/>
        <v>Media</v>
      </c>
      <c r="Q2129" s="108" t="str">
        <f t="shared" si="3"/>
        <v>2024</v>
      </c>
      <c r="R2129" s="110">
        <f t="shared" si="4"/>
        <v>9</v>
      </c>
      <c r="S2129" s="108" t="str">
        <f t="shared" si="5"/>
        <v>2024-Q3</v>
      </c>
      <c r="T2129" s="111" t="str">
        <f t="shared" si="6"/>
        <v>2024-09</v>
      </c>
      <c r="U2129" s="112" t="str">
        <f t="shared" si="7"/>
        <v>2024-H2</v>
      </c>
      <c r="V2129" s="1" t="str">
        <f>VLOOKUP(B2129,Bounties!A:E,2,FALSE)</f>
        <v>Spanish Bounty</v>
      </c>
    </row>
    <row r="2130" hidden="1">
      <c r="A2130" s="109">
        <f>HYPERLINK("https://polkadot.subsquare.io/treasury/child-bounties/2177", 2177)</f>
        <v>2177</v>
      </c>
      <c r="B2130" s="183">
        <v>42.0</v>
      </c>
      <c r="C2130" s="27" t="s">
        <v>3404</v>
      </c>
      <c r="D2130" s="27" t="s">
        <v>2549</v>
      </c>
      <c r="E2130" s="129">
        <v>86.25</v>
      </c>
      <c r="F2130" s="66">
        <v>367.015762925148</v>
      </c>
      <c r="G2130" s="27" t="s">
        <v>3675</v>
      </c>
      <c r="H2130" s="167">
        <v>45551.0</v>
      </c>
      <c r="I2130" s="167">
        <v>45551.0</v>
      </c>
      <c r="J2130" s="66">
        <v>367.015762925148</v>
      </c>
      <c r="M2130" s="1" t="str">
        <f>VLOOKUP(B2130,Bounties!A:D,3,FALSE)</f>
        <v>Outreach</v>
      </c>
      <c r="N2130" s="1" t="str">
        <f>VLOOKUP(B2130,Bounties!A:D,4,FALSE)</f>
        <v>Media</v>
      </c>
      <c r="O2130" s="1" t="str">
        <f t="shared" ref="O2130:P2130" si="2134">IF(ISBLANK(K2130),M2130,K2130)</f>
        <v>Outreach</v>
      </c>
      <c r="P2130" s="1" t="str">
        <f t="shared" si="2134"/>
        <v>Media</v>
      </c>
      <c r="Q2130" s="108" t="str">
        <f t="shared" si="3"/>
        <v>2024</v>
      </c>
      <c r="R2130" s="110">
        <f t="shared" si="4"/>
        <v>9</v>
      </c>
      <c r="S2130" s="108" t="str">
        <f t="shared" si="5"/>
        <v>2024-Q3</v>
      </c>
      <c r="T2130" s="111" t="str">
        <f t="shared" si="6"/>
        <v>2024-09</v>
      </c>
      <c r="U2130" s="112" t="str">
        <f t="shared" si="7"/>
        <v>2024-H2</v>
      </c>
      <c r="V2130" s="1" t="str">
        <f>VLOOKUP(B2130,Bounties!A:E,2,FALSE)</f>
        <v>Spanish Bounty</v>
      </c>
    </row>
    <row r="2131" hidden="1">
      <c r="A2131" s="109">
        <f>HYPERLINK("https://polkadot.subsquare.io/treasury/child-bounties/2178", 2178)</f>
        <v>2178</v>
      </c>
      <c r="B2131" s="183">
        <v>42.0</v>
      </c>
      <c r="C2131" s="27" t="s">
        <v>3404</v>
      </c>
      <c r="D2131" s="27" t="s">
        <v>2550</v>
      </c>
      <c r="E2131" s="129">
        <v>117.44</v>
      </c>
      <c r="F2131" s="66">
        <v>499.7371733093262</v>
      </c>
      <c r="G2131" s="27" t="s">
        <v>3644</v>
      </c>
      <c r="H2131" s="167">
        <v>45551.0</v>
      </c>
      <c r="I2131" s="167">
        <v>45551.0</v>
      </c>
      <c r="J2131" s="66">
        <v>499.7371733093262</v>
      </c>
      <c r="M2131" s="1" t="str">
        <f>VLOOKUP(B2131,Bounties!A:D,3,FALSE)</f>
        <v>Outreach</v>
      </c>
      <c r="N2131" s="1" t="str">
        <f>VLOOKUP(B2131,Bounties!A:D,4,FALSE)</f>
        <v>Media</v>
      </c>
      <c r="O2131" s="1" t="str">
        <f t="shared" ref="O2131:P2131" si="2135">IF(ISBLANK(K2131),M2131,K2131)</f>
        <v>Outreach</v>
      </c>
      <c r="P2131" s="1" t="str">
        <f t="shared" si="2135"/>
        <v>Media</v>
      </c>
      <c r="Q2131" s="108" t="str">
        <f t="shared" si="3"/>
        <v>2024</v>
      </c>
      <c r="R2131" s="110">
        <f t="shared" si="4"/>
        <v>9</v>
      </c>
      <c r="S2131" s="108" t="str">
        <f t="shared" si="5"/>
        <v>2024-Q3</v>
      </c>
      <c r="T2131" s="111" t="str">
        <f t="shared" si="6"/>
        <v>2024-09</v>
      </c>
      <c r="U2131" s="112" t="str">
        <f t="shared" si="7"/>
        <v>2024-H2</v>
      </c>
      <c r="V2131" s="1" t="str">
        <f>VLOOKUP(B2131,Bounties!A:E,2,FALSE)</f>
        <v>Spanish Bounty</v>
      </c>
    </row>
    <row r="2132" hidden="1">
      <c r="A2132" s="109">
        <f>HYPERLINK("https://polkadot.subsquare.io/treasury/child-bounties/2179", 2179)</f>
        <v>2179</v>
      </c>
      <c r="B2132" s="183">
        <v>42.0</v>
      </c>
      <c r="C2132" s="27" t="s">
        <v>3404</v>
      </c>
      <c r="D2132" s="27" t="s">
        <v>2551</v>
      </c>
      <c r="E2132" s="129">
        <v>1845.08</v>
      </c>
      <c r="F2132" s="66">
        <v>7851.286305599212</v>
      </c>
      <c r="G2132" s="27" t="s">
        <v>3677</v>
      </c>
      <c r="H2132" s="167">
        <v>45551.0</v>
      </c>
      <c r="I2132" s="167">
        <v>45551.0</v>
      </c>
      <c r="J2132" s="66">
        <v>7851.286305599212</v>
      </c>
      <c r="M2132" s="1" t="str">
        <f>VLOOKUP(B2132,Bounties!A:D,3,FALSE)</f>
        <v>Outreach</v>
      </c>
      <c r="N2132" s="1" t="str">
        <f>VLOOKUP(B2132,Bounties!A:D,4,FALSE)</f>
        <v>Media</v>
      </c>
      <c r="O2132" s="1" t="str">
        <f t="shared" ref="O2132:P2132" si="2136">IF(ISBLANK(K2132),M2132,K2132)</f>
        <v>Outreach</v>
      </c>
      <c r="P2132" s="1" t="str">
        <f t="shared" si="2136"/>
        <v>Media</v>
      </c>
      <c r="Q2132" s="108" t="str">
        <f t="shared" si="3"/>
        <v>2024</v>
      </c>
      <c r="R2132" s="110">
        <f t="shared" si="4"/>
        <v>9</v>
      </c>
      <c r="S2132" s="108" t="str">
        <f t="shared" si="5"/>
        <v>2024-Q3</v>
      </c>
      <c r="T2132" s="111" t="str">
        <f t="shared" si="6"/>
        <v>2024-09</v>
      </c>
      <c r="U2132" s="112" t="str">
        <f t="shared" si="7"/>
        <v>2024-H2</v>
      </c>
      <c r="V2132" s="1" t="str">
        <f>VLOOKUP(B2132,Bounties!A:E,2,FALSE)</f>
        <v>Spanish Bounty</v>
      </c>
    </row>
    <row r="2133" hidden="1">
      <c r="A2133" s="109">
        <f>HYPERLINK("https://polkadot.subsquare.io/treasury/child-bounties/2180", 2180)</f>
        <v>2180</v>
      </c>
      <c r="B2133" s="183">
        <v>42.0</v>
      </c>
      <c r="C2133" s="27" t="s">
        <v>3404</v>
      </c>
      <c r="D2133" s="27" t="s">
        <v>2552</v>
      </c>
      <c r="E2133" s="129">
        <v>67.87</v>
      </c>
      <c r="F2133" s="66">
        <v>288.8041719388962</v>
      </c>
      <c r="G2133" s="27" t="s">
        <v>3689</v>
      </c>
      <c r="H2133" s="167">
        <v>45551.0</v>
      </c>
      <c r="I2133" s="167">
        <v>45551.0</v>
      </c>
      <c r="J2133" s="66">
        <v>288.8041719388962</v>
      </c>
      <c r="M2133" s="1" t="str">
        <f>VLOOKUP(B2133,Bounties!A:D,3,FALSE)</f>
        <v>Outreach</v>
      </c>
      <c r="N2133" s="1" t="str">
        <f>VLOOKUP(B2133,Bounties!A:D,4,FALSE)</f>
        <v>Media</v>
      </c>
      <c r="O2133" s="1" t="str">
        <f t="shared" ref="O2133:P2133" si="2137">IF(ISBLANK(K2133),M2133,K2133)</f>
        <v>Outreach</v>
      </c>
      <c r="P2133" s="1" t="str">
        <f t="shared" si="2137"/>
        <v>Media</v>
      </c>
      <c r="Q2133" s="108" t="str">
        <f t="shared" si="3"/>
        <v>2024</v>
      </c>
      <c r="R2133" s="110">
        <f t="shared" si="4"/>
        <v>9</v>
      </c>
      <c r="S2133" s="108" t="str">
        <f t="shared" si="5"/>
        <v>2024-Q3</v>
      </c>
      <c r="T2133" s="111" t="str">
        <f t="shared" si="6"/>
        <v>2024-09</v>
      </c>
      <c r="U2133" s="112" t="str">
        <f t="shared" si="7"/>
        <v>2024-H2</v>
      </c>
      <c r="V2133" s="1" t="str">
        <f>VLOOKUP(B2133,Bounties!A:E,2,FALSE)</f>
        <v>Spanish Bounty</v>
      </c>
    </row>
    <row r="2134" hidden="1">
      <c r="A2134" s="109">
        <f>HYPERLINK("https://polkadot.subsquare.io/treasury/child-bounties/2181", 2181)</f>
        <v>2181</v>
      </c>
      <c r="B2134" s="183">
        <v>42.0</v>
      </c>
      <c r="C2134" s="27" t="s">
        <v>3404</v>
      </c>
      <c r="D2134" s="27" t="s">
        <v>2553</v>
      </c>
      <c r="E2134" s="129">
        <v>70.58</v>
      </c>
      <c r="F2134" s="66">
        <v>300.3359135913849</v>
      </c>
      <c r="G2134" s="27" t="s">
        <v>3681</v>
      </c>
      <c r="H2134" s="167">
        <v>45551.0</v>
      </c>
      <c r="I2134" s="167">
        <v>45552.0</v>
      </c>
      <c r="J2134" s="66">
        <v>306.13072749137876</v>
      </c>
      <c r="M2134" s="1" t="str">
        <f>VLOOKUP(B2134,Bounties!A:D,3,FALSE)</f>
        <v>Outreach</v>
      </c>
      <c r="N2134" s="1" t="str">
        <f>VLOOKUP(B2134,Bounties!A:D,4,FALSE)</f>
        <v>Media</v>
      </c>
      <c r="O2134" s="1" t="str">
        <f t="shared" ref="O2134:P2134" si="2138">IF(ISBLANK(K2134),M2134,K2134)</f>
        <v>Outreach</v>
      </c>
      <c r="P2134" s="1" t="str">
        <f t="shared" si="2138"/>
        <v>Media</v>
      </c>
      <c r="Q2134" s="108" t="str">
        <f t="shared" si="3"/>
        <v>2024</v>
      </c>
      <c r="R2134" s="110">
        <f t="shared" si="4"/>
        <v>9</v>
      </c>
      <c r="S2134" s="108" t="str">
        <f t="shared" si="5"/>
        <v>2024-Q3</v>
      </c>
      <c r="T2134" s="111" t="str">
        <f t="shared" si="6"/>
        <v>2024-09</v>
      </c>
      <c r="U2134" s="112" t="str">
        <f t="shared" si="7"/>
        <v>2024-H2</v>
      </c>
      <c r="V2134" s="1" t="str">
        <f>VLOOKUP(B2134,Bounties!A:E,2,FALSE)</f>
        <v>Spanish Bounty</v>
      </c>
    </row>
    <row r="2135" hidden="1">
      <c r="A2135" s="109">
        <f>HYPERLINK("https://polkadot.subsquare.io/treasury/child-bounties/2182", 2182)</f>
        <v>2182</v>
      </c>
      <c r="B2135" s="183">
        <v>42.0</v>
      </c>
      <c r="C2135" s="27" t="s">
        <v>3404</v>
      </c>
      <c r="D2135" s="27" t="s">
        <v>2554</v>
      </c>
      <c r="E2135" s="129">
        <v>732.23</v>
      </c>
      <c r="F2135" s="66">
        <v>3115.825531439781</v>
      </c>
      <c r="G2135" s="27" t="s">
        <v>3753</v>
      </c>
      <c r="H2135" s="167">
        <v>45551.0</v>
      </c>
      <c r="I2135" s="167">
        <v>45552.0</v>
      </c>
      <c r="J2135" s="66">
        <v>3175.943646798134</v>
      </c>
      <c r="M2135" s="1" t="str">
        <f>VLOOKUP(B2135,Bounties!A:D,3,FALSE)</f>
        <v>Outreach</v>
      </c>
      <c r="N2135" s="1" t="str">
        <f>VLOOKUP(B2135,Bounties!A:D,4,FALSE)</f>
        <v>Media</v>
      </c>
      <c r="O2135" s="1" t="str">
        <f t="shared" ref="O2135:P2135" si="2139">IF(ISBLANK(K2135),M2135,K2135)</f>
        <v>Outreach</v>
      </c>
      <c r="P2135" s="1" t="str">
        <f t="shared" si="2139"/>
        <v>Media</v>
      </c>
      <c r="Q2135" s="108" t="str">
        <f t="shared" si="3"/>
        <v>2024</v>
      </c>
      <c r="R2135" s="110">
        <f t="shared" si="4"/>
        <v>9</v>
      </c>
      <c r="S2135" s="108" t="str">
        <f t="shared" si="5"/>
        <v>2024-Q3</v>
      </c>
      <c r="T2135" s="111" t="str">
        <f t="shared" si="6"/>
        <v>2024-09</v>
      </c>
      <c r="U2135" s="112" t="str">
        <f t="shared" si="7"/>
        <v>2024-H2</v>
      </c>
      <c r="V2135" s="1" t="str">
        <f>VLOOKUP(B2135,Bounties!A:E,2,FALSE)</f>
        <v>Spanish Bounty</v>
      </c>
    </row>
    <row r="2136" hidden="1">
      <c r="A2136" s="109">
        <f>HYPERLINK("https://polkadot.subsquare.io/treasury/child-bounties/2183", 2183)</f>
        <v>2183</v>
      </c>
      <c r="B2136" s="183">
        <v>17.0</v>
      </c>
      <c r="C2136" s="27" t="s">
        <v>3404</v>
      </c>
      <c r="D2136" s="27" t="s">
        <v>2555</v>
      </c>
      <c r="E2136" s="129">
        <v>21157.82</v>
      </c>
      <c r="F2136" s="66">
        <v>91769.0397950077</v>
      </c>
      <c r="G2136" s="27" t="s">
        <v>3747</v>
      </c>
      <c r="H2136" s="167">
        <v>45552.0</v>
      </c>
      <c r="I2136" s="167">
        <v>45552.0</v>
      </c>
      <c r="J2136" s="66">
        <v>91769.0397950077</v>
      </c>
      <c r="L2136" s="1" t="s">
        <v>266</v>
      </c>
      <c r="M2136" s="1" t="str">
        <f>VLOOKUP(B2136,Bounties!A:D,3,FALSE)</f>
        <v>Outreach</v>
      </c>
      <c r="N2136" s="1" t="str">
        <f>VLOOKUP(B2136,Bounties!A:D,4,FALSE)</f>
        <v>Events/Meetups</v>
      </c>
      <c r="O2136" s="1" t="str">
        <f t="shared" ref="O2136:P2136" si="2140">IF(ISBLANK(K2136),M2136,K2136)</f>
        <v>Outreach</v>
      </c>
      <c r="P2136" s="1" t="str">
        <f t="shared" si="2140"/>
        <v>Events/Conference Attendance &amp; Side Events</v>
      </c>
      <c r="Q2136" s="108" t="str">
        <f t="shared" si="3"/>
        <v>2024</v>
      </c>
      <c r="R2136" s="110">
        <f t="shared" si="4"/>
        <v>9</v>
      </c>
      <c r="S2136" s="108" t="str">
        <f t="shared" si="5"/>
        <v>2024-Q3</v>
      </c>
      <c r="T2136" s="111" t="str">
        <f t="shared" si="6"/>
        <v>2024-09</v>
      </c>
      <c r="U2136" s="112" t="str">
        <f t="shared" si="7"/>
        <v>2024-H2</v>
      </c>
      <c r="V2136" s="1" t="str">
        <f>VLOOKUP(B2136,Bounties!A:E,2,FALSE)</f>
        <v>Events Bounty</v>
      </c>
    </row>
    <row r="2137" hidden="1">
      <c r="A2137" s="109">
        <f>HYPERLINK("https://polkadot.subsquare.io/treasury/child-bounties/2184", 2184)</f>
        <v>2184</v>
      </c>
      <c r="B2137" s="183">
        <v>17.0</v>
      </c>
      <c r="C2137" s="27" t="s">
        <v>3404</v>
      </c>
      <c r="D2137" s="27" t="s">
        <v>2556</v>
      </c>
      <c r="E2137" s="129">
        <v>1204.32</v>
      </c>
      <c r="F2137" s="66">
        <v>5365.811732940673</v>
      </c>
      <c r="G2137" s="27" t="s">
        <v>3807</v>
      </c>
      <c r="H2137" s="167">
        <v>45555.0</v>
      </c>
      <c r="I2137" s="167">
        <v>45556.0</v>
      </c>
      <c r="J2137" s="66">
        <v>5365.811732940673</v>
      </c>
      <c r="M2137" s="1" t="str">
        <f>VLOOKUP(B2137,Bounties!A:D,3,FALSE)</f>
        <v>Outreach</v>
      </c>
      <c r="N2137" s="1" t="str">
        <f>VLOOKUP(B2137,Bounties!A:D,4,FALSE)</f>
        <v>Events/Meetups</v>
      </c>
      <c r="O2137" s="1" t="str">
        <f t="shared" ref="O2137:P2137" si="2141">IF(ISBLANK(K2137),M2137,K2137)</f>
        <v>Outreach</v>
      </c>
      <c r="P2137" s="1" t="str">
        <f t="shared" si="2141"/>
        <v>Events/Meetups</v>
      </c>
      <c r="Q2137" s="108" t="str">
        <f t="shared" si="3"/>
        <v>2024</v>
      </c>
      <c r="R2137" s="110">
        <f t="shared" si="4"/>
        <v>9</v>
      </c>
      <c r="S2137" s="108" t="str">
        <f t="shared" si="5"/>
        <v>2024-Q3</v>
      </c>
      <c r="T2137" s="111" t="str">
        <f t="shared" si="6"/>
        <v>2024-09</v>
      </c>
      <c r="U2137" s="112" t="str">
        <f t="shared" si="7"/>
        <v>2024-H2</v>
      </c>
      <c r="V2137" s="1" t="str">
        <f>VLOOKUP(B2137,Bounties!A:E,2,FALSE)</f>
        <v>Events Bounty</v>
      </c>
    </row>
    <row r="2138" hidden="1">
      <c r="A2138" s="109">
        <f>HYPERLINK("https://polkadot.subsquare.io/treasury/child-bounties/2185", 2185)</f>
        <v>2185</v>
      </c>
      <c r="B2138" s="183">
        <v>11.0</v>
      </c>
      <c r="C2138" s="27" t="s">
        <v>3404</v>
      </c>
      <c r="D2138" s="27" t="s">
        <v>2557</v>
      </c>
      <c r="E2138" s="129">
        <v>23.1696</v>
      </c>
      <c r="F2138" s="66">
        <v>107.52545756607056</v>
      </c>
      <c r="G2138" s="27" t="s">
        <v>3407</v>
      </c>
      <c r="H2138" s="167">
        <v>45557.0</v>
      </c>
      <c r="I2138" s="167">
        <v>45558.0</v>
      </c>
      <c r="J2138" s="66">
        <v>111.5913779296875</v>
      </c>
      <c r="M2138" s="1" t="str">
        <f>VLOOKUP(B2138,Bounties!A:D,3,FALSE)</f>
        <v>Research</v>
      </c>
      <c r="N2138" s="1" t="str">
        <f>VLOOKUP(B2138,Bounties!A:D,4,FALSE)</f>
        <v>Anti-Scam</v>
      </c>
      <c r="O2138" s="1" t="str">
        <f t="shared" ref="O2138:P2138" si="2142">IF(ISBLANK(K2138),M2138,K2138)</f>
        <v>Research</v>
      </c>
      <c r="P2138" s="1" t="str">
        <f t="shared" si="2142"/>
        <v>Anti-Scam</v>
      </c>
      <c r="Q2138" s="108" t="str">
        <f t="shared" si="3"/>
        <v>2024</v>
      </c>
      <c r="R2138" s="110">
        <f t="shared" si="4"/>
        <v>9</v>
      </c>
      <c r="S2138" s="108" t="str">
        <f t="shared" si="5"/>
        <v>2024-Q3</v>
      </c>
      <c r="T2138" s="111" t="str">
        <f t="shared" si="6"/>
        <v>2024-09</v>
      </c>
      <c r="U2138" s="112" t="str">
        <f t="shared" si="7"/>
        <v>2024-H2</v>
      </c>
      <c r="V2138" s="1" t="str">
        <f>VLOOKUP(B2138,Bounties!A:E,2,FALSE)</f>
        <v>Anti-Scam Bounty</v>
      </c>
    </row>
    <row r="2139" hidden="1">
      <c r="A2139" s="109">
        <f>HYPERLINK("https://polkadot.subsquare.io/treasury/child-bounties/2187", 2187)</f>
        <v>2187</v>
      </c>
      <c r="B2139" s="183">
        <v>31.0</v>
      </c>
      <c r="C2139" s="27" t="s">
        <v>3404</v>
      </c>
      <c r="D2139" s="27" t="s">
        <v>2558</v>
      </c>
      <c r="E2139" s="129">
        <v>508.97</v>
      </c>
      <c r="F2139" s="66">
        <v>2362.02749022007</v>
      </c>
      <c r="G2139" s="27" t="s">
        <v>3653</v>
      </c>
      <c r="H2139" s="167">
        <v>45557.0</v>
      </c>
      <c r="I2139" s="167">
        <v>45559.0</v>
      </c>
      <c r="J2139" s="66">
        <v>2451.344158935547</v>
      </c>
      <c r="M2139" s="1" t="str">
        <f>VLOOKUP(B2139,Bounties!A:D,3,FALSE)</f>
        <v>Operations</v>
      </c>
      <c r="N2139" s="1" t="str">
        <f>VLOOKUP(B2139,Bounties!A:D,4,FALSE)</f>
        <v>RPCs and Nodes</v>
      </c>
      <c r="O2139" s="1" t="str">
        <f t="shared" ref="O2139:P2139" si="2143">IF(ISBLANK(K2139),M2139,K2139)</f>
        <v>Operations</v>
      </c>
      <c r="P2139" s="1" t="str">
        <f t="shared" si="2143"/>
        <v>RPCs and Nodes</v>
      </c>
      <c r="Q2139" s="108" t="str">
        <f t="shared" si="3"/>
        <v>2024</v>
      </c>
      <c r="R2139" s="110">
        <f t="shared" si="4"/>
        <v>9</v>
      </c>
      <c r="S2139" s="108" t="str">
        <f t="shared" si="5"/>
        <v>2024-Q3</v>
      </c>
      <c r="T2139" s="111" t="str">
        <f t="shared" si="6"/>
        <v>2024-09</v>
      </c>
      <c r="U2139" s="112" t="str">
        <f t="shared" si="7"/>
        <v>2024-H2</v>
      </c>
      <c r="V2139" s="1" t="str">
        <f>VLOOKUP(B2139,Bounties!A:E,2,FALSE)</f>
        <v>Public RPCs for Relay and System Chains</v>
      </c>
    </row>
    <row r="2140" hidden="1">
      <c r="A2140" s="109">
        <f>HYPERLINK("https://polkadot.subsquare.io/treasury/child-bounties/2189", 2189)</f>
        <v>2189</v>
      </c>
      <c r="B2140" s="183">
        <v>31.0</v>
      </c>
      <c r="C2140" s="27" t="s">
        <v>3404</v>
      </c>
      <c r="D2140" s="27" t="s">
        <v>2559</v>
      </c>
      <c r="E2140" s="129">
        <v>1156.34</v>
      </c>
      <c r="F2140" s="66">
        <v>5366.341568346023</v>
      </c>
      <c r="G2140" s="27" t="s">
        <v>3589</v>
      </c>
      <c r="H2140" s="167">
        <v>45557.0</v>
      </c>
      <c r="I2140" s="167">
        <v>45558.0</v>
      </c>
      <c r="J2140" s="66">
        <v>5569.262048339843</v>
      </c>
      <c r="M2140" s="1" t="str">
        <f>VLOOKUP(B2140,Bounties!A:D,3,FALSE)</f>
        <v>Operations</v>
      </c>
      <c r="N2140" s="1" t="str">
        <f>VLOOKUP(B2140,Bounties!A:D,4,FALSE)</f>
        <v>RPCs and Nodes</v>
      </c>
      <c r="O2140" s="1" t="str">
        <f t="shared" ref="O2140:P2140" si="2144">IF(ISBLANK(K2140),M2140,K2140)</f>
        <v>Operations</v>
      </c>
      <c r="P2140" s="1" t="str">
        <f t="shared" si="2144"/>
        <v>RPCs and Nodes</v>
      </c>
      <c r="Q2140" s="108" t="str">
        <f t="shared" si="3"/>
        <v>2024</v>
      </c>
      <c r="R2140" s="110">
        <f t="shared" si="4"/>
        <v>9</v>
      </c>
      <c r="S2140" s="108" t="str">
        <f t="shared" si="5"/>
        <v>2024-Q3</v>
      </c>
      <c r="T2140" s="111" t="str">
        <f t="shared" si="6"/>
        <v>2024-09</v>
      </c>
      <c r="U2140" s="112" t="str">
        <f t="shared" si="7"/>
        <v>2024-H2</v>
      </c>
      <c r="V2140" s="1" t="str">
        <f>VLOOKUP(B2140,Bounties!A:E,2,FALSE)</f>
        <v>Public RPCs for Relay and System Chains</v>
      </c>
    </row>
    <row r="2141" hidden="1">
      <c r="A2141" s="109">
        <f>HYPERLINK("https://polkadot.subsquare.io/treasury/child-bounties/2191", 2191)</f>
        <v>2191</v>
      </c>
      <c r="B2141" s="183">
        <v>31.0</v>
      </c>
      <c r="C2141" s="27" t="s">
        <v>3404</v>
      </c>
      <c r="D2141" s="27" t="s">
        <v>2560</v>
      </c>
      <c r="E2141" s="129">
        <v>809.44</v>
      </c>
      <c r="F2141" s="66">
        <v>3756.4483794403077</v>
      </c>
      <c r="G2141" s="27" t="s">
        <v>3658</v>
      </c>
      <c r="H2141" s="167">
        <v>45557.0</v>
      </c>
      <c r="I2141" s="167">
        <v>45558.0</v>
      </c>
      <c r="J2141" s="66">
        <v>3898.4930664062504</v>
      </c>
      <c r="M2141" s="1" t="str">
        <f>VLOOKUP(B2141,Bounties!A:D,3,FALSE)</f>
        <v>Operations</v>
      </c>
      <c r="N2141" s="1" t="str">
        <f>VLOOKUP(B2141,Bounties!A:D,4,FALSE)</f>
        <v>RPCs and Nodes</v>
      </c>
      <c r="O2141" s="1" t="str">
        <f t="shared" ref="O2141:P2141" si="2145">IF(ISBLANK(K2141),M2141,K2141)</f>
        <v>Operations</v>
      </c>
      <c r="P2141" s="1" t="str">
        <f t="shared" si="2145"/>
        <v>RPCs and Nodes</v>
      </c>
      <c r="Q2141" s="108" t="str">
        <f t="shared" si="3"/>
        <v>2024</v>
      </c>
      <c r="R2141" s="110">
        <f t="shared" si="4"/>
        <v>9</v>
      </c>
      <c r="S2141" s="108" t="str">
        <f t="shared" si="5"/>
        <v>2024-Q3</v>
      </c>
      <c r="T2141" s="111" t="str">
        <f t="shared" si="6"/>
        <v>2024-09</v>
      </c>
      <c r="U2141" s="112" t="str">
        <f t="shared" si="7"/>
        <v>2024-H2</v>
      </c>
      <c r="V2141" s="1" t="str">
        <f>VLOOKUP(B2141,Bounties!A:E,2,FALSE)</f>
        <v>Public RPCs for Relay and System Chains</v>
      </c>
    </row>
    <row r="2142" hidden="1">
      <c r="A2142" s="109">
        <f>HYPERLINK("https://polkadot.subsquare.io/treasury/child-bounties/2192", 2192)</f>
        <v>2192</v>
      </c>
      <c r="B2142" s="183">
        <v>31.0</v>
      </c>
      <c r="C2142" s="27" t="s">
        <v>3404</v>
      </c>
      <c r="D2142" s="27" t="s">
        <v>2561</v>
      </c>
      <c r="E2142" s="129">
        <v>913.51</v>
      </c>
      <c r="F2142" s="66">
        <v>4239.416336112023</v>
      </c>
      <c r="G2142" s="27" t="s">
        <v>3659</v>
      </c>
      <c r="H2142" s="167">
        <v>45557.0</v>
      </c>
      <c r="I2142" s="167">
        <v>45559.0</v>
      </c>
      <c r="J2142" s="66">
        <v>4399.723760986328</v>
      </c>
      <c r="M2142" s="1" t="str">
        <f>VLOOKUP(B2142,Bounties!A:D,3,FALSE)</f>
        <v>Operations</v>
      </c>
      <c r="N2142" s="1" t="str">
        <f>VLOOKUP(B2142,Bounties!A:D,4,FALSE)</f>
        <v>RPCs and Nodes</v>
      </c>
      <c r="O2142" s="1" t="str">
        <f t="shared" ref="O2142:P2142" si="2146">IF(ISBLANK(K2142),M2142,K2142)</f>
        <v>Operations</v>
      </c>
      <c r="P2142" s="1" t="str">
        <f t="shared" si="2146"/>
        <v>RPCs and Nodes</v>
      </c>
      <c r="Q2142" s="108" t="str">
        <f t="shared" si="3"/>
        <v>2024</v>
      </c>
      <c r="R2142" s="110">
        <f t="shared" si="4"/>
        <v>9</v>
      </c>
      <c r="S2142" s="108" t="str">
        <f t="shared" si="5"/>
        <v>2024-Q3</v>
      </c>
      <c r="T2142" s="111" t="str">
        <f t="shared" si="6"/>
        <v>2024-09</v>
      </c>
      <c r="U2142" s="112" t="str">
        <f t="shared" si="7"/>
        <v>2024-H2</v>
      </c>
      <c r="V2142" s="1" t="str">
        <f>VLOOKUP(B2142,Bounties!A:E,2,FALSE)</f>
        <v>Public RPCs for Relay and System Chains</v>
      </c>
    </row>
    <row r="2143" hidden="1">
      <c r="A2143" s="109">
        <f>HYPERLINK("https://polkadot.subsquare.io/treasury/child-bounties/2193", 2193)</f>
        <v>2193</v>
      </c>
      <c r="B2143" s="183">
        <v>31.0</v>
      </c>
      <c r="C2143" s="27" t="s">
        <v>3404</v>
      </c>
      <c r="D2143" s="27" t="s">
        <v>2562</v>
      </c>
      <c r="E2143" s="129">
        <v>80.94</v>
      </c>
      <c r="F2143" s="66">
        <v>375.6262747478485</v>
      </c>
      <c r="G2143" s="27" t="s">
        <v>3748</v>
      </c>
      <c r="H2143" s="167">
        <v>45557.0</v>
      </c>
      <c r="I2143" s="167">
        <v>45558.0</v>
      </c>
      <c r="J2143" s="66">
        <v>389.8300415039062</v>
      </c>
      <c r="M2143" s="1" t="str">
        <f>VLOOKUP(B2143,Bounties!A:D,3,FALSE)</f>
        <v>Operations</v>
      </c>
      <c r="N2143" s="1" t="str">
        <f>VLOOKUP(B2143,Bounties!A:D,4,FALSE)</f>
        <v>RPCs and Nodes</v>
      </c>
      <c r="O2143" s="1" t="str">
        <f t="shared" ref="O2143:P2143" si="2147">IF(ISBLANK(K2143),M2143,K2143)</f>
        <v>Operations</v>
      </c>
      <c r="P2143" s="1" t="str">
        <f t="shared" si="2147"/>
        <v>RPCs and Nodes</v>
      </c>
      <c r="Q2143" s="108" t="str">
        <f t="shared" si="3"/>
        <v>2024</v>
      </c>
      <c r="R2143" s="110">
        <f t="shared" si="4"/>
        <v>9</v>
      </c>
      <c r="S2143" s="108" t="str">
        <f t="shared" si="5"/>
        <v>2024-Q3</v>
      </c>
      <c r="T2143" s="111" t="str">
        <f t="shared" si="6"/>
        <v>2024-09</v>
      </c>
      <c r="U2143" s="112" t="str">
        <f t="shared" si="7"/>
        <v>2024-H2</v>
      </c>
      <c r="V2143" s="1" t="str">
        <f>VLOOKUP(B2143,Bounties!A:E,2,FALSE)</f>
        <v>Public RPCs for Relay and System Chains</v>
      </c>
    </row>
    <row r="2144" hidden="1">
      <c r="A2144" s="109">
        <f>HYPERLINK("https://polkadot.subsquare.io/treasury/child-bounties/2194", 2194)</f>
        <v>2194</v>
      </c>
      <c r="B2144" s="183">
        <v>31.0</v>
      </c>
      <c r="C2144" s="27" t="s">
        <v>3404</v>
      </c>
      <c r="D2144" s="27" t="s">
        <v>2563</v>
      </c>
      <c r="E2144" s="129">
        <v>80.94</v>
      </c>
      <c r="F2144" s="66">
        <v>375.6262747478485</v>
      </c>
      <c r="G2144" s="27" t="s">
        <v>3749</v>
      </c>
      <c r="H2144" s="167">
        <v>45557.0</v>
      </c>
      <c r="I2144" s="167">
        <v>45558.0</v>
      </c>
      <c r="J2144" s="66">
        <v>389.8300415039062</v>
      </c>
      <c r="M2144" s="1" t="str">
        <f>VLOOKUP(B2144,Bounties!A:D,3,FALSE)</f>
        <v>Operations</v>
      </c>
      <c r="N2144" s="1" t="str">
        <f>VLOOKUP(B2144,Bounties!A:D,4,FALSE)</f>
        <v>RPCs and Nodes</v>
      </c>
      <c r="O2144" s="1" t="str">
        <f t="shared" ref="O2144:P2144" si="2148">IF(ISBLANK(K2144),M2144,K2144)</f>
        <v>Operations</v>
      </c>
      <c r="P2144" s="1" t="str">
        <f t="shared" si="2148"/>
        <v>RPCs and Nodes</v>
      </c>
      <c r="Q2144" s="108" t="str">
        <f t="shared" si="3"/>
        <v>2024</v>
      </c>
      <c r="R2144" s="110">
        <f t="shared" si="4"/>
        <v>9</v>
      </c>
      <c r="S2144" s="108" t="str">
        <f t="shared" si="5"/>
        <v>2024-Q3</v>
      </c>
      <c r="T2144" s="111" t="str">
        <f t="shared" si="6"/>
        <v>2024-09</v>
      </c>
      <c r="U2144" s="112" t="str">
        <f t="shared" si="7"/>
        <v>2024-H2</v>
      </c>
      <c r="V2144" s="1" t="str">
        <f>VLOOKUP(B2144,Bounties!A:E,2,FALSE)</f>
        <v>Public RPCs for Relay and System Chains</v>
      </c>
    </row>
    <row r="2145" hidden="1">
      <c r="A2145" s="109">
        <f>HYPERLINK("https://polkadot.subsquare.io/treasury/child-bounties/2198", 2198)</f>
        <v>2198</v>
      </c>
      <c r="B2145" s="183">
        <v>36.0</v>
      </c>
      <c r="C2145" s="27" t="s">
        <v>3404</v>
      </c>
      <c r="D2145" s="27" t="s">
        <v>2564</v>
      </c>
      <c r="E2145" s="129">
        <v>5777.68</v>
      </c>
      <c r="F2145" s="66">
        <v>26782.418845443728</v>
      </c>
      <c r="G2145" s="27" t="s">
        <v>3808</v>
      </c>
      <c r="H2145" s="167">
        <v>45558.0</v>
      </c>
      <c r="I2145" s="167">
        <v>45563.0</v>
      </c>
      <c r="J2145" s="66">
        <v>24029.411982345584</v>
      </c>
      <c r="M2145" s="1" t="str">
        <f>VLOOKUP(B2145,Bounties!A:D,3,FALSE)</f>
        <v>Development</v>
      </c>
      <c r="N2145" s="1" t="str">
        <f>VLOOKUP(B2145,Bounties!A:D,4,FALSE)</f>
        <v>Software Development</v>
      </c>
      <c r="O2145" s="1" t="str">
        <f t="shared" ref="O2145:P2145" si="2149">IF(ISBLANK(K2145),M2145,K2145)</f>
        <v>Development</v>
      </c>
      <c r="P2145" s="1" t="str">
        <f t="shared" si="2149"/>
        <v>Software Development</v>
      </c>
      <c r="Q2145" s="108" t="str">
        <f t="shared" si="3"/>
        <v>2024</v>
      </c>
      <c r="R2145" s="110">
        <f t="shared" si="4"/>
        <v>9</v>
      </c>
      <c r="S2145" s="108" t="str">
        <f t="shared" si="5"/>
        <v>2024-Q3</v>
      </c>
      <c r="T2145" s="111" t="str">
        <f t="shared" si="6"/>
        <v>2024-09</v>
      </c>
      <c r="U2145" s="112" t="str">
        <f t="shared" si="7"/>
        <v>2024-H2</v>
      </c>
      <c r="V2145" s="1" t="str">
        <f>VLOOKUP(B2145,Bounties!A:E,2,FALSE)</f>
        <v>DeFi Infrastructure and Tooling Bounty</v>
      </c>
    </row>
    <row r="2146" hidden="1">
      <c r="A2146" s="109">
        <f>HYPERLINK("https://polkadot.subsquare.io/treasury/child-bounties/2199", 2199)</f>
        <v>2199</v>
      </c>
      <c r="B2146" s="183">
        <v>42.0</v>
      </c>
      <c r="C2146" s="27" t="s">
        <v>3404</v>
      </c>
      <c r="D2146" s="27" t="s">
        <v>2565</v>
      </c>
      <c r="E2146" s="129">
        <v>15.1</v>
      </c>
      <c r="F2146" s="66">
        <v>72.72589111328125</v>
      </c>
      <c r="G2146" s="27" t="s">
        <v>3751</v>
      </c>
      <c r="H2146" s="167">
        <v>45558.0</v>
      </c>
      <c r="I2146" s="167">
        <v>45558.0</v>
      </c>
      <c r="J2146" s="66">
        <v>72.72589111328125</v>
      </c>
      <c r="M2146" s="1" t="str">
        <f>VLOOKUP(B2146,Bounties!A:D,3,FALSE)</f>
        <v>Outreach</v>
      </c>
      <c r="N2146" s="1" t="str">
        <f>VLOOKUP(B2146,Bounties!A:D,4,FALSE)</f>
        <v>Media</v>
      </c>
      <c r="O2146" s="1" t="str">
        <f t="shared" ref="O2146:P2146" si="2150">IF(ISBLANK(K2146),M2146,K2146)</f>
        <v>Outreach</v>
      </c>
      <c r="P2146" s="1" t="str">
        <f t="shared" si="2150"/>
        <v>Media</v>
      </c>
      <c r="Q2146" s="108" t="str">
        <f t="shared" si="3"/>
        <v>2024</v>
      </c>
      <c r="R2146" s="110">
        <f t="shared" si="4"/>
        <v>9</v>
      </c>
      <c r="S2146" s="108" t="str">
        <f t="shared" si="5"/>
        <v>2024-Q3</v>
      </c>
      <c r="T2146" s="111" t="str">
        <f t="shared" si="6"/>
        <v>2024-09</v>
      </c>
      <c r="U2146" s="112" t="str">
        <f t="shared" si="7"/>
        <v>2024-H2</v>
      </c>
      <c r="V2146" s="1" t="str">
        <f>VLOOKUP(B2146,Bounties!A:E,2,FALSE)</f>
        <v>Spanish Bounty</v>
      </c>
    </row>
    <row r="2147" hidden="1">
      <c r="A2147" s="109">
        <f>HYPERLINK("https://polkadot.subsquare.io/treasury/child-bounties/2200", 2200)</f>
        <v>2200</v>
      </c>
      <c r="B2147" s="183">
        <v>42.0</v>
      </c>
      <c r="C2147" s="27" t="s">
        <v>3404</v>
      </c>
      <c r="D2147" s="27" t="s">
        <v>2566</v>
      </c>
      <c r="E2147" s="129">
        <v>16.62</v>
      </c>
      <c r="F2147" s="66">
        <v>80.04664306640626</v>
      </c>
      <c r="G2147" s="27" t="s">
        <v>3789</v>
      </c>
      <c r="H2147" s="167">
        <v>45558.0</v>
      </c>
      <c r="I2147" s="167">
        <v>45558.0</v>
      </c>
      <c r="J2147" s="66">
        <v>80.04664306640626</v>
      </c>
      <c r="M2147" s="1" t="str">
        <f>VLOOKUP(B2147,Bounties!A:D,3,FALSE)</f>
        <v>Outreach</v>
      </c>
      <c r="N2147" s="1" t="str">
        <f>VLOOKUP(B2147,Bounties!A:D,4,FALSE)</f>
        <v>Media</v>
      </c>
      <c r="O2147" s="1" t="str">
        <f t="shared" ref="O2147:P2147" si="2151">IF(ISBLANK(K2147),M2147,K2147)</f>
        <v>Outreach</v>
      </c>
      <c r="P2147" s="1" t="str">
        <f t="shared" si="2151"/>
        <v>Media</v>
      </c>
      <c r="Q2147" s="108" t="str">
        <f t="shared" si="3"/>
        <v>2024</v>
      </c>
      <c r="R2147" s="110">
        <f t="shared" si="4"/>
        <v>9</v>
      </c>
      <c r="S2147" s="108" t="str">
        <f t="shared" si="5"/>
        <v>2024-Q3</v>
      </c>
      <c r="T2147" s="111" t="str">
        <f t="shared" si="6"/>
        <v>2024-09</v>
      </c>
      <c r="U2147" s="112" t="str">
        <f t="shared" si="7"/>
        <v>2024-H2</v>
      </c>
      <c r="V2147" s="1" t="str">
        <f>VLOOKUP(B2147,Bounties!A:E,2,FALSE)</f>
        <v>Spanish Bounty</v>
      </c>
    </row>
    <row r="2148" hidden="1">
      <c r="A2148" s="109">
        <f>HYPERLINK("https://polkadot.subsquare.io/treasury/child-bounties/2201", 2201)</f>
        <v>2201</v>
      </c>
      <c r="B2148" s="183">
        <v>42.0</v>
      </c>
      <c r="C2148" s="27" t="s">
        <v>3404</v>
      </c>
      <c r="D2148" s="27" t="s">
        <v>2567</v>
      </c>
      <c r="E2148" s="129">
        <v>10.08</v>
      </c>
      <c r="F2148" s="66">
        <v>48.54814453125</v>
      </c>
      <c r="G2148" s="27" t="s">
        <v>3734</v>
      </c>
      <c r="H2148" s="167">
        <v>45558.0</v>
      </c>
      <c r="I2148" s="167">
        <v>45558.0</v>
      </c>
      <c r="J2148" s="66">
        <v>48.54814453125</v>
      </c>
      <c r="M2148" s="1" t="str">
        <f>VLOOKUP(B2148,Bounties!A:D,3,FALSE)</f>
        <v>Outreach</v>
      </c>
      <c r="N2148" s="1" t="str">
        <f>VLOOKUP(B2148,Bounties!A:D,4,FALSE)</f>
        <v>Media</v>
      </c>
      <c r="O2148" s="1" t="str">
        <f t="shared" ref="O2148:P2148" si="2152">IF(ISBLANK(K2148),M2148,K2148)</f>
        <v>Outreach</v>
      </c>
      <c r="P2148" s="1" t="str">
        <f t="shared" si="2152"/>
        <v>Media</v>
      </c>
      <c r="Q2148" s="108" t="str">
        <f t="shared" si="3"/>
        <v>2024</v>
      </c>
      <c r="R2148" s="110">
        <f t="shared" si="4"/>
        <v>9</v>
      </c>
      <c r="S2148" s="108" t="str">
        <f t="shared" si="5"/>
        <v>2024-Q3</v>
      </c>
      <c r="T2148" s="111" t="str">
        <f t="shared" si="6"/>
        <v>2024-09</v>
      </c>
      <c r="U2148" s="112" t="str">
        <f t="shared" si="7"/>
        <v>2024-H2</v>
      </c>
      <c r="V2148" s="1" t="str">
        <f>VLOOKUP(B2148,Bounties!A:E,2,FALSE)</f>
        <v>Spanish Bounty</v>
      </c>
    </row>
    <row r="2149" hidden="1">
      <c r="A2149" s="109">
        <f>HYPERLINK("https://polkadot.subsquare.io/treasury/child-bounties/2202", 2202)</f>
        <v>2202</v>
      </c>
      <c r="B2149" s="183">
        <v>42.0</v>
      </c>
      <c r="C2149" s="27" t="s">
        <v>3404</v>
      </c>
      <c r="D2149" s="27" t="s">
        <v>2568</v>
      </c>
      <c r="E2149" s="129">
        <v>11.48</v>
      </c>
      <c r="F2149" s="66">
        <v>55.2909423828125</v>
      </c>
      <c r="G2149" s="27" t="s">
        <v>3704</v>
      </c>
      <c r="H2149" s="167">
        <v>45558.0</v>
      </c>
      <c r="I2149" s="167">
        <v>45558.0</v>
      </c>
      <c r="J2149" s="66">
        <v>55.2909423828125</v>
      </c>
      <c r="M2149" s="1" t="str">
        <f>VLOOKUP(B2149,Bounties!A:D,3,FALSE)</f>
        <v>Outreach</v>
      </c>
      <c r="N2149" s="1" t="str">
        <f>VLOOKUP(B2149,Bounties!A:D,4,FALSE)</f>
        <v>Media</v>
      </c>
      <c r="O2149" s="1" t="str">
        <f t="shared" ref="O2149:P2149" si="2153">IF(ISBLANK(K2149),M2149,K2149)</f>
        <v>Outreach</v>
      </c>
      <c r="P2149" s="1" t="str">
        <f t="shared" si="2153"/>
        <v>Media</v>
      </c>
      <c r="Q2149" s="108" t="str">
        <f t="shared" si="3"/>
        <v>2024</v>
      </c>
      <c r="R2149" s="110">
        <f t="shared" si="4"/>
        <v>9</v>
      </c>
      <c r="S2149" s="108" t="str">
        <f t="shared" si="5"/>
        <v>2024-Q3</v>
      </c>
      <c r="T2149" s="111" t="str">
        <f t="shared" si="6"/>
        <v>2024-09</v>
      </c>
      <c r="U2149" s="112" t="str">
        <f t="shared" si="7"/>
        <v>2024-H2</v>
      </c>
      <c r="V2149" s="1" t="str">
        <f>VLOOKUP(B2149,Bounties!A:E,2,FALSE)</f>
        <v>Spanish Bounty</v>
      </c>
    </row>
    <row r="2150" hidden="1">
      <c r="A2150" s="109">
        <f>HYPERLINK("https://polkadot.subsquare.io/treasury/child-bounties/2203", 2203)</f>
        <v>2203</v>
      </c>
      <c r="B2150" s="183">
        <v>42.0</v>
      </c>
      <c r="C2150" s="27" t="s">
        <v>3404</v>
      </c>
      <c r="D2150" s="27" t="s">
        <v>2569</v>
      </c>
      <c r="E2150" s="129">
        <v>7.75</v>
      </c>
      <c r="F2150" s="66">
        <v>37.326202392578125</v>
      </c>
      <c r="G2150" s="27" t="s">
        <v>3703</v>
      </c>
      <c r="H2150" s="167">
        <v>45558.0</v>
      </c>
      <c r="I2150" s="167">
        <v>45558.0</v>
      </c>
      <c r="J2150" s="66">
        <v>37.326202392578125</v>
      </c>
      <c r="M2150" s="1" t="str">
        <f>VLOOKUP(B2150,Bounties!A:D,3,FALSE)</f>
        <v>Outreach</v>
      </c>
      <c r="N2150" s="1" t="str">
        <f>VLOOKUP(B2150,Bounties!A:D,4,FALSE)</f>
        <v>Media</v>
      </c>
      <c r="O2150" s="1" t="str">
        <f t="shared" ref="O2150:P2150" si="2154">IF(ISBLANK(K2150),M2150,K2150)</f>
        <v>Outreach</v>
      </c>
      <c r="P2150" s="1" t="str">
        <f t="shared" si="2154"/>
        <v>Media</v>
      </c>
      <c r="Q2150" s="108" t="str">
        <f t="shared" si="3"/>
        <v>2024</v>
      </c>
      <c r="R2150" s="110">
        <f t="shared" si="4"/>
        <v>9</v>
      </c>
      <c r="S2150" s="108" t="str">
        <f t="shared" si="5"/>
        <v>2024-Q3</v>
      </c>
      <c r="T2150" s="111" t="str">
        <f t="shared" si="6"/>
        <v>2024-09</v>
      </c>
      <c r="U2150" s="112" t="str">
        <f t="shared" si="7"/>
        <v>2024-H2</v>
      </c>
      <c r="V2150" s="1" t="str">
        <f>VLOOKUP(B2150,Bounties!A:E,2,FALSE)</f>
        <v>Spanish Bounty</v>
      </c>
    </row>
    <row r="2151" hidden="1">
      <c r="A2151" s="109">
        <f>HYPERLINK("https://polkadot.subsquare.io/treasury/child-bounties/2204", 2204)</f>
        <v>2204</v>
      </c>
      <c r="B2151" s="183">
        <v>42.0</v>
      </c>
      <c r="C2151" s="27" t="s">
        <v>3404</v>
      </c>
      <c r="D2151" s="27" t="s">
        <v>2570</v>
      </c>
      <c r="E2151" s="129">
        <v>35.24</v>
      </c>
      <c r="F2151" s="66">
        <v>169.72585449218752</v>
      </c>
      <c r="G2151" s="27" t="s">
        <v>3778</v>
      </c>
      <c r="H2151" s="167">
        <v>45558.0</v>
      </c>
      <c r="I2151" s="167">
        <v>45558.0</v>
      </c>
      <c r="J2151" s="66">
        <v>169.72585449218752</v>
      </c>
      <c r="M2151" s="1" t="str">
        <f>VLOOKUP(B2151,Bounties!A:D,3,FALSE)</f>
        <v>Outreach</v>
      </c>
      <c r="N2151" s="1" t="str">
        <f>VLOOKUP(B2151,Bounties!A:D,4,FALSE)</f>
        <v>Media</v>
      </c>
      <c r="O2151" s="1" t="str">
        <f t="shared" ref="O2151:P2151" si="2155">IF(ISBLANK(K2151),M2151,K2151)</f>
        <v>Outreach</v>
      </c>
      <c r="P2151" s="1" t="str">
        <f t="shared" si="2155"/>
        <v>Media</v>
      </c>
      <c r="Q2151" s="108" t="str">
        <f t="shared" si="3"/>
        <v>2024</v>
      </c>
      <c r="R2151" s="110">
        <f t="shared" si="4"/>
        <v>9</v>
      </c>
      <c r="S2151" s="108" t="str">
        <f t="shared" si="5"/>
        <v>2024-Q3</v>
      </c>
      <c r="T2151" s="111" t="str">
        <f t="shared" si="6"/>
        <v>2024-09</v>
      </c>
      <c r="U2151" s="112" t="str">
        <f t="shared" si="7"/>
        <v>2024-H2</v>
      </c>
      <c r="V2151" s="1" t="str">
        <f>VLOOKUP(B2151,Bounties!A:E,2,FALSE)</f>
        <v>Spanish Bounty</v>
      </c>
    </row>
    <row r="2152" hidden="1">
      <c r="A2152" s="109">
        <f>HYPERLINK("https://polkadot.subsquare.io/treasury/child-bounties/2205", 2205)</f>
        <v>2205</v>
      </c>
      <c r="B2152" s="183">
        <v>42.0</v>
      </c>
      <c r="C2152" s="27" t="s">
        <v>3404</v>
      </c>
      <c r="D2152" s="27" t="s">
        <v>2571</v>
      </c>
      <c r="E2152" s="129">
        <v>9.47</v>
      </c>
      <c r="F2152" s="66">
        <v>45.61021118164063</v>
      </c>
      <c r="G2152" s="27" t="s">
        <v>3687</v>
      </c>
      <c r="H2152" s="167">
        <v>45558.0</v>
      </c>
      <c r="I2152" s="167">
        <v>45558.0</v>
      </c>
      <c r="J2152" s="66">
        <v>45.61021118164063</v>
      </c>
      <c r="M2152" s="1" t="str">
        <f>VLOOKUP(B2152,Bounties!A:D,3,FALSE)</f>
        <v>Outreach</v>
      </c>
      <c r="N2152" s="1" t="str">
        <f>VLOOKUP(B2152,Bounties!A:D,4,FALSE)</f>
        <v>Media</v>
      </c>
      <c r="O2152" s="1" t="str">
        <f t="shared" ref="O2152:P2152" si="2156">IF(ISBLANK(K2152),M2152,K2152)</f>
        <v>Outreach</v>
      </c>
      <c r="P2152" s="1" t="str">
        <f t="shared" si="2156"/>
        <v>Media</v>
      </c>
      <c r="Q2152" s="108" t="str">
        <f t="shared" si="3"/>
        <v>2024</v>
      </c>
      <c r="R2152" s="110">
        <f t="shared" si="4"/>
        <v>9</v>
      </c>
      <c r="S2152" s="108" t="str">
        <f t="shared" si="5"/>
        <v>2024-Q3</v>
      </c>
      <c r="T2152" s="111" t="str">
        <f t="shared" si="6"/>
        <v>2024-09</v>
      </c>
      <c r="U2152" s="112" t="str">
        <f t="shared" si="7"/>
        <v>2024-H2</v>
      </c>
      <c r="V2152" s="1" t="str">
        <f>VLOOKUP(B2152,Bounties!A:E,2,FALSE)</f>
        <v>Spanish Bounty</v>
      </c>
    </row>
    <row r="2153" hidden="1">
      <c r="A2153" s="109">
        <f>HYPERLINK("https://polkadot.subsquare.io/treasury/child-bounties/2206", 2206)</f>
        <v>2206</v>
      </c>
      <c r="B2153" s="183">
        <v>42.0</v>
      </c>
      <c r="C2153" s="27" t="s">
        <v>3404</v>
      </c>
      <c r="D2153" s="27" t="s">
        <v>2572</v>
      </c>
      <c r="E2153" s="129">
        <v>24.63</v>
      </c>
      <c r="F2153" s="66">
        <v>118.62507934570311</v>
      </c>
      <c r="G2153" s="27" t="s">
        <v>3702</v>
      </c>
      <c r="H2153" s="167">
        <v>45558.0</v>
      </c>
      <c r="I2153" s="167">
        <v>45558.0</v>
      </c>
      <c r="J2153" s="66">
        <v>118.62507934570311</v>
      </c>
      <c r="M2153" s="1" t="str">
        <f>VLOOKUP(B2153,Bounties!A:D,3,FALSE)</f>
        <v>Outreach</v>
      </c>
      <c r="N2153" s="1" t="str">
        <f>VLOOKUP(B2153,Bounties!A:D,4,FALSE)</f>
        <v>Media</v>
      </c>
      <c r="O2153" s="1" t="str">
        <f t="shared" ref="O2153:P2153" si="2157">IF(ISBLANK(K2153),M2153,K2153)</f>
        <v>Outreach</v>
      </c>
      <c r="P2153" s="1" t="str">
        <f t="shared" si="2157"/>
        <v>Media</v>
      </c>
      <c r="Q2153" s="108" t="str">
        <f t="shared" si="3"/>
        <v>2024</v>
      </c>
      <c r="R2153" s="110">
        <f t="shared" si="4"/>
        <v>9</v>
      </c>
      <c r="S2153" s="108" t="str">
        <f t="shared" si="5"/>
        <v>2024-Q3</v>
      </c>
      <c r="T2153" s="111" t="str">
        <f t="shared" si="6"/>
        <v>2024-09</v>
      </c>
      <c r="U2153" s="112" t="str">
        <f t="shared" si="7"/>
        <v>2024-H2</v>
      </c>
      <c r="V2153" s="1" t="str">
        <f>VLOOKUP(B2153,Bounties!A:E,2,FALSE)</f>
        <v>Spanish Bounty</v>
      </c>
    </row>
    <row r="2154" hidden="1">
      <c r="A2154" s="109">
        <f>HYPERLINK("https://polkadot.subsquare.io/treasury/child-bounties/2207", 2207)</f>
        <v>2207</v>
      </c>
      <c r="B2154" s="183">
        <v>42.0</v>
      </c>
      <c r="C2154" s="27" t="s">
        <v>3404</v>
      </c>
      <c r="D2154" s="27" t="s">
        <v>2573</v>
      </c>
      <c r="E2154" s="129">
        <v>9.65</v>
      </c>
      <c r="F2154" s="66">
        <v>46.477142333984375</v>
      </c>
      <c r="G2154" s="27" t="s">
        <v>3788</v>
      </c>
      <c r="H2154" s="167">
        <v>45558.0</v>
      </c>
      <c r="I2154" s="167">
        <v>45558.0</v>
      </c>
      <c r="J2154" s="66">
        <v>46.477142333984375</v>
      </c>
      <c r="M2154" s="1" t="str">
        <f>VLOOKUP(B2154,Bounties!A:D,3,FALSE)</f>
        <v>Outreach</v>
      </c>
      <c r="N2154" s="1" t="str">
        <f>VLOOKUP(B2154,Bounties!A:D,4,FALSE)</f>
        <v>Media</v>
      </c>
      <c r="O2154" s="1" t="str">
        <f t="shared" ref="O2154:P2154" si="2158">IF(ISBLANK(K2154),M2154,K2154)</f>
        <v>Outreach</v>
      </c>
      <c r="P2154" s="1" t="str">
        <f t="shared" si="2158"/>
        <v>Media</v>
      </c>
      <c r="Q2154" s="108" t="str">
        <f t="shared" si="3"/>
        <v>2024</v>
      </c>
      <c r="R2154" s="110">
        <f t="shared" si="4"/>
        <v>9</v>
      </c>
      <c r="S2154" s="108" t="str">
        <f t="shared" si="5"/>
        <v>2024-Q3</v>
      </c>
      <c r="T2154" s="111" t="str">
        <f t="shared" si="6"/>
        <v>2024-09</v>
      </c>
      <c r="U2154" s="112" t="str">
        <f t="shared" si="7"/>
        <v>2024-H2</v>
      </c>
      <c r="V2154" s="1" t="str">
        <f>VLOOKUP(B2154,Bounties!A:E,2,FALSE)</f>
        <v>Spanish Bounty</v>
      </c>
    </row>
    <row r="2155" hidden="1">
      <c r="A2155" s="109">
        <f>HYPERLINK("https://polkadot.subsquare.io/treasury/child-bounties/2208", 2208)</f>
        <v>2208</v>
      </c>
      <c r="B2155" s="183">
        <v>42.0</v>
      </c>
      <c r="C2155" s="27" t="s">
        <v>3404</v>
      </c>
      <c r="D2155" s="27" t="s">
        <v>2574</v>
      </c>
      <c r="E2155" s="129">
        <v>324.11</v>
      </c>
      <c r="F2155" s="66">
        <v>1561.0058654785157</v>
      </c>
      <c r="G2155" s="27" t="s">
        <v>3794</v>
      </c>
      <c r="H2155" s="167">
        <v>45558.0</v>
      </c>
      <c r="I2155" s="167">
        <v>45558.0</v>
      </c>
      <c r="J2155" s="66">
        <v>1561.0058654785157</v>
      </c>
      <c r="M2155" s="1" t="str">
        <f>VLOOKUP(B2155,Bounties!A:D,3,FALSE)</f>
        <v>Outreach</v>
      </c>
      <c r="N2155" s="1" t="str">
        <f>VLOOKUP(B2155,Bounties!A:D,4,FALSE)</f>
        <v>Media</v>
      </c>
      <c r="O2155" s="1" t="str">
        <f t="shared" ref="O2155:P2155" si="2159">IF(ISBLANK(K2155),M2155,K2155)</f>
        <v>Outreach</v>
      </c>
      <c r="P2155" s="1" t="str">
        <f t="shared" si="2159"/>
        <v>Media</v>
      </c>
      <c r="Q2155" s="108" t="str">
        <f t="shared" si="3"/>
        <v>2024</v>
      </c>
      <c r="R2155" s="110">
        <f t="shared" si="4"/>
        <v>9</v>
      </c>
      <c r="S2155" s="108" t="str">
        <f t="shared" si="5"/>
        <v>2024-Q3</v>
      </c>
      <c r="T2155" s="111" t="str">
        <f t="shared" si="6"/>
        <v>2024-09</v>
      </c>
      <c r="U2155" s="112" t="str">
        <f t="shared" si="7"/>
        <v>2024-H2</v>
      </c>
      <c r="V2155" s="1" t="str">
        <f>VLOOKUP(B2155,Bounties!A:E,2,FALSE)</f>
        <v>Spanish Bounty</v>
      </c>
    </row>
    <row r="2156" hidden="1">
      <c r="A2156" s="109">
        <f>HYPERLINK("https://polkadot.subsquare.io/treasury/child-bounties/2209", 2209)</f>
        <v>2209</v>
      </c>
      <c r="B2156" s="183">
        <v>42.0</v>
      </c>
      <c r="C2156" s="27" t="s">
        <v>3404</v>
      </c>
      <c r="D2156" s="27" t="s">
        <v>2575</v>
      </c>
      <c r="E2156" s="129">
        <v>43.3</v>
      </c>
      <c r="F2156" s="66">
        <v>208.54510498046875</v>
      </c>
      <c r="G2156" s="27" t="s">
        <v>3676</v>
      </c>
      <c r="H2156" s="167">
        <v>45558.0</v>
      </c>
      <c r="I2156" s="167">
        <v>45564.0</v>
      </c>
      <c r="J2156" s="66">
        <v>180.08500623703003</v>
      </c>
      <c r="M2156" s="1" t="str">
        <f>VLOOKUP(B2156,Bounties!A:D,3,FALSE)</f>
        <v>Outreach</v>
      </c>
      <c r="N2156" s="1" t="str">
        <f>VLOOKUP(B2156,Bounties!A:D,4,FALSE)</f>
        <v>Media</v>
      </c>
      <c r="O2156" s="1" t="str">
        <f t="shared" ref="O2156:P2156" si="2160">IF(ISBLANK(K2156),M2156,K2156)</f>
        <v>Outreach</v>
      </c>
      <c r="P2156" s="1" t="str">
        <f t="shared" si="2160"/>
        <v>Media</v>
      </c>
      <c r="Q2156" s="108" t="str">
        <f t="shared" si="3"/>
        <v>2024</v>
      </c>
      <c r="R2156" s="110">
        <f t="shared" si="4"/>
        <v>9</v>
      </c>
      <c r="S2156" s="108" t="str">
        <f t="shared" si="5"/>
        <v>2024-Q3</v>
      </c>
      <c r="T2156" s="111" t="str">
        <f t="shared" si="6"/>
        <v>2024-09</v>
      </c>
      <c r="U2156" s="112" t="str">
        <f t="shared" si="7"/>
        <v>2024-H2</v>
      </c>
      <c r="V2156" s="1" t="str">
        <f>VLOOKUP(B2156,Bounties!A:E,2,FALSE)</f>
        <v>Spanish Bounty</v>
      </c>
    </row>
    <row r="2157" hidden="1">
      <c r="A2157" s="109">
        <f>HYPERLINK("https://polkadot.subsquare.io/treasury/child-bounties/2210", 2210)</f>
        <v>2210</v>
      </c>
      <c r="B2157" s="183">
        <v>42.0</v>
      </c>
      <c r="C2157" s="27" t="s">
        <v>3404</v>
      </c>
      <c r="D2157" s="27" t="s">
        <v>2576</v>
      </c>
      <c r="E2157" s="129">
        <v>62.08</v>
      </c>
      <c r="F2157" s="66">
        <v>298.994921875</v>
      </c>
      <c r="G2157" s="27" t="s">
        <v>3763</v>
      </c>
      <c r="H2157" s="167">
        <v>45558.0</v>
      </c>
      <c r="I2157" s="167">
        <v>45558.0</v>
      </c>
      <c r="J2157" s="66">
        <v>298.994921875</v>
      </c>
      <c r="M2157" s="1" t="str">
        <f>VLOOKUP(B2157,Bounties!A:D,3,FALSE)</f>
        <v>Outreach</v>
      </c>
      <c r="N2157" s="1" t="str">
        <f>VLOOKUP(B2157,Bounties!A:D,4,FALSE)</f>
        <v>Media</v>
      </c>
      <c r="O2157" s="1" t="str">
        <f t="shared" ref="O2157:P2157" si="2161">IF(ISBLANK(K2157),M2157,K2157)</f>
        <v>Outreach</v>
      </c>
      <c r="P2157" s="1" t="str">
        <f t="shared" si="2161"/>
        <v>Media</v>
      </c>
      <c r="Q2157" s="108" t="str">
        <f t="shared" si="3"/>
        <v>2024</v>
      </c>
      <c r="R2157" s="110">
        <f t="shared" si="4"/>
        <v>9</v>
      </c>
      <c r="S2157" s="108" t="str">
        <f t="shared" si="5"/>
        <v>2024-Q3</v>
      </c>
      <c r="T2157" s="111" t="str">
        <f t="shared" si="6"/>
        <v>2024-09</v>
      </c>
      <c r="U2157" s="112" t="str">
        <f t="shared" si="7"/>
        <v>2024-H2</v>
      </c>
      <c r="V2157" s="1" t="str">
        <f>VLOOKUP(B2157,Bounties!A:E,2,FALSE)</f>
        <v>Spanish Bounty</v>
      </c>
    </row>
    <row r="2158" hidden="1">
      <c r="A2158" s="109">
        <f>HYPERLINK("https://polkadot.subsquare.io/treasury/child-bounties/2211", 2211)</f>
        <v>2211</v>
      </c>
      <c r="B2158" s="183">
        <v>42.0</v>
      </c>
      <c r="C2158" s="27" t="s">
        <v>3404</v>
      </c>
      <c r="D2158" s="27" t="s">
        <v>2577</v>
      </c>
      <c r="E2158" s="129">
        <v>139.7</v>
      </c>
      <c r="F2158" s="66">
        <v>672.8348999023438</v>
      </c>
      <c r="G2158" s="27" t="s">
        <v>3751</v>
      </c>
      <c r="H2158" s="167">
        <v>45558.0</v>
      </c>
      <c r="I2158" s="167">
        <v>45560.0</v>
      </c>
      <c r="J2158" s="66">
        <v>683.4200883388519</v>
      </c>
      <c r="M2158" s="1" t="str">
        <f>VLOOKUP(B2158,Bounties!A:D,3,FALSE)</f>
        <v>Outreach</v>
      </c>
      <c r="N2158" s="1" t="str">
        <f>VLOOKUP(B2158,Bounties!A:D,4,FALSE)</f>
        <v>Media</v>
      </c>
      <c r="O2158" s="1" t="str">
        <f t="shared" ref="O2158:P2158" si="2162">IF(ISBLANK(K2158),M2158,K2158)</f>
        <v>Outreach</v>
      </c>
      <c r="P2158" s="1" t="str">
        <f t="shared" si="2162"/>
        <v>Media</v>
      </c>
      <c r="Q2158" s="108" t="str">
        <f t="shared" si="3"/>
        <v>2024</v>
      </c>
      <c r="R2158" s="110">
        <f t="shared" si="4"/>
        <v>9</v>
      </c>
      <c r="S2158" s="108" t="str">
        <f t="shared" si="5"/>
        <v>2024-Q3</v>
      </c>
      <c r="T2158" s="111" t="str">
        <f t="shared" si="6"/>
        <v>2024-09</v>
      </c>
      <c r="U2158" s="112" t="str">
        <f t="shared" si="7"/>
        <v>2024-H2</v>
      </c>
      <c r="V2158" s="1" t="str">
        <f>VLOOKUP(B2158,Bounties!A:E,2,FALSE)</f>
        <v>Spanish Bounty</v>
      </c>
    </row>
    <row r="2159" hidden="1">
      <c r="A2159" s="109">
        <f>HYPERLINK("https://polkadot.subsquare.io/treasury/child-bounties/2212", 2212)</f>
        <v>2212</v>
      </c>
      <c r="B2159" s="183">
        <v>42.0</v>
      </c>
      <c r="C2159" s="27" t="s">
        <v>3404</v>
      </c>
      <c r="D2159" s="27" t="s">
        <v>2578</v>
      </c>
      <c r="E2159" s="129">
        <v>37.69</v>
      </c>
      <c r="F2159" s="66">
        <v>181.52575073242187</v>
      </c>
      <c r="G2159" s="27" t="s">
        <v>3674</v>
      </c>
      <c r="H2159" s="167">
        <v>45558.0</v>
      </c>
      <c r="I2159" s="167">
        <v>45558.0</v>
      </c>
      <c r="J2159" s="66">
        <v>181.52575073242187</v>
      </c>
      <c r="M2159" s="1" t="str">
        <f>VLOOKUP(B2159,Bounties!A:D,3,FALSE)</f>
        <v>Outreach</v>
      </c>
      <c r="N2159" s="1" t="str">
        <f>VLOOKUP(B2159,Bounties!A:D,4,FALSE)</f>
        <v>Media</v>
      </c>
      <c r="O2159" s="1" t="str">
        <f t="shared" ref="O2159:P2159" si="2163">IF(ISBLANK(K2159),M2159,K2159)</f>
        <v>Outreach</v>
      </c>
      <c r="P2159" s="1" t="str">
        <f t="shared" si="2163"/>
        <v>Media</v>
      </c>
      <c r="Q2159" s="108" t="str">
        <f t="shared" si="3"/>
        <v>2024</v>
      </c>
      <c r="R2159" s="110">
        <f t="shared" si="4"/>
        <v>9</v>
      </c>
      <c r="S2159" s="108" t="str">
        <f t="shared" si="5"/>
        <v>2024-Q3</v>
      </c>
      <c r="T2159" s="111" t="str">
        <f t="shared" si="6"/>
        <v>2024-09</v>
      </c>
      <c r="U2159" s="112" t="str">
        <f t="shared" si="7"/>
        <v>2024-H2</v>
      </c>
      <c r="V2159" s="1" t="str">
        <f>VLOOKUP(B2159,Bounties!A:E,2,FALSE)</f>
        <v>Spanish Bounty</v>
      </c>
    </row>
    <row r="2160" hidden="1">
      <c r="A2160" s="109">
        <f>HYPERLINK("https://polkadot.subsquare.io/treasury/child-bounties/2213", 2213)</f>
        <v>2213</v>
      </c>
      <c r="B2160" s="183">
        <v>42.0</v>
      </c>
      <c r="C2160" s="27" t="s">
        <v>3404</v>
      </c>
      <c r="D2160" s="27" t="s">
        <v>2579</v>
      </c>
      <c r="E2160" s="129">
        <v>31.33</v>
      </c>
      <c r="F2160" s="66">
        <v>150.89418334960936</v>
      </c>
      <c r="G2160" s="27" t="s">
        <v>3675</v>
      </c>
      <c r="H2160" s="167">
        <v>45558.0</v>
      </c>
      <c r="I2160" s="167">
        <v>45559.0</v>
      </c>
      <c r="J2160" s="66">
        <v>153.26808423519134</v>
      </c>
      <c r="M2160" s="1" t="str">
        <f>VLOOKUP(B2160,Bounties!A:D,3,FALSE)</f>
        <v>Outreach</v>
      </c>
      <c r="N2160" s="1" t="str">
        <f>VLOOKUP(B2160,Bounties!A:D,4,FALSE)</f>
        <v>Media</v>
      </c>
      <c r="O2160" s="1" t="str">
        <f t="shared" ref="O2160:P2160" si="2164">IF(ISBLANK(K2160),M2160,K2160)</f>
        <v>Outreach</v>
      </c>
      <c r="P2160" s="1" t="str">
        <f t="shared" si="2164"/>
        <v>Media</v>
      </c>
      <c r="Q2160" s="108" t="str">
        <f t="shared" si="3"/>
        <v>2024</v>
      </c>
      <c r="R2160" s="110">
        <f t="shared" si="4"/>
        <v>9</v>
      </c>
      <c r="S2160" s="108" t="str">
        <f t="shared" si="5"/>
        <v>2024-Q3</v>
      </c>
      <c r="T2160" s="111" t="str">
        <f t="shared" si="6"/>
        <v>2024-09</v>
      </c>
      <c r="U2160" s="112" t="str">
        <f t="shared" si="7"/>
        <v>2024-H2</v>
      </c>
      <c r="V2160" s="1" t="str">
        <f>VLOOKUP(B2160,Bounties!A:E,2,FALSE)</f>
        <v>Spanish Bounty</v>
      </c>
    </row>
    <row r="2161" hidden="1">
      <c r="A2161" s="109">
        <f>HYPERLINK("https://polkadot.subsquare.io/treasury/child-bounties/2214", 2214)</f>
        <v>2214</v>
      </c>
      <c r="B2161" s="183">
        <v>42.0</v>
      </c>
      <c r="C2161" s="27" t="s">
        <v>3404</v>
      </c>
      <c r="D2161" s="27" t="s">
        <v>2580</v>
      </c>
      <c r="E2161" s="129">
        <v>24.27</v>
      </c>
      <c r="F2161" s="66">
        <v>116.89121704101562</v>
      </c>
      <c r="G2161" s="27" t="s">
        <v>3777</v>
      </c>
      <c r="H2161" s="167">
        <v>45558.0</v>
      </c>
      <c r="I2161" s="167">
        <v>45558.0</v>
      </c>
      <c r="J2161" s="66">
        <v>116.89121704101562</v>
      </c>
      <c r="M2161" s="1" t="str">
        <f>VLOOKUP(B2161,Bounties!A:D,3,FALSE)</f>
        <v>Outreach</v>
      </c>
      <c r="N2161" s="1" t="str">
        <f>VLOOKUP(B2161,Bounties!A:D,4,FALSE)</f>
        <v>Media</v>
      </c>
      <c r="O2161" s="1" t="str">
        <f t="shared" ref="O2161:P2161" si="2165">IF(ISBLANK(K2161),M2161,K2161)</f>
        <v>Outreach</v>
      </c>
      <c r="P2161" s="1" t="str">
        <f t="shared" si="2165"/>
        <v>Media</v>
      </c>
      <c r="Q2161" s="108" t="str">
        <f t="shared" si="3"/>
        <v>2024</v>
      </c>
      <c r="R2161" s="110">
        <f t="shared" si="4"/>
        <v>9</v>
      </c>
      <c r="S2161" s="108" t="str">
        <f t="shared" si="5"/>
        <v>2024-Q3</v>
      </c>
      <c r="T2161" s="111" t="str">
        <f t="shared" si="6"/>
        <v>2024-09</v>
      </c>
      <c r="U2161" s="112" t="str">
        <f t="shared" si="7"/>
        <v>2024-H2</v>
      </c>
      <c r="V2161" s="1" t="str">
        <f>VLOOKUP(B2161,Bounties!A:E,2,FALSE)</f>
        <v>Spanish Bounty</v>
      </c>
    </row>
    <row r="2162" hidden="1">
      <c r="A2162" s="109">
        <f>HYPERLINK("https://polkadot.subsquare.io/treasury/child-bounties/2215", 2215)</f>
        <v>2215</v>
      </c>
      <c r="B2162" s="183">
        <v>42.0</v>
      </c>
      <c r="C2162" s="27" t="s">
        <v>3404</v>
      </c>
      <c r="D2162" s="27" t="s">
        <v>2581</v>
      </c>
      <c r="E2162" s="129">
        <v>84.02</v>
      </c>
      <c r="F2162" s="66">
        <v>404.6641967773437</v>
      </c>
      <c r="G2162" s="27" t="s">
        <v>3644</v>
      </c>
      <c r="H2162" s="167">
        <v>45558.0</v>
      </c>
      <c r="I2162" s="167">
        <v>45558.0</v>
      </c>
      <c r="J2162" s="66">
        <v>404.6641967773437</v>
      </c>
      <c r="M2162" s="1" t="str">
        <f>VLOOKUP(B2162,Bounties!A:D,3,FALSE)</f>
        <v>Outreach</v>
      </c>
      <c r="N2162" s="1" t="str">
        <f>VLOOKUP(B2162,Bounties!A:D,4,FALSE)</f>
        <v>Media</v>
      </c>
      <c r="O2162" s="1" t="str">
        <f t="shared" ref="O2162:P2162" si="2166">IF(ISBLANK(K2162),M2162,K2162)</f>
        <v>Outreach</v>
      </c>
      <c r="P2162" s="1" t="str">
        <f t="shared" si="2166"/>
        <v>Media</v>
      </c>
      <c r="Q2162" s="108" t="str">
        <f t="shared" si="3"/>
        <v>2024</v>
      </c>
      <c r="R2162" s="110">
        <f t="shared" si="4"/>
        <v>9</v>
      </c>
      <c r="S2162" s="108" t="str">
        <f t="shared" si="5"/>
        <v>2024-Q3</v>
      </c>
      <c r="T2162" s="111" t="str">
        <f t="shared" si="6"/>
        <v>2024-09</v>
      </c>
      <c r="U2162" s="112" t="str">
        <f t="shared" si="7"/>
        <v>2024-H2</v>
      </c>
      <c r="V2162" s="1" t="str">
        <f>VLOOKUP(B2162,Bounties!A:E,2,FALSE)</f>
        <v>Spanish Bounty</v>
      </c>
    </row>
    <row r="2163" hidden="1">
      <c r="A2163" s="109">
        <f>HYPERLINK("https://polkadot.subsquare.io/treasury/child-bounties/2216", 2216)</f>
        <v>2216</v>
      </c>
      <c r="B2163" s="183">
        <v>42.0</v>
      </c>
      <c r="C2163" s="27" t="s">
        <v>3404</v>
      </c>
      <c r="D2163" s="27" t="s">
        <v>2582</v>
      </c>
      <c r="E2163" s="129">
        <v>316.17</v>
      </c>
      <c r="F2163" s="66">
        <v>1522.764569091797</v>
      </c>
      <c r="G2163" s="27" t="s">
        <v>3690</v>
      </c>
      <c r="H2163" s="167">
        <v>45558.0</v>
      </c>
      <c r="I2163" s="167">
        <v>45558.0</v>
      </c>
      <c r="J2163" s="66">
        <v>1522.764569091797</v>
      </c>
      <c r="M2163" s="1" t="str">
        <f>VLOOKUP(B2163,Bounties!A:D,3,FALSE)</f>
        <v>Outreach</v>
      </c>
      <c r="N2163" s="1" t="str">
        <f>VLOOKUP(B2163,Bounties!A:D,4,FALSE)</f>
        <v>Media</v>
      </c>
      <c r="O2163" s="1" t="str">
        <f t="shared" ref="O2163:P2163" si="2167">IF(ISBLANK(K2163),M2163,K2163)</f>
        <v>Outreach</v>
      </c>
      <c r="P2163" s="1" t="str">
        <f t="shared" si="2167"/>
        <v>Media</v>
      </c>
      <c r="Q2163" s="108" t="str">
        <f t="shared" si="3"/>
        <v>2024</v>
      </c>
      <c r="R2163" s="110">
        <f t="shared" si="4"/>
        <v>9</v>
      </c>
      <c r="S2163" s="108" t="str">
        <f t="shared" si="5"/>
        <v>2024-Q3</v>
      </c>
      <c r="T2163" s="111" t="str">
        <f t="shared" si="6"/>
        <v>2024-09</v>
      </c>
      <c r="U2163" s="112" t="str">
        <f t="shared" si="7"/>
        <v>2024-H2</v>
      </c>
      <c r="V2163" s="1" t="str">
        <f>VLOOKUP(B2163,Bounties!A:E,2,FALSE)</f>
        <v>Spanish Bounty</v>
      </c>
    </row>
    <row r="2164" hidden="1">
      <c r="A2164" s="109">
        <f>HYPERLINK("https://polkadot.subsquare.io/treasury/child-bounties/2217", 2217)</f>
        <v>2217</v>
      </c>
      <c r="B2164" s="183">
        <v>42.0</v>
      </c>
      <c r="C2164" s="27" t="s">
        <v>3404</v>
      </c>
      <c r="D2164" s="27" t="s">
        <v>2583</v>
      </c>
      <c r="E2164" s="129">
        <v>316.17</v>
      </c>
      <c r="F2164" s="66">
        <v>1522.764569091797</v>
      </c>
      <c r="G2164" s="27" t="s">
        <v>3695</v>
      </c>
      <c r="H2164" s="167">
        <v>45558.0</v>
      </c>
      <c r="I2164" s="167">
        <v>45558.0</v>
      </c>
      <c r="J2164" s="66">
        <v>1522.764569091797</v>
      </c>
      <c r="M2164" s="1" t="str">
        <f>VLOOKUP(B2164,Bounties!A:D,3,FALSE)</f>
        <v>Outreach</v>
      </c>
      <c r="N2164" s="1" t="str">
        <f>VLOOKUP(B2164,Bounties!A:D,4,FALSE)</f>
        <v>Media</v>
      </c>
      <c r="O2164" s="1" t="str">
        <f t="shared" ref="O2164:P2164" si="2168">IF(ISBLANK(K2164),M2164,K2164)</f>
        <v>Outreach</v>
      </c>
      <c r="P2164" s="1" t="str">
        <f t="shared" si="2168"/>
        <v>Media</v>
      </c>
      <c r="Q2164" s="108" t="str">
        <f t="shared" si="3"/>
        <v>2024</v>
      </c>
      <c r="R2164" s="110">
        <f t="shared" si="4"/>
        <v>9</v>
      </c>
      <c r="S2164" s="108" t="str">
        <f t="shared" si="5"/>
        <v>2024-Q3</v>
      </c>
      <c r="T2164" s="111" t="str">
        <f t="shared" si="6"/>
        <v>2024-09</v>
      </c>
      <c r="U2164" s="112" t="str">
        <f t="shared" si="7"/>
        <v>2024-H2</v>
      </c>
      <c r="V2164" s="1" t="str">
        <f>VLOOKUP(B2164,Bounties!A:E,2,FALSE)</f>
        <v>Spanish Bounty</v>
      </c>
    </row>
    <row r="2165" hidden="1">
      <c r="A2165" s="109">
        <f>HYPERLINK("https://polkadot.subsquare.io/treasury/child-bounties/2218", 2218)</f>
        <v>2218</v>
      </c>
      <c r="B2165" s="183">
        <v>42.0</v>
      </c>
      <c r="C2165" s="27" t="s">
        <v>3404</v>
      </c>
      <c r="D2165" s="27" t="s">
        <v>2584</v>
      </c>
      <c r="E2165" s="129">
        <v>316.17</v>
      </c>
      <c r="F2165" s="66">
        <v>1522.764569091797</v>
      </c>
      <c r="G2165" s="27" t="s">
        <v>3694</v>
      </c>
      <c r="H2165" s="167">
        <v>45558.0</v>
      </c>
      <c r="I2165" s="167">
        <v>45558.0</v>
      </c>
      <c r="J2165" s="66">
        <v>1522.764569091797</v>
      </c>
      <c r="M2165" s="1" t="str">
        <f>VLOOKUP(B2165,Bounties!A:D,3,FALSE)</f>
        <v>Outreach</v>
      </c>
      <c r="N2165" s="1" t="str">
        <f>VLOOKUP(B2165,Bounties!A:D,4,FALSE)</f>
        <v>Media</v>
      </c>
      <c r="O2165" s="1" t="str">
        <f t="shared" ref="O2165:P2165" si="2169">IF(ISBLANK(K2165),M2165,K2165)</f>
        <v>Outreach</v>
      </c>
      <c r="P2165" s="1" t="str">
        <f t="shared" si="2169"/>
        <v>Media</v>
      </c>
      <c r="Q2165" s="108" t="str">
        <f t="shared" si="3"/>
        <v>2024</v>
      </c>
      <c r="R2165" s="110">
        <f t="shared" si="4"/>
        <v>9</v>
      </c>
      <c r="S2165" s="108" t="str">
        <f t="shared" si="5"/>
        <v>2024-Q3</v>
      </c>
      <c r="T2165" s="111" t="str">
        <f t="shared" si="6"/>
        <v>2024-09</v>
      </c>
      <c r="U2165" s="112" t="str">
        <f t="shared" si="7"/>
        <v>2024-H2</v>
      </c>
      <c r="V2165" s="1" t="str">
        <f>VLOOKUP(B2165,Bounties!A:E,2,FALSE)</f>
        <v>Spanish Bounty</v>
      </c>
    </row>
    <row r="2166" hidden="1">
      <c r="A2166" s="109">
        <f>HYPERLINK("https://polkadot.subsquare.io/treasury/child-bounties/2219", 2219)</f>
        <v>2219</v>
      </c>
      <c r="B2166" s="183">
        <v>42.0</v>
      </c>
      <c r="C2166" s="27" t="s">
        <v>3404</v>
      </c>
      <c r="D2166" s="27" t="s">
        <v>2585</v>
      </c>
      <c r="E2166" s="129">
        <v>113.11</v>
      </c>
      <c r="F2166" s="66">
        <v>544.7699035644531</v>
      </c>
      <c r="G2166" s="27" t="s">
        <v>3691</v>
      </c>
      <c r="H2166" s="167">
        <v>45558.0</v>
      </c>
      <c r="I2166" s="167">
        <v>45558.0</v>
      </c>
      <c r="J2166" s="66">
        <v>544.7699035644531</v>
      </c>
      <c r="M2166" s="1" t="str">
        <f>VLOOKUP(B2166,Bounties!A:D,3,FALSE)</f>
        <v>Outreach</v>
      </c>
      <c r="N2166" s="1" t="str">
        <f>VLOOKUP(B2166,Bounties!A:D,4,FALSE)</f>
        <v>Media</v>
      </c>
      <c r="O2166" s="1" t="str">
        <f t="shared" ref="O2166:P2166" si="2170">IF(ISBLANK(K2166),M2166,K2166)</f>
        <v>Outreach</v>
      </c>
      <c r="P2166" s="1" t="str">
        <f t="shared" si="2170"/>
        <v>Media</v>
      </c>
      <c r="Q2166" s="108" t="str">
        <f t="shared" si="3"/>
        <v>2024</v>
      </c>
      <c r="R2166" s="110">
        <f t="shared" si="4"/>
        <v>9</v>
      </c>
      <c r="S2166" s="108" t="str">
        <f t="shared" si="5"/>
        <v>2024-Q3</v>
      </c>
      <c r="T2166" s="111" t="str">
        <f t="shared" si="6"/>
        <v>2024-09</v>
      </c>
      <c r="U2166" s="112" t="str">
        <f t="shared" si="7"/>
        <v>2024-H2</v>
      </c>
      <c r="V2166" s="1" t="str">
        <f>VLOOKUP(B2166,Bounties!A:E,2,FALSE)</f>
        <v>Spanish Bounty</v>
      </c>
    </row>
  </sheetData>
  <autoFilter ref="$A$1:$X$2166">
    <filterColumn colId="18">
      <filters>
        <filter val="2024-Q1"/>
        <filter val="2023-Q1"/>
        <filter val="2024-Q3"/>
        <filter val="2023-Q2"/>
        <filter val="2022-Q2"/>
        <filter val="2023-Q3"/>
        <filter val="2022-Q3"/>
        <filter val="2023-Q4"/>
        <filter val="2022-Q4"/>
      </filters>
    </filterColumn>
    <filterColumn colId="1">
      <filters>
        <filter val="37"/>
      </filters>
    </filterColumn>
    <filterColumn colId="2">
      <filters>
        <filter val="Canceled"/>
        <filter val="Claimed"/>
      </filters>
    </filterColumn>
  </autoFilter>
  <dataValidations>
    <dataValidation type="list" allowBlank="1" showErrorMessage="1" sqref="L653:L656 L707 L710 L728 L783:L784 L842:L843 L853:L856 L897 L984:L988 L991 L997 L1006 L1145:L1149 L1193:L1195 L1431 L1544 L1766:L1767">
      <formula1>"Smart Contracts,Explorers,RPCs and Nodes,SDKs,Protocol Subsidies,Events,Privacy,ZK,Trainings/Hackathon,Governance,Education,Wallets,Snapshots,Anti-Scam,Staking,Research,Multisig,Other,Conference Attendance,Conference Hosting,Substrate,Indexing,Software Se"&amp;"rvices,Bridge,Light Clients,Polkadot SDK,Recruiting,Community Building,Media,Software Development,Business Development,Incubation,Advertising,Infrastructure,Local Outreach,Games,UIs,Loans,Stablecoins,Market Operations,Security,Advertising/Sponsorships,Adv"&amp;"ertising/Influencers,Advertising/Digital Ads,Advertising/Physical Ads,Advertising/Platform Integrations"</formula1>
    </dataValidation>
    <dataValidation type="list" allowBlank="1" showErrorMessage="1" sqref="L1396 L1404 L1422:L1423 L1480:L1481 L1543 L1545:L1547 L1661 L1690 L1768:L1769 L2114">
      <formula1>"Other,Polkadot Protocol &amp; SDK,Smart Contracts,SDKs,Protocol Subsidies,Privacy,ZK,Staking,Wallets,Explorers,Software Services,Light Clients,Bridge,Multisig,Indexing,RPCs and Nodes,Software Development,Data Services &amp; Indexing,Snapshots,Governance,Events,Ev"&amp;"ents/Conference Hosting,Events/Conference Attendance &amp; Side Events,Events/Meetups,Education,Anti-Scam,Research,Community Building,Events/Meetups,Infrastructure,Media,Business Development,Incubation,Games,Ecosystem Services,Advertising,Advertising/Sponsors"&amp;"hips,Advertising/Influencers,Advertising/Digital Ads,Advertising/Platform Integrations,Advertising/Physical Ads,Recruiting,Trainings &amp; Hackathon,Security,Stablecoins,Loans,Market Operations,Legal,PR"</formula1>
    </dataValidation>
    <dataValidation type="list" allowBlank="1" showErrorMessage="1" sqref="K653:K656 K707 K710 K728 K783:K784 K842:K843 K853:K856 K897 K984:K988 K991 K997 K1006 K1145:K1149 K1193:K1195">
      <formula1>"Development,Operations,Outreach,Research,Talent &amp; Education,Economy"</formula1>
    </dataValidation>
  </dataValidations>
  <hyperlinks>
    <hyperlink r:id="rId1" ref="D34"/>
    <hyperlink r:id="rId2" ref="D208"/>
  </hyperlinks>
  <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3.0"/>
    <col customWidth="1" min="2" max="4" width="12.38"/>
    <col customWidth="1" min="5" max="5" width="13.38"/>
  </cols>
  <sheetData>
    <row r="1"/>
    <row r="2"/>
    <row r="3"/>
    <row r="4"/>
    <row r="5"/>
    <row r="6"/>
    <row r="7"/>
    <row r="8"/>
    <row r="9"/>
    <row r="10"/>
    <row r="11"/>
    <row r="12"/>
    <row r="13"/>
    <row r="14"/>
    <row r="15"/>
    <row r="16"/>
    <row r="17"/>
    <row r="18"/>
    <row r="19"/>
    <row r="20"/>
    <row r="21"/>
    <row r="22"/>
  </sheetData>
  <drawing r:id="rId2"/>
</worksheet>
</file>